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anwesh\"/>
    </mc:Choice>
  </mc:AlternateContent>
  <bookViews>
    <workbookView minimized="1" xWindow="0" yWindow="0" windowWidth="24000" windowHeight="9120" firstSheet="43" activeTab="45"/>
  </bookViews>
  <sheets>
    <sheet name="suryagarh jagannath" sheetId="62" r:id="rId1"/>
    <sheet name="utras 2" sheetId="58" r:id="rId2"/>
    <sheet name="UTRAS" sheetId="35" r:id="rId3"/>
    <sheet name="brahapur" sheetId="52" r:id="rId4"/>
    <sheet name="brahapur 2" sheetId="54" r:id="rId5"/>
    <sheet name="aurangabad" sheetId="51" r:id="rId6"/>
    <sheet name="aurangabad 2" sheetId="57" r:id="rId7"/>
    <sheet name="bhausiya" sheetId="47" r:id="rId8"/>
    <sheet name="mandah &amp; bhoji" sheetId="55" r:id="rId9"/>
    <sheet name="madhura arani ganj 4" sheetId="56" r:id="rId10"/>
    <sheet name="CHOUMARI(MAHADEV)" sheetId="46" r:id="rId11"/>
    <sheet name="bhaidpur" sheetId="43" r:id="rId12"/>
    <sheet name="DARAOULI" sheetId="42" r:id="rId13"/>
    <sheet name="PERSANDA (3)" sheetId="37" r:id="rId14"/>
    <sheet name="Lauli Pokhtakham" sheetId="31" r:id="rId15"/>
    <sheet name="Kansapatti" sheetId="30" r:id="rId16"/>
    <sheet name="Puremanikanth" sheetId="29" r:id="rId17"/>
    <sheet name="Sheet2" sheetId="50" r:id="rId18"/>
    <sheet name="Dehri digar (2)" sheetId="28" r:id="rId19"/>
    <sheet name="PADAMPUR (2)" sheetId="27" r:id="rId20"/>
    <sheet name="Chart1" sheetId="5" r:id="rId21"/>
    <sheet name="SAKRA" sheetId="1" r:id="rId22"/>
    <sheet name="sakra 2" sheetId="38" r:id="rId23"/>
    <sheet name="HARDOI" sheetId="2" r:id="rId24"/>
    <sheet name="gehrauli" sheetId="3" r:id="rId25"/>
    <sheet name="SESHPUR ADHARGANJ" sheetId="4" r:id="rId26"/>
    <sheet name="seshpur adharganj 2" sheetId="61" r:id="rId27"/>
    <sheet name="Attarsand AK" sheetId="21" r:id="rId28"/>
    <sheet name="ATTARASAND AGS" sheetId="6" r:id="rId29"/>
    <sheet name="ATTARASAND KHAYATHI" sheetId="11" r:id="rId30"/>
    <sheet name="ATTARASAND PR" sheetId="8" r:id="rId31"/>
    <sheet name="MANGRAURA" sheetId="7" r:id="rId32"/>
    <sheet name="SARAI JAMMUVARI" sheetId="12" r:id="rId33"/>
    <sheet name="PURBHIKA AND RAIGARH" sheetId="15" r:id="rId34"/>
    <sheet name="Sheet1" sheetId="16" r:id="rId35"/>
    <sheet name="Barasarai" sheetId="17" r:id="rId36"/>
    <sheet name=" barasarai 2" sheetId="59" r:id="rId37"/>
    <sheet name="malaak" sheetId="19" r:id="rId38"/>
    <sheet name="shivapur khurd" sheetId="20" r:id="rId39"/>
    <sheet name="sarsidhi" sheetId="22" r:id="rId40"/>
    <sheet name="amuwahi1" sheetId="32" r:id="rId41"/>
    <sheet name="amuwahi" sheetId="25" r:id="rId42"/>
    <sheet name="hasthara" sheetId="34" r:id="rId43"/>
    <sheet name="hasthara 2" sheetId="53" r:id="rId44"/>
    <sheet name="MADHURA RANI GANJ" sheetId="39" r:id="rId45"/>
    <sheet name="madhra rani (ags)" sheetId="45" r:id="rId46"/>
    <sheet name="madhura rani ganj ags2" sheetId="60" r:id="rId47"/>
    <sheet name="MADHURA RANI GANJ(TANISH-2)" sheetId="48"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0" localSheetId="7">#REF!</definedName>
    <definedName name="\0" localSheetId="47">#REF!</definedName>
    <definedName name="\0" localSheetId="1">#REF!</definedName>
    <definedName name="\0">#REF!</definedName>
    <definedName name="\1" localSheetId="7">#REF!</definedName>
    <definedName name="\1" localSheetId="47">#REF!</definedName>
    <definedName name="\1" localSheetId="1">#REF!</definedName>
    <definedName name="\1">#REF!</definedName>
    <definedName name="\a" localSheetId="7">'[1]SUMMARY(E)'!#REF!</definedName>
    <definedName name="\a" localSheetId="47">'[1]SUMMARY(E)'!#REF!</definedName>
    <definedName name="\a" localSheetId="1">'[1]SUMMARY(E)'!#REF!</definedName>
    <definedName name="\a">'[1]SUMMARY(E)'!#REF!</definedName>
    <definedName name="\b">#N/A</definedName>
    <definedName name="\C" localSheetId="7">#REF!</definedName>
    <definedName name="\C" localSheetId="47">#REF!</definedName>
    <definedName name="\C" localSheetId="1">#REF!</definedName>
    <definedName name="\C">#REF!</definedName>
    <definedName name="\d">#N/A</definedName>
    <definedName name="\E" localSheetId="7">#REF!</definedName>
    <definedName name="\E" localSheetId="47">#REF!</definedName>
    <definedName name="\E" localSheetId="1">#REF!</definedName>
    <definedName name="\E">#REF!</definedName>
    <definedName name="\f">#N/A</definedName>
    <definedName name="\g" localSheetId="7">#REF!</definedName>
    <definedName name="\g" localSheetId="47">#REF!</definedName>
    <definedName name="\g" localSheetId="1">#REF!</definedName>
    <definedName name="\g">#REF!</definedName>
    <definedName name="\h">#N/A</definedName>
    <definedName name="\i">#N/A</definedName>
    <definedName name="\j">#N/A</definedName>
    <definedName name="\m">#N/A</definedName>
    <definedName name="\O" localSheetId="7">[2]mech!#REF!</definedName>
    <definedName name="\O" localSheetId="47">[2]mech!#REF!</definedName>
    <definedName name="\O" localSheetId="1">[2]mech!#REF!</definedName>
    <definedName name="\O">[2]mech!#REF!</definedName>
    <definedName name="\p" localSheetId="7">#REF!</definedName>
    <definedName name="\p" localSheetId="47">#REF!</definedName>
    <definedName name="\p" localSheetId="1">#REF!</definedName>
    <definedName name="\p">#REF!</definedName>
    <definedName name="\q">#N/A</definedName>
    <definedName name="\R" localSheetId="7">[2]mech!#REF!</definedName>
    <definedName name="\R" localSheetId="47">[2]mech!#REF!</definedName>
    <definedName name="\R" localSheetId="1">[2]mech!#REF!</definedName>
    <definedName name="\R">[2]mech!#REF!</definedName>
    <definedName name="\s">#N/A</definedName>
    <definedName name="\t" localSheetId="7">#REF!</definedName>
    <definedName name="\t" localSheetId="47">#REF!</definedName>
    <definedName name="\t" localSheetId="1">#REF!</definedName>
    <definedName name="\t">#REF!</definedName>
    <definedName name="\V" localSheetId="7">[2]mech!#REF!</definedName>
    <definedName name="\V" localSheetId="47">[2]mech!#REF!</definedName>
    <definedName name="\V" localSheetId="1">[2]mech!#REF!</definedName>
    <definedName name="\V">[2]mech!#REF!</definedName>
    <definedName name="\w" localSheetId="7">#REF!</definedName>
    <definedName name="\w" localSheetId="47">#REF!</definedName>
    <definedName name="\w" localSheetId="1">#REF!</definedName>
    <definedName name="\w">#REF!</definedName>
    <definedName name="\z">#N/A</definedName>
    <definedName name="___________________________A65537" localSheetId="7">#REF!</definedName>
    <definedName name="___________________________A65537" localSheetId="47">#REF!</definedName>
    <definedName name="___________________________A65537" localSheetId="1">#REF!</definedName>
    <definedName name="___________________________A65537">#REF!</definedName>
    <definedName name="___________________________ABM10" localSheetId="7">#REF!</definedName>
    <definedName name="___________________________ABM10" localSheetId="47">#REF!</definedName>
    <definedName name="___________________________ABM10" localSheetId="1">#REF!</definedName>
    <definedName name="___________________________ABM10">#REF!</definedName>
    <definedName name="___________________________ABM40" localSheetId="7">#REF!</definedName>
    <definedName name="___________________________ABM40" localSheetId="47">#REF!</definedName>
    <definedName name="___________________________ABM40" localSheetId="1">#REF!</definedName>
    <definedName name="___________________________ABM40">#REF!</definedName>
    <definedName name="___________________________ABM6" localSheetId="7">#REF!</definedName>
    <definedName name="___________________________ABM6" localSheetId="47">#REF!</definedName>
    <definedName name="___________________________ABM6" localSheetId="1">#REF!</definedName>
    <definedName name="___________________________ABM6">#REF!</definedName>
    <definedName name="___________________________ACB20" localSheetId="7">#REF!</definedName>
    <definedName name="___________________________ACB20" localSheetId="47">#REF!</definedName>
    <definedName name="___________________________ACB20" localSheetId="1">#REF!</definedName>
    <definedName name="___________________________ACB20">#REF!</definedName>
    <definedName name="___________________________ACR10" localSheetId="7">#REF!</definedName>
    <definedName name="___________________________ACR10" localSheetId="47">#REF!</definedName>
    <definedName name="___________________________ACR10" localSheetId="1">#REF!</definedName>
    <definedName name="___________________________ACR10">#REF!</definedName>
    <definedName name="___________________________ACR20" localSheetId="7">#REF!</definedName>
    <definedName name="___________________________ACR20" localSheetId="47">#REF!</definedName>
    <definedName name="___________________________ACR20" localSheetId="1">#REF!</definedName>
    <definedName name="___________________________ACR20">#REF!</definedName>
    <definedName name="___________________________AGG6" localSheetId="7">#REF!</definedName>
    <definedName name="___________________________AGG6" localSheetId="47">#REF!</definedName>
    <definedName name="___________________________AGG6" localSheetId="1">#REF!</definedName>
    <definedName name="___________________________AGG6">#REF!</definedName>
    <definedName name="___________________________AWM10" localSheetId="7">#REF!</definedName>
    <definedName name="___________________________AWM10" localSheetId="47">#REF!</definedName>
    <definedName name="___________________________AWM10" localSheetId="1">#REF!</definedName>
    <definedName name="___________________________AWM10">#REF!</definedName>
    <definedName name="___________________________AWM40" localSheetId="7">#REF!</definedName>
    <definedName name="___________________________AWM40" localSheetId="47">#REF!</definedName>
    <definedName name="___________________________AWM40" localSheetId="1">#REF!</definedName>
    <definedName name="___________________________AWM40">#REF!</definedName>
    <definedName name="___________________________AWM6" localSheetId="7">#REF!</definedName>
    <definedName name="___________________________AWM6" localSheetId="47">#REF!</definedName>
    <definedName name="___________________________AWM6" localSheetId="1">#REF!</definedName>
    <definedName name="___________________________AWM6">#REF!</definedName>
    <definedName name="___________________________CDG100" localSheetId="7">#REF!</definedName>
    <definedName name="___________________________CDG100" localSheetId="47">#REF!</definedName>
    <definedName name="___________________________CDG100" localSheetId="1">#REF!</definedName>
    <definedName name="___________________________CDG100">#REF!</definedName>
    <definedName name="___________________________CDG250" localSheetId="7">#REF!</definedName>
    <definedName name="___________________________CDG250" localSheetId="47">#REF!</definedName>
    <definedName name="___________________________CDG250" localSheetId="1">#REF!</definedName>
    <definedName name="___________________________CDG250">#REF!</definedName>
    <definedName name="___________________________CDG50" localSheetId="7">#REF!</definedName>
    <definedName name="___________________________CDG50" localSheetId="47">#REF!</definedName>
    <definedName name="___________________________CDG50" localSheetId="1">#REF!</definedName>
    <definedName name="___________________________CDG50">#REF!</definedName>
    <definedName name="___________________________CDG500" localSheetId="7">#REF!</definedName>
    <definedName name="___________________________CDG500" localSheetId="47">#REF!</definedName>
    <definedName name="___________________________CDG500" localSheetId="1">#REF!</definedName>
    <definedName name="___________________________CDG500">#REF!</definedName>
    <definedName name="___________________________CRN3" localSheetId="7">#REF!</definedName>
    <definedName name="___________________________CRN3" localSheetId="47">#REF!</definedName>
    <definedName name="___________________________CRN3" localSheetId="1">#REF!</definedName>
    <definedName name="___________________________CRN3">#REF!</definedName>
    <definedName name="___________________________CRN35" localSheetId="7">#REF!</definedName>
    <definedName name="___________________________CRN35" localSheetId="47">#REF!</definedName>
    <definedName name="___________________________CRN35" localSheetId="1">#REF!</definedName>
    <definedName name="___________________________CRN35">#REF!</definedName>
    <definedName name="___________________________CRN80" localSheetId="7">#REF!</definedName>
    <definedName name="___________________________CRN80" localSheetId="47">#REF!</definedName>
    <definedName name="___________________________CRN80" localSheetId="1">#REF!</definedName>
    <definedName name="___________________________CRN80">#REF!</definedName>
    <definedName name="___________________________DOZ50" localSheetId="7">#REF!</definedName>
    <definedName name="___________________________DOZ50" localSheetId="47">#REF!</definedName>
    <definedName name="___________________________DOZ50" localSheetId="1">#REF!</definedName>
    <definedName name="___________________________DOZ50">#REF!</definedName>
    <definedName name="___________________________DOZ80" localSheetId="7">#REF!</definedName>
    <definedName name="___________________________DOZ80" localSheetId="47">#REF!</definedName>
    <definedName name="___________________________DOZ80" localSheetId="1">#REF!</definedName>
    <definedName name="___________________________DOZ80">#REF!</definedName>
    <definedName name="___________________________ExV200" localSheetId="7">#REF!</definedName>
    <definedName name="___________________________ExV200" localSheetId="47">#REF!</definedName>
    <definedName name="___________________________ExV200" localSheetId="1">#REF!</definedName>
    <definedName name="___________________________ExV200">#REF!</definedName>
    <definedName name="___________________________GEN325" localSheetId="7">#REF!</definedName>
    <definedName name="___________________________GEN325" localSheetId="47">#REF!</definedName>
    <definedName name="___________________________GEN325" localSheetId="1">#REF!</definedName>
    <definedName name="___________________________GEN325">#REF!</definedName>
    <definedName name="___________________________GEN380" localSheetId="7">#REF!</definedName>
    <definedName name="___________________________GEN380" localSheetId="47">#REF!</definedName>
    <definedName name="___________________________GEN380" localSheetId="1">#REF!</definedName>
    <definedName name="___________________________GEN380">#REF!</definedName>
    <definedName name="___________________________GSB1" localSheetId="7">#REF!</definedName>
    <definedName name="___________________________GSB1" localSheetId="47">#REF!</definedName>
    <definedName name="___________________________GSB1" localSheetId="1">#REF!</definedName>
    <definedName name="___________________________GSB1">#REF!</definedName>
    <definedName name="___________________________GSB2" localSheetId="7">#REF!</definedName>
    <definedName name="___________________________GSB2" localSheetId="47">#REF!</definedName>
    <definedName name="___________________________GSB2" localSheetId="1">#REF!</definedName>
    <definedName name="___________________________GSB2">#REF!</definedName>
    <definedName name="___________________________GSB3" localSheetId="7">#REF!</definedName>
    <definedName name="___________________________GSB3" localSheetId="47">#REF!</definedName>
    <definedName name="___________________________GSB3" localSheetId="1">#REF!</definedName>
    <definedName name="___________________________GSB3">#REF!</definedName>
    <definedName name="___________________________HMP1" localSheetId="7">#REF!</definedName>
    <definedName name="___________________________HMP1" localSheetId="47">#REF!</definedName>
    <definedName name="___________________________HMP1" localSheetId="1">#REF!</definedName>
    <definedName name="___________________________HMP1">#REF!</definedName>
    <definedName name="___________________________HMP2" localSheetId="7">#REF!</definedName>
    <definedName name="___________________________HMP2" localSheetId="47">#REF!</definedName>
    <definedName name="___________________________HMP2" localSheetId="1">#REF!</definedName>
    <definedName name="___________________________HMP2">#REF!</definedName>
    <definedName name="___________________________HMP3" localSheetId="7">#REF!</definedName>
    <definedName name="___________________________HMP3" localSheetId="47">#REF!</definedName>
    <definedName name="___________________________HMP3" localSheetId="1">#REF!</definedName>
    <definedName name="___________________________HMP3">#REF!</definedName>
    <definedName name="___________________________HMP4" localSheetId="7">#REF!</definedName>
    <definedName name="___________________________HMP4" localSheetId="47">#REF!</definedName>
    <definedName name="___________________________HMP4" localSheetId="1">#REF!</definedName>
    <definedName name="___________________________HMP4">#REF!</definedName>
    <definedName name="___________________________MIX10" localSheetId="7">#REF!</definedName>
    <definedName name="___________________________MIX10" localSheetId="47">#REF!</definedName>
    <definedName name="___________________________MIX10" localSheetId="1">#REF!</definedName>
    <definedName name="___________________________MIX10">#REF!</definedName>
    <definedName name="___________________________MIX15" localSheetId="7">#REF!</definedName>
    <definedName name="___________________________MIX15" localSheetId="47">#REF!</definedName>
    <definedName name="___________________________MIX15" localSheetId="1">#REF!</definedName>
    <definedName name="___________________________MIX15">#REF!</definedName>
    <definedName name="___________________________MIX20" localSheetId="7">#REF!</definedName>
    <definedName name="___________________________MIX20" localSheetId="47">#REF!</definedName>
    <definedName name="___________________________MIX20" localSheetId="1">#REF!</definedName>
    <definedName name="___________________________MIX20">#REF!</definedName>
    <definedName name="___________________________MIX25" localSheetId="7">#REF!</definedName>
    <definedName name="___________________________MIX25" localSheetId="47">#REF!</definedName>
    <definedName name="___________________________MIX25" localSheetId="1">#REF!</definedName>
    <definedName name="___________________________MIX25">#REF!</definedName>
    <definedName name="___________________________MIX30" localSheetId="7">#REF!</definedName>
    <definedName name="___________________________MIX30" localSheetId="47">#REF!</definedName>
    <definedName name="___________________________MIX30" localSheetId="1">#REF!</definedName>
    <definedName name="___________________________MIX30">#REF!</definedName>
    <definedName name="___________________________MIX35" localSheetId="7">#REF!</definedName>
    <definedName name="___________________________MIX35" localSheetId="47">#REF!</definedName>
    <definedName name="___________________________MIX35" localSheetId="1">#REF!</definedName>
    <definedName name="___________________________MIX35">#REF!</definedName>
    <definedName name="___________________________MIX40" localSheetId="7">#REF!</definedName>
    <definedName name="___________________________MIX40" localSheetId="47">#REF!</definedName>
    <definedName name="___________________________MIX40" localSheetId="1">#REF!</definedName>
    <definedName name="___________________________MIX40">#REF!</definedName>
    <definedName name="___________________________MUR5" localSheetId="7">#REF!</definedName>
    <definedName name="___________________________MUR5" localSheetId="47">#REF!</definedName>
    <definedName name="___________________________MUR5" localSheetId="1">#REF!</definedName>
    <definedName name="___________________________MUR5">#REF!</definedName>
    <definedName name="___________________________MUR8" localSheetId="7">#REF!</definedName>
    <definedName name="___________________________MUR8" localSheetId="47">#REF!</definedName>
    <definedName name="___________________________MUR8" localSheetId="1">#REF!</definedName>
    <definedName name="___________________________MUR8">#REF!</definedName>
    <definedName name="___________________________OPC43" localSheetId="7">#REF!</definedName>
    <definedName name="___________________________OPC43" localSheetId="47">#REF!</definedName>
    <definedName name="___________________________OPC43" localSheetId="1">#REF!</definedName>
    <definedName name="___________________________OPC43">#REF!</definedName>
    <definedName name="___________________________TIP1" localSheetId="7">#REF!</definedName>
    <definedName name="___________________________TIP1" localSheetId="47">#REF!</definedName>
    <definedName name="___________________________TIP1" localSheetId="1">#REF!</definedName>
    <definedName name="___________________________TIP1">#REF!</definedName>
    <definedName name="__________________________A65537" localSheetId="7">#REF!</definedName>
    <definedName name="__________________________A65537" localSheetId="47">#REF!</definedName>
    <definedName name="__________________________A65537" localSheetId="1">#REF!</definedName>
    <definedName name="__________________________A65537">#REF!</definedName>
    <definedName name="__________________________ABM10" localSheetId="7">#REF!</definedName>
    <definedName name="__________________________ABM10" localSheetId="47">#REF!</definedName>
    <definedName name="__________________________ABM10" localSheetId="1">#REF!</definedName>
    <definedName name="__________________________ABM10">#REF!</definedName>
    <definedName name="__________________________ABM40" localSheetId="7">#REF!</definedName>
    <definedName name="__________________________ABM40" localSheetId="47">#REF!</definedName>
    <definedName name="__________________________ABM40" localSheetId="1">#REF!</definedName>
    <definedName name="__________________________ABM40">#REF!</definedName>
    <definedName name="__________________________ABM6" localSheetId="7">#REF!</definedName>
    <definedName name="__________________________ABM6" localSheetId="47">#REF!</definedName>
    <definedName name="__________________________ABM6" localSheetId="1">#REF!</definedName>
    <definedName name="__________________________ABM6">#REF!</definedName>
    <definedName name="__________________________ACB10" localSheetId="7">#REF!</definedName>
    <definedName name="__________________________ACB10" localSheetId="47">#REF!</definedName>
    <definedName name="__________________________ACB10" localSheetId="1">#REF!</definedName>
    <definedName name="__________________________ACB10">#REF!</definedName>
    <definedName name="__________________________ACB20" localSheetId="7">#REF!</definedName>
    <definedName name="__________________________ACB20" localSheetId="47">#REF!</definedName>
    <definedName name="__________________________ACB20" localSheetId="1">#REF!</definedName>
    <definedName name="__________________________ACB20">#REF!</definedName>
    <definedName name="__________________________ACR10" localSheetId="7">#REF!</definedName>
    <definedName name="__________________________ACR10" localSheetId="47">#REF!</definedName>
    <definedName name="__________________________ACR10" localSheetId="1">#REF!</definedName>
    <definedName name="__________________________ACR10">#REF!</definedName>
    <definedName name="__________________________ACR20" localSheetId="7">#REF!</definedName>
    <definedName name="__________________________ACR20" localSheetId="47">#REF!</definedName>
    <definedName name="__________________________ACR20" localSheetId="1">#REF!</definedName>
    <definedName name="__________________________ACR20">#REF!</definedName>
    <definedName name="__________________________AGG6" localSheetId="7">#REF!</definedName>
    <definedName name="__________________________AGG6" localSheetId="47">#REF!</definedName>
    <definedName name="__________________________AGG6" localSheetId="1">#REF!</definedName>
    <definedName name="__________________________AGG6">#REF!</definedName>
    <definedName name="__________________________ARV8040">'[3]ANAL-PUMP HOUSE'!$I$55</definedName>
    <definedName name="__________________________AWM10" localSheetId="7">#REF!</definedName>
    <definedName name="__________________________AWM10" localSheetId="47">#REF!</definedName>
    <definedName name="__________________________AWM10" localSheetId="1">#REF!</definedName>
    <definedName name="__________________________AWM10">#REF!</definedName>
    <definedName name="__________________________AWM40" localSheetId="7">#REF!</definedName>
    <definedName name="__________________________AWM40" localSheetId="47">#REF!</definedName>
    <definedName name="__________________________AWM40" localSheetId="1">#REF!</definedName>
    <definedName name="__________________________AWM40">#REF!</definedName>
    <definedName name="__________________________AWM6" localSheetId="7">#REF!</definedName>
    <definedName name="__________________________AWM6" localSheetId="47">#REF!</definedName>
    <definedName name="__________________________AWM6" localSheetId="1">#REF!</definedName>
    <definedName name="__________________________AWM6">#REF!</definedName>
    <definedName name="__________________________BTV300">'[3]ANAL-PUMP HOUSE'!$I$52</definedName>
    <definedName name="__________________________CAN112">13.42</definedName>
    <definedName name="__________________________CAN113">12.98</definedName>
    <definedName name="__________________________CAN117">12.7</definedName>
    <definedName name="__________________________CAN118">13.27</definedName>
    <definedName name="__________________________CAN120">11.72</definedName>
    <definedName name="__________________________CAN210">10.38</definedName>
    <definedName name="__________________________CAN211">10.58</definedName>
    <definedName name="__________________________CAN213">10.56</definedName>
    <definedName name="__________________________CAN215">10.22</definedName>
    <definedName name="__________________________CAN216">9.61</definedName>
    <definedName name="__________________________CAN217">10.47</definedName>
    <definedName name="__________________________CAN219">10.91</definedName>
    <definedName name="__________________________CAN220">11.09</definedName>
    <definedName name="__________________________CAN221">11.25</definedName>
    <definedName name="__________________________CAN222">10.17</definedName>
    <definedName name="__________________________CAN223">9.89</definedName>
    <definedName name="__________________________CAN230">10.79</definedName>
    <definedName name="__________________________can421">40.2</definedName>
    <definedName name="__________________________can422">41.57</definedName>
    <definedName name="__________________________can423">43.9</definedName>
    <definedName name="__________________________can424">41.19</definedName>
    <definedName name="__________________________can425">42.81</definedName>
    <definedName name="__________________________can426">40.77</definedName>
    <definedName name="__________________________can427">40.92</definedName>
    <definedName name="__________________________can428">39.29</definedName>
    <definedName name="__________________________can429">45.19</definedName>
    <definedName name="__________________________can430">40.73</definedName>
    <definedName name="__________________________can431">42.52</definedName>
    <definedName name="__________________________can432">42.53</definedName>
    <definedName name="__________________________can433">43.69</definedName>
    <definedName name="__________________________can434">40.43</definedName>
    <definedName name="__________________________can435">43.3</definedName>
    <definedName name="__________________________CDG100" localSheetId="7">#REF!</definedName>
    <definedName name="__________________________CDG100" localSheetId="47">#REF!</definedName>
    <definedName name="__________________________CDG100" localSheetId="1">#REF!</definedName>
    <definedName name="__________________________CDG100">#REF!</definedName>
    <definedName name="__________________________CDG250" localSheetId="7">#REF!</definedName>
    <definedName name="__________________________CDG250" localSheetId="47">#REF!</definedName>
    <definedName name="__________________________CDG250" localSheetId="1">#REF!</definedName>
    <definedName name="__________________________CDG250">#REF!</definedName>
    <definedName name="__________________________CDG50" localSheetId="7">#REF!</definedName>
    <definedName name="__________________________CDG50" localSheetId="47">#REF!</definedName>
    <definedName name="__________________________CDG50" localSheetId="1">#REF!</definedName>
    <definedName name="__________________________CDG50">#REF!</definedName>
    <definedName name="__________________________CDG500" localSheetId="7">#REF!</definedName>
    <definedName name="__________________________CDG500" localSheetId="47">#REF!</definedName>
    <definedName name="__________________________CDG500" localSheetId="1">#REF!</definedName>
    <definedName name="__________________________CDG500">#REF!</definedName>
    <definedName name="__________________________CEM53" localSheetId="7">#REF!</definedName>
    <definedName name="__________________________CEM53" localSheetId="47">#REF!</definedName>
    <definedName name="__________________________CEM53" localSheetId="1">#REF!</definedName>
    <definedName name="__________________________CEM53">#REF!</definedName>
    <definedName name="__________________________CRN3" localSheetId="7">#REF!</definedName>
    <definedName name="__________________________CRN3" localSheetId="47">#REF!</definedName>
    <definedName name="__________________________CRN3" localSheetId="1">#REF!</definedName>
    <definedName name="__________________________CRN3">#REF!</definedName>
    <definedName name="__________________________CRN35" localSheetId="7">#REF!</definedName>
    <definedName name="__________________________CRN35" localSheetId="47">#REF!</definedName>
    <definedName name="__________________________CRN35" localSheetId="1">#REF!</definedName>
    <definedName name="__________________________CRN35">#REF!</definedName>
    <definedName name="__________________________CRN80" localSheetId="7">#REF!</definedName>
    <definedName name="__________________________CRN80" localSheetId="47">#REF!</definedName>
    <definedName name="__________________________CRN80" localSheetId="1">#REF!</definedName>
    <definedName name="__________________________CRN80">#REF!</definedName>
    <definedName name="__________________________DOZ50" localSheetId="7">#REF!</definedName>
    <definedName name="__________________________DOZ50" localSheetId="47">#REF!</definedName>
    <definedName name="__________________________DOZ50" localSheetId="1">#REF!</definedName>
    <definedName name="__________________________DOZ50">#REF!</definedName>
    <definedName name="__________________________DOZ80" localSheetId="7">#REF!</definedName>
    <definedName name="__________________________DOZ80" localSheetId="47">#REF!</definedName>
    <definedName name="__________________________DOZ80" localSheetId="1">#REF!</definedName>
    <definedName name="__________________________DOZ80">#REF!</definedName>
    <definedName name="__________________________ExV200" localSheetId="7">#REF!</definedName>
    <definedName name="__________________________ExV200" localSheetId="47">#REF!</definedName>
    <definedName name="__________________________ExV200" localSheetId="1">#REF!</definedName>
    <definedName name="__________________________ExV200">#REF!</definedName>
    <definedName name="__________________________GEN100" localSheetId="7">#REF!</definedName>
    <definedName name="__________________________GEN100" localSheetId="47">#REF!</definedName>
    <definedName name="__________________________GEN100" localSheetId="1">#REF!</definedName>
    <definedName name="__________________________GEN100">#REF!</definedName>
    <definedName name="__________________________GEN250" localSheetId="7">#REF!</definedName>
    <definedName name="__________________________GEN250" localSheetId="47">#REF!</definedName>
    <definedName name="__________________________GEN250" localSheetId="1">#REF!</definedName>
    <definedName name="__________________________GEN250">#REF!</definedName>
    <definedName name="__________________________GEN325" localSheetId="7">#REF!</definedName>
    <definedName name="__________________________GEN325" localSheetId="47">#REF!</definedName>
    <definedName name="__________________________GEN325" localSheetId="1">#REF!</definedName>
    <definedName name="__________________________GEN325">#REF!</definedName>
    <definedName name="__________________________GEN380" localSheetId="7">#REF!</definedName>
    <definedName name="__________________________GEN380" localSheetId="47">#REF!</definedName>
    <definedName name="__________________________GEN380" localSheetId="1">#REF!</definedName>
    <definedName name="__________________________GEN380">#REF!</definedName>
    <definedName name="__________________________GSB1" localSheetId="7">#REF!</definedName>
    <definedName name="__________________________GSB1" localSheetId="47">#REF!</definedName>
    <definedName name="__________________________GSB1" localSheetId="1">#REF!</definedName>
    <definedName name="__________________________GSB1">#REF!</definedName>
    <definedName name="__________________________GSB2" localSheetId="7">#REF!</definedName>
    <definedName name="__________________________GSB2" localSheetId="47">#REF!</definedName>
    <definedName name="__________________________GSB2" localSheetId="1">#REF!</definedName>
    <definedName name="__________________________GSB2">#REF!</definedName>
    <definedName name="__________________________GSB3" localSheetId="7">#REF!</definedName>
    <definedName name="__________________________GSB3" localSheetId="47">#REF!</definedName>
    <definedName name="__________________________GSB3" localSheetId="1">#REF!</definedName>
    <definedName name="__________________________GSB3">#REF!</definedName>
    <definedName name="__________________________HMP1" localSheetId="7">#REF!</definedName>
    <definedName name="__________________________HMP1" localSheetId="47">#REF!</definedName>
    <definedName name="__________________________HMP1" localSheetId="1">#REF!</definedName>
    <definedName name="__________________________HMP1">#REF!</definedName>
    <definedName name="__________________________HMP2" localSheetId="7">#REF!</definedName>
    <definedName name="__________________________HMP2" localSheetId="47">#REF!</definedName>
    <definedName name="__________________________HMP2" localSheetId="1">#REF!</definedName>
    <definedName name="__________________________HMP2">#REF!</definedName>
    <definedName name="__________________________HMP3" localSheetId="7">#REF!</definedName>
    <definedName name="__________________________HMP3" localSheetId="47">#REF!</definedName>
    <definedName name="__________________________HMP3" localSheetId="1">#REF!</definedName>
    <definedName name="__________________________HMP3">#REF!</definedName>
    <definedName name="__________________________HMP4" localSheetId="7">#REF!</definedName>
    <definedName name="__________________________HMP4" localSheetId="47">#REF!</definedName>
    <definedName name="__________________________HMP4" localSheetId="1">#REF!</definedName>
    <definedName name="__________________________HMP4">#REF!</definedName>
    <definedName name="__________________________HRC1">'[3]Pipe trench'!$V$23</definedName>
    <definedName name="__________________________HRC2">'[3]Pipe trench'!$V$24</definedName>
    <definedName name="__________________________HSE1">'[3]Pipe trench'!$V$11</definedName>
    <definedName name="__________________________III7">"$C4.$#REF!$#REF!"</definedName>
    <definedName name="__________________________MIX10" localSheetId="7">#REF!</definedName>
    <definedName name="__________________________MIX10" localSheetId="47">#REF!</definedName>
    <definedName name="__________________________MIX10" localSheetId="1">#REF!</definedName>
    <definedName name="__________________________MIX10">#REF!</definedName>
    <definedName name="__________________________MIX15" localSheetId="7">#REF!</definedName>
    <definedName name="__________________________MIX15" localSheetId="47">#REF!</definedName>
    <definedName name="__________________________MIX15" localSheetId="1">#REF!</definedName>
    <definedName name="__________________________MIX15">#REF!</definedName>
    <definedName name="__________________________MIX15150" localSheetId="7">'[4]Mix Design'!#REF!</definedName>
    <definedName name="__________________________MIX15150" localSheetId="47">'[4]Mix Design'!#REF!</definedName>
    <definedName name="__________________________MIX15150" localSheetId="1">'[4]Mix Design'!#REF!</definedName>
    <definedName name="__________________________MIX15150">'[4]Mix Design'!#REF!</definedName>
    <definedName name="__________________________MIX1540">'[4]Mix Design'!$P$11</definedName>
    <definedName name="__________________________MIX1580" localSheetId="7">'[4]Mix Design'!#REF!</definedName>
    <definedName name="__________________________MIX1580" localSheetId="47">'[4]Mix Design'!#REF!</definedName>
    <definedName name="__________________________MIX1580" localSheetId="1">'[4]Mix Design'!#REF!</definedName>
    <definedName name="__________________________MIX1580">'[4]Mix Design'!#REF!</definedName>
    <definedName name="__________________________MIX2">'[5]Mix Design'!$P$12</definedName>
    <definedName name="__________________________MIX20" localSheetId="7">#REF!</definedName>
    <definedName name="__________________________MIX20" localSheetId="47">#REF!</definedName>
    <definedName name="__________________________MIX20" localSheetId="1">#REF!</definedName>
    <definedName name="__________________________MIX20">#REF!</definedName>
    <definedName name="__________________________MIX2020">'[4]Mix Design'!$P$12</definedName>
    <definedName name="__________________________MIX2040">'[4]Mix Design'!$P$13</definedName>
    <definedName name="__________________________MIX25" localSheetId="7">#REF!</definedName>
    <definedName name="__________________________MIX25" localSheetId="47">#REF!</definedName>
    <definedName name="__________________________MIX25" localSheetId="1">#REF!</definedName>
    <definedName name="__________________________MIX25">#REF!</definedName>
    <definedName name="__________________________MIX2540">'[4]Mix Design'!$P$15</definedName>
    <definedName name="__________________________Mix255">'[6]Mix Design'!$P$13</definedName>
    <definedName name="__________________________MIX30" localSheetId="7">#REF!</definedName>
    <definedName name="__________________________MIX30" localSheetId="47">#REF!</definedName>
    <definedName name="__________________________MIX30" localSheetId="1">#REF!</definedName>
    <definedName name="__________________________MIX30">#REF!</definedName>
    <definedName name="__________________________MIX35" localSheetId="7">#REF!</definedName>
    <definedName name="__________________________MIX35" localSheetId="47">#REF!</definedName>
    <definedName name="__________________________MIX35" localSheetId="1">#REF!</definedName>
    <definedName name="__________________________MIX35">#REF!</definedName>
    <definedName name="__________________________MIX40" localSheetId="7">#REF!</definedName>
    <definedName name="__________________________MIX40" localSheetId="47">#REF!</definedName>
    <definedName name="__________________________MIX40" localSheetId="1">#REF!</definedName>
    <definedName name="__________________________MIX40">#REF!</definedName>
    <definedName name="__________________________MIX45" localSheetId="7">'[4]Mix Design'!#REF!</definedName>
    <definedName name="__________________________MIX45" localSheetId="47">'[4]Mix Design'!#REF!</definedName>
    <definedName name="__________________________MIX45" localSheetId="1">'[4]Mix Design'!#REF!</definedName>
    <definedName name="__________________________MIX45">'[4]Mix Design'!#REF!</definedName>
    <definedName name="__________________________MUR5" localSheetId="7">#REF!</definedName>
    <definedName name="__________________________MUR5" localSheetId="47">#REF!</definedName>
    <definedName name="__________________________MUR5" localSheetId="1">#REF!</definedName>
    <definedName name="__________________________MUR5">#REF!</definedName>
    <definedName name="__________________________MUR8" localSheetId="7">#REF!</definedName>
    <definedName name="__________________________MUR8" localSheetId="47">#REF!</definedName>
    <definedName name="__________________________MUR8" localSheetId="1">#REF!</definedName>
    <definedName name="__________________________MUR8">#REF!</definedName>
    <definedName name="__________________________OPC43" localSheetId="7">#REF!</definedName>
    <definedName name="__________________________OPC43" localSheetId="47">#REF!</definedName>
    <definedName name="__________________________OPC43" localSheetId="1">#REF!</definedName>
    <definedName name="__________________________OPC43">#REF!</definedName>
    <definedName name="__________________________ORC1">'[3]Pipe trench'!$V$17</definedName>
    <definedName name="__________________________ORC2">'[3]Pipe trench'!$V$18</definedName>
    <definedName name="__________________________OSE1">'[3]Pipe trench'!$V$8</definedName>
    <definedName name="__________________________SLV20025">'[3]ANAL-PUMP HOUSE'!$I$58</definedName>
    <definedName name="__________________________SLV80010">'[3]ANAL-PUMP HOUSE'!$I$60</definedName>
    <definedName name="__________________________TIP1" localSheetId="7">#REF!</definedName>
    <definedName name="__________________________TIP1" localSheetId="47">#REF!</definedName>
    <definedName name="__________________________TIP1" localSheetId="1">#REF!</definedName>
    <definedName name="__________________________TIP1">#REF!</definedName>
    <definedName name="__________________________TIP2" localSheetId="7">#REF!</definedName>
    <definedName name="__________________________TIP2" localSheetId="47">#REF!</definedName>
    <definedName name="__________________________TIP2" localSheetId="1">#REF!</definedName>
    <definedName name="__________________________TIP2">#REF!</definedName>
    <definedName name="__________________________TIP3" localSheetId="7">#REF!</definedName>
    <definedName name="__________________________TIP3" localSheetId="47">#REF!</definedName>
    <definedName name="__________________________TIP3" localSheetId="1">#REF!</definedName>
    <definedName name="__________________________TIP3">#REF!</definedName>
    <definedName name="_________________________A65537" localSheetId="7">#REF!</definedName>
    <definedName name="_________________________A65537" localSheetId="47">#REF!</definedName>
    <definedName name="_________________________A65537" localSheetId="1">#REF!</definedName>
    <definedName name="_________________________A65537">#REF!</definedName>
    <definedName name="_________________________ABM10" localSheetId="7">#REF!</definedName>
    <definedName name="_________________________ABM10" localSheetId="47">#REF!</definedName>
    <definedName name="_________________________ABM10" localSheetId="1">#REF!</definedName>
    <definedName name="_________________________ABM10">#REF!</definedName>
    <definedName name="_________________________ABM40" localSheetId="7">#REF!</definedName>
    <definedName name="_________________________ABM40" localSheetId="47">#REF!</definedName>
    <definedName name="_________________________ABM40" localSheetId="1">#REF!</definedName>
    <definedName name="_________________________ABM40">#REF!</definedName>
    <definedName name="_________________________ABM6" localSheetId="7">#REF!</definedName>
    <definedName name="_________________________ABM6" localSheetId="47">#REF!</definedName>
    <definedName name="_________________________ABM6" localSheetId="1">#REF!</definedName>
    <definedName name="_________________________ABM6">#REF!</definedName>
    <definedName name="_________________________ACB10" localSheetId="7">#REF!</definedName>
    <definedName name="_________________________ACB10" localSheetId="47">#REF!</definedName>
    <definedName name="_________________________ACB10" localSheetId="1">#REF!</definedName>
    <definedName name="_________________________ACB10">#REF!</definedName>
    <definedName name="_________________________ACB20" localSheetId="7">#REF!</definedName>
    <definedName name="_________________________ACB20" localSheetId="47">#REF!</definedName>
    <definedName name="_________________________ACB20" localSheetId="1">#REF!</definedName>
    <definedName name="_________________________ACB20">#REF!</definedName>
    <definedName name="_________________________ACR10" localSheetId="7">#REF!</definedName>
    <definedName name="_________________________ACR10" localSheetId="47">#REF!</definedName>
    <definedName name="_________________________ACR10" localSheetId="1">#REF!</definedName>
    <definedName name="_________________________ACR10">#REF!</definedName>
    <definedName name="_________________________ACR20" localSheetId="7">#REF!</definedName>
    <definedName name="_________________________ACR20" localSheetId="47">#REF!</definedName>
    <definedName name="_________________________ACR20" localSheetId="1">#REF!</definedName>
    <definedName name="_________________________ACR20">#REF!</definedName>
    <definedName name="_________________________AGG6" localSheetId="7">#REF!</definedName>
    <definedName name="_________________________AGG6" localSheetId="47">#REF!</definedName>
    <definedName name="_________________________AGG6" localSheetId="1">#REF!</definedName>
    <definedName name="_________________________AGG6">#REF!</definedName>
    <definedName name="_________________________AWM10" localSheetId="7">#REF!</definedName>
    <definedName name="_________________________AWM10" localSheetId="47">#REF!</definedName>
    <definedName name="_________________________AWM10" localSheetId="1">#REF!</definedName>
    <definedName name="_________________________AWM10">#REF!</definedName>
    <definedName name="_________________________AWM40" localSheetId="7">#REF!</definedName>
    <definedName name="_________________________AWM40" localSheetId="47">#REF!</definedName>
    <definedName name="_________________________AWM40" localSheetId="1">#REF!</definedName>
    <definedName name="_________________________AWM40">#REF!</definedName>
    <definedName name="_________________________AWM6" localSheetId="7">#REF!</definedName>
    <definedName name="_________________________AWM6" localSheetId="47">#REF!</definedName>
    <definedName name="_________________________AWM6" localSheetId="1">#REF!</definedName>
    <definedName name="_________________________AWM6">#REF!</definedName>
    <definedName name="_________________________CAN112">13.42</definedName>
    <definedName name="_________________________CAN113">12.98</definedName>
    <definedName name="_________________________CAN117">12.7</definedName>
    <definedName name="_________________________CAN118">13.27</definedName>
    <definedName name="_________________________CAN120">11.72</definedName>
    <definedName name="_________________________CAN210">10.38</definedName>
    <definedName name="_________________________CAN211">10.58</definedName>
    <definedName name="_________________________CAN213">10.56</definedName>
    <definedName name="_________________________CAN215">10.22</definedName>
    <definedName name="_________________________CAN216">9.61</definedName>
    <definedName name="_________________________CAN217">10.47</definedName>
    <definedName name="_________________________CAN219">10.91</definedName>
    <definedName name="_________________________CAN220">11.09</definedName>
    <definedName name="_________________________CAN221">11.25</definedName>
    <definedName name="_________________________CAN222">10.17</definedName>
    <definedName name="_________________________CAN223">9.89</definedName>
    <definedName name="_________________________CAN230">10.79</definedName>
    <definedName name="_________________________can421">40.2</definedName>
    <definedName name="_________________________can422">41.57</definedName>
    <definedName name="_________________________can423">43.9</definedName>
    <definedName name="_________________________can424">41.19</definedName>
    <definedName name="_________________________can425">42.81</definedName>
    <definedName name="_________________________can426">40.77</definedName>
    <definedName name="_________________________can427">40.92</definedName>
    <definedName name="_________________________can428">39.29</definedName>
    <definedName name="_________________________can429">45.19</definedName>
    <definedName name="_________________________can430">40.73</definedName>
    <definedName name="_________________________can431">42.52</definedName>
    <definedName name="_________________________can432">42.53</definedName>
    <definedName name="_________________________can433">43.69</definedName>
    <definedName name="_________________________can434">40.43</definedName>
    <definedName name="_________________________can435">43.3</definedName>
    <definedName name="_________________________CDG100" localSheetId="7">#REF!</definedName>
    <definedName name="_________________________CDG100" localSheetId="47">#REF!</definedName>
    <definedName name="_________________________CDG100" localSheetId="1">#REF!</definedName>
    <definedName name="_________________________CDG100">#REF!</definedName>
    <definedName name="_________________________CDG250" localSheetId="7">#REF!</definedName>
    <definedName name="_________________________CDG250" localSheetId="47">#REF!</definedName>
    <definedName name="_________________________CDG250" localSheetId="1">#REF!</definedName>
    <definedName name="_________________________CDG250">#REF!</definedName>
    <definedName name="_________________________CDG50" localSheetId="7">#REF!</definedName>
    <definedName name="_________________________CDG50" localSheetId="47">#REF!</definedName>
    <definedName name="_________________________CDG50" localSheetId="1">#REF!</definedName>
    <definedName name="_________________________CDG50">#REF!</definedName>
    <definedName name="_________________________CDG500" localSheetId="7">#REF!</definedName>
    <definedName name="_________________________CDG500" localSheetId="47">#REF!</definedName>
    <definedName name="_________________________CDG500" localSheetId="1">#REF!</definedName>
    <definedName name="_________________________CDG500">#REF!</definedName>
    <definedName name="_________________________CEM53" localSheetId="7">#REF!</definedName>
    <definedName name="_________________________CEM53" localSheetId="47">#REF!</definedName>
    <definedName name="_________________________CEM53" localSheetId="1">#REF!</definedName>
    <definedName name="_________________________CEM53">#REF!</definedName>
    <definedName name="_________________________CRN3" localSheetId="7">#REF!</definedName>
    <definedName name="_________________________CRN3" localSheetId="47">#REF!</definedName>
    <definedName name="_________________________CRN3" localSheetId="1">#REF!</definedName>
    <definedName name="_________________________CRN3">#REF!</definedName>
    <definedName name="_________________________CRN35" localSheetId="7">#REF!</definedName>
    <definedName name="_________________________CRN35" localSheetId="47">#REF!</definedName>
    <definedName name="_________________________CRN35" localSheetId="1">#REF!</definedName>
    <definedName name="_________________________CRN35">#REF!</definedName>
    <definedName name="_________________________CRN80" localSheetId="7">#REF!</definedName>
    <definedName name="_________________________CRN80" localSheetId="47">#REF!</definedName>
    <definedName name="_________________________CRN80" localSheetId="1">#REF!</definedName>
    <definedName name="_________________________CRN80">#REF!</definedName>
    <definedName name="_________________________DOZ50" localSheetId="7">#REF!</definedName>
    <definedName name="_________________________DOZ50" localSheetId="47">#REF!</definedName>
    <definedName name="_________________________DOZ50" localSheetId="1">#REF!</definedName>
    <definedName name="_________________________DOZ50">#REF!</definedName>
    <definedName name="_________________________DOZ80" localSheetId="7">#REF!</definedName>
    <definedName name="_________________________DOZ80" localSheetId="47">#REF!</definedName>
    <definedName name="_________________________DOZ80" localSheetId="1">#REF!</definedName>
    <definedName name="_________________________DOZ80">#REF!</definedName>
    <definedName name="_________________________ExV200" localSheetId="7">#REF!</definedName>
    <definedName name="_________________________ExV200" localSheetId="47">#REF!</definedName>
    <definedName name="_________________________ExV200" localSheetId="1">#REF!</definedName>
    <definedName name="_________________________ExV200">#REF!</definedName>
    <definedName name="_________________________GEN100" localSheetId="7">#REF!</definedName>
    <definedName name="_________________________GEN100" localSheetId="47">#REF!</definedName>
    <definedName name="_________________________GEN100" localSheetId="1">#REF!</definedName>
    <definedName name="_________________________GEN100">#REF!</definedName>
    <definedName name="_________________________GEN250" localSheetId="7">#REF!</definedName>
    <definedName name="_________________________GEN250" localSheetId="47">#REF!</definedName>
    <definedName name="_________________________GEN250" localSheetId="1">#REF!</definedName>
    <definedName name="_________________________GEN250">#REF!</definedName>
    <definedName name="_________________________GEN325" localSheetId="7">#REF!</definedName>
    <definedName name="_________________________GEN325" localSheetId="47">#REF!</definedName>
    <definedName name="_________________________GEN325" localSheetId="1">#REF!</definedName>
    <definedName name="_________________________GEN325">#REF!</definedName>
    <definedName name="_________________________GEN380" localSheetId="7">#REF!</definedName>
    <definedName name="_________________________GEN380" localSheetId="47">#REF!</definedName>
    <definedName name="_________________________GEN380" localSheetId="1">#REF!</definedName>
    <definedName name="_________________________GEN380">#REF!</definedName>
    <definedName name="_________________________GSB1" localSheetId="7">#REF!</definedName>
    <definedName name="_________________________GSB1" localSheetId="47">#REF!</definedName>
    <definedName name="_________________________GSB1" localSheetId="1">#REF!</definedName>
    <definedName name="_________________________GSB1">#REF!</definedName>
    <definedName name="_________________________GSB2" localSheetId="7">#REF!</definedName>
    <definedName name="_________________________GSB2" localSheetId="47">#REF!</definedName>
    <definedName name="_________________________GSB2" localSheetId="1">#REF!</definedName>
    <definedName name="_________________________GSB2">#REF!</definedName>
    <definedName name="_________________________GSB3" localSheetId="7">#REF!</definedName>
    <definedName name="_________________________GSB3" localSheetId="47">#REF!</definedName>
    <definedName name="_________________________GSB3" localSheetId="1">#REF!</definedName>
    <definedName name="_________________________GSB3">#REF!</definedName>
    <definedName name="_________________________HMP1" localSheetId="7">#REF!</definedName>
    <definedName name="_________________________HMP1" localSheetId="47">#REF!</definedName>
    <definedName name="_________________________HMP1" localSheetId="1">#REF!</definedName>
    <definedName name="_________________________HMP1">#REF!</definedName>
    <definedName name="_________________________HMP2" localSheetId="7">#REF!</definedName>
    <definedName name="_________________________HMP2" localSheetId="47">#REF!</definedName>
    <definedName name="_________________________HMP2" localSheetId="1">#REF!</definedName>
    <definedName name="_________________________HMP2">#REF!</definedName>
    <definedName name="_________________________HMP3" localSheetId="7">#REF!</definedName>
    <definedName name="_________________________HMP3" localSheetId="47">#REF!</definedName>
    <definedName name="_________________________HMP3" localSheetId="1">#REF!</definedName>
    <definedName name="_________________________HMP3">#REF!</definedName>
    <definedName name="_________________________HMP4" localSheetId="7">#REF!</definedName>
    <definedName name="_________________________HMP4" localSheetId="47">#REF!</definedName>
    <definedName name="_________________________HMP4" localSheetId="1">#REF!</definedName>
    <definedName name="_________________________HMP4">#REF!</definedName>
    <definedName name="_________________________III7">"$C4.$#REF!$#REF!"</definedName>
    <definedName name="_________________________MIX10" localSheetId="7">#REF!</definedName>
    <definedName name="_________________________MIX10" localSheetId="47">#REF!</definedName>
    <definedName name="_________________________MIX10" localSheetId="1">#REF!</definedName>
    <definedName name="_________________________MIX10">#REF!</definedName>
    <definedName name="_________________________MIX15" localSheetId="7">#REF!</definedName>
    <definedName name="_________________________MIX15" localSheetId="47">#REF!</definedName>
    <definedName name="_________________________MIX15" localSheetId="1">#REF!</definedName>
    <definedName name="_________________________MIX15">#REF!</definedName>
    <definedName name="_________________________MIX15150" localSheetId="7">'[4]Mix Design'!#REF!</definedName>
    <definedName name="_________________________MIX15150" localSheetId="47">'[4]Mix Design'!#REF!</definedName>
    <definedName name="_________________________MIX15150" localSheetId="1">'[4]Mix Design'!#REF!</definedName>
    <definedName name="_________________________MIX15150">'[4]Mix Design'!#REF!</definedName>
    <definedName name="_________________________MIX1540">'[4]Mix Design'!$P$11</definedName>
    <definedName name="_________________________MIX1580" localSheetId="7">'[4]Mix Design'!#REF!</definedName>
    <definedName name="_________________________MIX1580" localSheetId="47">'[4]Mix Design'!#REF!</definedName>
    <definedName name="_________________________MIX1580" localSheetId="1">'[4]Mix Design'!#REF!</definedName>
    <definedName name="_________________________MIX1580">'[4]Mix Design'!#REF!</definedName>
    <definedName name="_________________________MIX2">'[5]Mix Design'!$P$12</definedName>
    <definedName name="_________________________MIX20" localSheetId="7">#REF!</definedName>
    <definedName name="_________________________MIX20" localSheetId="47">#REF!</definedName>
    <definedName name="_________________________MIX20" localSheetId="1">#REF!</definedName>
    <definedName name="_________________________MIX20">#REF!</definedName>
    <definedName name="_________________________MIX2020">'[4]Mix Design'!$P$12</definedName>
    <definedName name="_________________________MIX2040">'[4]Mix Design'!$P$13</definedName>
    <definedName name="_________________________MIX25" localSheetId="7">#REF!</definedName>
    <definedName name="_________________________MIX25" localSheetId="47">#REF!</definedName>
    <definedName name="_________________________MIX25" localSheetId="1">#REF!</definedName>
    <definedName name="_________________________MIX25">#REF!</definedName>
    <definedName name="_________________________MIX2540">'[4]Mix Design'!$P$15</definedName>
    <definedName name="_________________________Mix255">'[6]Mix Design'!$P$13</definedName>
    <definedName name="_________________________MIX30" localSheetId="7">#REF!</definedName>
    <definedName name="_________________________MIX30" localSheetId="47">#REF!</definedName>
    <definedName name="_________________________MIX30" localSheetId="1">#REF!</definedName>
    <definedName name="_________________________MIX30">#REF!</definedName>
    <definedName name="_________________________MIX35" localSheetId="7">#REF!</definedName>
    <definedName name="_________________________MIX35" localSheetId="47">#REF!</definedName>
    <definedName name="_________________________MIX35" localSheetId="1">#REF!</definedName>
    <definedName name="_________________________MIX35">#REF!</definedName>
    <definedName name="_________________________MIX40" localSheetId="7">#REF!</definedName>
    <definedName name="_________________________MIX40" localSheetId="47">#REF!</definedName>
    <definedName name="_________________________MIX40" localSheetId="1">#REF!</definedName>
    <definedName name="_________________________MIX40">#REF!</definedName>
    <definedName name="_________________________MIX45" localSheetId="7">'[4]Mix Design'!#REF!</definedName>
    <definedName name="_________________________MIX45" localSheetId="47">'[4]Mix Design'!#REF!</definedName>
    <definedName name="_________________________MIX45" localSheetId="1">'[4]Mix Design'!#REF!</definedName>
    <definedName name="_________________________MIX45">'[4]Mix Design'!#REF!</definedName>
    <definedName name="_________________________MUR5" localSheetId="7">#REF!</definedName>
    <definedName name="_________________________MUR5" localSheetId="47">#REF!</definedName>
    <definedName name="_________________________MUR5" localSheetId="1">#REF!</definedName>
    <definedName name="_________________________MUR5">#REF!</definedName>
    <definedName name="_________________________MUR8" localSheetId="7">#REF!</definedName>
    <definedName name="_________________________MUR8" localSheetId="47">#REF!</definedName>
    <definedName name="_________________________MUR8" localSheetId="1">#REF!</definedName>
    <definedName name="_________________________MUR8">#REF!</definedName>
    <definedName name="_________________________OPC43" localSheetId="7">#REF!</definedName>
    <definedName name="_________________________OPC43" localSheetId="47">#REF!</definedName>
    <definedName name="_________________________OPC43" localSheetId="1">#REF!</definedName>
    <definedName name="_________________________OPC43">#REF!</definedName>
    <definedName name="_________________________SLV10025" localSheetId="7">'[7]ANAL-PIPE LINE'!#REF!</definedName>
    <definedName name="_________________________SLV10025" localSheetId="47">'[7]ANAL-PIPE LINE'!#REF!</definedName>
    <definedName name="_________________________SLV10025" localSheetId="1">'[7]ANAL-PIPE LINE'!#REF!</definedName>
    <definedName name="_________________________SLV10025">'[7]ANAL-PIPE LINE'!#REF!</definedName>
    <definedName name="_________________________TIP1" localSheetId="7">#REF!</definedName>
    <definedName name="_________________________TIP1" localSheetId="47">#REF!</definedName>
    <definedName name="_________________________TIP1" localSheetId="1">#REF!</definedName>
    <definedName name="_________________________TIP1">#REF!</definedName>
    <definedName name="_________________________TIP2" localSheetId="7">#REF!</definedName>
    <definedName name="_________________________TIP2" localSheetId="47">#REF!</definedName>
    <definedName name="_________________________TIP2" localSheetId="1">#REF!</definedName>
    <definedName name="_________________________TIP2">#REF!</definedName>
    <definedName name="_________________________TIP3" localSheetId="7">#REF!</definedName>
    <definedName name="_________________________TIP3" localSheetId="47">#REF!</definedName>
    <definedName name="_________________________TIP3" localSheetId="1">#REF!</definedName>
    <definedName name="_________________________TIP3">#REF!</definedName>
    <definedName name="________________________A65537" localSheetId="7">#REF!</definedName>
    <definedName name="________________________A65537" localSheetId="47">#REF!</definedName>
    <definedName name="________________________A65537" localSheetId="1">#REF!</definedName>
    <definedName name="________________________A65537">#REF!</definedName>
    <definedName name="________________________ABM10" localSheetId="7">#REF!</definedName>
    <definedName name="________________________ABM10" localSheetId="47">#REF!</definedName>
    <definedName name="________________________ABM10" localSheetId="1">#REF!</definedName>
    <definedName name="________________________ABM10">#REF!</definedName>
    <definedName name="________________________ABM40" localSheetId="7">#REF!</definedName>
    <definedName name="________________________ABM40" localSheetId="47">#REF!</definedName>
    <definedName name="________________________ABM40" localSheetId="1">#REF!</definedName>
    <definedName name="________________________ABM40">#REF!</definedName>
    <definedName name="________________________ABM6" localSheetId="7">#REF!</definedName>
    <definedName name="________________________ABM6" localSheetId="47">#REF!</definedName>
    <definedName name="________________________ABM6" localSheetId="1">#REF!</definedName>
    <definedName name="________________________ABM6">#REF!</definedName>
    <definedName name="________________________ACB10" localSheetId="7">#REF!</definedName>
    <definedName name="________________________ACB10" localSheetId="47">#REF!</definedName>
    <definedName name="________________________ACB10" localSheetId="1">#REF!</definedName>
    <definedName name="________________________ACB10">#REF!</definedName>
    <definedName name="________________________ACB20" localSheetId="7">#REF!</definedName>
    <definedName name="________________________ACB20" localSheetId="47">#REF!</definedName>
    <definedName name="________________________ACB20" localSheetId="1">#REF!</definedName>
    <definedName name="________________________ACB20">#REF!</definedName>
    <definedName name="________________________ACR10" localSheetId="7">#REF!</definedName>
    <definedName name="________________________ACR10" localSheetId="47">#REF!</definedName>
    <definedName name="________________________ACR10" localSheetId="1">#REF!</definedName>
    <definedName name="________________________ACR10">#REF!</definedName>
    <definedName name="________________________ACR20" localSheetId="7">#REF!</definedName>
    <definedName name="________________________ACR20" localSheetId="47">#REF!</definedName>
    <definedName name="________________________ACR20" localSheetId="1">#REF!</definedName>
    <definedName name="________________________ACR20">#REF!</definedName>
    <definedName name="________________________AGG6" localSheetId="7">#REF!</definedName>
    <definedName name="________________________AGG6" localSheetId="47">#REF!</definedName>
    <definedName name="________________________AGG6" localSheetId="1">#REF!</definedName>
    <definedName name="________________________AGG6">#REF!</definedName>
    <definedName name="________________________AWM10" localSheetId="7">#REF!</definedName>
    <definedName name="________________________AWM10" localSheetId="47">#REF!</definedName>
    <definedName name="________________________AWM10" localSheetId="1">#REF!</definedName>
    <definedName name="________________________AWM10">#REF!</definedName>
    <definedName name="________________________AWM40" localSheetId="7">#REF!</definedName>
    <definedName name="________________________AWM40" localSheetId="47">#REF!</definedName>
    <definedName name="________________________AWM40" localSheetId="1">#REF!</definedName>
    <definedName name="________________________AWM40">#REF!</definedName>
    <definedName name="________________________AWM6" localSheetId="7">#REF!</definedName>
    <definedName name="________________________AWM6" localSheetId="47">#REF!</definedName>
    <definedName name="________________________AWM6" localSheetId="1">#REF!</definedName>
    <definedName name="________________________AWM6">#REF!</definedName>
    <definedName name="________________________CAN112">13.42</definedName>
    <definedName name="________________________CAN113">12.98</definedName>
    <definedName name="________________________CAN117">12.7</definedName>
    <definedName name="________________________CAN118">13.27</definedName>
    <definedName name="________________________CAN120">11.72</definedName>
    <definedName name="________________________CAN210">10.38</definedName>
    <definedName name="________________________CAN211">10.58</definedName>
    <definedName name="________________________CAN213">10.56</definedName>
    <definedName name="________________________CAN215">10.22</definedName>
    <definedName name="________________________CAN216">9.61</definedName>
    <definedName name="________________________CAN217">10.47</definedName>
    <definedName name="________________________CAN219">10.91</definedName>
    <definedName name="________________________CAN220">11.09</definedName>
    <definedName name="________________________CAN221">11.25</definedName>
    <definedName name="________________________CAN222">10.17</definedName>
    <definedName name="________________________CAN223">9.89</definedName>
    <definedName name="________________________CAN230">10.79</definedName>
    <definedName name="________________________can421">40.2</definedName>
    <definedName name="________________________can422">41.57</definedName>
    <definedName name="________________________can423">43.9</definedName>
    <definedName name="________________________can424">41.19</definedName>
    <definedName name="________________________can425">42.81</definedName>
    <definedName name="________________________can426">40.77</definedName>
    <definedName name="________________________can427">40.92</definedName>
    <definedName name="________________________can428">39.29</definedName>
    <definedName name="________________________can429">45.19</definedName>
    <definedName name="________________________can430">40.73</definedName>
    <definedName name="________________________can431">42.52</definedName>
    <definedName name="________________________can432">42.53</definedName>
    <definedName name="________________________can433">43.69</definedName>
    <definedName name="________________________can434">40.43</definedName>
    <definedName name="________________________can435">43.3</definedName>
    <definedName name="________________________CDG100" localSheetId="7">#REF!</definedName>
    <definedName name="________________________CDG100" localSheetId="47">#REF!</definedName>
    <definedName name="________________________CDG100" localSheetId="1">#REF!</definedName>
    <definedName name="________________________CDG100">#REF!</definedName>
    <definedName name="________________________CDG250" localSheetId="7">#REF!</definedName>
    <definedName name="________________________CDG250" localSheetId="47">#REF!</definedName>
    <definedName name="________________________CDG250" localSheetId="1">#REF!</definedName>
    <definedName name="________________________CDG250">#REF!</definedName>
    <definedName name="________________________CDG50" localSheetId="7">#REF!</definedName>
    <definedName name="________________________CDG50" localSheetId="47">#REF!</definedName>
    <definedName name="________________________CDG50" localSheetId="1">#REF!</definedName>
    <definedName name="________________________CDG50">#REF!</definedName>
    <definedName name="________________________CDG500" localSheetId="7">#REF!</definedName>
    <definedName name="________________________CDG500" localSheetId="47">#REF!</definedName>
    <definedName name="________________________CDG500" localSheetId="1">#REF!</definedName>
    <definedName name="________________________CDG500">#REF!</definedName>
    <definedName name="________________________CEM53" localSheetId="7">#REF!</definedName>
    <definedName name="________________________CEM53" localSheetId="47">#REF!</definedName>
    <definedName name="________________________CEM53" localSheetId="1">#REF!</definedName>
    <definedName name="________________________CEM53">#REF!</definedName>
    <definedName name="________________________CRN3" localSheetId="7">#REF!</definedName>
    <definedName name="________________________CRN3" localSheetId="47">#REF!</definedName>
    <definedName name="________________________CRN3" localSheetId="1">#REF!</definedName>
    <definedName name="________________________CRN3">#REF!</definedName>
    <definedName name="________________________CRN35" localSheetId="7">#REF!</definedName>
    <definedName name="________________________CRN35" localSheetId="47">#REF!</definedName>
    <definedName name="________________________CRN35" localSheetId="1">#REF!</definedName>
    <definedName name="________________________CRN35">#REF!</definedName>
    <definedName name="________________________CRN80" localSheetId="7">#REF!</definedName>
    <definedName name="________________________CRN80" localSheetId="47">#REF!</definedName>
    <definedName name="________________________CRN80" localSheetId="1">#REF!</definedName>
    <definedName name="________________________CRN80">#REF!</definedName>
    <definedName name="________________________DOZ50" localSheetId="7">#REF!</definedName>
    <definedName name="________________________DOZ50" localSheetId="47">#REF!</definedName>
    <definedName name="________________________DOZ50" localSheetId="1">#REF!</definedName>
    <definedName name="________________________DOZ50">#REF!</definedName>
    <definedName name="________________________DOZ80" localSheetId="7">#REF!</definedName>
    <definedName name="________________________DOZ80" localSheetId="47">#REF!</definedName>
    <definedName name="________________________DOZ80" localSheetId="1">#REF!</definedName>
    <definedName name="________________________DOZ80">#REF!</definedName>
    <definedName name="________________________ExV200" localSheetId="7">#REF!</definedName>
    <definedName name="________________________ExV200" localSheetId="47">#REF!</definedName>
    <definedName name="________________________ExV200" localSheetId="1">#REF!</definedName>
    <definedName name="________________________ExV200">#REF!</definedName>
    <definedName name="________________________GEN100" localSheetId="7">#REF!</definedName>
    <definedName name="________________________GEN100" localSheetId="47">#REF!</definedName>
    <definedName name="________________________GEN100" localSheetId="1">#REF!</definedName>
    <definedName name="________________________GEN100">#REF!</definedName>
    <definedName name="________________________GEN250" localSheetId="7">#REF!</definedName>
    <definedName name="________________________GEN250" localSheetId="47">#REF!</definedName>
    <definedName name="________________________GEN250" localSheetId="1">#REF!</definedName>
    <definedName name="________________________GEN250">#REF!</definedName>
    <definedName name="________________________GEN325" localSheetId="7">#REF!</definedName>
    <definedName name="________________________GEN325" localSheetId="47">#REF!</definedName>
    <definedName name="________________________GEN325" localSheetId="1">#REF!</definedName>
    <definedName name="________________________GEN325">#REF!</definedName>
    <definedName name="________________________GEN380" localSheetId="7">#REF!</definedName>
    <definedName name="________________________GEN380" localSheetId="47">#REF!</definedName>
    <definedName name="________________________GEN380" localSheetId="1">#REF!</definedName>
    <definedName name="________________________GEN380">#REF!</definedName>
    <definedName name="________________________GSB1" localSheetId="7">#REF!</definedName>
    <definedName name="________________________GSB1" localSheetId="47">#REF!</definedName>
    <definedName name="________________________GSB1" localSheetId="1">#REF!</definedName>
    <definedName name="________________________GSB1">#REF!</definedName>
    <definedName name="________________________GSB2" localSheetId="7">#REF!</definedName>
    <definedName name="________________________GSB2" localSheetId="47">#REF!</definedName>
    <definedName name="________________________GSB2" localSheetId="1">#REF!</definedName>
    <definedName name="________________________GSB2">#REF!</definedName>
    <definedName name="________________________GSB3" localSheetId="7">#REF!</definedName>
    <definedName name="________________________GSB3" localSheetId="47">#REF!</definedName>
    <definedName name="________________________GSB3" localSheetId="1">#REF!</definedName>
    <definedName name="________________________GSB3">#REF!</definedName>
    <definedName name="________________________HMP1" localSheetId="7">#REF!</definedName>
    <definedName name="________________________HMP1" localSheetId="47">#REF!</definedName>
    <definedName name="________________________HMP1" localSheetId="1">#REF!</definedName>
    <definedName name="________________________HMP1">#REF!</definedName>
    <definedName name="________________________HMP2" localSheetId="7">#REF!</definedName>
    <definedName name="________________________HMP2" localSheetId="47">#REF!</definedName>
    <definedName name="________________________HMP2" localSheetId="1">#REF!</definedName>
    <definedName name="________________________HMP2">#REF!</definedName>
    <definedName name="________________________HMP3" localSheetId="7">#REF!</definedName>
    <definedName name="________________________HMP3" localSheetId="47">#REF!</definedName>
    <definedName name="________________________HMP3" localSheetId="1">#REF!</definedName>
    <definedName name="________________________HMP3">#REF!</definedName>
    <definedName name="________________________HMP4" localSheetId="7">#REF!</definedName>
    <definedName name="________________________HMP4" localSheetId="47">#REF!</definedName>
    <definedName name="________________________HMP4" localSheetId="1">#REF!</definedName>
    <definedName name="________________________HMP4">#REF!</definedName>
    <definedName name="________________________III7">"$C4.$#REF!$#REF!"</definedName>
    <definedName name="________________________MIX10" localSheetId="7">#REF!</definedName>
    <definedName name="________________________MIX10" localSheetId="47">#REF!</definedName>
    <definedName name="________________________MIX10" localSheetId="1">#REF!</definedName>
    <definedName name="________________________MIX10">#REF!</definedName>
    <definedName name="________________________MIX15" localSheetId="7">#REF!</definedName>
    <definedName name="________________________MIX15" localSheetId="47">#REF!</definedName>
    <definedName name="________________________MIX15" localSheetId="1">#REF!</definedName>
    <definedName name="________________________MIX15">#REF!</definedName>
    <definedName name="________________________MIX15150" localSheetId="7">'[4]Mix Design'!#REF!</definedName>
    <definedName name="________________________MIX15150" localSheetId="47">'[4]Mix Design'!#REF!</definedName>
    <definedName name="________________________MIX15150" localSheetId="1">'[4]Mix Design'!#REF!</definedName>
    <definedName name="________________________MIX15150">'[4]Mix Design'!#REF!</definedName>
    <definedName name="________________________MIX1540">'[4]Mix Design'!$P$11</definedName>
    <definedName name="________________________MIX1580" localSheetId="7">'[4]Mix Design'!#REF!</definedName>
    <definedName name="________________________MIX1580" localSheetId="47">'[4]Mix Design'!#REF!</definedName>
    <definedName name="________________________MIX1580" localSheetId="1">'[4]Mix Design'!#REF!</definedName>
    <definedName name="________________________MIX1580">'[4]Mix Design'!#REF!</definedName>
    <definedName name="________________________MIX2">'[5]Mix Design'!$P$12</definedName>
    <definedName name="________________________MIX20" localSheetId="7">#REF!</definedName>
    <definedName name="________________________MIX20" localSheetId="47">#REF!</definedName>
    <definedName name="________________________MIX20" localSheetId="1">#REF!</definedName>
    <definedName name="________________________MIX20">#REF!</definedName>
    <definedName name="________________________MIX2020">'[4]Mix Design'!$P$12</definedName>
    <definedName name="________________________MIX2040">'[4]Mix Design'!$P$13</definedName>
    <definedName name="________________________MIX25" localSheetId="7">#REF!</definedName>
    <definedName name="________________________MIX25" localSheetId="47">#REF!</definedName>
    <definedName name="________________________MIX25" localSheetId="1">#REF!</definedName>
    <definedName name="________________________MIX25">#REF!</definedName>
    <definedName name="________________________MIX2540">'[4]Mix Design'!$P$15</definedName>
    <definedName name="________________________Mix255">'[6]Mix Design'!$P$13</definedName>
    <definedName name="________________________MIX30" localSheetId="7">#REF!</definedName>
    <definedName name="________________________MIX30" localSheetId="47">#REF!</definedName>
    <definedName name="________________________MIX30" localSheetId="1">#REF!</definedName>
    <definedName name="________________________MIX30">#REF!</definedName>
    <definedName name="________________________MIX35" localSheetId="7">#REF!</definedName>
    <definedName name="________________________MIX35" localSheetId="47">#REF!</definedName>
    <definedName name="________________________MIX35" localSheetId="1">#REF!</definedName>
    <definedName name="________________________MIX35">#REF!</definedName>
    <definedName name="________________________MIX40" localSheetId="7">#REF!</definedName>
    <definedName name="________________________MIX40" localSheetId="47">#REF!</definedName>
    <definedName name="________________________MIX40" localSheetId="1">#REF!</definedName>
    <definedName name="________________________MIX40">#REF!</definedName>
    <definedName name="________________________MIX45" localSheetId="7">'[4]Mix Design'!#REF!</definedName>
    <definedName name="________________________MIX45" localSheetId="47">'[4]Mix Design'!#REF!</definedName>
    <definedName name="________________________MIX45" localSheetId="1">'[4]Mix Design'!#REF!</definedName>
    <definedName name="________________________MIX45">'[4]Mix Design'!#REF!</definedName>
    <definedName name="________________________MUR5" localSheetId="7">#REF!</definedName>
    <definedName name="________________________MUR5" localSheetId="47">#REF!</definedName>
    <definedName name="________________________MUR5" localSheetId="1">#REF!</definedName>
    <definedName name="________________________MUR5">#REF!</definedName>
    <definedName name="________________________MUR8" localSheetId="7">#REF!</definedName>
    <definedName name="________________________MUR8" localSheetId="47">#REF!</definedName>
    <definedName name="________________________MUR8" localSheetId="1">#REF!</definedName>
    <definedName name="________________________MUR8">#REF!</definedName>
    <definedName name="________________________OPC43" localSheetId="7">#REF!</definedName>
    <definedName name="________________________OPC43" localSheetId="47">#REF!</definedName>
    <definedName name="________________________OPC43" localSheetId="1">#REF!</definedName>
    <definedName name="________________________OPC43">#REF!</definedName>
    <definedName name="________________________SLV10025" localSheetId="7">'[8]ANAL-PIPE LINE'!#REF!</definedName>
    <definedName name="________________________SLV10025" localSheetId="47">'[8]ANAL-PIPE LINE'!#REF!</definedName>
    <definedName name="________________________SLV10025" localSheetId="1">'[8]ANAL-PIPE LINE'!#REF!</definedName>
    <definedName name="________________________SLV10025">'[8]ANAL-PIPE LINE'!#REF!</definedName>
    <definedName name="________________________TIP1" localSheetId="7">#REF!</definedName>
    <definedName name="________________________TIP1" localSheetId="47">#REF!</definedName>
    <definedName name="________________________TIP1" localSheetId="1">#REF!</definedName>
    <definedName name="________________________TIP1">#REF!</definedName>
    <definedName name="________________________TIP2" localSheetId="7">#REF!</definedName>
    <definedName name="________________________TIP2" localSheetId="47">#REF!</definedName>
    <definedName name="________________________TIP2" localSheetId="1">#REF!</definedName>
    <definedName name="________________________TIP2">#REF!</definedName>
    <definedName name="________________________TIP3" localSheetId="7">#REF!</definedName>
    <definedName name="________________________TIP3" localSheetId="47">#REF!</definedName>
    <definedName name="________________________TIP3" localSheetId="1">#REF!</definedName>
    <definedName name="________________________TIP3">#REF!</definedName>
    <definedName name="_______________________A65537" localSheetId="7">#REF!</definedName>
    <definedName name="_______________________A65537" localSheetId="47">#REF!</definedName>
    <definedName name="_______________________A65537" localSheetId="1">#REF!</definedName>
    <definedName name="_______________________A65537">#REF!</definedName>
    <definedName name="_______________________ABM10" localSheetId="7">#REF!</definedName>
    <definedName name="_______________________ABM10" localSheetId="47">#REF!</definedName>
    <definedName name="_______________________ABM10" localSheetId="1">#REF!</definedName>
    <definedName name="_______________________ABM10">#REF!</definedName>
    <definedName name="_______________________ABM40" localSheetId="7">#REF!</definedName>
    <definedName name="_______________________ABM40" localSheetId="47">#REF!</definedName>
    <definedName name="_______________________ABM40" localSheetId="1">#REF!</definedName>
    <definedName name="_______________________ABM40">#REF!</definedName>
    <definedName name="_______________________ABM6" localSheetId="7">#REF!</definedName>
    <definedName name="_______________________ABM6" localSheetId="47">#REF!</definedName>
    <definedName name="_______________________ABM6" localSheetId="1">#REF!</definedName>
    <definedName name="_______________________ABM6">#REF!</definedName>
    <definedName name="_______________________ACB10" localSheetId="7">#REF!</definedName>
    <definedName name="_______________________ACB10" localSheetId="47">#REF!</definedName>
    <definedName name="_______________________ACB10" localSheetId="1">#REF!</definedName>
    <definedName name="_______________________ACB10">#REF!</definedName>
    <definedName name="_______________________ACB20" localSheetId="7">#REF!</definedName>
    <definedName name="_______________________ACB20" localSheetId="47">#REF!</definedName>
    <definedName name="_______________________ACB20" localSheetId="1">#REF!</definedName>
    <definedName name="_______________________ACB20">#REF!</definedName>
    <definedName name="_______________________ACR10" localSheetId="7">#REF!</definedName>
    <definedName name="_______________________ACR10" localSheetId="47">#REF!</definedName>
    <definedName name="_______________________ACR10" localSheetId="1">#REF!</definedName>
    <definedName name="_______________________ACR10">#REF!</definedName>
    <definedName name="_______________________ACR20" localSheetId="7">#REF!</definedName>
    <definedName name="_______________________ACR20" localSheetId="47">#REF!</definedName>
    <definedName name="_______________________ACR20" localSheetId="1">#REF!</definedName>
    <definedName name="_______________________ACR20">#REF!</definedName>
    <definedName name="_______________________AGG6" localSheetId="7">#REF!</definedName>
    <definedName name="_______________________AGG6" localSheetId="47">#REF!</definedName>
    <definedName name="_______________________AGG6" localSheetId="1">#REF!</definedName>
    <definedName name="_______________________AGG6">#REF!</definedName>
    <definedName name="_______________________AWM10" localSheetId="7">#REF!</definedName>
    <definedName name="_______________________AWM10" localSheetId="47">#REF!</definedName>
    <definedName name="_______________________AWM10" localSheetId="1">#REF!</definedName>
    <definedName name="_______________________AWM10">#REF!</definedName>
    <definedName name="_______________________AWM40" localSheetId="7">#REF!</definedName>
    <definedName name="_______________________AWM40" localSheetId="47">#REF!</definedName>
    <definedName name="_______________________AWM40" localSheetId="1">#REF!</definedName>
    <definedName name="_______________________AWM40">#REF!</definedName>
    <definedName name="_______________________AWM6" localSheetId="7">#REF!</definedName>
    <definedName name="_______________________AWM6" localSheetId="47">#REF!</definedName>
    <definedName name="_______________________AWM6" localSheetId="1">#REF!</definedName>
    <definedName name="_______________________AWM6">#REF!</definedName>
    <definedName name="_______________________CAN112">13.42</definedName>
    <definedName name="_______________________CAN113">12.98</definedName>
    <definedName name="_______________________CAN117">12.7</definedName>
    <definedName name="_______________________CAN118">13.27</definedName>
    <definedName name="_______________________CAN120">11.72</definedName>
    <definedName name="_______________________CAN210">10.38</definedName>
    <definedName name="_______________________CAN211">10.58</definedName>
    <definedName name="_______________________CAN213">10.56</definedName>
    <definedName name="_______________________CAN215">10.22</definedName>
    <definedName name="_______________________CAN216">9.61</definedName>
    <definedName name="_______________________CAN217">10.47</definedName>
    <definedName name="_______________________CAN219">10.91</definedName>
    <definedName name="_______________________CAN220">11.09</definedName>
    <definedName name="_______________________CAN221">11.25</definedName>
    <definedName name="_______________________CAN222">10.17</definedName>
    <definedName name="_______________________CAN223">9.89</definedName>
    <definedName name="_______________________CAN230">10.79</definedName>
    <definedName name="_______________________can421">40.2</definedName>
    <definedName name="_______________________can422">41.57</definedName>
    <definedName name="_______________________can423">43.9</definedName>
    <definedName name="_______________________can424">41.19</definedName>
    <definedName name="_______________________can425">42.81</definedName>
    <definedName name="_______________________can426">40.77</definedName>
    <definedName name="_______________________can427">40.92</definedName>
    <definedName name="_______________________can428">39.29</definedName>
    <definedName name="_______________________can429">45.19</definedName>
    <definedName name="_______________________can430">40.73</definedName>
    <definedName name="_______________________can431">42.52</definedName>
    <definedName name="_______________________can432">42.53</definedName>
    <definedName name="_______________________can433">43.69</definedName>
    <definedName name="_______________________can434">40.43</definedName>
    <definedName name="_______________________can435">43.3</definedName>
    <definedName name="_______________________CDG100" localSheetId="7">#REF!</definedName>
    <definedName name="_______________________CDG100" localSheetId="47">#REF!</definedName>
    <definedName name="_______________________CDG100" localSheetId="1">#REF!</definedName>
    <definedName name="_______________________CDG100">#REF!</definedName>
    <definedName name="_______________________CDG250" localSheetId="7">#REF!</definedName>
    <definedName name="_______________________CDG250" localSheetId="47">#REF!</definedName>
    <definedName name="_______________________CDG250" localSheetId="1">#REF!</definedName>
    <definedName name="_______________________CDG250">#REF!</definedName>
    <definedName name="_______________________CDG50" localSheetId="7">#REF!</definedName>
    <definedName name="_______________________CDG50" localSheetId="47">#REF!</definedName>
    <definedName name="_______________________CDG50" localSheetId="1">#REF!</definedName>
    <definedName name="_______________________CDG50">#REF!</definedName>
    <definedName name="_______________________CDG500" localSheetId="7">#REF!</definedName>
    <definedName name="_______________________CDG500" localSheetId="47">#REF!</definedName>
    <definedName name="_______________________CDG500" localSheetId="1">#REF!</definedName>
    <definedName name="_______________________CDG500">#REF!</definedName>
    <definedName name="_______________________CEM53" localSheetId="7">#REF!</definedName>
    <definedName name="_______________________CEM53" localSheetId="47">#REF!</definedName>
    <definedName name="_______________________CEM53" localSheetId="1">#REF!</definedName>
    <definedName name="_______________________CEM53">#REF!</definedName>
    <definedName name="_______________________CRN3" localSheetId="7">#REF!</definedName>
    <definedName name="_______________________CRN3" localSheetId="47">#REF!</definedName>
    <definedName name="_______________________CRN3" localSheetId="1">#REF!</definedName>
    <definedName name="_______________________CRN3">#REF!</definedName>
    <definedName name="_______________________CRN35" localSheetId="7">#REF!</definedName>
    <definedName name="_______________________CRN35" localSheetId="47">#REF!</definedName>
    <definedName name="_______________________CRN35" localSheetId="1">#REF!</definedName>
    <definedName name="_______________________CRN35">#REF!</definedName>
    <definedName name="_______________________CRN80" localSheetId="7">#REF!</definedName>
    <definedName name="_______________________CRN80" localSheetId="47">#REF!</definedName>
    <definedName name="_______________________CRN80" localSheetId="1">#REF!</definedName>
    <definedName name="_______________________CRN80">#REF!</definedName>
    <definedName name="_______________________DOZ50" localSheetId="7">#REF!</definedName>
    <definedName name="_______________________DOZ50" localSheetId="47">#REF!</definedName>
    <definedName name="_______________________DOZ50" localSheetId="1">#REF!</definedName>
    <definedName name="_______________________DOZ50">#REF!</definedName>
    <definedName name="_______________________DOZ80" localSheetId="7">#REF!</definedName>
    <definedName name="_______________________DOZ80" localSheetId="47">#REF!</definedName>
    <definedName name="_______________________DOZ80" localSheetId="1">#REF!</definedName>
    <definedName name="_______________________DOZ80">#REF!</definedName>
    <definedName name="_______________________ExV200" localSheetId="7">#REF!</definedName>
    <definedName name="_______________________ExV200" localSheetId="47">#REF!</definedName>
    <definedName name="_______________________ExV200" localSheetId="1">#REF!</definedName>
    <definedName name="_______________________ExV200">#REF!</definedName>
    <definedName name="_______________________GEN100" localSheetId="7">#REF!</definedName>
    <definedName name="_______________________GEN100" localSheetId="47">#REF!</definedName>
    <definedName name="_______________________GEN100" localSheetId="1">#REF!</definedName>
    <definedName name="_______________________GEN100">#REF!</definedName>
    <definedName name="_______________________GEN250" localSheetId="7">#REF!</definedName>
    <definedName name="_______________________GEN250" localSheetId="47">#REF!</definedName>
    <definedName name="_______________________GEN250" localSheetId="1">#REF!</definedName>
    <definedName name="_______________________GEN250">#REF!</definedName>
    <definedName name="_______________________GEN325" localSheetId="7">#REF!</definedName>
    <definedName name="_______________________GEN325" localSheetId="47">#REF!</definedName>
    <definedName name="_______________________GEN325" localSheetId="1">#REF!</definedName>
    <definedName name="_______________________GEN325">#REF!</definedName>
    <definedName name="_______________________GEN380" localSheetId="7">#REF!</definedName>
    <definedName name="_______________________GEN380" localSheetId="47">#REF!</definedName>
    <definedName name="_______________________GEN380" localSheetId="1">#REF!</definedName>
    <definedName name="_______________________GEN380">#REF!</definedName>
    <definedName name="_______________________GSB1" localSheetId="7">#REF!</definedName>
    <definedName name="_______________________GSB1" localSheetId="47">#REF!</definedName>
    <definedName name="_______________________GSB1" localSheetId="1">#REF!</definedName>
    <definedName name="_______________________GSB1">#REF!</definedName>
    <definedName name="_______________________GSB2" localSheetId="7">#REF!</definedName>
    <definedName name="_______________________GSB2" localSheetId="47">#REF!</definedName>
    <definedName name="_______________________GSB2" localSheetId="1">#REF!</definedName>
    <definedName name="_______________________GSB2">#REF!</definedName>
    <definedName name="_______________________GSB3" localSheetId="7">#REF!</definedName>
    <definedName name="_______________________GSB3" localSheetId="47">#REF!</definedName>
    <definedName name="_______________________GSB3" localSheetId="1">#REF!</definedName>
    <definedName name="_______________________GSB3">#REF!</definedName>
    <definedName name="_______________________HMP1" localSheetId="7">#REF!</definedName>
    <definedName name="_______________________HMP1" localSheetId="47">#REF!</definedName>
    <definedName name="_______________________HMP1" localSheetId="1">#REF!</definedName>
    <definedName name="_______________________HMP1">#REF!</definedName>
    <definedName name="_______________________HMP2" localSheetId="7">#REF!</definedName>
    <definedName name="_______________________HMP2" localSheetId="47">#REF!</definedName>
    <definedName name="_______________________HMP2" localSheetId="1">#REF!</definedName>
    <definedName name="_______________________HMP2">#REF!</definedName>
    <definedName name="_______________________HMP3" localSheetId="7">#REF!</definedName>
    <definedName name="_______________________HMP3" localSheetId="47">#REF!</definedName>
    <definedName name="_______________________HMP3" localSheetId="1">#REF!</definedName>
    <definedName name="_______________________HMP3">#REF!</definedName>
    <definedName name="_______________________HMP4" localSheetId="7">#REF!</definedName>
    <definedName name="_______________________HMP4" localSheetId="47">#REF!</definedName>
    <definedName name="_______________________HMP4" localSheetId="1">#REF!</definedName>
    <definedName name="_______________________HMP4">#REF!</definedName>
    <definedName name="_______________________III7">"$C4.$#REF!$#REF!"</definedName>
    <definedName name="_______________________MIX10" localSheetId="7">#REF!</definedName>
    <definedName name="_______________________MIX10" localSheetId="47">#REF!</definedName>
    <definedName name="_______________________MIX10" localSheetId="1">#REF!</definedName>
    <definedName name="_______________________MIX10">#REF!</definedName>
    <definedName name="_______________________MIX15" localSheetId="7">#REF!</definedName>
    <definedName name="_______________________MIX15" localSheetId="47">#REF!</definedName>
    <definedName name="_______________________MIX15" localSheetId="1">#REF!</definedName>
    <definedName name="_______________________MIX15">#REF!</definedName>
    <definedName name="_______________________MIX15150" localSheetId="7">'[4]Mix Design'!#REF!</definedName>
    <definedName name="_______________________MIX15150" localSheetId="47">'[4]Mix Design'!#REF!</definedName>
    <definedName name="_______________________MIX15150" localSheetId="1">'[4]Mix Design'!#REF!</definedName>
    <definedName name="_______________________MIX15150">'[4]Mix Design'!#REF!</definedName>
    <definedName name="_______________________MIX1540">'[4]Mix Design'!$P$11</definedName>
    <definedName name="_______________________MIX1580" localSheetId="7">'[4]Mix Design'!#REF!</definedName>
    <definedName name="_______________________MIX1580" localSheetId="47">'[4]Mix Design'!#REF!</definedName>
    <definedName name="_______________________MIX1580" localSheetId="1">'[4]Mix Design'!#REF!</definedName>
    <definedName name="_______________________MIX1580">'[4]Mix Design'!#REF!</definedName>
    <definedName name="_______________________MIX2">'[5]Mix Design'!$P$12</definedName>
    <definedName name="_______________________MIX20" localSheetId="7">#REF!</definedName>
    <definedName name="_______________________MIX20" localSheetId="47">#REF!</definedName>
    <definedName name="_______________________MIX20" localSheetId="1">#REF!</definedName>
    <definedName name="_______________________MIX20">#REF!</definedName>
    <definedName name="_______________________MIX2020">'[4]Mix Design'!$P$12</definedName>
    <definedName name="_______________________MIX2040">'[4]Mix Design'!$P$13</definedName>
    <definedName name="_______________________MIX25" localSheetId="7">#REF!</definedName>
    <definedName name="_______________________MIX25" localSheetId="47">#REF!</definedName>
    <definedName name="_______________________MIX25" localSheetId="1">#REF!</definedName>
    <definedName name="_______________________MIX25">#REF!</definedName>
    <definedName name="_______________________MIX2540">'[4]Mix Design'!$P$15</definedName>
    <definedName name="_______________________Mix255">'[6]Mix Design'!$P$13</definedName>
    <definedName name="_______________________MIX30" localSheetId="7">#REF!</definedName>
    <definedName name="_______________________MIX30" localSheetId="47">#REF!</definedName>
    <definedName name="_______________________MIX30" localSheetId="1">#REF!</definedName>
    <definedName name="_______________________MIX30">#REF!</definedName>
    <definedName name="_______________________MIX35" localSheetId="7">#REF!</definedName>
    <definedName name="_______________________MIX35" localSheetId="47">#REF!</definedName>
    <definedName name="_______________________MIX35" localSheetId="1">#REF!</definedName>
    <definedName name="_______________________MIX35">#REF!</definedName>
    <definedName name="_______________________MIX40" localSheetId="7">#REF!</definedName>
    <definedName name="_______________________MIX40" localSheetId="47">#REF!</definedName>
    <definedName name="_______________________MIX40" localSheetId="1">#REF!</definedName>
    <definedName name="_______________________MIX40">#REF!</definedName>
    <definedName name="_______________________MIX45" localSheetId="7">'[4]Mix Design'!#REF!</definedName>
    <definedName name="_______________________MIX45" localSheetId="47">'[4]Mix Design'!#REF!</definedName>
    <definedName name="_______________________MIX45" localSheetId="1">'[4]Mix Design'!#REF!</definedName>
    <definedName name="_______________________MIX45">'[4]Mix Design'!#REF!</definedName>
    <definedName name="_______________________MUR5" localSheetId="7">#REF!</definedName>
    <definedName name="_______________________MUR5" localSheetId="47">#REF!</definedName>
    <definedName name="_______________________MUR5" localSheetId="1">#REF!</definedName>
    <definedName name="_______________________MUR5">#REF!</definedName>
    <definedName name="_______________________MUR8" localSheetId="7">#REF!</definedName>
    <definedName name="_______________________MUR8" localSheetId="47">#REF!</definedName>
    <definedName name="_______________________MUR8" localSheetId="1">#REF!</definedName>
    <definedName name="_______________________MUR8">#REF!</definedName>
    <definedName name="_______________________OPC43" localSheetId="7">#REF!</definedName>
    <definedName name="_______________________OPC43" localSheetId="47">#REF!</definedName>
    <definedName name="_______________________OPC43" localSheetId="1">#REF!</definedName>
    <definedName name="_______________________OPC43">#REF!</definedName>
    <definedName name="_______________________SLV10025" localSheetId="7">'[8]ANAL-PIPE LINE'!#REF!</definedName>
    <definedName name="_______________________SLV10025" localSheetId="47">'[8]ANAL-PIPE LINE'!#REF!</definedName>
    <definedName name="_______________________SLV10025" localSheetId="1">'[8]ANAL-PIPE LINE'!#REF!</definedName>
    <definedName name="_______________________SLV10025">'[8]ANAL-PIPE LINE'!#REF!</definedName>
    <definedName name="_______________________TIP1" localSheetId="7">#REF!</definedName>
    <definedName name="_______________________TIP1" localSheetId="47">#REF!</definedName>
    <definedName name="_______________________TIP1" localSheetId="1">#REF!</definedName>
    <definedName name="_______________________TIP1">#REF!</definedName>
    <definedName name="_______________________TIP2" localSheetId="7">#REF!</definedName>
    <definedName name="_______________________TIP2" localSheetId="47">#REF!</definedName>
    <definedName name="_______________________TIP2" localSheetId="1">#REF!</definedName>
    <definedName name="_______________________TIP2">#REF!</definedName>
    <definedName name="_______________________TIP3" localSheetId="7">#REF!</definedName>
    <definedName name="_______________________TIP3" localSheetId="47">#REF!</definedName>
    <definedName name="_______________________TIP3" localSheetId="1">#REF!</definedName>
    <definedName name="_______________________TIP3">#REF!</definedName>
    <definedName name="______________________A65537" localSheetId="7">#REF!</definedName>
    <definedName name="______________________A65537" localSheetId="47">#REF!</definedName>
    <definedName name="______________________A65537" localSheetId="1">#REF!</definedName>
    <definedName name="______________________A65537">#REF!</definedName>
    <definedName name="______________________ABM10" localSheetId="7">#REF!</definedName>
    <definedName name="______________________ABM10" localSheetId="47">#REF!</definedName>
    <definedName name="______________________ABM10" localSheetId="1">#REF!</definedName>
    <definedName name="______________________ABM10">#REF!</definedName>
    <definedName name="______________________ABM40" localSheetId="7">#REF!</definedName>
    <definedName name="______________________ABM40" localSheetId="47">#REF!</definedName>
    <definedName name="______________________ABM40" localSheetId="1">#REF!</definedName>
    <definedName name="______________________ABM40">#REF!</definedName>
    <definedName name="______________________ABM6" localSheetId="7">#REF!</definedName>
    <definedName name="______________________ABM6" localSheetId="47">#REF!</definedName>
    <definedName name="______________________ABM6" localSheetId="1">#REF!</definedName>
    <definedName name="______________________ABM6">#REF!</definedName>
    <definedName name="______________________ACB10" localSheetId="7">#REF!</definedName>
    <definedName name="______________________ACB10" localSheetId="47">#REF!</definedName>
    <definedName name="______________________ACB10" localSheetId="1">#REF!</definedName>
    <definedName name="______________________ACB10">#REF!</definedName>
    <definedName name="______________________ACB20" localSheetId="7">#REF!</definedName>
    <definedName name="______________________ACB20" localSheetId="47">#REF!</definedName>
    <definedName name="______________________ACB20" localSheetId="1">#REF!</definedName>
    <definedName name="______________________ACB20">#REF!</definedName>
    <definedName name="______________________ACR10" localSheetId="7">#REF!</definedName>
    <definedName name="______________________ACR10" localSheetId="47">#REF!</definedName>
    <definedName name="______________________ACR10" localSheetId="1">#REF!</definedName>
    <definedName name="______________________ACR10">#REF!</definedName>
    <definedName name="______________________ACR20" localSheetId="7">#REF!</definedName>
    <definedName name="______________________ACR20" localSheetId="47">#REF!</definedName>
    <definedName name="______________________ACR20" localSheetId="1">#REF!</definedName>
    <definedName name="______________________ACR20">#REF!</definedName>
    <definedName name="______________________AGG6" localSheetId="7">#REF!</definedName>
    <definedName name="______________________AGG6" localSheetId="47">#REF!</definedName>
    <definedName name="______________________AGG6" localSheetId="1">#REF!</definedName>
    <definedName name="______________________AGG6">#REF!</definedName>
    <definedName name="______________________AWM10" localSheetId="7">#REF!</definedName>
    <definedName name="______________________AWM10" localSheetId="47">#REF!</definedName>
    <definedName name="______________________AWM10" localSheetId="1">#REF!</definedName>
    <definedName name="______________________AWM10">#REF!</definedName>
    <definedName name="______________________AWM40" localSheetId="7">#REF!</definedName>
    <definedName name="______________________AWM40" localSheetId="47">#REF!</definedName>
    <definedName name="______________________AWM40" localSheetId="1">#REF!</definedName>
    <definedName name="______________________AWM40">#REF!</definedName>
    <definedName name="______________________AWM6" localSheetId="7">#REF!</definedName>
    <definedName name="______________________AWM6" localSheetId="47">#REF!</definedName>
    <definedName name="______________________AWM6" localSheetId="1">#REF!</definedName>
    <definedName name="______________________AWM6">#REF!</definedName>
    <definedName name="______________________CAN112">13.42</definedName>
    <definedName name="______________________CAN113">12.98</definedName>
    <definedName name="______________________CAN117">12.7</definedName>
    <definedName name="______________________CAN118">13.27</definedName>
    <definedName name="______________________CAN120">11.72</definedName>
    <definedName name="______________________CAN210">10.38</definedName>
    <definedName name="______________________CAN211">10.58</definedName>
    <definedName name="______________________CAN213">10.56</definedName>
    <definedName name="______________________CAN215">10.22</definedName>
    <definedName name="______________________CAN216">9.61</definedName>
    <definedName name="______________________CAN217">10.47</definedName>
    <definedName name="______________________CAN219">10.91</definedName>
    <definedName name="______________________CAN220">11.09</definedName>
    <definedName name="______________________CAN221">11.25</definedName>
    <definedName name="______________________CAN222">10.17</definedName>
    <definedName name="______________________CAN223">9.89</definedName>
    <definedName name="______________________CAN230">10.79</definedName>
    <definedName name="______________________can421">40.2</definedName>
    <definedName name="______________________can422">41.57</definedName>
    <definedName name="______________________can423">43.9</definedName>
    <definedName name="______________________can424">41.19</definedName>
    <definedName name="______________________can425">42.81</definedName>
    <definedName name="______________________can426">40.77</definedName>
    <definedName name="______________________can427">40.92</definedName>
    <definedName name="______________________can428">39.29</definedName>
    <definedName name="______________________can429">45.19</definedName>
    <definedName name="______________________can430">40.73</definedName>
    <definedName name="______________________can431">42.52</definedName>
    <definedName name="______________________can432">42.53</definedName>
    <definedName name="______________________can433">43.69</definedName>
    <definedName name="______________________can434">40.43</definedName>
    <definedName name="______________________can435">43.3</definedName>
    <definedName name="______________________CDG100" localSheetId="7">#REF!</definedName>
    <definedName name="______________________CDG100" localSheetId="47">#REF!</definedName>
    <definedName name="______________________CDG100" localSheetId="1">#REF!</definedName>
    <definedName name="______________________CDG100">#REF!</definedName>
    <definedName name="______________________CDG250" localSheetId="7">#REF!</definedName>
    <definedName name="______________________CDG250" localSheetId="47">#REF!</definedName>
    <definedName name="______________________CDG250" localSheetId="1">#REF!</definedName>
    <definedName name="______________________CDG250">#REF!</definedName>
    <definedName name="______________________CDG50" localSheetId="7">#REF!</definedName>
    <definedName name="______________________CDG50" localSheetId="47">#REF!</definedName>
    <definedName name="______________________CDG50" localSheetId="1">#REF!</definedName>
    <definedName name="______________________CDG50">#REF!</definedName>
    <definedName name="______________________CDG500" localSheetId="7">#REF!</definedName>
    <definedName name="______________________CDG500" localSheetId="47">#REF!</definedName>
    <definedName name="______________________CDG500" localSheetId="1">#REF!</definedName>
    <definedName name="______________________CDG500">#REF!</definedName>
    <definedName name="______________________CEM53" localSheetId="7">#REF!</definedName>
    <definedName name="______________________CEM53" localSheetId="47">#REF!</definedName>
    <definedName name="______________________CEM53" localSheetId="1">#REF!</definedName>
    <definedName name="______________________CEM53">#REF!</definedName>
    <definedName name="______________________CRN3" localSheetId="7">#REF!</definedName>
    <definedName name="______________________CRN3" localSheetId="47">#REF!</definedName>
    <definedName name="______________________CRN3" localSheetId="1">#REF!</definedName>
    <definedName name="______________________CRN3">#REF!</definedName>
    <definedName name="______________________CRN35" localSheetId="7">#REF!</definedName>
    <definedName name="______________________CRN35" localSheetId="47">#REF!</definedName>
    <definedName name="______________________CRN35" localSheetId="1">#REF!</definedName>
    <definedName name="______________________CRN35">#REF!</definedName>
    <definedName name="______________________CRN80" localSheetId="7">#REF!</definedName>
    <definedName name="______________________CRN80" localSheetId="47">#REF!</definedName>
    <definedName name="______________________CRN80" localSheetId="1">#REF!</definedName>
    <definedName name="______________________CRN80">#REF!</definedName>
    <definedName name="______________________dec05" localSheetId="7" hidden="1">{"'Sheet1'!$A$4386:$N$4591"}</definedName>
    <definedName name="______________________dec05" localSheetId="47" hidden="1">{"'Sheet1'!$A$4386:$N$4591"}</definedName>
    <definedName name="______________________dec05" localSheetId="1" hidden="1">{"'Sheet1'!$A$4386:$N$4591"}</definedName>
    <definedName name="______________________dec05" hidden="1">{"'Sheet1'!$A$4386:$N$4591"}</definedName>
    <definedName name="______________________DOZ50" localSheetId="7">#REF!</definedName>
    <definedName name="______________________DOZ50" localSheetId="47">#REF!</definedName>
    <definedName name="______________________DOZ50" localSheetId="1">#REF!</definedName>
    <definedName name="______________________DOZ50">#REF!</definedName>
    <definedName name="______________________DOZ80" localSheetId="7">#REF!</definedName>
    <definedName name="______________________DOZ80" localSheetId="47">#REF!</definedName>
    <definedName name="______________________DOZ80" localSheetId="1">#REF!</definedName>
    <definedName name="______________________DOZ80">#REF!</definedName>
    <definedName name="______________________EXC20">'[9]Rate Analysis '!$E$50</definedName>
    <definedName name="______________________ExV200" localSheetId="7">#REF!</definedName>
    <definedName name="______________________ExV200" localSheetId="47">#REF!</definedName>
    <definedName name="______________________ExV200" localSheetId="1">#REF!</definedName>
    <definedName name="______________________ExV200">#REF!</definedName>
    <definedName name="______________________GEN100" localSheetId="7">#REF!</definedName>
    <definedName name="______________________GEN100" localSheetId="47">#REF!</definedName>
    <definedName name="______________________GEN100" localSheetId="1">#REF!</definedName>
    <definedName name="______________________GEN100">#REF!</definedName>
    <definedName name="______________________GEN250" localSheetId="7">#REF!</definedName>
    <definedName name="______________________GEN250" localSheetId="47">#REF!</definedName>
    <definedName name="______________________GEN250" localSheetId="1">#REF!</definedName>
    <definedName name="______________________GEN250">#REF!</definedName>
    <definedName name="______________________GEN325" localSheetId="7">#REF!</definedName>
    <definedName name="______________________GEN325" localSheetId="47">#REF!</definedName>
    <definedName name="______________________GEN325" localSheetId="1">#REF!</definedName>
    <definedName name="______________________GEN325">#REF!</definedName>
    <definedName name="______________________GEN380" localSheetId="7">#REF!</definedName>
    <definedName name="______________________GEN380" localSheetId="47">#REF!</definedName>
    <definedName name="______________________GEN380" localSheetId="1">#REF!</definedName>
    <definedName name="______________________GEN380">#REF!</definedName>
    <definedName name="______________________GSB1" localSheetId="7">#REF!</definedName>
    <definedName name="______________________GSB1" localSheetId="47">#REF!</definedName>
    <definedName name="______________________GSB1" localSheetId="1">#REF!</definedName>
    <definedName name="______________________GSB1">#REF!</definedName>
    <definedName name="______________________GSB2" localSheetId="7">#REF!</definedName>
    <definedName name="______________________GSB2" localSheetId="47">#REF!</definedName>
    <definedName name="______________________GSB2" localSheetId="1">#REF!</definedName>
    <definedName name="______________________GSB2">#REF!</definedName>
    <definedName name="______________________GSB3" localSheetId="7">#REF!</definedName>
    <definedName name="______________________GSB3" localSheetId="47">#REF!</definedName>
    <definedName name="______________________GSB3" localSheetId="1">#REF!</definedName>
    <definedName name="______________________GSB3">#REF!</definedName>
    <definedName name="______________________HMP1" localSheetId="7">#REF!</definedName>
    <definedName name="______________________HMP1" localSheetId="47">#REF!</definedName>
    <definedName name="______________________HMP1" localSheetId="1">#REF!</definedName>
    <definedName name="______________________HMP1">#REF!</definedName>
    <definedName name="______________________HMP2" localSheetId="7">#REF!</definedName>
    <definedName name="______________________HMP2" localSheetId="47">#REF!</definedName>
    <definedName name="______________________HMP2" localSheetId="1">#REF!</definedName>
    <definedName name="______________________HMP2">#REF!</definedName>
    <definedName name="______________________HMP3" localSheetId="7">#REF!</definedName>
    <definedName name="______________________HMP3" localSheetId="47">#REF!</definedName>
    <definedName name="______________________HMP3" localSheetId="1">#REF!</definedName>
    <definedName name="______________________HMP3">#REF!</definedName>
    <definedName name="______________________HMP4" localSheetId="7">#REF!</definedName>
    <definedName name="______________________HMP4" localSheetId="47">#REF!</definedName>
    <definedName name="______________________HMP4" localSheetId="1">#REF!</definedName>
    <definedName name="______________________HMP4">#REF!</definedName>
    <definedName name="______________________III7">"$C4.$#REF!$#REF!"</definedName>
    <definedName name="______________________lb2" localSheetId="7">#REF!</definedName>
    <definedName name="______________________lb2" localSheetId="47">#REF!</definedName>
    <definedName name="______________________lb2" localSheetId="1">#REF!</definedName>
    <definedName name="______________________lb2">#REF!</definedName>
    <definedName name="______________________mac2">200</definedName>
    <definedName name="______________________MIX10" localSheetId="7">#REF!</definedName>
    <definedName name="______________________MIX10" localSheetId="47">#REF!</definedName>
    <definedName name="______________________MIX10" localSheetId="1">#REF!</definedName>
    <definedName name="______________________MIX10">#REF!</definedName>
    <definedName name="______________________MIX15" localSheetId="7">#REF!</definedName>
    <definedName name="______________________MIX15" localSheetId="47">#REF!</definedName>
    <definedName name="______________________MIX15" localSheetId="1">#REF!</definedName>
    <definedName name="______________________MIX15">#REF!</definedName>
    <definedName name="______________________MIX15150" localSheetId="7">'[4]Mix Design'!#REF!</definedName>
    <definedName name="______________________MIX15150" localSheetId="47">'[4]Mix Design'!#REF!</definedName>
    <definedName name="______________________MIX15150" localSheetId="1">'[4]Mix Design'!#REF!</definedName>
    <definedName name="______________________MIX15150">'[4]Mix Design'!#REF!</definedName>
    <definedName name="______________________MIX1540">'[4]Mix Design'!$P$11</definedName>
    <definedName name="______________________MIX1580" localSheetId="7">'[4]Mix Design'!#REF!</definedName>
    <definedName name="______________________MIX1580" localSheetId="47">'[4]Mix Design'!#REF!</definedName>
    <definedName name="______________________MIX1580" localSheetId="1">'[4]Mix Design'!#REF!</definedName>
    <definedName name="______________________MIX1580">'[4]Mix Design'!#REF!</definedName>
    <definedName name="______________________MIX2">'[5]Mix Design'!$P$12</definedName>
    <definedName name="______________________MIX20" localSheetId="7">#REF!</definedName>
    <definedName name="______________________MIX20" localSheetId="47">#REF!</definedName>
    <definedName name="______________________MIX20" localSheetId="1">#REF!</definedName>
    <definedName name="______________________MIX20">#REF!</definedName>
    <definedName name="______________________MIX2020">'[4]Mix Design'!$P$12</definedName>
    <definedName name="______________________MIX2040">'[4]Mix Design'!$P$13</definedName>
    <definedName name="______________________MIX25" localSheetId="7">#REF!</definedName>
    <definedName name="______________________MIX25" localSheetId="47">#REF!</definedName>
    <definedName name="______________________MIX25" localSheetId="1">#REF!</definedName>
    <definedName name="______________________MIX25">#REF!</definedName>
    <definedName name="______________________MIX2540">'[4]Mix Design'!$P$15</definedName>
    <definedName name="______________________Mix255">'[6]Mix Design'!$P$13</definedName>
    <definedName name="______________________MIX30" localSheetId="7">#REF!</definedName>
    <definedName name="______________________MIX30" localSheetId="47">#REF!</definedName>
    <definedName name="______________________MIX30" localSheetId="1">#REF!</definedName>
    <definedName name="______________________MIX30">#REF!</definedName>
    <definedName name="______________________MIX35" localSheetId="7">#REF!</definedName>
    <definedName name="______________________MIX35" localSheetId="47">#REF!</definedName>
    <definedName name="______________________MIX35" localSheetId="1">#REF!</definedName>
    <definedName name="______________________MIX35">#REF!</definedName>
    <definedName name="______________________MIX40" localSheetId="7">#REF!</definedName>
    <definedName name="______________________MIX40" localSheetId="47">#REF!</definedName>
    <definedName name="______________________MIX40" localSheetId="1">#REF!</definedName>
    <definedName name="______________________MIX40">#REF!</definedName>
    <definedName name="______________________MIX45" localSheetId="7">'[4]Mix Design'!#REF!</definedName>
    <definedName name="______________________MIX45" localSheetId="47">'[4]Mix Design'!#REF!</definedName>
    <definedName name="______________________MIX45" localSheetId="1">'[4]Mix Design'!#REF!</definedName>
    <definedName name="______________________MIX45">'[4]Mix Design'!#REF!</definedName>
    <definedName name="______________________mm2" localSheetId="7">#REF!</definedName>
    <definedName name="______________________mm2" localSheetId="47">#REF!</definedName>
    <definedName name="______________________mm2" localSheetId="1">#REF!</definedName>
    <definedName name="______________________mm2">#REF!</definedName>
    <definedName name="______________________mm3" localSheetId="7">#REF!</definedName>
    <definedName name="______________________mm3" localSheetId="47">#REF!</definedName>
    <definedName name="______________________mm3" localSheetId="1">#REF!</definedName>
    <definedName name="______________________mm3">#REF!</definedName>
    <definedName name="______________________MUR5" localSheetId="7">#REF!</definedName>
    <definedName name="______________________MUR5" localSheetId="47">#REF!</definedName>
    <definedName name="______________________MUR5" localSheetId="1">#REF!</definedName>
    <definedName name="______________________MUR5">#REF!</definedName>
    <definedName name="______________________MUR8" localSheetId="7">#REF!</definedName>
    <definedName name="______________________MUR8" localSheetId="47">#REF!</definedName>
    <definedName name="______________________MUR8" localSheetId="1">#REF!</definedName>
    <definedName name="______________________MUR8">#REF!</definedName>
    <definedName name="______________________OPC43" localSheetId="7">#REF!</definedName>
    <definedName name="______________________OPC43" localSheetId="47">#REF!</definedName>
    <definedName name="______________________OPC43" localSheetId="1">#REF!</definedName>
    <definedName name="______________________OPC43">#REF!</definedName>
    <definedName name="______________________sh1">90</definedName>
    <definedName name="______________________sh2">120</definedName>
    <definedName name="______________________sh3">150</definedName>
    <definedName name="______________________sh4">180</definedName>
    <definedName name="______________________SLV10025" localSheetId="7">'[8]ANAL-PIPE LINE'!#REF!</definedName>
    <definedName name="______________________SLV10025" localSheetId="47">'[8]ANAL-PIPE LINE'!#REF!</definedName>
    <definedName name="______________________SLV10025" localSheetId="1">'[8]ANAL-PIPE LINE'!#REF!</definedName>
    <definedName name="______________________SLV10025">'[8]ANAL-PIPE LINE'!#REF!</definedName>
    <definedName name="______________________tab2" localSheetId="7">#REF!</definedName>
    <definedName name="______________________tab2" localSheetId="47">#REF!</definedName>
    <definedName name="______________________tab2" localSheetId="1">#REF!</definedName>
    <definedName name="______________________tab2">#REF!</definedName>
    <definedName name="______________________TIP1" localSheetId="7">#REF!</definedName>
    <definedName name="______________________TIP1" localSheetId="47">#REF!</definedName>
    <definedName name="______________________TIP1" localSheetId="1">#REF!</definedName>
    <definedName name="______________________TIP1">#REF!</definedName>
    <definedName name="______________________TIP2" localSheetId="7">#REF!</definedName>
    <definedName name="______________________TIP2" localSheetId="47">#REF!</definedName>
    <definedName name="______________________TIP2" localSheetId="1">#REF!</definedName>
    <definedName name="______________________TIP2">#REF!</definedName>
    <definedName name="______________________TIP3" localSheetId="7">#REF!</definedName>
    <definedName name="______________________TIP3" localSheetId="47">#REF!</definedName>
    <definedName name="______________________TIP3" localSheetId="1">#REF!</definedName>
    <definedName name="______________________TIP3">#REF!</definedName>
    <definedName name="_____________________A65537" localSheetId="7">#REF!</definedName>
    <definedName name="_____________________A65537" localSheetId="47">#REF!</definedName>
    <definedName name="_____________________A65537" localSheetId="1">#REF!</definedName>
    <definedName name="_____________________A65537">#REF!</definedName>
    <definedName name="_____________________ABM10" localSheetId="7">#REF!</definedName>
    <definedName name="_____________________ABM10" localSheetId="47">#REF!</definedName>
    <definedName name="_____________________ABM10" localSheetId="1">#REF!</definedName>
    <definedName name="_____________________ABM10">#REF!</definedName>
    <definedName name="_____________________ABM40" localSheetId="7">#REF!</definedName>
    <definedName name="_____________________ABM40" localSheetId="47">#REF!</definedName>
    <definedName name="_____________________ABM40" localSheetId="1">#REF!</definedName>
    <definedName name="_____________________ABM40">#REF!</definedName>
    <definedName name="_____________________ABM6" localSheetId="7">#REF!</definedName>
    <definedName name="_____________________ABM6" localSheetId="47">#REF!</definedName>
    <definedName name="_____________________ABM6" localSheetId="1">#REF!</definedName>
    <definedName name="_____________________ABM6">#REF!</definedName>
    <definedName name="_____________________ACB10" localSheetId="7">#REF!</definedName>
    <definedName name="_____________________ACB10" localSheetId="47">#REF!</definedName>
    <definedName name="_____________________ACB10" localSheetId="1">#REF!</definedName>
    <definedName name="_____________________ACB10">#REF!</definedName>
    <definedName name="_____________________ACB20" localSheetId="7">#REF!</definedName>
    <definedName name="_____________________ACB20" localSheetId="47">#REF!</definedName>
    <definedName name="_____________________ACB20" localSheetId="1">#REF!</definedName>
    <definedName name="_____________________ACB20">#REF!</definedName>
    <definedName name="_____________________ACR10" localSheetId="7">#REF!</definedName>
    <definedName name="_____________________ACR10" localSheetId="47">#REF!</definedName>
    <definedName name="_____________________ACR10" localSheetId="1">#REF!</definedName>
    <definedName name="_____________________ACR10">#REF!</definedName>
    <definedName name="_____________________ACR20" localSheetId="7">#REF!</definedName>
    <definedName name="_____________________ACR20" localSheetId="47">#REF!</definedName>
    <definedName name="_____________________ACR20" localSheetId="1">#REF!</definedName>
    <definedName name="_____________________ACR20">#REF!</definedName>
    <definedName name="_____________________AGG6" localSheetId="7">#REF!</definedName>
    <definedName name="_____________________AGG6" localSheetId="47">#REF!</definedName>
    <definedName name="_____________________AGG6" localSheetId="1">#REF!</definedName>
    <definedName name="_____________________AGG6">#REF!</definedName>
    <definedName name="_____________________AWM10" localSheetId="7">#REF!</definedName>
    <definedName name="_____________________AWM10" localSheetId="47">#REF!</definedName>
    <definedName name="_____________________AWM10" localSheetId="1">#REF!</definedName>
    <definedName name="_____________________AWM10">#REF!</definedName>
    <definedName name="_____________________AWM40" localSheetId="7">#REF!</definedName>
    <definedName name="_____________________AWM40" localSheetId="47">#REF!</definedName>
    <definedName name="_____________________AWM40" localSheetId="1">#REF!</definedName>
    <definedName name="_____________________AWM40">#REF!</definedName>
    <definedName name="_____________________AWM6" localSheetId="7">#REF!</definedName>
    <definedName name="_____________________AWM6" localSheetId="47">#REF!</definedName>
    <definedName name="_____________________AWM6" localSheetId="1">#REF!</definedName>
    <definedName name="_____________________AWM6">#REF!</definedName>
    <definedName name="_____________________CAN112">13.42</definedName>
    <definedName name="_____________________CAN113">12.98</definedName>
    <definedName name="_____________________CAN117">12.7</definedName>
    <definedName name="_____________________CAN118">13.27</definedName>
    <definedName name="_____________________CAN120">11.72</definedName>
    <definedName name="_____________________CAN210">10.38</definedName>
    <definedName name="_____________________CAN211">10.58</definedName>
    <definedName name="_____________________CAN213">10.56</definedName>
    <definedName name="_____________________CAN215">10.22</definedName>
    <definedName name="_____________________CAN216">9.61</definedName>
    <definedName name="_____________________CAN217">10.47</definedName>
    <definedName name="_____________________CAN219">10.91</definedName>
    <definedName name="_____________________CAN220">11.09</definedName>
    <definedName name="_____________________CAN221">11.25</definedName>
    <definedName name="_____________________CAN222">10.17</definedName>
    <definedName name="_____________________CAN223">9.89</definedName>
    <definedName name="_____________________CAN230">10.79</definedName>
    <definedName name="_____________________can421">40.2</definedName>
    <definedName name="_____________________can422">41.57</definedName>
    <definedName name="_____________________can423">43.9</definedName>
    <definedName name="_____________________can424">41.19</definedName>
    <definedName name="_____________________can425">42.81</definedName>
    <definedName name="_____________________can426">40.77</definedName>
    <definedName name="_____________________can427">40.92</definedName>
    <definedName name="_____________________can428">39.29</definedName>
    <definedName name="_____________________can429">45.19</definedName>
    <definedName name="_____________________can430">40.73</definedName>
    <definedName name="_____________________can431">42.52</definedName>
    <definedName name="_____________________can432">42.53</definedName>
    <definedName name="_____________________can433">43.69</definedName>
    <definedName name="_____________________can434">40.43</definedName>
    <definedName name="_____________________can435">43.3</definedName>
    <definedName name="_____________________CDG100" localSheetId="7">#REF!</definedName>
    <definedName name="_____________________CDG100" localSheetId="47">#REF!</definedName>
    <definedName name="_____________________CDG100" localSheetId="1">#REF!</definedName>
    <definedName name="_____________________CDG100">#REF!</definedName>
    <definedName name="_____________________CDG250" localSheetId="7">#REF!</definedName>
    <definedName name="_____________________CDG250" localSheetId="47">#REF!</definedName>
    <definedName name="_____________________CDG250" localSheetId="1">#REF!</definedName>
    <definedName name="_____________________CDG250">#REF!</definedName>
    <definedName name="_____________________CDG50" localSheetId="7">#REF!</definedName>
    <definedName name="_____________________CDG50" localSheetId="47">#REF!</definedName>
    <definedName name="_____________________CDG50" localSheetId="1">#REF!</definedName>
    <definedName name="_____________________CDG50">#REF!</definedName>
    <definedName name="_____________________CDG500" localSheetId="7">#REF!</definedName>
    <definedName name="_____________________CDG500" localSheetId="47">#REF!</definedName>
    <definedName name="_____________________CDG500" localSheetId="1">#REF!</definedName>
    <definedName name="_____________________CDG500">#REF!</definedName>
    <definedName name="_____________________CEM53" localSheetId="7">#REF!</definedName>
    <definedName name="_____________________CEM53" localSheetId="47">#REF!</definedName>
    <definedName name="_____________________CEM53" localSheetId="1">#REF!</definedName>
    <definedName name="_____________________CEM53">#REF!</definedName>
    <definedName name="_____________________CRN3" localSheetId="7">#REF!</definedName>
    <definedName name="_____________________CRN3" localSheetId="47">#REF!</definedName>
    <definedName name="_____________________CRN3" localSheetId="1">#REF!</definedName>
    <definedName name="_____________________CRN3">#REF!</definedName>
    <definedName name="_____________________CRN35" localSheetId="7">#REF!</definedName>
    <definedName name="_____________________CRN35" localSheetId="47">#REF!</definedName>
    <definedName name="_____________________CRN35" localSheetId="1">#REF!</definedName>
    <definedName name="_____________________CRN35">#REF!</definedName>
    <definedName name="_____________________CRN80" localSheetId="7">#REF!</definedName>
    <definedName name="_____________________CRN80" localSheetId="47">#REF!</definedName>
    <definedName name="_____________________CRN80" localSheetId="1">#REF!</definedName>
    <definedName name="_____________________CRN80">#REF!</definedName>
    <definedName name="_____________________dec05" localSheetId="7" hidden="1">{"'Sheet1'!$A$4386:$N$4591"}</definedName>
    <definedName name="_____________________dec05" localSheetId="47" hidden="1">{"'Sheet1'!$A$4386:$N$4591"}</definedName>
    <definedName name="_____________________dec05" localSheetId="1" hidden="1">{"'Sheet1'!$A$4386:$N$4591"}</definedName>
    <definedName name="_____________________dec05" hidden="1">{"'Sheet1'!$A$4386:$N$4591"}</definedName>
    <definedName name="_____________________DOZ50" localSheetId="7">#REF!</definedName>
    <definedName name="_____________________DOZ50" localSheetId="47">#REF!</definedName>
    <definedName name="_____________________DOZ50" localSheetId="1">#REF!</definedName>
    <definedName name="_____________________DOZ50">#REF!</definedName>
    <definedName name="_____________________DOZ80" localSheetId="7">#REF!</definedName>
    <definedName name="_____________________DOZ80" localSheetId="47">#REF!</definedName>
    <definedName name="_____________________DOZ80" localSheetId="1">#REF!</definedName>
    <definedName name="_____________________DOZ80">#REF!</definedName>
    <definedName name="_____________________EXC20">'[10]Rate Analysis '!$E$50</definedName>
    <definedName name="_____________________ExV200" localSheetId="7">#REF!</definedName>
    <definedName name="_____________________ExV200" localSheetId="47">#REF!</definedName>
    <definedName name="_____________________ExV200" localSheetId="1">#REF!</definedName>
    <definedName name="_____________________ExV200">#REF!</definedName>
    <definedName name="_____________________GEN100" localSheetId="7">#REF!</definedName>
    <definedName name="_____________________GEN100" localSheetId="47">#REF!</definedName>
    <definedName name="_____________________GEN100" localSheetId="1">#REF!</definedName>
    <definedName name="_____________________GEN100">#REF!</definedName>
    <definedName name="_____________________GEN250" localSheetId="7">#REF!</definedName>
    <definedName name="_____________________GEN250" localSheetId="47">#REF!</definedName>
    <definedName name="_____________________GEN250" localSheetId="1">#REF!</definedName>
    <definedName name="_____________________GEN250">#REF!</definedName>
    <definedName name="_____________________GEN325" localSheetId="7">#REF!</definedName>
    <definedName name="_____________________GEN325" localSheetId="47">#REF!</definedName>
    <definedName name="_____________________GEN325" localSheetId="1">#REF!</definedName>
    <definedName name="_____________________GEN325">#REF!</definedName>
    <definedName name="_____________________GEN380" localSheetId="7">#REF!</definedName>
    <definedName name="_____________________GEN380" localSheetId="47">#REF!</definedName>
    <definedName name="_____________________GEN380" localSheetId="1">#REF!</definedName>
    <definedName name="_____________________GEN380">#REF!</definedName>
    <definedName name="_____________________GSB1" localSheetId="7">#REF!</definedName>
    <definedName name="_____________________GSB1" localSheetId="47">#REF!</definedName>
    <definedName name="_____________________GSB1" localSheetId="1">#REF!</definedName>
    <definedName name="_____________________GSB1">#REF!</definedName>
    <definedName name="_____________________GSB2" localSheetId="7">#REF!</definedName>
    <definedName name="_____________________GSB2" localSheetId="47">#REF!</definedName>
    <definedName name="_____________________GSB2" localSheetId="1">#REF!</definedName>
    <definedName name="_____________________GSB2">#REF!</definedName>
    <definedName name="_____________________GSB3" localSheetId="7">#REF!</definedName>
    <definedName name="_____________________GSB3" localSheetId="47">#REF!</definedName>
    <definedName name="_____________________GSB3" localSheetId="1">#REF!</definedName>
    <definedName name="_____________________GSB3">#REF!</definedName>
    <definedName name="_____________________HMP1" localSheetId="7">#REF!</definedName>
    <definedName name="_____________________HMP1" localSheetId="47">#REF!</definedName>
    <definedName name="_____________________HMP1" localSheetId="1">#REF!</definedName>
    <definedName name="_____________________HMP1">#REF!</definedName>
    <definedName name="_____________________HMP2" localSheetId="7">#REF!</definedName>
    <definedName name="_____________________HMP2" localSheetId="47">#REF!</definedName>
    <definedName name="_____________________HMP2" localSheetId="1">#REF!</definedName>
    <definedName name="_____________________HMP2">#REF!</definedName>
    <definedName name="_____________________HMP3" localSheetId="7">#REF!</definedName>
    <definedName name="_____________________HMP3" localSheetId="47">#REF!</definedName>
    <definedName name="_____________________HMP3" localSheetId="1">#REF!</definedName>
    <definedName name="_____________________HMP3">#REF!</definedName>
    <definedName name="_____________________HMP4" localSheetId="7">#REF!</definedName>
    <definedName name="_____________________HMP4" localSheetId="47">#REF!</definedName>
    <definedName name="_____________________HMP4" localSheetId="1">#REF!</definedName>
    <definedName name="_____________________HMP4">#REF!</definedName>
    <definedName name="_____________________III7">"$C4.$#REF!$#REF!"</definedName>
    <definedName name="_____________________lb1" localSheetId="7">#REF!</definedName>
    <definedName name="_____________________lb1" localSheetId="47">#REF!</definedName>
    <definedName name="_____________________lb1" localSheetId="1">#REF!</definedName>
    <definedName name="_____________________lb1">#REF!</definedName>
    <definedName name="_____________________lb2" localSheetId="7">#REF!</definedName>
    <definedName name="_____________________lb2" localSheetId="47">#REF!</definedName>
    <definedName name="_____________________lb2" localSheetId="1">#REF!</definedName>
    <definedName name="_____________________lb2">#REF!</definedName>
    <definedName name="_____________________mac2">200</definedName>
    <definedName name="_____________________MIX10" localSheetId="7">#REF!</definedName>
    <definedName name="_____________________MIX10" localSheetId="47">#REF!</definedName>
    <definedName name="_____________________MIX10" localSheetId="1">#REF!</definedName>
    <definedName name="_____________________MIX10">#REF!</definedName>
    <definedName name="_____________________MIX15" localSheetId="7">#REF!</definedName>
    <definedName name="_____________________MIX15" localSheetId="47">#REF!</definedName>
    <definedName name="_____________________MIX15" localSheetId="1">#REF!</definedName>
    <definedName name="_____________________MIX15">#REF!</definedName>
    <definedName name="_____________________MIX15150" localSheetId="7">'[4]Mix Design'!#REF!</definedName>
    <definedName name="_____________________MIX15150" localSheetId="47">'[4]Mix Design'!#REF!</definedName>
    <definedName name="_____________________MIX15150" localSheetId="1">'[4]Mix Design'!#REF!</definedName>
    <definedName name="_____________________MIX15150">'[4]Mix Design'!#REF!</definedName>
    <definedName name="_____________________MIX1540">'[4]Mix Design'!$P$11</definedName>
    <definedName name="_____________________MIX1580" localSheetId="7">'[4]Mix Design'!#REF!</definedName>
    <definedName name="_____________________MIX1580" localSheetId="47">'[4]Mix Design'!#REF!</definedName>
    <definedName name="_____________________MIX1580" localSheetId="1">'[4]Mix Design'!#REF!</definedName>
    <definedName name="_____________________MIX1580">'[4]Mix Design'!#REF!</definedName>
    <definedName name="_____________________MIX2">'[5]Mix Design'!$P$12</definedName>
    <definedName name="_____________________MIX20" localSheetId="7">#REF!</definedName>
    <definedName name="_____________________MIX20" localSheetId="47">#REF!</definedName>
    <definedName name="_____________________MIX20" localSheetId="1">#REF!</definedName>
    <definedName name="_____________________MIX20">#REF!</definedName>
    <definedName name="_____________________MIX2020">'[4]Mix Design'!$P$12</definedName>
    <definedName name="_____________________MIX2040">'[4]Mix Design'!$P$13</definedName>
    <definedName name="_____________________MIX25" localSheetId="7">#REF!</definedName>
    <definedName name="_____________________MIX25" localSheetId="47">#REF!</definedName>
    <definedName name="_____________________MIX25" localSheetId="1">#REF!</definedName>
    <definedName name="_____________________MIX25">#REF!</definedName>
    <definedName name="_____________________MIX2540">'[4]Mix Design'!$P$15</definedName>
    <definedName name="_____________________Mix255">'[6]Mix Design'!$P$13</definedName>
    <definedName name="_____________________MIX30" localSheetId="7">#REF!</definedName>
    <definedName name="_____________________MIX30" localSheetId="47">#REF!</definedName>
    <definedName name="_____________________MIX30" localSheetId="1">#REF!</definedName>
    <definedName name="_____________________MIX30">#REF!</definedName>
    <definedName name="_____________________MIX35" localSheetId="7">#REF!</definedName>
    <definedName name="_____________________MIX35" localSheetId="47">#REF!</definedName>
    <definedName name="_____________________MIX35" localSheetId="1">#REF!</definedName>
    <definedName name="_____________________MIX35">#REF!</definedName>
    <definedName name="_____________________MIX40" localSheetId="7">#REF!</definedName>
    <definedName name="_____________________MIX40" localSheetId="47">#REF!</definedName>
    <definedName name="_____________________MIX40" localSheetId="1">#REF!</definedName>
    <definedName name="_____________________MIX40">#REF!</definedName>
    <definedName name="_____________________MIX45" localSheetId="7">'[4]Mix Design'!#REF!</definedName>
    <definedName name="_____________________MIX45" localSheetId="47">'[4]Mix Design'!#REF!</definedName>
    <definedName name="_____________________MIX45" localSheetId="1">'[4]Mix Design'!#REF!</definedName>
    <definedName name="_____________________MIX45">'[4]Mix Design'!#REF!</definedName>
    <definedName name="_____________________mm1" localSheetId="7">#REF!</definedName>
    <definedName name="_____________________mm1" localSheetId="47">#REF!</definedName>
    <definedName name="_____________________mm1" localSheetId="1">#REF!</definedName>
    <definedName name="_____________________mm1">#REF!</definedName>
    <definedName name="_____________________mm2" localSheetId="7">#REF!</definedName>
    <definedName name="_____________________mm2" localSheetId="47">#REF!</definedName>
    <definedName name="_____________________mm2" localSheetId="1">#REF!</definedName>
    <definedName name="_____________________mm2">#REF!</definedName>
    <definedName name="_____________________mm3" localSheetId="7">#REF!</definedName>
    <definedName name="_____________________mm3" localSheetId="47">#REF!</definedName>
    <definedName name="_____________________mm3" localSheetId="1">#REF!</definedName>
    <definedName name="_____________________mm3">#REF!</definedName>
    <definedName name="_____________________MUR5" localSheetId="7">#REF!</definedName>
    <definedName name="_____________________MUR5" localSheetId="47">#REF!</definedName>
    <definedName name="_____________________MUR5" localSheetId="1">#REF!</definedName>
    <definedName name="_____________________MUR5">#REF!</definedName>
    <definedName name="_____________________MUR8" localSheetId="7">#REF!</definedName>
    <definedName name="_____________________MUR8" localSheetId="47">#REF!</definedName>
    <definedName name="_____________________MUR8" localSheetId="1">#REF!</definedName>
    <definedName name="_____________________MUR8">#REF!</definedName>
    <definedName name="_____________________OPC43" localSheetId="7">#REF!</definedName>
    <definedName name="_____________________OPC43" localSheetId="47">#REF!</definedName>
    <definedName name="_____________________OPC43" localSheetId="1">#REF!</definedName>
    <definedName name="_____________________OPC43">#REF!</definedName>
    <definedName name="_____________________PPC53">'[11]Rate Analysis '!$E$19</definedName>
    <definedName name="_____________________sh1">90</definedName>
    <definedName name="_____________________sh2">120</definedName>
    <definedName name="_____________________sh3">150</definedName>
    <definedName name="_____________________sh4">180</definedName>
    <definedName name="_____________________SLV10025" localSheetId="7">'[8]ANAL-PIPE LINE'!#REF!</definedName>
    <definedName name="_____________________SLV10025" localSheetId="47">'[8]ANAL-PIPE LINE'!#REF!</definedName>
    <definedName name="_____________________SLV10025" localSheetId="1">'[8]ANAL-PIPE LINE'!#REF!</definedName>
    <definedName name="_____________________SLV10025">'[8]ANAL-PIPE LINE'!#REF!</definedName>
    <definedName name="_____________________tab1" localSheetId="7">#REF!</definedName>
    <definedName name="_____________________tab1" localSheetId="47">#REF!</definedName>
    <definedName name="_____________________tab1" localSheetId="1">#REF!</definedName>
    <definedName name="_____________________tab1">#REF!</definedName>
    <definedName name="_____________________tab2" localSheetId="7">#REF!</definedName>
    <definedName name="_____________________tab2" localSheetId="47">#REF!</definedName>
    <definedName name="_____________________tab2" localSheetId="1">#REF!</definedName>
    <definedName name="_____________________tab2">#REF!</definedName>
    <definedName name="_____________________TIP1" localSheetId="7">#REF!</definedName>
    <definedName name="_____________________TIP1" localSheetId="47">#REF!</definedName>
    <definedName name="_____________________TIP1" localSheetId="1">#REF!</definedName>
    <definedName name="_____________________TIP1">#REF!</definedName>
    <definedName name="_____________________TIP2" localSheetId="7">#REF!</definedName>
    <definedName name="_____________________TIP2" localSheetId="47">#REF!</definedName>
    <definedName name="_____________________TIP2" localSheetId="1">#REF!</definedName>
    <definedName name="_____________________TIP2">#REF!</definedName>
    <definedName name="_____________________TIP3" localSheetId="7">#REF!</definedName>
    <definedName name="_____________________TIP3" localSheetId="47">#REF!</definedName>
    <definedName name="_____________________TIP3" localSheetId="1">#REF!</definedName>
    <definedName name="_____________________TIP3">#REF!</definedName>
    <definedName name="____________________A65537" localSheetId="7">#REF!</definedName>
    <definedName name="____________________A65537" localSheetId="47">#REF!</definedName>
    <definedName name="____________________A65537" localSheetId="1">#REF!</definedName>
    <definedName name="____________________A65537">#REF!</definedName>
    <definedName name="____________________ABM10" localSheetId="7">#REF!</definedName>
    <definedName name="____________________ABM10" localSheetId="47">#REF!</definedName>
    <definedName name="____________________ABM10" localSheetId="1">#REF!</definedName>
    <definedName name="____________________ABM10">#REF!</definedName>
    <definedName name="____________________ABM40" localSheetId="7">#REF!</definedName>
    <definedName name="____________________ABM40" localSheetId="47">#REF!</definedName>
    <definedName name="____________________ABM40" localSheetId="1">#REF!</definedName>
    <definedName name="____________________ABM40">#REF!</definedName>
    <definedName name="____________________ABM6" localSheetId="7">#REF!</definedName>
    <definedName name="____________________ABM6" localSheetId="47">#REF!</definedName>
    <definedName name="____________________ABM6" localSheetId="1">#REF!</definedName>
    <definedName name="____________________ABM6">#REF!</definedName>
    <definedName name="____________________ACB10" localSheetId="7">#REF!</definedName>
    <definedName name="____________________ACB10" localSheetId="47">#REF!</definedName>
    <definedName name="____________________ACB10" localSheetId="1">#REF!</definedName>
    <definedName name="____________________ACB10">#REF!</definedName>
    <definedName name="____________________ACB20" localSheetId="7">#REF!</definedName>
    <definedName name="____________________ACB20" localSheetId="47">#REF!</definedName>
    <definedName name="____________________ACB20" localSheetId="1">#REF!</definedName>
    <definedName name="____________________ACB20">#REF!</definedName>
    <definedName name="____________________ACR10" localSheetId="7">#REF!</definedName>
    <definedName name="____________________ACR10" localSheetId="47">#REF!</definedName>
    <definedName name="____________________ACR10" localSheetId="1">#REF!</definedName>
    <definedName name="____________________ACR10">#REF!</definedName>
    <definedName name="____________________ACR20" localSheetId="7">#REF!</definedName>
    <definedName name="____________________ACR20" localSheetId="47">#REF!</definedName>
    <definedName name="____________________ACR20" localSheetId="1">#REF!</definedName>
    <definedName name="____________________ACR20">#REF!</definedName>
    <definedName name="____________________AGG6" localSheetId="7">#REF!</definedName>
    <definedName name="____________________AGG6" localSheetId="47">#REF!</definedName>
    <definedName name="____________________AGG6" localSheetId="1">#REF!</definedName>
    <definedName name="____________________AGG6">#REF!</definedName>
    <definedName name="____________________AWM10" localSheetId="7">#REF!</definedName>
    <definedName name="____________________AWM10" localSheetId="47">#REF!</definedName>
    <definedName name="____________________AWM10" localSheetId="1">#REF!</definedName>
    <definedName name="____________________AWM10">#REF!</definedName>
    <definedName name="____________________AWM40" localSheetId="7">#REF!</definedName>
    <definedName name="____________________AWM40" localSheetId="47">#REF!</definedName>
    <definedName name="____________________AWM40" localSheetId="1">#REF!</definedName>
    <definedName name="____________________AWM40">#REF!</definedName>
    <definedName name="____________________AWM6" localSheetId="7">#REF!</definedName>
    <definedName name="____________________AWM6" localSheetId="47">#REF!</definedName>
    <definedName name="____________________AWM6" localSheetId="1">#REF!</definedName>
    <definedName name="____________________AWM6">#REF!</definedName>
    <definedName name="____________________CAN112">13.42</definedName>
    <definedName name="____________________CAN113">12.98</definedName>
    <definedName name="____________________CAN117">12.7</definedName>
    <definedName name="____________________CAN118">13.27</definedName>
    <definedName name="____________________CAN120">11.72</definedName>
    <definedName name="____________________CAN210">10.38</definedName>
    <definedName name="____________________CAN211">10.58</definedName>
    <definedName name="____________________CAN213">10.56</definedName>
    <definedName name="____________________CAN215">10.22</definedName>
    <definedName name="____________________CAN216">9.61</definedName>
    <definedName name="____________________CAN217">10.47</definedName>
    <definedName name="____________________CAN219">10.91</definedName>
    <definedName name="____________________CAN220">11.09</definedName>
    <definedName name="____________________CAN221">11.25</definedName>
    <definedName name="____________________CAN222">10.17</definedName>
    <definedName name="____________________CAN223">9.89</definedName>
    <definedName name="____________________CAN230">10.79</definedName>
    <definedName name="____________________can421">40.2</definedName>
    <definedName name="____________________can422">41.57</definedName>
    <definedName name="____________________can423">43.9</definedName>
    <definedName name="____________________can424">41.19</definedName>
    <definedName name="____________________can425">42.81</definedName>
    <definedName name="____________________can426">40.77</definedName>
    <definedName name="____________________can427">40.92</definedName>
    <definedName name="____________________can428">39.29</definedName>
    <definedName name="____________________can429">45.19</definedName>
    <definedName name="____________________can430">40.73</definedName>
    <definedName name="____________________can431">42.52</definedName>
    <definedName name="____________________can432">42.53</definedName>
    <definedName name="____________________can433">43.69</definedName>
    <definedName name="____________________can434">40.43</definedName>
    <definedName name="____________________can435">43.3</definedName>
    <definedName name="____________________CDG100" localSheetId="7">#REF!</definedName>
    <definedName name="____________________CDG100" localSheetId="47">#REF!</definedName>
    <definedName name="____________________CDG100" localSheetId="1">#REF!</definedName>
    <definedName name="____________________CDG100">#REF!</definedName>
    <definedName name="____________________CDG250" localSheetId="7">#REF!</definedName>
    <definedName name="____________________CDG250" localSheetId="47">#REF!</definedName>
    <definedName name="____________________CDG250" localSheetId="1">#REF!</definedName>
    <definedName name="____________________CDG250">#REF!</definedName>
    <definedName name="____________________CDG50" localSheetId="7">#REF!</definedName>
    <definedName name="____________________CDG50" localSheetId="47">#REF!</definedName>
    <definedName name="____________________CDG50" localSheetId="1">#REF!</definedName>
    <definedName name="____________________CDG50">#REF!</definedName>
    <definedName name="____________________CDG500" localSheetId="7">#REF!</definedName>
    <definedName name="____________________CDG500" localSheetId="47">#REF!</definedName>
    <definedName name="____________________CDG500" localSheetId="1">#REF!</definedName>
    <definedName name="____________________CDG500">#REF!</definedName>
    <definedName name="____________________CEM53" localSheetId="7">#REF!</definedName>
    <definedName name="____________________CEM53" localSheetId="47">#REF!</definedName>
    <definedName name="____________________CEM53" localSheetId="1">#REF!</definedName>
    <definedName name="____________________CEM53">#REF!</definedName>
    <definedName name="____________________CRN3" localSheetId="7">#REF!</definedName>
    <definedName name="____________________CRN3" localSheetId="47">#REF!</definedName>
    <definedName name="____________________CRN3" localSheetId="1">#REF!</definedName>
    <definedName name="____________________CRN3">#REF!</definedName>
    <definedName name="____________________CRN35" localSheetId="7">#REF!</definedName>
    <definedName name="____________________CRN35" localSheetId="47">#REF!</definedName>
    <definedName name="____________________CRN35" localSheetId="1">#REF!</definedName>
    <definedName name="____________________CRN35">#REF!</definedName>
    <definedName name="____________________CRN80" localSheetId="7">#REF!</definedName>
    <definedName name="____________________CRN80" localSheetId="47">#REF!</definedName>
    <definedName name="____________________CRN80" localSheetId="1">#REF!</definedName>
    <definedName name="____________________CRN80">#REF!</definedName>
    <definedName name="____________________dec05" localSheetId="7" hidden="1">{"'Sheet1'!$A$4386:$N$4591"}</definedName>
    <definedName name="____________________dec05" localSheetId="47" hidden="1">{"'Sheet1'!$A$4386:$N$4591"}</definedName>
    <definedName name="____________________dec05" localSheetId="1" hidden="1">{"'Sheet1'!$A$4386:$N$4591"}</definedName>
    <definedName name="____________________dec05" hidden="1">{"'Sheet1'!$A$4386:$N$4591"}</definedName>
    <definedName name="____________________DOZ50" localSheetId="7">#REF!</definedName>
    <definedName name="____________________DOZ50" localSheetId="47">#REF!</definedName>
    <definedName name="____________________DOZ50" localSheetId="1">#REF!</definedName>
    <definedName name="____________________DOZ50">#REF!</definedName>
    <definedName name="____________________DOZ80" localSheetId="7">#REF!</definedName>
    <definedName name="____________________DOZ80" localSheetId="47">#REF!</definedName>
    <definedName name="____________________DOZ80" localSheetId="1">#REF!</definedName>
    <definedName name="____________________DOZ80">#REF!</definedName>
    <definedName name="____________________EXC20">'[10]Rate Analysis '!$E$50</definedName>
    <definedName name="____________________ExV200" localSheetId="7">#REF!</definedName>
    <definedName name="____________________ExV200" localSheetId="47">#REF!</definedName>
    <definedName name="____________________ExV200" localSheetId="1">#REF!</definedName>
    <definedName name="____________________ExV200">#REF!</definedName>
    <definedName name="____________________GEN100" localSheetId="7">#REF!</definedName>
    <definedName name="____________________GEN100" localSheetId="47">#REF!</definedName>
    <definedName name="____________________GEN100" localSheetId="1">#REF!</definedName>
    <definedName name="____________________GEN100">#REF!</definedName>
    <definedName name="____________________GEN250" localSheetId="7">#REF!</definedName>
    <definedName name="____________________GEN250" localSheetId="47">#REF!</definedName>
    <definedName name="____________________GEN250" localSheetId="1">#REF!</definedName>
    <definedName name="____________________GEN250">#REF!</definedName>
    <definedName name="____________________GEN325" localSheetId="7">#REF!</definedName>
    <definedName name="____________________GEN325" localSheetId="47">#REF!</definedName>
    <definedName name="____________________GEN325" localSheetId="1">#REF!</definedName>
    <definedName name="____________________GEN325">#REF!</definedName>
    <definedName name="____________________GEN380" localSheetId="7">#REF!</definedName>
    <definedName name="____________________GEN380" localSheetId="47">#REF!</definedName>
    <definedName name="____________________GEN380" localSheetId="1">#REF!</definedName>
    <definedName name="____________________GEN380">#REF!</definedName>
    <definedName name="____________________GSB1" localSheetId="7">#REF!</definedName>
    <definedName name="____________________GSB1" localSheetId="47">#REF!</definedName>
    <definedName name="____________________GSB1" localSheetId="1">#REF!</definedName>
    <definedName name="____________________GSB1">#REF!</definedName>
    <definedName name="____________________GSB2" localSheetId="7">#REF!</definedName>
    <definedName name="____________________GSB2" localSheetId="47">#REF!</definedName>
    <definedName name="____________________GSB2" localSheetId="1">#REF!</definedName>
    <definedName name="____________________GSB2">#REF!</definedName>
    <definedName name="____________________GSB3" localSheetId="7">#REF!</definedName>
    <definedName name="____________________GSB3" localSheetId="47">#REF!</definedName>
    <definedName name="____________________GSB3" localSheetId="1">#REF!</definedName>
    <definedName name="____________________GSB3">#REF!</definedName>
    <definedName name="____________________HMP1" localSheetId="7">#REF!</definedName>
    <definedName name="____________________HMP1" localSheetId="47">#REF!</definedName>
    <definedName name="____________________HMP1" localSheetId="1">#REF!</definedName>
    <definedName name="____________________HMP1">#REF!</definedName>
    <definedName name="____________________HMP2" localSheetId="7">#REF!</definedName>
    <definedName name="____________________HMP2" localSheetId="47">#REF!</definedName>
    <definedName name="____________________HMP2" localSheetId="1">#REF!</definedName>
    <definedName name="____________________HMP2">#REF!</definedName>
    <definedName name="____________________HMP3" localSheetId="7">#REF!</definedName>
    <definedName name="____________________HMP3" localSheetId="47">#REF!</definedName>
    <definedName name="____________________HMP3" localSheetId="1">#REF!</definedName>
    <definedName name="____________________HMP3">#REF!</definedName>
    <definedName name="____________________HMP4" localSheetId="7">#REF!</definedName>
    <definedName name="____________________HMP4" localSheetId="47">#REF!</definedName>
    <definedName name="____________________HMP4" localSheetId="1">#REF!</definedName>
    <definedName name="____________________HMP4">#REF!</definedName>
    <definedName name="____________________III7">"$C4.$#REF!$#REF!"</definedName>
    <definedName name="____________________lb1" localSheetId="7">#REF!</definedName>
    <definedName name="____________________lb1" localSheetId="47">#REF!</definedName>
    <definedName name="____________________lb1" localSheetId="1">#REF!</definedName>
    <definedName name="____________________lb1">#REF!</definedName>
    <definedName name="____________________lb2" localSheetId="7">#REF!</definedName>
    <definedName name="____________________lb2" localSheetId="47">#REF!</definedName>
    <definedName name="____________________lb2" localSheetId="1">#REF!</definedName>
    <definedName name="____________________lb2">#REF!</definedName>
    <definedName name="____________________mac2">200</definedName>
    <definedName name="____________________MIX10" localSheetId="7">#REF!</definedName>
    <definedName name="____________________MIX10" localSheetId="47">#REF!</definedName>
    <definedName name="____________________MIX10" localSheetId="1">#REF!</definedName>
    <definedName name="____________________MIX10">#REF!</definedName>
    <definedName name="____________________MIX15" localSheetId="7">#REF!</definedName>
    <definedName name="____________________MIX15" localSheetId="47">#REF!</definedName>
    <definedName name="____________________MIX15" localSheetId="1">#REF!</definedName>
    <definedName name="____________________MIX15">#REF!</definedName>
    <definedName name="____________________MIX15150" localSheetId="7">'[4]Mix Design'!#REF!</definedName>
    <definedName name="____________________MIX15150" localSheetId="47">'[4]Mix Design'!#REF!</definedName>
    <definedName name="____________________MIX15150" localSheetId="1">'[4]Mix Design'!#REF!</definedName>
    <definedName name="____________________MIX15150">'[4]Mix Design'!#REF!</definedName>
    <definedName name="____________________MIX1540">'[4]Mix Design'!$P$11</definedName>
    <definedName name="____________________MIX1580" localSheetId="7">'[4]Mix Design'!#REF!</definedName>
    <definedName name="____________________MIX1580" localSheetId="47">'[4]Mix Design'!#REF!</definedName>
    <definedName name="____________________MIX1580" localSheetId="1">'[4]Mix Design'!#REF!</definedName>
    <definedName name="____________________MIX1580">'[4]Mix Design'!#REF!</definedName>
    <definedName name="____________________MIX2">'[5]Mix Design'!$P$12</definedName>
    <definedName name="____________________MIX20" localSheetId="7">#REF!</definedName>
    <definedName name="____________________MIX20" localSheetId="47">#REF!</definedName>
    <definedName name="____________________MIX20" localSheetId="1">#REF!</definedName>
    <definedName name="____________________MIX20">#REF!</definedName>
    <definedName name="____________________MIX2020">'[4]Mix Design'!$P$12</definedName>
    <definedName name="____________________MIX2040">'[4]Mix Design'!$P$13</definedName>
    <definedName name="____________________MIX25" localSheetId="7">#REF!</definedName>
    <definedName name="____________________MIX25" localSheetId="47">#REF!</definedName>
    <definedName name="____________________MIX25" localSheetId="1">#REF!</definedName>
    <definedName name="____________________MIX25">#REF!</definedName>
    <definedName name="____________________MIX2540">'[4]Mix Design'!$P$15</definedName>
    <definedName name="____________________Mix255">'[6]Mix Design'!$P$13</definedName>
    <definedName name="____________________MIX30" localSheetId="7">#REF!</definedName>
    <definedName name="____________________MIX30" localSheetId="47">#REF!</definedName>
    <definedName name="____________________MIX30" localSheetId="1">#REF!</definedName>
    <definedName name="____________________MIX30">#REF!</definedName>
    <definedName name="____________________MIX35" localSheetId="7">#REF!</definedName>
    <definedName name="____________________MIX35" localSheetId="47">#REF!</definedName>
    <definedName name="____________________MIX35" localSheetId="1">#REF!</definedName>
    <definedName name="____________________MIX35">#REF!</definedName>
    <definedName name="____________________MIX40" localSheetId="7">#REF!</definedName>
    <definedName name="____________________MIX40" localSheetId="47">#REF!</definedName>
    <definedName name="____________________MIX40" localSheetId="1">#REF!</definedName>
    <definedName name="____________________MIX40">#REF!</definedName>
    <definedName name="____________________MIX45" localSheetId="7">'[4]Mix Design'!#REF!</definedName>
    <definedName name="____________________MIX45" localSheetId="47">'[4]Mix Design'!#REF!</definedName>
    <definedName name="____________________MIX45" localSheetId="1">'[4]Mix Design'!#REF!</definedName>
    <definedName name="____________________MIX45">'[4]Mix Design'!#REF!</definedName>
    <definedName name="____________________mm1" localSheetId="7">#REF!</definedName>
    <definedName name="____________________mm1" localSheetId="47">#REF!</definedName>
    <definedName name="____________________mm1" localSheetId="1">#REF!</definedName>
    <definedName name="____________________mm1">#REF!</definedName>
    <definedName name="____________________mm2" localSheetId="7">#REF!</definedName>
    <definedName name="____________________mm2" localSheetId="47">#REF!</definedName>
    <definedName name="____________________mm2" localSheetId="1">#REF!</definedName>
    <definedName name="____________________mm2">#REF!</definedName>
    <definedName name="____________________mm3" localSheetId="7">#REF!</definedName>
    <definedName name="____________________mm3" localSheetId="47">#REF!</definedName>
    <definedName name="____________________mm3" localSheetId="1">#REF!</definedName>
    <definedName name="____________________mm3">#REF!</definedName>
    <definedName name="____________________MUR5" localSheetId="7">#REF!</definedName>
    <definedName name="____________________MUR5" localSheetId="47">#REF!</definedName>
    <definedName name="____________________MUR5" localSheetId="1">#REF!</definedName>
    <definedName name="____________________MUR5">#REF!</definedName>
    <definedName name="____________________MUR8" localSheetId="7">#REF!</definedName>
    <definedName name="____________________MUR8" localSheetId="47">#REF!</definedName>
    <definedName name="____________________MUR8" localSheetId="1">#REF!</definedName>
    <definedName name="____________________MUR8">#REF!</definedName>
    <definedName name="____________________OPC43" localSheetId="7">#REF!</definedName>
    <definedName name="____________________OPC43" localSheetId="47">#REF!</definedName>
    <definedName name="____________________OPC43" localSheetId="1">#REF!</definedName>
    <definedName name="____________________OPC43">#REF!</definedName>
    <definedName name="____________________PPC53">'[12]Rate Analysis '!$E$19</definedName>
    <definedName name="____________________sh1">90</definedName>
    <definedName name="____________________sh2">120</definedName>
    <definedName name="____________________sh3">150</definedName>
    <definedName name="____________________sh4">180</definedName>
    <definedName name="____________________SLV10025" localSheetId="7">'[8]ANAL-PIPE LINE'!#REF!</definedName>
    <definedName name="____________________SLV10025" localSheetId="47">'[8]ANAL-PIPE LINE'!#REF!</definedName>
    <definedName name="____________________SLV10025" localSheetId="1">'[8]ANAL-PIPE LINE'!#REF!</definedName>
    <definedName name="____________________SLV10025">'[8]ANAL-PIPE LINE'!#REF!</definedName>
    <definedName name="____________________tab1" localSheetId="7">#REF!</definedName>
    <definedName name="____________________tab1" localSheetId="47">#REF!</definedName>
    <definedName name="____________________tab1" localSheetId="1">#REF!</definedName>
    <definedName name="____________________tab1">#REF!</definedName>
    <definedName name="____________________tab2" localSheetId="7">#REF!</definedName>
    <definedName name="____________________tab2" localSheetId="47">#REF!</definedName>
    <definedName name="____________________tab2" localSheetId="1">#REF!</definedName>
    <definedName name="____________________tab2">#REF!</definedName>
    <definedName name="____________________TIP1" localSheetId="7">#REF!</definedName>
    <definedName name="____________________TIP1" localSheetId="47">#REF!</definedName>
    <definedName name="____________________TIP1" localSheetId="1">#REF!</definedName>
    <definedName name="____________________TIP1">#REF!</definedName>
    <definedName name="____________________TIP2" localSheetId="7">#REF!</definedName>
    <definedName name="____________________TIP2" localSheetId="47">#REF!</definedName>
    <definedName name="____________________TIP2" localSheetId="1">#REF!</definedName>
    <definedName name="____________________TIP2">#REF!</definedName>
    <definedName name="____________________TIP3" localSheetId="7">#REF!</definedName>
    <definedName name="____________________TIP3" localSheetId="47">#REF!</definedName>
    <definedName name="____________________TIP3" localSheetId="1">#REF!</definedName>
    <definedName name="____________________TIP3">#REF!</definedName>
    <definedName name="___________________A65537" localSheetId="7">#REF!</definedName>
    <definedName name="___________________A65537" localSheetId="47">#REF!</definedName>
    <definedName name="___________________A65537" localSheetId="1">#REF!</definedName>
    <definedName name="___________________A65537">#REF!</definedName>
    <definedName name="___________________ABM10" localSheetId="7">#REF!</definedName>
    <definedName name="___________________ABM10" localSheetId="47">#REF!</definedName>
    <definedName name="___________________ABM10" localSheetId="1">#REF!</definedName>
    <definedName name="___________________ABM10">#REF!</definedName>
    <definedName name="___________________ABM40" localSheetId="7">#REF!</definedName>
    <definedName name="___________________ABM40" localSheetId="47">#REF!</definedName>
    <definedName name="___________________ABM40" localSheetId="1">#REF!</definedName>
    <definedName name="___________________ABM40">#REF!</definedName>
    <definedName name="___________________ABM6" localSheetId="7">#REF!</definedName>
    <definedName name="___________________ABM6" localSheetId="47">#REF!</definedName>
    <definedName name="___________________ABM6" localSheetId="1">#REF!</definedName>
    <definedName name="___________________ABM6">#REF!</definedName>
    <definedName name="___________________ACB10" localSheetId="7">#REF!</definedName>
    <definedName name="___________________ACB10" localSheetId="47">#REF!</definedName>
    <definedName name="___________________ACB10" localSheetId="1">#REF!</definedName>
    <definedName name="___________________ACB10">#REF!</definedName>
    <definedName name="___________________ACB20" localSheetId="7">#REF!</definedName>
    <definedName name="___________________ACB20" localSheetId="47">#REF!</definedName>
    <definedName name="___________________ACB20" localSheetId="1">#REF!</definedName>
    <definedName name="___________________ACB20">#REF!</definedName>
    <definedName name="___________________ACR10" localSheetId="7">#REF!</definedName>
    <definedName name="___________________ACR10" localSheetId="47">#REF!</definedName>
    <definedName name="___________________ACR10" localSheetId="1">#REF!</definedName>
    <definedName name="___________________ACR10">#REF!</definedName>
    <definedName name="___________________ACR20" localSheetId="7">#REF!</definedName>
    <definedName name="___________________ACR20" localSheetId="47">#REF!</definedName>
    <definedName name="___________________ACR20" localSheetId="1">#REF!</definedName>
    <definedName name="___________________ACR20">#REF!</definedName>
    <definedName name="___________________AGG6" localSheetId="7">#REF!</definedName>
    <definedName name="___________________AGG6" localSheetId="47">#REF!</definedName>
    <definedName name="___________________AGG6" localSheetId="1">#REF!</definedName>
    <definedName name="___________________AGG6">#REF!</definedName>
    <definedName name="___________________ash1" localSheetId="7">[13]ANAL!#REF!</definedName>
    <definedName name="___________________ash1" localSheetId="47">[13]ANAL!#REF!</definedName>
    <definedName name="___________________ash1" localSheetId="1">[13]ANAL!#REF!</definedName>
    <definedName name="___________________ash1">[13]ANAL!#REF!</definedName>
    <definedName name="___________________AWM10" localSheetId="7">#REF!</definedName>
    <definedName name="___________________AWM10" localSheetId="47">#REF!</definedName>
    <definedName name="___________________AWM10" localSheetId="1">#REF!</definedName>
    <definedName name="___________________AWM10">#REF!</definedName>
    <definedName name="___________________AWM40" localSheetId="7">#REF!</definedName>
    <definedName name="___________________AWM40" localSheetId="47">#REF!</definedName>
    <definedName name="___________________AWM40" localSheetId="1">#REF!</definedName>
    <definedName name="___________________AWM40">#REF!</definedName>
    <definedName name="___________________AWM6" localSheetId="7">#REF!</definedName>
    <definedName name="___________________AWM6" localSheetId="47">#REF!</definedName>
    <definedName name="___________________AWM6" localSheetId="1">#REF!</definedName>
    <definedName name="___________________AWM6">#REF!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 localSheetId="7">[14]PROCTOR!#REF!</definedName>
    <definedName name="___________________CAN458" localSheetId="47">[14]PROCTOR!#REF!</definedName>
    <definedName name="___________________CAN458" localSheetId="1">[14]PROCTOR!#REF!</definedName>
    <definedName name="___________________CAN458">[14]PROCTOR!#REF!</definedName>
    <definedName name="___________________CAN486" localSheetId="7">[14]PROCTOR!#REF!</definedName>
    <definedName name="___________________CAN486" localSheetId="47">[14]PROCTOR!#REF!</definedName>
    <definedName name="___________________CAN486" localSheetId="1">[14]PROCTOR!#REF!</definedName>
    <definedName name="___________________CAN486">[14]PROCTOR!#REF!</definedName>
    <definedName name="___________________CAN487" localSheetId="7">[14]PROCTOR!#REF!</definedName>
    <definedName name="___________________CAN487" localSheetId="47">[14]PROCTOR!#REF!</definedName>
    <definedName name="___________________CAN487" localSheetId="1">[14]PROCTOR!#REF!</definedName>
    <definedName name="___________________CAN487">[14]PROCTOR!#REF!</definedName>
    <definedName name="___________________CAN488" localSheetId="7">[14]PROCTOR!#REF!</definedName>
    <definedName name="___________________CAN488" localSheetId="47">[14]PROCTOR!#REF!</definedName>
    <definedName name="___________________CAN488" localSheetId="1">[14]PROCTOR!#REF!</definedName>
    <definedName name="___________________CAN488">[14]PROCTOR!#REF!</definedName>
    <definedName name="___________________CAN489" localSheetId="7">[14]PROCTOR!#REF!</definedName>
    <definedName name="___________________CAN489" localSheetId="47">[14]PROCTOR!#REF!</definedName>
    <definedName name="___________________CAN489" localSheetId="1">[14]PROCTOR!#REF!</definedName>
    <definedName name="___________________CAN489">[14]PROCTOR!#REF!</definedName>
    <definedName name="___________________CAN490" localSheetId="7">[14]PROCTOR!#REF!</definedName>
    <definedName name="___________________CAN490" localSheetId="47">[14]PROCTOR!#REF!</definedName>
    <definedName name="___________________CAN490" localSheetId="1">[14]PROCTOR!#REF!</definedName>
    <definedName name="___________________CAN490">[14]PROCTOR!#REF!</definedName>
    <definedName name="___________________CAN491" localSheetId="7">[14]PROCTOR!#REF!</definedName>
    <definedName name="___________________CAN491" localSheetId="47">[14]PROCTOR!#REF!</definedName>
    <definedName name="___________________CAN491" localSheetId="1">[14]PROCTOR!#REF!</definedName>
    <definedName name="___________________CAN491">[14]PROCTOR!#REF!</definedName>
    <definedName name="___________________CAN492" localSheetId="7">[14]PROCTOR!#REF!</definedName>
    <definedName name="___________________CAN492" localSheetId="47">[14]PROCTOR!#REF!</definedName>
    <definedName name="___________________CAN492" localSheetId="1">[14]PROCTOR!#REF!</definedName>
    <definedName name="___________________CAN492">[14]PROCTOR!#REF!</definedName>
    <definedName name="___________________CAN493" localSheetId="7">[14]PROCTOR!#REF!</definedName>
    <definedName name="___________________CAN493" localSheetId="47">[14]PROCTOR!#REF!</definedName>
    <definedName name="___________________CAN493" localSheetId="1">[14]PROCTOR!#REF!</definedName>
    <definedName name="___________________CAN493">[14]PROCTOR!#REF!</definedName>
    <definedName name="___________________CAN494" localSheetId="7">[14]PROCTOR!#REF!</definedName>
    <definedName name="___________________CAN494" localSheetId="47">[14]PROCTOR!#REF!</definedName>
    <definedName name="___________________CAN494" localSheetId="1">[14]PROCTOR!#REF!</definedName>
    <definedName name="___________________CAN494">[14]PROCTOR!#REF!</definedName>
    <definedName name="___________________CAN495" localSheetId="7">[14]PROCTOR!#REF!</definedName>
    <definedName name="___________________CAN495" localSheetId="47">[14]PROCTOR!#REF!</definedName>
    <definedName name="___________________CAN495" localSheetId="1">[14]PROCTOR!#REF!</definedName>
    <definedName name="___________________CAN495">[14]PROCTOR!#REF!</definedName>
    <definedName name="___________________CAN496" localSheetId="7">[14]PROCTOR!#REF!</definedName>
    <definedName name="___________________CAN496" localSheetId="47">[14]PROCTOR!#REF!</definedName>
    <definedName name="___________________CAN496" localSheetId="1">[14]PROCTOR!#REF!</definedName>
    <definedName name="___________________CAN496">[14]PROCTOR!#REF!</definedName>
    <definedName name="___________________CAN497" localSheetId="7">[14]PROCTOR!#REF!</definedName>
    <definedName name="___________________CAN497" localSheetId="47">[14]PROCTOR!#REF!</definedName>
    <definedName name="___________________CAN497" localSheetId="1">[14]PROCTOR!#REF!</definedName>
    <definedName name="___________________CAN497">[14]PROCTOR!#REF!</definedName>
    <definedName name="___________________CAN498" localSheetId="7">[14]PROCTOR!#REF!</definedName>
    <definedName name="___________________CAN498" localSheetId="47">[14]PROCTOR!#REF!</definedName>
    <definedName name="___________________CAN498" localSheetId="1">[14]PROCTOR!#REF!</definedName>
    <definedName name="___________________CAN498">[14]PROCTOR!#REF!</definedName>
    <definedName name="___________________CAN499" localSheetId="7">[14]PROCTOR!#REF!</definedName>
    <definedName name="___________________CAN499" localSheetId="47">[14]PROCTOR!#REF!</definedName>
    <definedName name="___________________CAN499" localSheetId="1">[14]PROCTOR!#REF!</definedName>
    <definedName name="___________________CAN499">[14]PROCTOR!#REF!</definedName>
    <definedName name="___________________CAN500" localSheetId="7">[14]PROCTOR!#REF!</definedName>
    <definedName name="___________________CAN500" localSheetId="47">[14]PROCTOR!#REF!</definedName>
    <definedName name="___________________CAN500" localSheetId="1">[14]PROCTOR!#REF!</definedName>
    <definedName name="___________________CAN500">[14]PROCTOR!#REF!</definedName>
    <definedName name="___________________CDG100" localSheetId="7">#REF!</definedName>
    <definedName name="___________________CDG100" localSheetId="47">#REF!</definedName>
    <definedName name="___________________CDG100" localSheetId="1">#REF!</definedName>
    <definedName name="___________________CDG100">#REF!</definedName>
    <definedName name="___________________CDG250" localSheetId="7">#REF!</definedName>
    <definedName name="___________________CDG250" localSheetId="47">#REF!</definedName>
    <definedName name="___________________CDG250" localSheetId="1">#REF!</definedName>
    <definedName name="___________________CDG250">#REF!</definedName>
    <definedName name="___________________CDG50" localSheetId="7">#REF!</definedName>
    <definedName name="___________________CDG50" localSheetId="47">#REF!</definedName>
    <definedName name="___________________CDG50" localSheetId="1">#REF!</definedName>
    <definedName name="___________________CDG50">#REF!</definedName>
    <definedName name="___________________CDG500" localSheetId="7">#REF!</definedName>
    <definedName name="___________________CDG500" localSheetId="47">#REF!</definedName>
    <definedName name="___________________CDG500" localSheetId="1">#REF!</definedName>
    <definedName name="___________________CDG500">#REF!</definedName>
    <definedName name="___________________CEM53" localSheetId="7">#REF!</definedName>
    <definedName name="___________________CEM53" localSheetId="47">#REF!</definedName>
    <definedName name="___________________CEM53" localSheetId="1">#REF!</definedName>
    <definedName name="___________________CEM53">#REF!</definedName>
    <definedName name="___________________CRN3" localSheetId="7">#REF!</definedName>
    <definedName name="___________________CRN3" localSheetId="47">#REF!</definedName>
    <definedName name="___________________CRN3" localSheetId="1">#REF!</definedName>
    <definedName name="___________________CRN3">#REF!</definedName>
    <definedName name="___________________CRN35" localSheetId="7">#REF!</definedName>
    <definedName name="___________________CRN35" localSheetId="47">#REF!</definedName>
    <definedName name="___________________CRN35" localSheetId="1">#REF!</definedName>
    <definedName name="___________________CRN35">#REF!</definedName>
    <definedName name="___________________CRN80" localSheetId="7">#REF!</definedName>
    <definedName name="___________________CRN80" localSheetId="47">#REF!</definedName>
    <definedName name="___________________CRN80" localSheetId="1">#REF!</definedName>
    <definedName name="___________________CRN80">#REF!</definedName>
    <definedName name="___________________dec05" localSheetId="7" hidden="1">{"'Sheet1'!$A$4386:$N$4591"}</definedName>
    <definedName name="___________________dec05" localSheetId="47" hidden="1">{"'Sheet1'!$A$4386:$N$4591"}</definedName>
    <definedName name="___________________dec05" localSheetId="1" hidden="1">{"'Sheet1'!$A$4386:$N$4591"}</definedName>
    <definedName name="___________________dec05" hidden="1">{"'Sheet1'!$A$4386:$N$4591"}</definedName>
    <definedName name="___________________DOZ50" localSheetId="7">#REF!</definedName>
    <definedName name="___________________DOZ50" localSheetId="47">#REF!</definedName>
    <definedName name="___________________DOZ50" localSheetId="1">#REF!</definedName>
    <definedName name="___________________DOZ50">#REF!</definedName>
    <definedName name="___________________DOZ80" localSheetId="7">#REF!</definedName>
    <definedName name="___________________DOZ80" localSheetId="47">#REF!</definedName>
    <definedName name="___________________DOZ80" localSheetId="1">#REF!</definedName>
    <definedName name="___________________DOZ80">#REF!</definedName>
    <definedName name="___________________EXC20">'[10]Rate Analysis '!$E$50</definedName>
    <definedName name="___________________ExV200" localSheetId="7">#REF!</definedName>
    <definedName name="___________________ExV200" localSheetId="47">#REF!</definedName>
    <definedName name="___________________ExV200" localSheetId="1">#REF!</definedName>
    <definedName name="___________________ExV200">#REF!</definedName>
    <definedName name="___________________GEN100" localSheetId="7">#REF!</definedName>
    <definedName name="___________________GEN100" localSheetId="47">#REF!</definedName>
    <definedName name="___________________GEN100" localSheetId="1">#REF!</definedName>
    <definedName name="___________________GEN100">#REF!</definedName>
    <definedName name="___________________GEN250" localSheetId="7">#REF!</definedName>
    <definedName name="___________________GEN250" localSheetId="47">#REF!</definedName>
    <definedName name="___________________GEN250" localSheetId="1">#REF!</definedName>
    <definedName name="___________________GEN250">#REF!</definedName>
    <definedName name="___________________GEN325" localSheetId="7">#REF!</definedName>
    <definedName name="___________________GEN325" localSheetId="47">#REF!</definedName>
    <definedName name="___________________GEN325" localSheetId="1">#REF!</definedName>
    <definedName name="___________________GEN325">#REF!</definedName>
    <definedName name="___________________GEN380" localSheetId="7">#REF!</definedName>
    <definedName name="___________________GEN380" localSheetId="47">#REF!</definedName>
    <definedName name="___________________GEN380" localSheetId="1">#REF!</definedName>
    <definedName name="___________________GEN380">#REF!</definedName>
    <definedName name="___________________GSB1" localSheetId="7">#REF!</definedName>
    <definedName name="___________________GSB1" localSheetId="47">#REF!</definedName>
    <definedName name="___________________GSB1" localSheetId="1">#REF!</definedName>
    <definedName name="___________________GSB1">#REF!</definedName>
    <definedName name="___________________GSB2" localSheetId="7">#REF!</definedName>
    <definedName name="___________________GSB2" localSheetId="47">#REF!</definedName>
    <definedName name="___________________GSB2" localSheetId="1">#REF!</definedName>
    <definedName name="___________________GSB2">#REF!</definedName>
    <definedName name="___________________GSB3" localSheetId="7">#REF!</definedName>
    <definedName name="___________________GSB3" localSheetId="47">#REF!</definedName>
    <definedName name="___________________GSB3" localSheetId="1">#REF!</definedName>
    <definedName name="___________________GSB3">#REF!</definedName>
    <definedName name="___________________HMP1" localSheetId="7">#REF!</definedName>
    <definedName name="___________________HMP1" localSheetId="47">#REF!</definedName>
    <definedName name="___________________HMP1" localSheetId="1">#REF!</definedName>
    <definedName name="___________________HMP1">#REF!</definedName>
    <definedName name="___________________HMP2" localSheetId="7">#REF!</definedName>
    <definedName name="___________________HMP2" localSheetId="47">#REF!</definedName>
    <definedName name="___________________HMP2" localSheetId="1">#REF!</definedName>
    <definedName name="___________________HMP2">#REF!</definedName>
    <definedName name="___________________HMP3" localSheetId="7">#REF!</definedName>
    <definedName name="___________________HMP3" localSheetId="47">#REF!</definedName>
    <definedName name="___________________HMP3" localSheetId="1">#REF!</definedName>
    <definedName name="___________________HMP3">#REF!</definedName>
    <definedName name="___________________HMP4" localSheetId="7">#REF!</definedName>
    <definedName name="___________________HMP4" localSheetId="47">#REF!</definedName>
    <definedName name="___________________HMP4" localSheetId="1">#REF!</definedName>
    <definedName name="___________________HMP4">#REF!</definedName>
    <definedName name="___________________III7">"$C4.$#REF!$#REF!"</definedName>
    <definedName name="___________________lb1" localSheetId="7">#REF!</definedName>
    <definedName name="___________________lb1" localSheetId="47">#REF!</definedName>
    <definedName name="___________________lb1" localSheetId="1">#REF!</definedName>
    <definedName name="___________________lb1">#REF!</definedName>
    <definedName name="___________________lb2" localSheetId="7">#REF!</definedName>
    <definedName name="___________________lb2" localSheetId="47">#REF!</definedName>
    <definedName name="___________________lb2" localSheetId="1">#REF!</definedName>
    <definedName name="___________________lb2">#REF!</definedName>
    <definedName name="___________________mac2">200</definedName>
    <definedName name="___________________MIX10" localSheetId="7">#REF!</definedName>
    <definedName name="___________________MIX10" localSheetId="47">#REF!</definedName>
    <definedName name="___________________MIX10" localSheetId="1">#REF!</definedName>
    <definedName name="___________________MIX10">#REF!</definedName>
    <definedName name="___________________MIX15" localSheetId="7">#REF!</definedName>
    <definedName name="___________________MIX15" localSheetId="47">#REF!</definedName>
    <definedName name="___________________MIX15" localSheetId="1">#REF!</definedName>
    <definedName name="___________________MIX15">#REF!</definedName>
    <definedName name="___________________MIX15150" localSheetId="7">'[4]Mix Design'!#REF!</definedName>
    <definedName name="___________________MIX15150" localSheetId="47">'[4]Mix Design'!#REF!</definedName>
    <definedName name="___________________MIX15150" localSheetId="1">'[4]Mix Design'!#REF!</definedName>
    <definedName name="___________________MIX15150">'[4]Mix Design'!#REF!</definedName>
    <definedName name="___________________MIX1540">'[4]Mix Design'!$P$11</definedName>
    <definedName name="___________________MIX1580" localSheetId="7">'[4]Mix Design'!#REF!</definedName>
    <definedName name="___________________MIX1580" localSheetId="47">'[4]Mix Design'!#REF!</definedName>
    <definedName name="___________________MIX1580" localSheetId="1">'[4]Mix Design'!#REF!</definedName>
    <definedName name="___________________MIX1580">'[4]Mix Design'!#REF!</definedName>
    <definedName name="___________________MIX2">'[5]Mix Design'!$P$12</definedName>
    <definedName name="___________________MIX20" localSheetId="7">#REF!</definedName>
    <definedName name="___________________MIX20" localSheetId="47">#REF!</definedName>
    <definedName name="___________________MIX20" localSheetId="1">#REF!</definedName>
    <definedName name="___________________MIX20">#REF!</definedName>
    <definedName name="___________________MIX2020">'[4]Mix Design'!$P$12</definedName>
    <definedName name="___________________MIX2040">'[4]Mix Design'!$P$13</definedName>
    <definedName name="___________________MIX25" localSheetId="7">#REF!</definedName>
    <definedName name="___________________MIX25" localSheetId="47">#REF!</definedName>
    <definedName name="___________________MIX25" localSheetId="1">#REF!</definedName>
    <definedName name="___________________MIX25">#REF!</definedName>
    <definedName name="___________________MIX2540">'[4]Mix Design'!$P$15</definedName>
    <definedName name="___________________Mix255">'[6]Mix Design'!$P$13</definedName>
    <definedName name="___________________MIX30" localSheetId="7">#REF!</definedName>
    <definedName name="___________________MIX30" localSheetId="47">#REF!</definedName>
    <definedName name="___________________MIX30" localSheetId="1">#REF!</definedName>
    <definedName name="___________________MIX30">#REF!</definedName>
    <definedName name="___________________MIX35" localSheetId="7">#REF!</definedName>
    <definedName name="___________________MIX35" localSheetId="47">#REF!</definedName>
    <definedName name="___________________MIX35" localSheetId="1">#REF!</definedName>
    <definedName name="___________________MIX35">#REF!</definedName>
    <definedName name="___________________MIX40" localSheetId="7">#REF!</definedName>
    <definedName name="___________________MIX40" localSheetId="47">#REF!</definedName>
    <definedName name="___________________MIX40" localSheetId="1">#REF!</definedName>
    <definedName name="___________________MIX40">#REF!</definedName>
    <definedName name="___________________MIX45" localSheetId="7">'[4]Mix Design'!#REF!</definedName>
    <definedName name="___________________MIX45" localSheetId="47">'[4]Mix Design'!#REF!</definedName>
    <definedName name="___________________MIX45" localSheetId="1">'[4]Mix Design'!#REF!</definedName>
    <definedName name="___________________MIX45">'[4]Mix Design'!#REF!</definedName>
    <definedName name="___________________mm1" localSheetId="7">#REF!</definedName>
    <definedName name="___________________mm1" localSheetId="47">#REF!</definedName>
    <definedName name="___________________mm1" localSheetId="1">#REF!</definedName>
    <definedName name="___________________mm1">#REF!</definedName>
    <definedName name="___________________mm2" localSheetId="7">#REF!</definedName>
    <definedName name="___________________mm2" localSheetId="47">#REF!</definedName>
    <definedName name="___________________mm2" localSheetId="1">#REF!</definedName>
    <definedName name="___________________mm2">#REF!</definedName>
    <definedName name="___________________mm3" localSheetId="7">#REF!</definedName>
    <definedName name="___________________mm3" localSheetId="47">#REF!</definedName>
    <definedName name="___________________mm3" localSheetId="1">#REF!</definedName>
    <definedName name="___________________mm3">#REF!</definedName>
    <definedName name="___________________MUR5" localSheetId="7">#REF!</definedName>
    <definedName name="___________________MUR5" localSheetId="47">#REF!</definedName>
    <definedName name="___________________MUR5" localSheetId="1">#REF!</definedName>
    <definedName name="___________________MUR5">#REF!</definedName>
    <definedName name="___________________MUR8" localSheetId="7">#REF!</definedName>
    <definedName name="___________________MUR8" localSheetId="47">#REF!</definedName>
    <definedName name="___________________MUR8" localSheetId="1">#REF!</definedName>
    <definedName name="___________________MUR8">#REF!</definedName>
    <definedName name="___________________OPC43" localSheetId="7">#REF!</definedName>
    <definedName name="___________________OPC43" localSheetId="47">#REF!</definedName>
    <definedName name="___________________OPC43" localSheetId="1">#REF!</definedName>
    <definedName name="___________________OPC43">#REF!</definedName>
    <definedName name="___________________PPC53">'[12]Rate Analysis '!$E$19</definedName>
    <definedName name="___________________sh1">90</definedName>
    <definedName name="___________________sh2">120</definedName>
    <definedName name="___________________sh3">150</definedName>
    <definedName name="___________________sh4">180</definedName>
    <definedName name="___________________SLV10025" localSheetId="7">'[8]ANAL-PIPE LINE'!#REF!</definedName>
    <definedName name="___________________SLV10025" localSheetId="47">'[8]ANAL-PIPE LINE'!#REF!</definedName>
    <definedName name="___________________SLV10025" localSheetId="1">'[8]ANAL-PIPE LINE'!#REF!</definedName>
    <definedName name="___________________SLV10025">'[8]ANAL-PIPE LINE'!#REF!</definedName>
    <definedName name="___________________tab1" localSheetId="7">#REF!</definedName>
    <definedName name="___________________tab1" localSheetId="47">#REF!</definedName>
    <definedName name="___________________tab1" localSheetId="1">#REF!</definedName>
    <definedName name="___________________tab1">#REF!</definedName>
    <definedName name="___________________tab2" localSheetId="7">#REF!</definedName>
    <definedName name="___________________tab2" localSheetId="47">#REF!</definedName>
    <definedName name="___________________tab2" localSheetId="1">#REF!</definedName>
    <definedName name="___________________tab2">#REF!</definedName>
    <definedName name="___________________TIP1" localSheetId="7">#REF!</definedName>
    <definedName name="___________________TIP1" localSheetId="47">#REF!</definedName>
    <definedName name="___________________TIP1" localSheetId="1">#REF!</definedName>
    <definedName name="___________________TIP1">#REF!</definedName>
    <definedName name="___________________TIP2" localSheetId="7">#REF!</definedName>
    <definedName name="___________________TIP2" localSheetId="47">#REF!</definedName>
    <definedName name="___________________TIP2" localSheetId="1">#REF!</definedName>
    <definedName name="___________________TIP2">#REF!</definedName>
    <definedName name="___________________TIP3" localSheetId="7">#REF!</definedName>
    <definedName name="___________________TIP3" localSheetId="47">#REF!</definedName>
    <definedName name="___________________TIP3" localSheetId="1">#REF!</definedName>
    <definedName name="___________________TIP3">#REF!</definedName>
    <definedName name="__________________A65537" localSheetId="7">#REF!</definedName>
    <definedName name="__________________A65537" localSheetId="47">#REF!</definedName>
    <definedName name="__________________A65537" localSheetId="1">#REF!</definedName>
    <definedName name="__________________A65537">#REF!</definedName>
    <definedName name="__________________ABM10" localSheetId="7">#REF!</definedName>
    <definedName name="__________________ABM10" localSheetId="47">#REF!</definedName>
    <definedName name="__________________ABM10" localSheetId="1">#REF!</definedName>
    <definedName name="__________________ABM10">#REF!</definedName>
    <definedName name="__________________ABM40" localSheetId="7">#REF!</definedName>
    <definedName name="__________________ABM40" localSheetId="47">#REF!</definedName>
    <definedName name="__________________ABM40" localSheetId="1">#REF!</definedName>
    <definedName name="__________________ABM40">#REF!</definedName>
    <definedName name="__________________ABM6" localSheetId="7">#REF!</definedName>
    <definedName name="__________________ABM6" localSheetId="47">#REF!</definedName>
    <definedName name="__________________ABM6" localSheetId="1">#REF!</definedName>
    <definedName name="__________________ABM6">#REF!</definedName>
    <definedName name="__________________ACB10" localSheetId="7">#REF!</definedName>
    <definedName name="__________________ACB10" localSheetId="47">#REF!</definedName>
    <definedName name="__________________ACB10" localSheetId="1">#REF!</definedName>
    <definedName name="__________________ACB10">#REF!</definedName>
    <definedName name="__________________ACB20" localSheetId="7">#REF!</definedName>
    <definedName name="__________________ACB20" localSheetId="47">#REF!</definedName>
    <definedName name="__________________ACB20" localSheetId="1">#REF!</definedName>
    <definedName name="__________________ACB20">#REF!</definedName>
    <definedName name="__________________ACR10" localSheetId="7">#REF!</definedName>
    <definedName name="__________________ACR10" localSheetId="47">#REF!</definedName>
    <definedName name="__________________ACR10" localSheetId="1">#REF!</definedName>
    <definedName name="__________________ACR10">#REF!</definedName>
    <definedName name="__________________ACR20" localSheetId="7">#REF!</definedName>
    <definedName name="__________________ACR20" localSheetId="47">#REF!</definedName>
    <definedName name="__________________ACR20" localSheetId="1">#REF!</definedName>
    <definedName name="__________________ACR20">#REF!</definedName>
    <definedName name="__________________AGG10" localSheetId="7">#REF!</definedName>
    <definedName name="__________________AGG10" localSheetId="47">#REF!</definedName>
    <definedName name="__________________AGG10" localSheetId="1">#REF!</definedName>
    <definedName name="__________________AGG10">#REF!</definedName>
    <definedName name="__________________AGG6" localSheetId="7">#REF!</definedName>
    <definedName name="__________________AGG6" localSheetId="47">#REF!</definedName>
    <definedName name="__________________AGG6" localSheetId="1">#REF!</definedName>
    <definedName name="__________________AGG6">#REF!</definedName>
    <definedName name="__________________ARV8040">'[15]ANAL-PUMP HOUSE'!$I$55</definedName>
    <definedName name="__________________ash1" localSheetId="7">[16]ANAL!#REF!</definedName>
    <definedName name="__________________ash1" localSheetId="47">[16]ANAL!#REF!</definedName>
    <definedName name="__________________ash1" localSheetId="1">[16]ANAL!#REF!</definedName>
    <definedName name="__________________ash1">[16]ANAL!#REF!</definedName>
    <definedName name="__________________AWM10" localSheetId="7">#REF!</definedName>
    <definedName name="__________________AWM10" localSheetId="47">#REF!</definedName>
    <definedName name="__________________AWM10" localSheetId="1">#REF!</definedName>
    <definedName name="__________________AWM10">#REF!</definedName>
    <definedName name="__________________AWM40" localSheetId="7">#REF!</definedName>
    <definedName name="__________________AWM40" localSheetId="47">#REF!</definedName>
    <definedName name="__________________AWM40" localSheetId="1">#REF!</definedName>
    <definedName name="__________________AWM40">#REF!</definedName>
    <definedName name="__________________AWM6" localSheetId="7">#REF!</definedName>
    <definedName name="__________________AWM6" localSheetId="47">#REF!</definedName>
    <definedName name="__________________AWM6" localSheetId="1">#REF!</definedName>
    <definedName name="__________________AWM6">#REF!</definedName>
    <definedName name="__________________BTV300">'[15]ANAL-PUMP HOUSE'!$I$52</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 localSheetId="7">[17]PROCTOR!#REF!</definedName>
    <definedName name="__________________CAN458" localSheetId="47">[17]PROCTOR!#REF!</definedName>
    <definedName name="__________________CAN458" localSheetId="1">[17]PROCTOR!#REF!</definedName>
    <definedName name="__________________CAN458">[17]PROCTOR!#REF!</definedName>
    <definedName name="__________________CAN486" localSheetId="7">[17]PROCTOR!#REF!</definedName>
    <definedName name="__________________CAN486" localSheetId="47">[17]PROCTOR!#REF!</definedName>
    <definedName name="__________________CAN486" localSheetId="1">[17]PROCTOR!#REF!</definedName>
    <definedName name="__________________CAN486">[17]PROCTOR!#REF!</definedName>
    <definedName name="__________________CAN487" localSheetId="7">[17]PROCTOR!#REF!</definedName>
    <definedName name="__________________CAN487" localSheetId="47">[17]PROCTOR!#REF!</definedName>
    <definedName name="__________________CAN487" localSheetId="1">[17]PROCTOR!#REF!</definedName>
    <definedName name="__________________CAN487">[17]PROCTOR!#REF!</definedName>
    <definedName name="__________________CAN488" localSheetId="7">[17]PROCTOR!#REF!</definedName>
    <definedName name="__________________CAN488" localSheetId="47">[17]PROCTOR!#REF!</definedName>
    <definedName name="__________________CAN488" localSheetId="1">[17]PROCTOR!#REF!</definedName>
    <definedName name="__________________CAN488">[17]PROCTOR!#REF!</definedName>
    <definedName name="__________________CAN489" localSheetId="7">[17]PROCTOR!#REF!</definedName>
    <definedName name="__________________CAN489" localSheetId="47">[17]PROCTOR!#REF!</definedName>
    <definedName name="__________________CAN489" localSheetId="1">[17]PROCTOR!#REF!</definedName>
    <definedName name="__________________CAN489">[17]PROCTOR!#REF!</definedName>
    <definedName name="__________________CAN490" localSheetId="7">[17]PROCTOR!#REF!</definedName>
    <definedName name="__________________CAN490" localSheetId="47">[17]PROCTOR!#REF!</definedName>
    <definedName name="__________________CAN490" localSheetId="1">[17]PROCTOR!#REF!</definedName>
    <definedName name="__________________CAN490">[17]PROCTOR!#REF!</definedName>
    <definedName name="__________________CAN491" localSheetId="7">[17]PROCTOR!#REF!</definedName>
    <definedName name="__________________CAN491" localSheetId="47">[17]PROCTOR!#REF!</definedName>
    <definedName name="__________________CAN491" localSheetId="1">[17]PROCTOR!#REF!</definedName>
    <definedName name="__________________CAN491">[17]PROCTOR!#REF!</definedName>
    <definedName name="__________________CAN492" localSheetId="7">[17]PROCTOR!#REF!</definedName>
    <definedName name="__________________CAN492" localSheetId="47">[17]PROCTOR!#REF!</definedName>
    <definedName name="__________________CAN492" localSheetId="1">[17]PROCTOR!#REF!</definedName>
    <definedName name="__________________CAN492">[17]PROCTOR!#REF!</definedName>
    <definedName name="__________________CAN493" localSheetId="7">[17]PROCTOR!#REF!</definedName>
    <definedName name="__________________CAN493" localSheetId="47">[17]PROCTOR!#REF!</definedName>
    <definedName name="__________________CAN493" localSheetId="1">[17]PROCTOR!#REF!</definedName>
    <definedName name="__________________CAN493">[17]PROCTOR!#REF!</definedName>
    <definedName name="__________________CAN494" localSheetId="7">[17]PROCTOR!#REF!</definedName>
    <definedName name="__________________CAN494" localSheetId="47">[17]PROCTOR!#REF!</definedName>
    <definedName name="__________________CAN494" localSheetId="1">[17]PROCTOR!#REF!</definedName>
    <definedName name="__________________CAN494">[17]PROCTOR!#REF!</definedName>
    <definedName name="__________________CAN495" localSheetId="7">[17]PROCTOR!#REF!</definedName>
    <definedName name="__________________CAN495" localSheetId="47">[17]PROCTOR!#REF!</definedName>
    <definedName name="__________________CAN495" localSheetId="1">[17]PROCTOR!#REF!</definedName>
    <definedName name="__________________CAN495">[17]PROCTOR!#REF!</definedName>
    <definedName name="__________________CAN496" localSheetId="7">[17]PROCTOR!#REF!</definedName>
    <definedName name="__________________CAN496" localSheetId="47">[17]PROCTOR!#REF!</definedName>
    <definedName name="__________________CAN496" localSheetId="1">[17]PROCTOR!#REF!</definedName>
    <definedName name="__________________CAN496">[17]PROCTOR!#REF!</definedName>
    <definedName name="__________________CAN497" localSheetId="7">[17]PROCTOR!#REF!</definedName>
    <definedName name="__________________CAN497" localSheetId="47">[17]PROCTOR!#REF!</definedName>
    <definedName name="__________________CAN497" localSheetId="1">[17]PROCTOR!#REF!</definedName>
    <definedName name="__________________CAN497">[17]PROCTOR!#REF!</definedName>
    <definedName name="__________________CAN498" localSheetId="7">[17]PROCTOR!#REF!</definedName>
    <definedName name="__________________CAN498" localSheetId="47">[17]PROCTOR!#REF!</definedName>
    <definedName name="__________________CAN498" localSheetId="1">[17]PROCTOR!#REF!</definedName>
    <definedName name="__________________CAN498">[17]PROCTOR!#REF!</definedName>
    <definedName name="__________________CAN499" localSheetId="7">[17]PROCTOR!#REF!</definedName>
    <definedName name="__________________CAN499" localSheetId="47">[17]PROCTOR!#REF!</definedName>
    <definedName name="__________________CAN499" localSheetId="1">[17]PROCTOR!#REF!</definedName>
    <definedName name="__________________CAN499">[17]PROCTOR!#REF!</definedName>
    <definedName name="__________________CAN500" localSheetId="7">[17]PROCTOR!#REF!</definedName>
    <definedName name="__________________CAN500" localSheetId="47">[17]PROCTOR!#REF!</definedName>
    <definedName name="__________________CAN500" localSheetId="1">[17]PROCTOR!#REF!</definedName>
    <definedName name="__________________CAN500">[17]PROCTOR!#REF!</definedName>
    <definedName name="__________________CDG100" localSheetId="7">#REF!</definedName>
    <definedName name="__________________CDG100" localSheetId="47">#REF!</definedName>
    <definedName name="__________________CDG100" localSheetId="1">#REF!</definedName>
    <definedName name="__________________CDG100">#REF!</definedName>
    <definedName name="__________________CDG250" localSheetId="7">#REF!</definedName>
    <definedName name="__________________CDG250" localSheetId="47">#REF!</definedName>
    <definedName name="__________________CDG250" localSheetId="1">#REF!</definedName>
    <definedName name="__________________CDG250">#REF!</definedName>
    <definedName name="__________________CDG50" localSheetId="7">#REF!</definedName>
    <definedName name="__________________CDG50" localSheetId="47">#REF!</definedName>
    <definedName name="__________________CDG50" localSheetId="1">#REF!</definedName>
    <definedName name="__________________CDG50">#REF!</definedName>
    <definedName name="__________________CDG500" localSheetId="7">#REF!</definedName>
    <definedName name="__________________CDG500" localSheetId="47">#REF!</definedName>
    <definedName name="__________________CDG500" localSheetId="1">#REF!</definedName>
    <definedName name="__________________CDG500">#REF!</definedName>
    <definedName name="__________________CEM53" localSheetId="7">#REF!</definedName>
    <definedName name="__________________CEM53" localSheetId="47">#REF!</definedName>
    <definedName name="__________________CEM53" localSheetId="1">#REF!</definedName>
    <definedName name="__________________CEM53">#REF!</definedName>
    <definedName name="__________________CRN3" localSheetId="7">#REF!</definedName>
    <definedName name="__________________CRN3" localSheetId="47">#REF!</definedName>
    <definedName name="__________________CRN3" localSheetId="1">#REF!</definedName>
    <definedName name="__________________CRN3">#REF!</definedName>
    <definedName name="__________________CRN35" localSheetId="7">#REF!</definedName>
    <definedName name="__________________CRN35" localSheetId="47">#REF!</definedName>
    <definedName name="__________________CRN35" localSheetId="1">#REF!</definedName>
    <definedName name="__________________CRN35">#REF!</definedName>
    <definedName name="__________________CRN80" localSheetId="7">#REF!</definedName>
    <definedName name="__________________CRN80" localSheetId="47">#REF!</definedName>
    <definedName name="__________________CRN80" localSheetId="1">#REF!</definedName>
    <definedName name="__________________CRN80">#REF!</definedName>
    <definedName name="__________________dec05" localSheetId="7" hidden="1">{"'Sheet1'!$A$4386:$N$4591"}</definedName>
    <definedName name="__________________dec05" localSheetId="47" hidden="1">{"'Sheet1'!$A$4386:$N$4591"}</definedName>
    <definedName name="__________________dec05" localSheetId="1" hidden="1">{"'Sheet1'!$A$4386:$N$4591"}</definedName>
    <definedName name="__________________dec05" hidden="1">{"'Sheet1'!$A$4386:$N$4591"}</definedName>
    <definedName name="__________________DOZ50" localSheetId="7">#REF!</definedName>
    <definedName name="__________________DOZ50" localSheetId="47">#REF!</definedName>
    <definedName name="__________________DOZ50" localSheetId="1">#REF!</definedName>
    <definedName name="__________________DOZ50">#REF!</definedName>
    <definedName name="__________________DOZ80" localSheetId="7">#REF!</definedName>
    <definedName name="__________________DOZ80" localSheetId="47">#REF!</definedName>
    <definedName name="__________________DOZ80" localSheetId="1">#REF!</definedName>
    <definedName name="__________________DOZ80">#REF!</definedName>
    <definedName name="__________________EXC20">'[10]Rate Analysis '!$E$50</definedName>
    <definedName name="__________________ExV200" localSheetId="7">#REF!</definedName>
    <definedName name="__________________ExV200" localSheetId="47">#REF!</definedName>
    <definedName name="__________________ExV200" localSheetId="1">#REF!</definedName>
    <definedName name="__________________ExV200">#REF!</definedName>
    <definedName name="__________________GEN100" localSheetId="7">#REF!</definedName>
    <definedName name="__________________GEN100" localSheetId="47">#REF!</definedName>
    <definedName name="__________________GEN100" localSheetId="1">#REF!</definedName>
    <definedName name="__________________GEN100">#REF!</definedName>
    <definedName name="__________________GEN250" localSheetId="7">#REF!</definedName>
    <definedName name="__________________GEN250" localSheetId="47">#REF!</definedName>
    <definedName name="__________________GEN250" localSheetId="1">#REF!</definedName>
    <definedName name="__________________GEN250">#REF!</definedName>
    <definedName name="__________________GEN325" localSheetId="7">#REF!</definedName>
    <definedName name="__________________GEN325" localSheetId="47">#REF!</definedName>
    <definedName name="__________________GEN325" localSheetId="1">#REF!</definedName>
    <definedName name="__________________GEN325">#REF!</definedName>
    <definedName name="__________________GEN380" localSheetId="7">#REF!</definedName>
    <definedName name="__________________GEN380" localSheetId="47">#REF!</definedName>
    <definedName name="__________________GEN380" localSheetId="1">#REF!</definedName>
    <definedName name="__________________GEN380">#REF!</definedName>
    <definedName name="__________________GSB1" localSheetId="7">#REF!</definedName>
    <definedName name="__________________GSB1" localSheetId="47">#REF!</definedName>
    <definedName name="__________________GSB1" localSheetId="1">#REF!</definedName>
    <definedName name="__________________GSB1">#REF!</definedName>
    <definedName name="__________________GSB2" localSheetId="7">#REF!</definedName>
    <definedName name="__________________GSB2" localSheetId="47">#REF!</definedName>
    <definedName name="__________________GSB2" localSheetId="1">#REF!</definedName>
    <definedName name="__________________GSB2">#REF!</definedName>
    <definedName name="__________________GSB3" localSheetId="7">#REF!</definedName>
    <definedName name="__________________GSB3" localSheetId="47">#REF!</definedName>
    <definedName name="__________________GSB3" localSheetId="1">#REF!</definedName>
    <definedName name="__________________GSB3">#REF!</definedName>
    <definedName name="__________________HMP1" localSheetId="7">#REF!</definedName>
    <definedName name="__________________HMP1" localSheetId="47">#REF!</definedName>
    <definedName name="__________________HMP1" localSheetId="1">#REF!</definedName>
    <definedName name="__________________HMP1">#REF!</definedName>
    <definedName name="__________________HMP2" localSheetId="7">#REF!</definedName>
    <definedName name="__________________HMP2" localSheetId="47">#REF!</definedName>
    <definedName name="__________________HMP2" localSheetId="1">#REF!</definedName>
    <definedName name="__________________HMP2">#REF!</definedName>
    <definedName name="__________________HMP3" localSheetId="7">#REF!</definedName>
    <definedName name="__________________HMP3" localSheetId="47">#REF!</definedName>
    <definedName name="__________________HMP3" localSheetId="1">#REF!</definedName>
    <definedName name="__________________HMP3">#REF!</definedName>
    <definedName name="__________________HMP4" localSheetId="7">#REF!</definedName>
    <definedName name="__________________HMP4" localSheetId="47">#REF!</definedName>
    <definedName name="__________________HMP4" localSheetId="1">#REF!</definedName>
    <definedName name="__________________HMP4">#REF!</definedName>
    <definedName name="__________________HRC1">'[15]Pipe trench'!$V$23</definedName>
    <definedName name="__________________HRC2">'[15]Pipe trench'!$V$24</definedName>
    <definedName name="__________________HSE1">'[15]Pipe trench'!$V$11</definedName>
    <definedName name="__________________III7">"$C4.$#REF!$#REF!"</definedName>
    <definedName name="__________________lb1" localSheetId="7">#REF!</definedName>
    <definedName name="__________________lb1" localSheetId="47">#REF!</definedName>
    <definedName name="__________________lb1" localSheetId="1">#REF!</definedName>
    <definedName name="__________________lb1">#REF!</definedName>
    <definedName name="__________________lb2" localSheetId="7">#REF!</definedName>
    <definedName name="__________________lb2" localSheetId="47">#REF!</definedName>
    <definedName name="__________________lb2" localSheetId="1">#REF!</definedName>
    <definedName name="__________________lb2">#REF!</definedName>
    <definedName name="__________________mac2">200</definedName>
    <definedName name="__________________MIX10" localSheetId="7">#REF!</definedName>
    <definedName name="__________________MIX10" localSheetId="47">#REF!</definedName>
    <definedName name="__________________MIX10" localSheetId="1">#REF!</definedName>
    <definedName name="__________________MIX10">#REF!</definedName>
    <definedName name="__________________MIX15" localSheetId="7">#REF!</definedName>
    <definedName name="__________________MIX15" localSheetId="47">#REF!</definedName>
    <definedName name="__________________MIX15" localSheetId="1">#REF!</definedName>
    <definedName name="__________________MIX15">#REF!</definedName>
    <definedName name="__________________MIX15150" localSheetId="7">'[4]Mix Design'!#REF!</definedName>
    <definedName name="__________________MIX15150" localSheetId="47">'[4]Mix Design'!#REF!</definedName>
    <definedName name="__________________MIX15150" localSheetId="1">'[4]Mix Design'!#REF!</definedName>
    <definedName name="__________________MIX15150">'[4]Mix Design'!#REF!</definedName>
    <definedName name="__________________MIX1540">'[4]Mix Design'!$P$11</definedName>
    <definedName name="__________________MIX1580" localSheetId="7">'[4]Mix Design'!#REF!</definedName>
    <definedName name="__________________MIX1580" localSheetId="47">'[4]Mix Design'!#REF!</definedName>
    <definedName name="__________________MIX1580" localSheetId="1">'[4]Mix Design'!#REF!</definedName>
    <definedName name="__________________MIX1580">'[4]Mix Design'!#REF!</definedName>
    <definedName name="__________________MIX2">'[5]Mix Design'!$P$12</definedName>
    <definedName name="__________________MIX20" localSheetId="7">#REF!</definedName>
    <definedName name="__________________MIX20" localSheetId="47">#REF!</definedName>
    <definedName name="__________________MIX20" localSheetId="1">#REF!</definedName>
    <definedName name="__________________MIX20">#REF!</definedName>
    <definedName name="__________________MIX2020">'[4]Mix Design'!$P$12</definedName>
    <definedName name="__________________MIX2040">'[4]Mix Design'!$P$13</definedName>
    <definedName name="__________________MIX25" localSheetId="7">#REF!</definedName>
    <definedName name="__________________MIX25" localSheetId="47">#REF!</definedName>
    <definedName name="__________________MIX25" localSheetId="1">#REF!</definedName>
    <definedName name="__________________MIX25">#REF!</definedName>
    <definedName name="__________________MIX2540">'[4]Mix Design'!$P$15</definedName>
    <definedName name="__________________Mix255">'[6]Mix Design'!$P$13</definedName>
    <definedName name="__________________MIX30" localSheetId="7">#REF!</definedName>
    <definedName name="__________________MIX30" localSheetId="47">#REF!</definedName>
    <definedName name="__________________MIX30" localSheetId="1">#REF!</definedName>
    <definedName name="__________________MIX30">#REF!</definedName>
    <definedName name="__________________MIX35" localSheetId="7">#REF!</definedName>
    <definedName name="__________________MIX35" localSheetId="47">#REF!</definedName>
    <definedName name="__________________MIX35" localSheetId="1">#REF!</definedName>
    <definedName name="__________________MIX35">#REF!</definedName>
    <definedName name="__________________MIX40" localSheetId="7">#REF!</definedName>
    <definedName name="__________________MIX40" localSheetId="47">#REF!</definedName>
    <definedName name="__________________MIX40" localSheetId="1">#REF!</definedName>
    <definedName name="__________________MIX40">#REF!</definedName>
    <definedName name="__________________MIX45" localSheetId="7">'[4]Mix Design'!#REF!</definedName>
    <definedName name="__________________MIX45" localSheetId="47">'[4]Mix Design'!#REF!</definedName>
    <definedName name="__________________MIX45" localSheetId="1">'[4]Mix Design'!#REF!</definedName>
    <definedName name="__________________MIX45">'[4]Mix Design'!#REF!</definedName>
    <definedName name="__________________mm1" localSheetId="7">#REF!</definedName>
    <definedName name="__________________mm1" localSheetId="47">#REF!</definedName>
    <definedName name="__________________mm1" localSheetId="1">#REF!</definedName>
    <definedName name="__________________mm1">#REF!</definedName>
    <definedName name="__________________mm2" localSheetId="7">#REF!</definedName>
    <definedName name="__________________mm2" localSheetId="47">#REF!</definedName>
    <definedName name="__________________mm2" localSheetId="1">#REF!</definedName>
    <definedName name="__________________mm2">#REF!</definedName>
    <definedName name="__________________mm3" localSheetId="7">#REF!</definedName>
    <definedName name="__________________mm3" localSheetId="47">#REF!</definedName>
    <definedName name="__________________mm3" localSheetId="1">#REF!</definedName>
    <definedName name="__________________mm3">#REF!</definedName>
    <definedName name="__________________MUR5" localSheetId="7">#REF!</definedName>
    <definedName name="__________________MUR5" localSheetId="47">#REF!</definedName>
    <definedName name="__________________MUR5" localSheetId="1">#REF!</definedName>
    <definedName name="__________________MUR5">#REF!</definedName>
    <definedName name="__________________MUR8" localSheetId="7">#REF!</definedName>
    <definedName name="__________________MUR8" localSheetId="47">#REF!</definedName>
    <definedName name="__________________MUR8" localSheetId="1">#REF!</definedName>
    <definedName name="__________________MUR8">#REF!</definedName>
    <definedName name="__________________OPC43" localSheetId="7">#REF!</definedName>
    <definedName name="__________________OPC43" localSheetId="47">#REF!</definedName>
    <definedName name="__________________OPC43" localSheetId="1">#REF!</definedName>
    <definedName name="__________________OPC43">#REF!</definedName>
    <definedName name="__________________ORC1">'[15]Pipe trench'!$V$17</definedName>
    <definedName name="__________________ORC2">'[15]Pipe trench'!$V$18</definedName>
    <definedName name="__________________OSE1">'[15]Pipe trench'!$V$8</definedName>
    <definedName name="__________________PPC53">'[12]Rate Analysis '!$E$19</definedName>
    <definedName name="__________________sh1">90</definedName>
    <definedName name="__________________sh2">120</definedName>
    <definedName name="__________________sh3">150</definedName>
    <definedName name="__________________sh4">180</definedName>
    <definedName name="__________________SLV10025" localSheetId="7">'[8]ANAL-PIPE LINE'!#REF!</definedName>
    <definedName name="__________________SLV10025" localSheetId="47">'[8]ANAL-PIPE LINE'!#REF!</definedName>
    <definedName name="__________________SLV10025" localSheetId="1">'[8]ANAL-PIPE LINE'!#REF!</definedName>
    <definedName name="__________________SLV10025">'[8]ANAL-PIPE LINE'!#REF!</definedName>
    <definedName name="__________________SLV20025">'[15]ANAL-PUMP HOUSE'!$I$58</definedName>
    <definedName name="__________________SLV80010">'[15]ANAL-PUMP HOUSE'!$I$60</definedName>
    <definedName name="__________________tab1" localSheetId="7">#REF!</definedName>
    <definedName name="__________________tab1" localSheetId="47">#REF!</definedName>
    <definedName name="__________________tab1" localSheetId="1">#REF!</definedName>
    <definedName name="__________________tab1">#REF!</definedName>
    <definedName name="__________________tab2" localSheetId="7">#REF!</definedName>
    <definedName name="__________________tab2" localSheetId="47">#REF!</definedName>
    <definedName name="__________________tab2" localSheetId="1">#REF!</definedName>
    <definedName name="__________________tab2">#REF!</definedName>
    <definedName name="__________________TIP1" localSheetId="7">#REF!</definedName>
    <definedName name="__________________TIP1" localSheetId="47">#REF!</definedName>
    <definedName name="__________________TIP1" localSheetId="1">#REF!</definedName>
    <definedName name="__________________TIP1">#REF!</definedName>
    <definedName name="__________________TIP2" localSheetId="7">#REF!</definedName>
    <definedName name="__________________TIP2" localSheetId="47">#REF!</definedName>
    <definedName name="__________________TIP2" localSheetId="1">#REF!</definedName>
    <definedName name="__________________TIP2">#REF!</definedName>
    <definedName name="__________________TIP3" localSheetId="7">#REF!</definedName>
    <definedName name="__________________TIP3" localSheetId="47">#REF!</definedName>
    <definedName name="__________________TIP3" localSheetId="1">#REF!</definedName>
    <definedName name="__________________TIP3">#REF!</definedName>
    <definedName name="_________________A65537" localSheetId="7">#REF!</definedName>
    <definedName name="_________________A65537" localSheetId="47">#REF!</definedName>
    <definedName name="_________________A65537" localSheetId="1">#REF!</definedName>
    <definedName name="_________________A65537">#REF!</definedName>
    <definedName name="_________________ABM10" localSheetId="7">#REF!</definedName>
    <definedName name="_________________ABM10" localSheetId="47">#REF!</definedName>
    <definedName name="_________________ABM10" localSheetId="1">#REF!</definedName>
    <definedName name="_________________ABM10">#REF!</definedName>
    <definedName name="_________________ABM40" localSheetId="7">#REF!</definedName>
    <definedName name="_________________ABM40" localSheetId="47">#REF!</definedName>
    <definedName name="_________________ABM40" localSheetId="1">#REF!</definedName>
    <definedName name="_________________ABM40">#REF!</definedName>
    <definedName name="_________________ABM6" localSheetId="7">#REF!</definedName>
    <definedName name="_________________ABM6" localSheetId="47">#REF!</definedName>
    <definedName name="_________________ABM6" localSheetId="1">#REF!</definedName>
    <definedName name="_________________ABM6">#REF!</definedName>
    <definedName name="_________________ACB10" localSheetId="7">#REF!</definedName>
    <definedName name="_________________ACB10" localSheetId="47">#REF!</definedName>
    <definedName name="_________________ACB10" localSheetId="1">#REF!</definedName>
    <definedName name="_________________ACB10">#REF!</definedName>
    <definedName name="_________________ACB20" localSheetId="7">#REF!</definedName>
    <definedName name="_________________ACB20" localSheetId="47">#REF!</definedName>
    <definedName name="_________________ACB20" localSheetId="1">#REF!</definedName>
    <definedName name="_________________ACB20">#REF!</definedName>
    <definedName name="_________________ACR10" localSheetId="7">#REF!</definedName>
    <definedName name="_________________ACR10" localSheetId="47">#REF!</definedName>
    <definedName name="_________________ACR10" localSheetId="1">#REF!</definedName>
    <definedName name="_________________ACR10">#REF!</definedName>
    <definedName name="_________________ACR20" localSheetId="7">#REF!</definedName>
    <definedName name="_________________ACR20" localSheetId="47">#REF!</definedName>
    <definedName name="_________________ACR20" localSheetId="1">#REF!</definedName>
    <definedName name="_________________ACR20">#REF!</definedName>
    <definedName name="_________________AGG10" localSheetId="7">#REF!</definedName>
    <definedName name="_________________AGG10" localSheetId="47">#REF!</definedName>
    <definedName name="_________________AGG10" localSheetId="1">#REF!</definedName>
    <definedName name="_________________AGG10">#REF!</definedName>
    <definedName name="_________________AGG6" localSheetId="7">#REF!</definedName>
    <definedName name="_________________AGG6" localSheetId="47">#REF!</definedName>
    <definedName name="_________________AGG6" localSheetId="1">#REF!</definedName>
    <definedName name="_________________AGG6">#REF!</definedName>
    <definedName name="_________________ash1" localSheetId="7">[13]ANAL!#REF!</definedName>
    <definedName name="_________________ash1" localSheetId="47">[13]ANAL!#REF!</definedName>
    <definedName name="_________________ash1" localSheetId="1">[13]ANAL!#REF!</definedName>
    <definedName name="_________________ash1">[13]ANAL!#REF!</definedName>
    <definedName name="_________________AWM10" localSheetId="7">#REF!</definedName>
    <definedName name="_________________AWM10" localSheetId="47">#REF!</definedName>
    <definedName name="_________________AWM10" localSheetId="1">#REF!</definedName>
    <definedName name="_________________AWM10">#REF!</definedName>
    <definedName name="_________________AWM40" localSheetId="7">#REF!</definedName>
    <definedName name="_________________AWM40" localSheetId="47">#REF!</definedName>
    <definedName name="_________________AWM40" localSheetId="1">#REF!</definedName>
    <definedName name="_________________AWM40">#REF!</definedName>
    <definedName name="_________________AWM6" localSheetId="7">#REF!</definedName>
    <definedName name="_________________AWM6" localSheetId="47">#REF!</definedName>
    <definedName name="_________________AWM6" localSheetId="1">#REF!</definedName>
    <definedName name="_________________AWM6">#REF!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58" localSheetId="7">[14]PROCTOR!#REF!</definedName>
    <definedName name="_________________CAN458" localSheetId="47">[14]PROCTOR!#REF!</definedName>
    <definedName name="_________________CAN458" localSheetId="1">[14]PROCTOR!#REF!</definedName>
    <definedName name="_________________CAN458">[14]PROCTOR!#REF!</definedName>
    <definedName name="_________________CAN486" localSheetId="7">[14]PROCTOR!#REF!</definedName>
    <definedName name="_________________CAN486" localSheetId="47">[14]PROCTOR!#REF!</definedName>
    <definedName name="_________________CAN486" localSheetId="1">[14]PROCTOR!#REF!</definedName>
    <definedName name="_________________CAN486">[14]PROCTOR!#REF!</definedName>
    <definedName name="_________________CAN487" localSheetId="7">[14]PROCTOR!#REF!</definedName>
    <definedName name="_________________CAN487" localSheetId="47">[14]PROCTOR!#REF!</definedName>
    <definedName name="_________________CAN487" localSheetId="1">[14]PROCTOR!#REF!</definedName>
    <definedName name="_________________CAN487">[14]PROCTOR!#REF!</definedName>
    <definedName name="_________________CAN488" localSheetId="7">[14]PROCTOR!#REF!</definedName>
    <definedName name="_________________CAN488" localSheetId="47">[14]PROCTOR!#REF!</definedName>
    <definedName name="_________________CAN488" localSheetId="1">[14]PROCTOR!#REF!</definedName>
    <definedName name="_________________CAN488">[14]PROCTOR!#REF!</definedName>
    <definedName name="_________________CAN489" localSheetId="7">[14]PROCTOR!#REF!</definedName>
    <definedName name="_________________CAN489" localSheetId="47">[14]PROCTOR!#REF!</definedName>
    <definedName name="_________________CAN489" localSheetId="1">[14]PROCTOR!#REF!</definedName>
    <definedName name="_________________CAN489">[14]PROCTOR!#REF!</definedName>
    <definedName name="_________________CAN490" localSheetId="7">[14]PROCTOR!#REF!</definedName>
    <definedName name="_________________CAN490" localSheetId="47">[14]PROCTOR!#REF!</definedName>
    <definedName name="_________________CAN490" localSheetId="1">[14]PROCTOR!#REF!</definedName>
    <definedName name="_________________CAN490">[14]PROCTOR!#REF!</definedName>
    <definedName name="_________________CAN491" localSheetId="7">[14]PROCTOR!#REF!</definedName>
    <definedName name="_________________CAN491" localSheetId="47">[14]PROCTOR!#REF!</definedName>
    <definedName name="_________________CAN491" localSheetId="1">[14]PROCTOR!#REF!</definedName>
    <definedName name="_________________CAN491">[14]PROCTOR!#REF!</definedName>
    <definedName name="_________________CAN492" localSheetId="7">[14]PROCTOR!#REF!</definedName>
    <definedName name="_________________CAN492" localSheetId="47">[14]PROCTOR!#REF!</definedName>
    <definedName name="_________________CAN492" localSheetId="1">[14]PROCTOR!#REF!</definedName>
    <definedName name="_________________CAN492">[14]PROCTOR!#REF!</definedName>
    <definedName name="_________________CAN493" localSheetId="7">[14]PROCTOR!#REF!</definedName>
    <definedName name="_________________CAN493" localSheetId="47">[14]PROCTOR!#REF!</definedName>
    <definedName name="_________________CAN493" localSheetId="1">[14]PROCTOR!#REF!</definedName>
    <definedName name="_________________CAN493">[14]PROCTOR!#REF!</definedName>
    <definedName name="_________________CAN494" localSheetId="7">[14]PROCTOR!#REF!</definedName>
    <definedName name="_________________CAN494" localSheetId="47">[14]PROCTOR!#REF!</definedName>
    <definedName name="_________________CAN494" localSheetId="1">[14]PROCTOR!#REF!</definedName>
    <definedName name="_________________CAN494">[14]PROCTOR!#REF!</definedName>
    <definedName name="_________________CAN495" localSheetId="7">[14]PROCTOR!#REF!</definedName>
    <definedName name="_________________CAN495" localSheetId="47">[14]PROCTOR!#REF!</definedName>
    <definedName name="_________________CAN495" localSheetId="1">[14]PROCTOR!#REF!</definedName>
    <definedName name="_________________CAN495">[14]PROCTOR!#REF!</definedName>
    <definedName name="_________________CAN496" localSheetId="7">[14]PROCTOR!#REF!</definedName>
    <definedName name="_________________CAN496" localSheetId="47">[14]PROCTOR!#REF!</definedName>
    <definedName name="_________________CAN496" localSheetId="1">[14]PROCTOR!#REF!</definedName>
    <definedName name="_________________CAN496">[14]PROCTOR!#REF!</definedName>
    <definedName name="_________________CAN497" localSheetId="7">[14]PROCTOR!#REF!</definedName>
    <definedName name="_________________CAN497" localSheetId="47">[14]PROCTOR!#REF!</definedName>
    <definedName name="_________________CAN497" localSheetId="1">[14]PROCTOR!#REF!</definedName>
    <definedName name="_________________CAN497">[14]PROCTOR!#REF!</definedName>
    <definedName name="_________________CAN498" localSheetId="7">[14]PROCTOR!#REF!</definedName>
    <definedName name="_________________CAN498" localSheetId="47">[14]PROCTOR!#REF!</definedName>
    <definedName name="_________________CAN498" localSheetId="1">[14]PROCTOR!#REF!</definedName>
    <definedName name="_________________CAN498">[14]PROCTOR!#REF!</definedName>
    <definedName name="_________________CAN499" localSheetId="7">[14]PROCTOR!#REF!</definedName>
    <definedName name="_________________CAN499" localSheetId="47">[14]PROCTOR!#REF!</definedName>
    <definedName name="_________________CAN499" localSheetId="1">[14]PROCTOR!#REF!</definedName>
    <definedName name="_________________CAN499">[14]PROCTOR!#REF!</definedName>
    <definedName name="_________________CAN500" localSheetId="7">[14]PROCTOR!#REF!</definedName>
    <definedName name="_________________CAN500" localSheetId="47">[14]PROCTOR!#REF!</definedName>
    <definedName name="_________________CAN500" localSheetId="1">[14]PROCTOR!#REF!</definedName>
    <definedName name="_________________CAN500">[14]PROCTOR!#REF!</definedName>
    <definedName name="_________________CDG100" localSheetId="7">#REF!</definedName>
    <definedName name="_________________CDG100" localSheetId="47">#REF!</definedName>
    <definedName name="_________________CDG100" localSheetId="1">#REF!</definedName>
    <definedName name="_________________CDG100">#REF!</definedName>
    <definedName name="_________________CDG250" localSheetId="7">#REF!</definedName>
    <definedName name="_________________CDG250" localSheetId="47">#REF!</definedName>
    <definedName name="_________________CDG250" localSheetId="1">#REF!</definedName>
    <definedName name="_________________CDG250">#REF!</definedName>
    <definedName name="_________________CDG50" localSheetId="7">#REF!</definedName>
    <definedName name="_________________CDG50" localSheetId="47">#REF!</definedName>
    <definedName name="_________________CDG50" localSheetId="1">#REF!</definedName>
    <definedName name="_________________CDG50">#REF!</definedName>
    <definedName name="_________________CDG500" localSheetId="7">#REF!</definedName>
    <definedName name="_________________CDG500" localSheetId="47">#REF!</definedName>
    <definedName name="_________________CDG500" localSheetId="1">#REF!</definedName>
    <definedName name="_________________CDG500">#REF!</definedName>
    <definedName name="_________________CEM53" localSheetId="7">#REF!</definedName>
    <definedName name="_________________CEM53" localSheetId="47">#REF!</definedName>
    <definedName name="_________________CEM53" localSheetId="1">#REF!</definedName>
    <definedName name="_________________CEM53">#REF!</definedName>
    <definedName name="_________________CRN3" localSheetId="7">#REF!</definedName>
    <definedName name="_________________CRN3" localSheetId="47">#REF!</definedName>
    <definedName name="_________________CRN3" localSheetId="1">#REF!</definedName>
    <definedName name="_________________CRN3">#REF!</definedName>
    <definedName name="_________________CRN35" localSheetId="7">#REF!</definedName>
    <definedName name="_________________CRN35" localSheetId="47">#REF!</definedName>
    <definedName name="_________________CRN35" localSheetId="1">#REF!</definedName>
    <definedName name="_________________CRN35">#REF!</definedName>
    <definedName name="_________________CRN80" localSheetId="7">#REF!</definedName>
    <definedName name="_________________CRN80" localSheetId="47">#REF!</definedName>
    <definedName name="_________________CRN80" localSheetId="1">#REF!</definedName>
    <definedName name="_________________CRN80">#REF!</definedName>
    <definedName name="_________________dec05" localSheetId="7" hidden="1">{"'Sheet1'!$A$4386:$N$4591"}</definedName>
    <definedName name="_________________dec05" localSheetId="47" hidden="1">{"'Sheet1'!$A$4386:$N$4591"}</definedName>
    <definedName name="_________________dec05" localSheetId="1" hidden="1">{"'Sheet1'!$A$4386:$N$4591"}</definedName>
    <definedName name="_________________dec05" hidden="1">{"'Sheet1'!$A$4386:$N$4591"}</definedName>
    <definedName name="_________________DOZ50" localSheetId="7">#REF!</definedName>
    <definedName name="_________________DOZ50" localSheetId="47">#REF!</definedName>
    <definedName name="_________________DOZ50" localSheetId="1">#REF!</definedName>
    <definedName name="_________________DOZ50">#REF!</definedName>
    <definedName name="_________________DOZ80" localSheetId="7">#REF!</definedName>
    <definedName name="_________________DOZ80" localSheetId="47">#REF!</definedName>
    <definedName name="_________________DOZ80" localSheetId="1">#REF!</definedName>
    <definedName name="_________________DOZ80">#REF!</definedName>
    <definedName name="_________________EXC20">'[10]Rate Analysis '!$E$50</definedName>
    <definedName name="_________________ExV200" localSheetId="7">#REF!</definedName>
    <definedName name="_________________ExV200" localSheetId="47">#REF!</definedName>
    <definedName name="_________________ExV200" localSheetId="1">#REF!</definedName>
    <definedName name="_________________ExV200">#REF!</definedName>
    <definedName name="_________________GEN100" localSheetId="7">#REF!</definedName>
    <definedName name="_________________GEN100" localSheetId="47">#REF!</definedName>
    <definedName name="_________________GEN100" localSheetId="1">#REF!</definedName>
    <definedName name="_________________GEN100">#REF!</definedName>
    <definedName name="_________________GEN250" localSheetId="7">#REF!</definedName>
    <definedName name="_________________GEN250" localSheetId="47">#REF!</definedName>
    <definedName name="_________________GEN250" localSheetId="1">#REF!</definedName>
    <definedName name="_________________GEN250">#REF!</definedName>
    <definedName name="_________________GEN325" localSheetId="7">#REF!</definedName>
    <definedName name="_________________GEN325" localSheetId="47">#REF!</definedName>
    <definedName name="_________________GEN325" localSheetId="1">#REF!</definedName>
    <definedName name="_________________GEN325">#REF!</definedName>
    <definedName name="_________________GEN380" localSheetId="7">#REF!</definedName>
    <definedName name="_________________GEN380" localSheetId="47">#REF!</definedName>
    <definedName name="_________________GEN380" localSheetId="1">#REF!</definedName>
    <definedName name="_________________GEN380">#REF!</definedName>
    <definedName name="_________________GSB1" localSheetId="7">#REF!</definedName>
    <definedName name="_________________GSB1" localSheetId="47">#REF!</definedName>
    <definedName name="_________________GSB1" localSheetId="1">#REF!</definedName>
    <definedName name="_________________GSB1">#REF!</definedName>
    <definedName name="_________________GSB2" localSheetId="7">#REF!</definedName>
    <definedName name="_________________GSB2" localSheetId="47">#REF!</definedName>
    <definedName name="_________________GSB2" localSheetId="1">#REF!</definedName>
    <definedName name="_________________GSB2">#REF!</definedName>
    <definedName name="_________________GSB3" localSheetId="7">#REF!</definedName>
    <definedName name="_________________GSB3" localSheetId="47">#REF!</definedName>
    <definedName name="_________________GSB3" localSheetId="1">#REF!</definedName>
    <definedName name="_________________GSB3">#REF!</definedName>
    <definedName name="_________________HMP1" localSheetId="7">#REF!</definedName>
    <definedName name="_________________HMP1" localSheetId="47">#REF!</definedName>
    <definedName name="_________________HMP1" localSheetId="1">#REF!</definedName>
    <definedName name="_________________HMP1">#REF!</definedName>
    <definedName name="_________________HMP2" localSheetId="7">#REF!</definedName>
    <definedName name="_________________HMP2" localSheetId="47">#REF!</definedName>
    <definedName name="_________________HMP2" localSheetId="1">#REF!</definedName>
    <definedName name="_________________HMP2">#REF!</definedName>
    <definedName name="_________________HMP3" localSheetId="7">#REF!</definedName>
    <definedName name="_________________HMP3" localSheetId="47">#REF!</definedName>
    <definedName name="_________________HMP3" localSheetId="1">#REF!</definedName>
    <definedName name="_________________HMP3">#REF!</definedName>
    <definedName name="_________________HMP4" localSheetId="7">#REF!</definedName>
    <definedName name="_________________HMP4" localSheetId="47">#REF!</definedName>
    <definedName name="_________________HMP4" localSheetId="1">#REF!</definedName>
    <definedName name="_________________HMP4">#REF!</definedName>
    <definedName name="_________________III7">"$C4.$#REF!$#REF!"</definedName>
    <definedName name="_________________lb1" localSheetId="7">#REF!</definedName>
    <definedName name="_________________lb1" localSheetId="47">#REF!</definedName>
    <definedName name="_________________lb1" localSheetId="1">#REF!</definedName>
    <definedName name="_________________lb1">#REF!</definedName>
    <definedName name="_________________lb2" localSheetId="7">#REF!</definedName>
    <definedName name="_________________lb2" localSheetId="47">#REF!</definedName>
    <definedName name="_________________lb2" localSheetId="1">#REF!</definedName>
    <definedName name="_________________lb2">#REF!</definedName>
    <definedName name="_________________mac2">200</definedName>
    <definedName name="_________________MIX10" localSheetId="7">#REF!</definedName>
    <definedName name="_________________MIX10" localSheetId="47">#REF!</definedName>
    <definedName name="_________________MIX10" localSheetId="1">#REF!</definedName>
    <definedName name="_________________MIX10">#REF!</definedName>
    <definedName name="_________________MIX15" localSheetId="7">#REF!</definedName>
    <definedName name="_________________MIX15" localSheetId="47">#REF!</definedName>
    <definedName name="_________________MIX15" localSheetId="1">#REF!</definedName>
    <definedName name="_________________MIX15">#REF!</definedName>
    <definedName name="_________________MIX15150" localSheetId="7">'[4]Mix Design'!#REF!</definedName>
    <definedName name="_________________MIX15150" localSheetId="47">'[4]Mix Design'!#REF!</definedName>
    <definedName name="_________________MIX15150" localSheetId="1">'[4]Mix Design'!#REF!</definedName>
    <definedName name="_________________MIX15150">'[4]Mix Design'!#REF!</definedName>
    <definedName name="_________________MIX1540">'[4]Mix Design'!$P$11</definedName>
    <definedName name="_________________MIX1580" localSheetId="7">'[4]Mix Design'!#REF!</definedName>
    <definedName name="_________________MIX1580" localSheetId="47">'[4]Mix Design'!#REF!</definedName>
    <definedName name="_________________MIX1580" localSheetId="1">'[4]Mix Design'!#REF!</definedName>
    <definedName name="_________________MIX1580">'[4]Mix Design'!#REF!</definedName>
    <definedName name="_________________MIX2">'[5]Mix Design'!$P$12</definedName>
    <definedName name="_________________MIX20" localSheetId="7">#REF!</definedName>
    <definedName name="_________________MIX20" localSheetId="47">#REF!</definedName>
    <definedName name="_________________MIX20" localSheetId="1">#REF!</definedName>
    <definedName name="_________________MIX20">#REF!</definedName>
    <definedName name="_________________MIX2020">'[4]Mix Design'!$P$12</definedName>
    <definedName name="_________________MIX2040">'[4]Mix Design'!$P$13</definedName>
    <definedName name="_________________MIX25" localSheetId="7">#REF!</definedName>
    <definedName name="_________________MIX25" localSheetId="47">#REF!</definedName>
    <definedName name="_________________MIX25" localSheetId="1">#REF!</definedName>
    <definedName name="_________________MIX25">#REF!</definedName>
    <definedName name="_________________MIX2540">'[4]Mix Design'!$P$15</definedName>
    <definedName name="_________________Mix255">'[6]Mix Design'!$P$13</definedName>
    <definedName name="_________________MIX30" localSheetId="7">#REF!</definedName>
    <definedName name="_________________MIX30" localSheetId="47">#REF!</definedName>
    <definedName name="_________________MIX30" localSheetId="1">#REF!</definedName>
    <definedName name="_________________MIX30">#REF!</definedName>
    <definedName name="_________________MIX35" localSheetId="7">#REF!</definedName>
    <definedName name="_________________MIX35" localSheetId="47">#REF!</definedName>
    <definedName name="_________________MIX35" localSheetId="1">#REF!</definedName>
    <definedName name="_________________MIX35">#REF!</definedName>
    <definedName name="_________________MIX40" localSheetId="7">#REF!</definedName>
    <definedName name="_________________MIX40" localSheetId="47">#REF!</definedName>
    <definedName name="_________________MIX40" localSheetId="1">#REF!</definedName>
    <definedName name="_________________MIX40">#REF!</definedName>
    <definedName name="_________________MIX45" localSheetId="7">'[4]Mix Design'!#REF!</definedName>
    <definedName name="_________________MIX45" localSheetId="47">'[4]Mix Design'!#REF!</definedName>
    <definedName name="_________________MIX45" localSheetId="1">'[4]Mix Design'!#REF!</definedName>
    <definedName name="_________________MIX45">'[4]Mix Design'!#REF!</definedName>
    <definedName name="_________________mm1" localSheetId="7">#REF!</definedName>
    <definedName name="_________________mm1" localSheetId="47">#REF!</definedName>
    <definedName name="_________________mm1" localSheetId="1">#REF!</definedName>
    <definedName name="_________________mm1">#REF!</definedName>
    <definedName name="_________________mm2" localSheetId="7">#REF!</definedName>
    <definedName name="_________________mm2" localSheetId="47">#REF!</definedName>
    <definedName name="_________________mm2" localSheetId="1">#REF!</definedName>
    <definedName name="_________________mm2">#REF!</definedName>
    <definedName name="_________________mm3" localSheetId="7">#REF!</definedName>
    <definedName name="_________________mm3" localSheetId="47">#REF!</definedName>
    <definedName name="_________________mm3" localSheetId="1">#REF!</definedName>
    <definedName name="_________________mm3">#REF!</definedName>
    <definedName name="_________________MUR5" localSheetId="7">#REF!</definedName>
    <definedName name="_________________MUR5" localSheetId="47">#REF!</definedName>
    <definedName name="_________________MUR5" localSheetId="1">#REF!</definedName>
    <definedName name="_________________MUR5">#REF!</definedName>
    <definedName name="_________________MUR8" localSheetId="7">#REF!</definedName>
    <definedName name="_________________MUR8" localSheetId="47">#REF!</definedName>
    <definedName name="_________________MUR8" localSheetId="1">#REF!</definedName>
    <definedName name="_________________MUR8">#REF!</definedName>
    <definedName name="_________________OPC43" localSheetId="7">#REF!</definedName>
    <definedName name="_________________OPC43" localSheetId="47">#REF!</definedName>
    <definedName name="_________________OPC43" localSheetId="1">#REF!</definedName>
    <definedName name="_________________OPC43">#REF!</definedName>
    <definedName name="_________________PPC53">'[12]Rate Analysis '!$E$19</definedName>
    <definedName name="_________________sh1">90</definedName>
    <definedName name="_________________sh2">120</definedName>
    <definedName name="_________________sh3">150</definedName>
    <definedName name="_________________sh4">180</definedName>
    <definedName name="_________________SLV10025" localSheetId="7">'[18]ANAL-PIPE LINE'!#REF!</definedName>
    <definedName name="_________________SLV10025" localSheetId="47">'[18]ANAL-PIPE LINE'!#REF!</definedName>
    <definedName name="_________________SLV10025" localSheetId="1">'[18]ANAL-PIPE LINE'!#REF!</definedName>
    <definedName name="_________________SLV10025">'[18]ANAL-PIPE LINE'!#REF!</definedName>
    <definedName name="_________________tab1" localSheetId="7">#REF!</definedName>
    <definedName name="_________________tab1" localSheetId="47">#REF!</definedName>
    <definedName name="_________________tab1" localSheetId="1">#REF!</definedName>
    <definedName name="_________________tab1">#REF!</definedName>
    <definedName name="_________________tab2" localSheetId="7">#REF!</definedName>
    <definedName name="_________________tab2" localSheetId="47">#REF!</definedName>
    <definedName name="_________________tab2" localSheetId="1">#REF!</definedName>
    <definedName name="_________________tab2">#REF!</definedName>
    <definedName name="_________________TIP1" localSheetId="7">#REF!</definedName>
    <definedName name="_________________TIP1" localSheetId="47">#REF!</definedName>
    <definedName name="_________________TIP1" localSheetId="1">#REF!</definedName>
    <definedName name="_________________TIP1">#REF!</definedName>
    <definedName name="_________________TIP2" localSheetId="7">#REF!</definedName>
    <definedName name="_________________TIP2" localSheetId="47">#REF!</definedName>
    <definedName name="_________________TIP2" localSheetId="1">#REF!</definedName>
    <definedName name="_________________TIP2">#REF!</definedName>
    <definedName name="_________________TIP3" localSheetId="7">#REF!</definedName>
    <definedName name="_________________TIP3" localSheetId="47">#REF!</definedName>
    <definedName name="_________________TIP3" localSheetId="1">#REF!</definedName>
    <definedName name="_________________TIP3">#REF!</definedName>
    <definedName name="________________A65537" localSheetId="7">#REF!</definedName>
    <definedName name="________________A65537" localSheetId="47">#REF!</definedName>
    <definedName name="________________A65537" localSheetId="1">#REF!</definedName>
    <definedName name="________________A65537">#REF!</definedName>
    <definedName name="________________ABM10" localSheetId="7">#REF!</definedName>
    <definedName name="________________ABM10" localSheetId="47">#REF!</definedName>
    <definedName name="________________ABM10" localSheetId="1">#REF!</definedName>
    <definedName name="________________ABM10">#REF!</definedName>
    <definedName name="________________ABM40" localSheetId="7">#REF!</definedName>
    <definedName name="________________ABM40" localSheetId="47">#REF!</definedName>
    <definedName name="________________ABM40" localSheetId="1">#REF!</definedName>
    <definedName name="________________ABM40">#REF!</definedName>
    <definedName name="________________ABM6" localSheetId="7">#REF!</definedName>
    <definedName name="________________ABM6" localSheetId="47">#REF!</definedName>
    <definedName name="________________ABM6" localSheetId="1">#REF!</definedName>
    <definedName name="________________ABM6">#REF!</definedName>
    <definedName name="________________ACB10" localSheetId="7">#REF!</definedName>
    <definedName name="________________ACB10" localSheetId="47">#REF!</definedName>
    <definedName name="________________ACB10" localSheetId="1">#REF!</definedName>
    <definedName name="________________ACB10">#REF!</definedName>
    <definedName name="________________ACB20" localSheetId="7">#REF!</definedName>
    <definedName name="________________ACB20" localSheetId="47">#REF!</definedName>
    <definedName name="________________ACB20" localSheetId="1">#REF!</definedName>
    <definedName name="________________ACB20">#REF!</definedName>
    <definedName name="________________ACR10" localSheetId="7">#REF!</definedName>
    <definedName name="________________ACR10" localSheetId="47">#REF!</definedName>
    <definedName name="________________ACR10" localSheetId="1">#REF!</definedName>
    <definedName name="________________ACR10">#REF!</definedName>
    <definedName name="________________ACR20" localSheetId="7">#REF!</definedName>
    <definedName name="________________ACR20" localSheetId="47">#REF!</definedName>
    <definedName name="________________ACR20" localSheetId="1">#REF!</definedName>
    <definedName name="________________ACR20">#REF!</definedName>
    <definedName name="________________AGG10" localSheetId="7">#REF!</definedName>
    <definedName name="________________AGG10" localSheetId="47">#REF!</definedName>
    <definedName name="________________AGG10" localSheetId="1">#REF!</definedName>
    <definedName name="________________AGG10">#REF!</definedName>
    <definedName name="________________AGG6" localSheetId="7">#REF!</definedName>
    <definedName name="________________AGG6" localSheetId="47">#REF!</definedName>
    <definedName name="________________AGG6" localSheetId="1">#REF!</definedName>
    <definedName name="________________AGG6">#REF!</definedName>
    <definedName name="________________ash1" localSheetId="7">[13]ANAL!#REF!</definedName>
    <definedName name="________________ash1" localSheetId="47">[13]ANAL!#REF!</definedName>
    <definedName name="________________ash1" localSheetId="1">[13]ANAL!#REF!</definedName>
    <definedName name="________________ash1">[13]ANAL!#REF!</definedName>
    <definedName name="________________AWM10" localSheetId="7">#REF!</definedName>
    <definedName name="________________AWM10" localSheetId="47">#REF!</definedName>
    <definedName name="________________AWM10" localSheetId="1">#REF!</definedName>
    <definedName name="________________AWM10">#REF!</definedName>
    <definedName name="________________AWM40" localSheetId="7">#REF!</definedName>
    <definedName name="________________AWM40" localSheetId="47">#REF!</definedName>
    <definedName name="________________AWM40" localSheetId="1">#REF!</definedName>
    <definedName name="________________AWM40">#REF!</definedName>
    <definedName name="________________AWM6" localSheetId="7">#REF!</definedName>
    <definedName name="________________AWM6" localSheetId="47">#REF!</definedName>
    <definedName name="________________AWM6" localSheetId="1">#REF!</definedName>
    <definedName name="________________AWM6">#REF!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58" localSheetId="7">[14]PROCTOR!#REF!</definedName>
    <definedName name="________________CAN458" localSheetId="47">[14]PROCTOR!#REF!</definedName>
    <definedName name="________________CAN458" localSheetId="1">[14]PROCTOR!#REF!</definedName>
    <definedName name="________________CAN458">[14]PROCTOR!#REF!</definedName>
    <definedName name="________________CAN486" localSheetId="7">[14]PROCTOR!#REF!</definedName>
    <definedName name="________________CAN486" localSheetId="47">[14]PROCTOR!#REF!</definedName>
    <definedName name="________________CAN486" localSheetId="1">[14]PROCTOR!#REF!</definedName>
    <definedName name="________________CAN486">[14]PROCTOR!#REF!</definedName>
    <definedName name="________________CAN487" localSheetId="7">[14]PROCTOR!#REF!</definedName>
    <definedName name="________________CAN487" localSheetId="47">[14]PROCTOR!#REF!</definedName>
    <definedName name="________________CAN487" localSheetId="1">[14]PROCTOR!#REF!</definedName>
    <definedName name="________________CAN487">[14]PROCTOR!#REF!</definedName>
    <definedName name="________________CAN488" localSheetId="7">[14]PROCTOR!#REF!</definedName>
    <definedName name="________________CAN488" localSheetId="47">[14]PROCTOR!#REF!</definedName>
    <definedName name="________________CAN488" localSheetId="1">[14]PROCTOR!#REF!</definedName>
    <definedName name="________________CAN488">[14]PROCTOR!#REF!</definedName>
    <definedName name="________________CAN489" localSheetId="7">[14]PROCTOR!#REF!</definedName>
    <definedName name="________________CAN489" localSheetId="47">[14]PROCTOR!#REF!</definedName>
    <definedName name="________________CAN489" localSheetId="1">[14]PROCTOR!#REF!</definedName>
    <definedName name="________________CAN489">[14]PROCTOR!#REF!</definedName>
    <definedName name="________________CAN490" localSheetId="7">[14]PROCTOR!#REF!</definedName>
    <definedName name="________________CAN490" localSheetId="47">[14]PROCTOR!#REF!</definedName>
    <definedName name="________________CAN490" localSheetId="1">[14]PROCTOR!#REF!</definedName>
    <definedName name="________________CAN490">[14]PROCTOR!#REF!</definedName>
    <definedName name="________________CAN491" localSheetId="7">[14]PROCTOR!#REF!</definedName>
    <definedName name="________________CAN491" localSheetId="47">[14]PROCTOR!#REF!</definedName>
    <definedName name="________________CAN491" localSheetId="1">[14]PROCTOR!#REF!</definedName>
    <definedName name="________________CAN491">[14]PROCTOR!#REF!</definedName>
    <definedName name="________________CAN492" localSheetId="7">[14]PROCTOR!#REF!</definedName>
    <definedName name="________________CAN492" localSheetId="47">[14]PROCTOR!#REF!</definedName>
    <definedName name="________________CAN492" localSheetId="1">[14]PROCTOR!#REF!</definedName>
    <definedName name="________________CAN492">[14]PROCTOR!#REF!</definedName>
    <definedName name="________________CAN493" localSheetId="7">[14]PROCTOR!#REF!</definedName>
    <definedName name="________________CAN493" localSheetId="47">[14]PROCTOR!#REF!</definedName>
    <definedName name="________________CAN493" localSheetId="1">[14]PROCTOR!#REF!</definedName>
    <definedName name="________________CAN493">[14]PROCTOR!#REF!</definedName>
    <definedName name="________________CAN494" localSheetId="7">[14]PROCTOR!#REF!</definedName>
    <definedName name="________________CAN494" localSheetId="47">[14]PROCTOR!#REF!</definedName>
    <definedName name="________________CAN494" localSheetId="1">[14]PROCTOR!#REF!</definedName>
    <definedName name="________________CAN494">[14]PROCTOR!#REF!</definedName>
    <definedName name="________________CAN495" localSheetId="7">[14]PROCTOR!#REF!</definedName>
    <definedName name="________________CAN495" localSheetId="47">[14]PROCTOR!#REF!</definedName>
    <definedName name="________________CAN495" localSheetId="1">[14]PROCTOR!#REF!</definedName>
    <definedName name="________________CAN495">[14]PROCTOR!#REF!</definedName>
    <definedName name="________________CAN496" localSheetId="7">[14]PROCTOR!#REF!</definedName>
    <definedName name="________________CAN496" localSheetId="47">[14]PROCTOR!#REF!</definedName>
    <definedName name="________________CAN496" localSheetId="1">[14]PROCTOR!#REF!</definedName>
    <definedName name="________________CAN496">[14]PROCTOR!#REF!</definedName>
    <definedName name="________________CAN497" localSheetId="7">[14]PROCTOR!#REF!</definedName>
    <definedName name="________________CAN497" localSheetId="47">[14]PROCTOR!#REF!</definedName>
    <definedName name="________________CAN497" localSheetId="1">[14]PROCTOR!#REF!</definedName>
    <definedName name="________________CAN497">[14]PROCTOR!#REF!</definedName>
    <definedName name="________________CAN498" localSheetId="7">[14]PROCTOR!#REF!</definedName>
    <definedName name="________________CAN498" localSheetId="47">[14]PROCTOR!#REF!</definedName>
    <definedName name="________________CAN498" localSheetId="1">[14]PROCTOR!#REF!</definedName>
    <definedName name="________________CAN498">[14]PROCTOR!#REF!</definedName>
    <definedName name="________________CAN499" localSheetId="7">[14]PROCTOR!#REF!</definedName>
    <definedName name="________________CAN499" localSheetId="47">[14]PROCTOR!#REF!</definedName>
    <definedName name="________________CAN499" localSheetId="1">[14]PROCTOR!#REF!</definedName>
    <definedName name="________________CAN499">[14]PROCTOR!#REF!</definedName>
    <definedName name="________________CAN500" localSheetId="7">[14]PROCTOR!#REF!</definedName>
    <definedName name="________________CAN500" localSheetId="47">[14]PROCTOR!#REF!</definedName>
    <definedName name="________________CAN500" localSheetId="1">[14]PROCTOR!#REF!</definedName>
    <definedName name="________________CAN500">[14]PROCTOR!#REF!</definedName>
    <definedName name="________________CDG100" localSheetId="7">#REF!</definedName>
    <definedName name="________________CDG100" localSheetId="47">#REF!</definedName>
    <definedName name="________________CDG100" localSheetId="1">#REF!</definedName>
    <definedName name="________________CDG100">#REF!</definedName>
    <definedName name="________________CDG250" localSheetId="7">#REF!</definedName>
    <definedName name="________________CDG250" localSheetId="47">#REF!</definedName>
    <definedName name="________________CDG250" localSheetId="1">#REF!</definedName>
    <definedName name="________________CDG250">#REF!</definedName>
    <definedName name="________________CDG50" localSheetId="7">#REF!</definedName>
    <definedName name="________________CDG50" localSheetId="47">#REF!</definedName>
    <definedName name="________________CDG50" localSheetId="1">#REF!</definedName>
    <definedName name="________________CDG50">#REF!</definedName>
    <definedName name="________________CDG500" localSheetId="7">#REF!</definedName>
    <definedName name="________________CDG500" localSheetId="47">#REF!</definedName>
    <definedName name="________________CDG500" localSheetId="1">#REF!</definedName>
    <definedName name="________________CDG500">#REF!</definedName>
    <definedName name="________________CEM53" localSheetId="7">#REF!</definedName>
    <definedName name="________________CEM53" localSheetId="47">#REF!</definedName>
    <definedName name="________________CEM53" localSheetId="1">#REF!</definedName>
    <definedName name="________________CEM53">#REF!</definedName>
    <definedName name="________________CRN3" localSheetId="7">#REF!</definedName>
    <definedName name="________________CRN3" localSheetId="47">#REF!</definedName>
    <definedName name="________________CRN3" localSheetId="1">#REF!</definedName>
    <definedName name="________________CRN3">#REF!</definedName>
    <definedName name="________________CRN35" localSheetId="7">#REF!</definedName>
    <definedName name="________________CRN35" localSheetId="47">#REF!</definedName>
    <definedName name="________________CRN35" localSheetId="1">#REF!</definedName>
    <definedName name="________________CRN35">#REF!</definedName>
    <definedName name="________________CRN80" localSheetId="7">#REF!</definedName>
    <definedName name="________________CRN80" localSheetId="47">#REF!</definedName>
    <definedName name="________________CRN80" localSheetId="1">#REF!</definedName>
    <definedName name="________________CRN80">#REF!</definedName>
    <definedName name="________________dec05" localSheetId="7" hidden="1">{"'Sheet1'!$A$4386:$N$4591"}</definedName>
    <definedName name="________________dec05" localSheetId="47" hidden="1">{"'Sheet1'!$A$4386:$N$4591"}</definedName>
    <definedName name="________________dec05" localSheetId="1" hidden="1">{"'Sheet1'!$A$4386:$N$4591"}</definedName>
    <definedName name="________________dec05" hidden="1">{"'Sheet1'!$A$4386:$N$4591"}</definedName>
    <definedName name="________________DOZ50" localSheetId="7">#REF!</definedName>
    <definedName name="________________DOZ50" localSheetId="47">#REF!</definedName>
    <definedName name="________________DOZ50" localSheetId="1">#REF!</definedName>
    <definedName name="________________DOZ50">#REF!</definedName>
    <definedName name="________________DOZ80" localSheetId="7">#REF!</definedName>
    <definedName name="________________DOZ80" localSheetId="47">#REF!</definedName>
    <definedName name="________________DOZ80" localSheetId="1">#REF!</definedName>
    <definedName name="________________DOZ80">#REF!</definedName>
    <definedName name="________________EXC20">'[10]Rate Analysis '!$E$50</definedName>
    <definedName name="________________ExV200" localSheetId="7">#REF!</definedName>
    <definedName name="________________ExV200" localSheetId="47">#REF!</definedName>
    <definedName name="________________ExV200" localSheetId="1">#REF!</definedName>
    <definedName name="________________ExV200">#REF!</definedName>
    <definedName name="________________GEN100" localSheetId="7">#REF!</definedName>
    <definedName name="________________GEN100" localSheetId="47">#REF!</definedName>
    <definedName name="________________GEN100" localSheetId="1">#REF!</definedName>
    <definedName name="________________GEN100">#REF!</definedName>
    <definedName name="________________GEN250" localSheetId="7">#REF!</definedName>
    <definedName name="________________GEN250" localSheetId="47">#REF!</definedName>
    <definedName name="________________GEN250" localSheetId="1">#REF!</definedName>
    <definedName name="________________GEN250">#REF!</definedName>
    <definedName name="________________GEN325" localSheetId="7">#REF!</definedName>
    <definedName name="________________GEN325" localSheetId="47">#REF!</definedName>
    <definedName name="________________GEN325" localSheetId="1">#REF!</definedName>
    <definedName name="________________GEN325">#REF!</definedName>
    <definedName name="________________GEN380" localSheetId="7">#REF!</definedName>
    <definedName name="________________GEN380" localSheetId="47">#REF!</definedName>
    <definedName name="________________GEN380" localSheetId="1">#REF!</definedName>
    <definedName name="________________GEN380">#REF!</definedName>
    <definedName name="________________GSB1" localSheetId="7">#REF!</definedName>
    <definedName name="________________GSB1" localSheetId="47">#REF!</definedName>
    <definedName name="________________GSB1" localSheetId="1">#REF!</definedName>
    <definedName name="________________GSB1">#REF!</definedName>
    <definedName name="________________GSB2" localSheetId="7">#REF!</definedName>
    <definedName name="________________GSB2" localSheetId="47">#REF!</definedName>
    <definedName name="________________GSB2" localSheetId="1">#REF!</definedName>
    <definedName name="________________GSB2">#REF!</definedName>
    <definedName name="________________GSB3" localSheetId="7">#REF!</definedName>
    <definedName name="________________GSB3" localSheetId="47">#REF!</definedName>
    <definedName name="________________GSB3" localSheetId="1">#REF!</definedName>
    <definedName name="________________GSB3">#REF!</definedName>
    <definedName name="________________HMP1" localSheetId="7">#REF!</definedName>
    <definedName name="________________HMP1" localSheetId="47">#REF!</definedName>
    <definedName name="________________HMP1" localSheetId="1">#REF!</definedName>
    <definedName name="________________HMP1">#REF!</definedName>
    <definedName name="________________HMP2" localSheetId="7">#REF!</definedName>
    <definedName name="________________HMP2" localSheetId="47">#REF!</definedName>
    <definedName name="________________HMP2" localSheetId="1">#REF!</definedName>
    <definedName name="________________HMP2">#REF!</definedName>
    <definedName name="________________HMP3" localSheetId="7">#REF!</definedName>
    <definedName name="________________HMP3" localSheetId="47">#REF!</definedName>
    <definedName name="________________HMP3" localSheetId="1">#REF!</definedName>
    <definedName name="________________HMP3">#REF!</definedName>
    <definedName name="________________HMP4" localSheetId="7">#REF!</definedName>
    <definedName name="________________HMP4" localSheetId="47">#REF!</definedName>
    <definedName name="________________HMP4" localSheetId="1">#REF!</definedName>
    <definedName name="________________HMP4">#REF!</definedName>
    <definedName name="________________lb1" localSheetId="7">#REF!</definedName>
    <definedName name="________________lb1" localSheetId="47">#REF!</definedName>
    <definedName name="________________lb1" localSheetId="1">#REF!</definedName>
    <definedName name="________________lb1">#REF!</definedName>
    <definedName name="________________lb2" localSheetId="7">#REF!</definedName>
    <definedName name="________________lb2" localSheetId="47">#REF!</definedName>
    <definedName name="________________lb2" localSheetId="1">#REF!</definedName>
    <definedName name="________________lb2">#REF!</definedName>
    <definedName name="________________mac2">200</definedName>
    <definedName name="________________MIX10" localSheetId="7">#REF!</definedName>
    <definedName name="________________MIX10" localSheetId="47">#REF!</definedName>
    <definedName name="________________MIX10" localSheetId="1">#REF!</definedName>
    <definedName name="________________MIX10">#REF!</definedName>
    <definedName name="________________MIX15" localSheetId="7">#REF!</definedName>
    <definedName name="________________MIX15" localSheetId="47">#REF!</definedName>
    <definedName name="________________MIX15" localSheetId="1">#REF!</definedName>
    <definedName name="________________MIX15">#REF!</definedName>
    <definedName name="________________MIX15150" localSheetId="7">'[4]Mix Design'!#REF!</definedName>
    <definedName name="________________MIX15150" localSheetId="47">'[4]Mix Design'!#REF!</definedName>
    <definedName name="________________MIX15150" localSheetId="1">'[4]Mix Design'!#REF!</definedName>
    <definedName name="________________MIX15150">'[4]Mix Design'!#REF!</definedName>
    <definedName name="________________MIX1540">'[4]Mix Design'!$P$11</definedName>
    <definedName name="________________MIX1580" localSheetId="7">'[4]Mix Design'!#REF!</definedName>
    <definedName name="________________MIX1580" localSheetId="47">'[4]Mix Design'!#REF!</definedName>
    <definedName name="________________MIX1580" localSheetId="1">'[4]Mix Design'!#REF!</definedName>
    <definedName name="________________MIX1580">'[4]Mix Design'!#REF!</definedName>
    <definedName name="________________MIX2">'[5]Mix Design'!$P$12</definedName>
    <definedName name="________________MIX20" localSheetId="7">#REF!</definedName>
    <definedName name="________________MIX20" localSheetId="47">#REF!</definedName>
    <definedName name="________________MIX20" localSheetId="1">#REF!</definedName>
    <definedName name="________________MIX20">#REF!</definedName>
    <definedName name="________________MIX2020">'[4]Mix Design'!$P$12</definedName>
    <definedName name="________________MIX2040">'[4]Mix Design'!$P$13</definedName>
    <definedName name="________________MIX25" localSheetId="7">#REF!</definedName>
    <definedName name="________________MIX25" localSheetId="47">#REF!</definedName>
    <definedName name="________________MIX25" localSheetId="1">#REF!</definedName>
    <definedName name="________________MIX25">#REF!</definedName>
    <definedName name="________________MIX2540">'[4]Mix Design'!$P$15</definedName>
    <definedName name="________________Mix255">'[6]Mix Design'!$P$13</definedName>
    <definedName name="________________MIX30" localSheetId="7">#REF!</definedName>
    <definedName name="________________MIX30" localSheetId="47">#REF!</definedName>
    <definedName name="________________MIX30" localSheetId="1">#REF!</definedName>
    <definedName name="________________MIX30">#REF!</definedName>
    <definedName name="________________MIX35" localSheetId="7">#REF!</definedName>
    <definedName name="________________MIX35" localSheetId="47">#REF!</definedName>
    <definedName name="________________MIX35" localSheetId="1">#REF!</definedName>
    <definedName name="________________MIX35">#REF!</definedName>
    <definedName name="________________MIX40" localSheetId="7">#REF!</definedName>
    <definedName name="________________MIX40" localSheetId="47">#REF!</definedName>
    <definedName name="________________MIX40" localSheetId="1">#REF!</definedName>
    <definedName name="________________MIX40">#REF!</definedName>
    <definedName name="________________MIX45" localSheetId="7">'[4]Mix Design'!#REF!</definedName>
    <definedName name="________________MIX45" localSheetId="47">'[4]Mix Design'!#REF!</definedName>
    <definedName name="________________MIX45" localSheetId="1">'[4]Mix Design'!#REF!</definedName>
    <definedName name="________________MIX45">'[4]Mix Design'!#REF!</definedName>
    <definedName name="________________mm1" localSheetId="7">#REF!</definedName>
    <definedName name="________________mm1" localSheetId="47">#REF!</definedName>
    <definedName name="________________mm1" localSheetId="1">#REF!</definedName>
    <definedName name="________________mm1">#REF!</definedName>
    <definedName name="________________mm2" localSheetId="7">#REF!</definedName>
    <definedName name="________________mm2" localSheetId="47">#REF!</definedName>
    <definedName name="________________mm2" localSheetId="1">#REF!</definedName>
    <definedName name="________________mm2">#REF!</definedName>
    <definedName name="________________mm3" localSheetId="7">#REF!</definedName>
    <definedName name="________________mm3" localSheetId="47">#REF!</definedName>
    <definedName name="________________mm3" localSheetId="1">#REF!</definedName>
    <definedName name="________________mm3">#REF!</definedName>
    <definedName name="________________MUR5" localSheetId="7">#REF!</definedName>
    <definedName name="________________MUR5" localSheetId="47">#REF!</definedName>
    <definedName name="________________MUR5" localSheetId="1">#REF!</definedName>
    <definedName name="________________MUR5">#REF!</definedName>
    <definedName name="________________MUR8" localSheetId="7">#REF!</definedName>
    <definedName name="________________MUR8" localSheetId="47">#REF!</definedName>
    <definedName name="________________MUR8" localSheetId="1">#REF!</definedName>
    <definedName name="________________MUR8">#REF!</definedName>
    <definedName name="________________OPC43" localSheetId="7">#REF!</definedName>
    <definedName name="________________OPC43" localSheetId="47">#REF!</definedName>
    <definedName name="________________OPC43" localSheetId="1">#REF!</definedName>
    <definedName name="________________OPC43">#REF!</definedName>
    <definedName name="________________PPC53">'[12]Rate Analysis '!$E$19</definedName>
    <definedName name="________________sh1">90</definedName>
    <definedName name="________________sh2">120</definedName>
    <definedName name="________________sh3">150</definedName>
    <definedName name="________________sh4">180</definedName>
    <definedName name="________________SLV10025" localSheetId="7">'[8]ANAL-PIPE LINE'!#REF!</definedName>
    <definedName name="________________SLV10025" localSheetId="47">'[8]ANAL-PIPE LINE'!#REF!</definedName>
    <definedName name="________________SLV10025" localSheetId="1">'[8]ANAL-PIPE LINE'!#REF!</definedName>
    <definedName name="________________SLV10025">'[8]ANAL-PIPE LINE'!#REF!</definedName>
    <definedName name="________________tab1" localSheetId="7">#REF!</definedName>
    <definedName name="________________tab1" localSheetId="47">#REF!</definedName>
    <definedName name="________________tab1" localSheetId="1">#REF!</definedName>
    <definedName name="________________tab1">#REF!</definedName>
    <definedName name="________________tab2" localSheetId="7">#REF!</definedName>
    <definedName name="________________tab2" localSheetId="47">#REF!</definedName>
    <definedName name="________________tab2" localSheetId="1">#REF!</definedName>
    <definedName name="________________tab2">#REF!</definedName>
    <definedName name="________________TIP1" localSheetId="7">#REF!</definedName>
    <definedName name="________________TIP1" localSheetId="47">#REF!</definedName>
    <definedName name="________________TIP1" localSheetId="1">#REF!</definedName>
    <definedName name="________________TIP1">#REF!</definedName>
    <definedName name="________________TIP2" localSheetId="7">#REF!</definedName>
    <definedName name="________________TIP2" localSheetId="47">#REF!</definedName>
    <definedName name="________________TIP2" localSheetId="1">#REF!</definedName>
    <definedName name="________________TIP2">#REF!</definedName>
    <definedName name="________________TIP3" localSheetId="7">#REF!</definedName>
    <definedName name="________________TIP3" localSheetId="47">#REF!</definedName>
    <definedName name="________________TIP3" localSheetId="1">#REF!</definedName>
    <definedName name="________________TIP3">#REF!</definedName>
    <definedName name="_______________A65537" localSheetId="7">#REF!</definedName>
    <definedName name="_______________A65537" localSheetId="47">#REF!</definedName>
    <definedName name="_______________A65537" localSheetId="1">#REF!</definedName>
    <definedName name="_______________A65537">#REF!</definedName>
    <definedName name="_______________ABM10" localSheetId="7">#REF!</definedName>
    <definedName name="_______________ABM10" localSheetId="47">#REF!</definedName>
    <definedName name="_______________ABM10" localSheetId="1">#REF!</definedName>
    <definedName name="_______________ABM10">#REF!</definedName>
    <definedName name="_______________ABM40" localSheetId="7">#REF!</definedName>
    <definedName name="_______________ABM40" localSheetId="47">#REF!</definedName>
    <definedName name="_______________ABM40" localSheetId="1">#REF!</definedName>
    <definedName name="_______________ABM40">#REF!</definedName>
    <definedName name="_______________ABM6" localSheetId="7">#REF!</definedName>
    <definedName name="_______________ABM6" localSheetId="47">#REF!</definedName>
    <definedName name="_______________ABM6" localSheetId="1">#REF!</definedName>
    <definedName name="_______________ABM6">#REF!</definedName>
    <definedName name="_______________ACB10" localSheetId="7">#REF!</definedName>
    <definedName name="_______________ACB10" localSheetId="47">#REF!</definedName>
    <definedName name="_______________ACB10" localSheetId="1">#REF!</definedName>
    <definedName name="_______________ACB10">#REF!</definedName>
    <definedName name="_______________ACB20" localSheetId="7">#REF!</definedName>
    <definedName name="_______________ACB20" localSheetId="47">#REF!</definedName>
    <definedName name="_______________ACB20" localSheetId="1">#REF!</definedName>
    <definedName name="_______________ACB20">#REF!</definedName>
    <definedName name="_______________ACR10" localSheetId="7">#REF!</definedName>
    <definedName name="_______________ACR10" localSheetId="47">#REF!</definedName>
    <definedName name="_______________ACR10" localSheetId="1">#REF!</definedName>
    <definedName name="_______________ACR10">#REF!</definedName>
    <definedName name="_______________ACR20" localSheetId="7">#REF!</definedName>
    <definedName name="_______________ACR20" localSheetId="47">#REF!</definedName>
    <definedName name="_______________ACR20" localSheetId="1">#REF!</definedName>
    <definedName name="_______________ACR20">#REF!</definedName>
    <definedName name="_______________AGG10" localSheetId="7">#REF!</definedName>
    <definedName name="_______________AGG10" localSheetId="47">#REF!</definedName>
    <definedName name="_______________AGG10" localSheetId="1">#REF!</definedName>
    <definedName name="_______________AGG10">#REF!</definedName>
    <definedName name="_______________AGG6" localSheetId="7">#REF!</definedName>
    <definedName name="_______________AGG6" localSheetId="47">#REF!</definedName>
    <definedName name="_______________AGG6" localSheetId="1">#REF!</definedName>
    <definedName name="_______________AGG6">#REF!</definedName>
    <definedName name="_______________ash1" localSheetId="7">[13]ANAL!#REF!</definedName>
    <definedName name="_______________ash1" localSheetId="47">[13]ANAL!#REF!</definedName>
    <definedName name="_______________ash1" localSheetId="1">[13]ANAL!#REF!</definedName>
    <definedName name="_______________ash1">[13]ANAL!#REF!</definedName>
    <definedName name="_______________AWM10" localSheetId="7">#REF!</definedName>
    <definedName name="_______________AWM10" localSheetId="47">#REF!</definedName>
    <definedName name="_______________AWM10" localSheetId="1">#REF!</definedName>
    <definedName name="_______________AWM10">#REF!</definedName>
    <definedName name="_______________AWM40" localSheetId="7">#REF!</definedName>
    <definedName name="_______________AWM40" localSheetId="47">#REF!</definedName>
    <definedName name="_______________AWM40" localSheetId="1">#REF!</definedName>
    <definedName name="_______________AWM40">#REF!</definedName>
    <definedName name="_______________AWM6" localSheetId="7">#REF!</definedName>
    <definedName name="_______________AWM6" localSheetId="47">#REF!</definedName>
    <definedName name="_______________AWM6" localSheetId="1">#REF!</definedName>
    <definedName name="_______________AWM6">#REF!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58" localSheetId="7">[19]PROCTOR!#REF!</definedName>
    <definedName name="_______________CAN458" localSheetId="47">[19]PROCTOR!#REF!</definedName>
    <definedName name="_______________CAN458" localSheetId="1">[19]PROCTOR!#REF!</definedName>
    <definedName name="_______________CAN458">[19]PROCTOR!#REF!</definedName>
    <definedName name="_______________CAN486" localSheetId="7">[19]PROCTOR!#REF!</definedName>
    <definedName name="_______________CAN486" localSheetId="47">[19]PROCTOR!#REF!</definedName>
    <definedName name="_______________CAN486" localSheetId="1">[19]PROCTOR!#REF!</definedName>
    <definedName name="_______________CAN486">[19]PROCTOR!#REF!</definedName>
    <definedName name="_______________CAN487" localSheetId="7">[19]PROCTOR!#REF!</definedName>
    <definedName name="_______________CAN487" localSheetId="47">[19]PROCTOR!#REF!</definedName>
    <definedName name="_______________CAN487" localSheetId="1">[19]PROCTOR!#REF!</definedName>
    <definedName name="_______________CAN487">[19]PROCTOR!#REF!</definedName>
    <definedName name="_______________CAN488" localSheetId="7">[19]PROCTOR!#REF!</definedName>
    <definedName name="_______________CAN488" localSheetId="47">[19]PROCTOR!#REF!</definedName>
    <definedName name="_______________CAN488" localSheetId="1">[19]PROCTOR!#REF!</definedName>
    <definedName name="_______________CAN488">[19]PROCTOR!#REF!</definedName>
    <definedName name="_______________CAN489" localSheetId="7">[19]PROCTOR!#REF!</definedName>
    <definedName name="_______________CAN489" localSheetId="47">[19]PROCTOR!#REF!</definedName>
    <definedName name="_______________CAN489" localSheetId="1">[19]PROCTOR!#REF!</definedName>
    <definedName name="_______________CAN489">[19]PROCTOR!#REF!</definedName>
    <definedName name="_______________CAN490" localSheetId="7">[19]PROCTOR!#REF!</definedName>
    <definedName name="_______________CAN490" localSheetId="47">[19]PROCTOR!#REF!</definedName>
    <definedName name="_______________CAN490" localSheetId="1">[19]PROCTOR!#REF!</definedName>
    <definedName name="_______________CAN490">[19]PROCTOR!#REF!</definedName>
    <definedName name="_______________CAN491" localSheetId="7">[19]PROCTOR!#REF!</definedName>
    <definedName name="_______________CAN491" localSheetId="47">[19]PROCTOR!#REF!</definedName>
    <definedName name="_______________CAN491" localSheetId="1">[19]PROCTOR!#REF!</definedName>
    <definedName name="_______________CAN491">[19]PROCTOR!#REF!</definedName>
    <definedName name="_______________CAN492" localSheetId="7">[19]PROCTOR!#REF!</definedName>
    <definedName name="_______________CAN492" localSheetId="47">[19]PROCTOR!#REF!</definedName>
    <definedName name="_______________CAN492" localSheetId="1">[19]PROCTOR!#REF!</definedName>
    <definedName name="_______________CAN492">[19]PROCTOR!#REF!</definedName>
    <definedName name="_______________CAN493" localSheetId="7">[19]PROCTOR!#REF!</definedName>
    <definedName name="_______________CAN493" localSheetId="47">[19]PROCTOR!#REF!</definedName>
    <definedName name="_______________CAN493" localSheetId="1">[19]PROCTOR!#REF!</definedName>
    <definedName name="_______________CAN493">[19]PROCTOR!#REF!</definedName>
    <definedName name="_______________CAN494" localSheetId="7">[19]PROCTOR!#REF!</definedName>
    <definedName name="_______________CAN494" localSheetId="47">[19]PROCTOR!#REF!</definedName>
    <definedName name="_______________CAN494" localSheetId="1">[19]PROCTOR!#REF!</definedName>
    <definedName name="_______________CAN494">[19]PROCTOR!#REF!</definedName>
    <definedName name="_______________CAN495" localSheetId="7">[19]PROCTOR!#REF!</definedName>
    <definedName name="_______________CAN495" localSheetId="47">[19]PROCTOR!#REF!</definedName>
    <definedName name="_______________CAN495" localSheetId="1">[19]PROCTOR!#REF!</definedName>
    <definedName name="_______________CAN495">[19]PROCTOR!#REF!</definedName>
    <definedName name="_______________CAN496" localSheetId="7">[19]PROCTOR!#REF!</definedName>
    <definedName name="_______________CAN496" localSheetId="47">[19]PROCTOR!#REF!</definedName>
    <definedName name="_______________CAN496" localSheetId="1">[19]PROCTOR!#REF!</definedName>
    <definedName name="_______________CAN496">[19]PROCTOR!#REF!</definedName>
    <definedName name="_______________CAN497" localSheetId="7">[19]PROCTOR!#REF!</definedName>
    <definedName name="_______________CAN497" localSheetId="47">[19]PROCTOR!#REF!</definedName>
    <definedName name="_______________CAN497" localSheetId="1">[19]PROCTOR!#REF!</definedName>
    <definedName name="_______________CAN497">[19]PROCTOR!#REF!</definedName>
    <definedName name="_______________CAN498" localSheetId="7">[19]PROCTOR!#REF!</definedName>
    <definedName name="_______________CAN498" localSheetId="47">[19]PROCTOR!#REF!</definedName>
    <definedName name="_______________CAN498" localSheetId="1">[19]PROCTOR!#REF!</definedName>
    <definedName name="_______________CAN498">[19]PROCTOR!#REF!</definedName>
    <definedName name="_______________CAN499" localSheetId="7">[19]PROCTOR!#REF!</definedName>
    <definedName name="_______________CAN499" localSheetId="47">[19]PROCTOR!#REF!</definedName>
    <definedName name="_______________CAN499" localSheetId="1">[19]PROCTOR!#REF!</definedName>
    <definedName name="_______________CAN499">[19]PROCTOR!#REF!</definedName>
    <definedName name="_______________CAN500" localSheetId="7">[19]PROCTOR!#REF!</definedName>
    <definedName name="_______________CAN500" localSheetId="47">[19]PROCTOR!#REF!</definedName>
    <definedName name="_______________CAN500" localSheetId="1">[19]PROCTOR!#REF!</definedName>
    <definedName name="_______________CAN500">[19]PROCTOR!#REF!</definedName>
    <definedName name="_______________CDG100" localSheetId="7">#REF!</definedName>
    <definedName name="_______________CDG100" localSheetId="47">#REF!</definedName>
    <definedName name="_______________CDG100" localSheetId="1">#REF!</definedName>
    <definedName name="_______________CDG100">#REF!</definedName>
    <definedName name="_______________CDG250" localSheetId="7">#REF!</definedName>
    <definedName name="_______________CDG250" localSheetId="47">#REF!</definedName>
    <definedName name="_______________CDG250" localSheetId="1">#REF!</definedName>
    <definedName name="_______________CDG250">#REF!</definedName>
    <definedName name="_______________CDG50" localSheetId="7">#REF!</definedName>
    <definedName name="_______________CDG50" localSheetId="47">#REF!</definedName>
    <definedName name="_______________CDG50" localSheetId="1">#REF!</definedName>
    <definedName name="_______________CDG50">#REF!</definedName>
    <definedName name="_______________CDG500" localSheetId="7">#REF!</definedName>
    <definedName name="_______________CDG500" localSheetId="47">#REF!</definedName>
    <definedName name="_______________CDG500" localSheetId="1">#REF!</definedName>
    <definedName name="_______________CDG500">#REF!</definedName>
    <definedName name="_______________CEM53" localSheetId="7">#REF!</definedName>
    <definedName name="_______________CEM53" localSheetId="47">#REF!</definedName>
    <definedName name="_______________CEM53" localSheetId="1">#REF!</definedName>
    <definedName name="_______________CEM53">#REF!</definedName>
    <definedName name="_______________CRN3" localSheetId="7">#REF!</definedName>
    <definedName name="_______________CRN3" localSheetId="47">#REF!</definedName>
    <definedName name="_______________CRN3" localSheetId="1">#REF!</definedName>
    <definedName name="_______________CRN3">#REF!</definedName>
    <definedName name="_______________CRN35" localSheetId="7">#REF!</definedName>
    <definedName name="_______________CRN35" localSheetId="47">#REF!</definedName>
    <definedName name="_______________CRN35" localSheetId="1">#REF!</definedName>
    <definedName name="_______________CRN35">#REF!</definedName>
    <definedName name="_______________CRN80" localSheetId="7">#REF!</definedName>
    <definedName name="_______________CRN80" localSheetId="47">#REF!</definedName>
    <definedName name="_______________CRN80" localSheetId="1">#REF!</definedName>
    <definedName name="_______________CRN80">#REF!</definedName>
    <definedName name="_______________dec05" localSheetId="7" hidden="1">{"'Sheet1'!$A$4386:$N$4591"}</definedName>
    <definedName name="_______________dec05" localSheetId="47" hidden="1">{"'Sheet1'!$A$4386:$N$4591"}</definedName>
    <definedName name="_______________dec05" localSheetId="1" hidden="1">{"'Sheet1'!$A$4386:$N$4591"}</definedName>
    <definedName name="_______________dec05" hidden="1">{"'Sheet1'!$A$4386:$N$4591"}</definedName>
    <definedName name="_______________DOZ50" localSheetId="7">#REF!</definedName>
    <definedName name="_______________DOZ50" localSheetId="47">#REF!</definedName>
    <definedName name="_______________DOZ50" localSheetId="1">#REF!</definedName>
    <definedName name="_______________DOZ50">#REF!</definedName>
    <definedName name="_______________DOZ80" localSheetId="7">#REF!</definedName>
    <definedName name="_______________DOZ80" localSheetId="47">#REF!</definedName>
    <definedName name="_______________DOZ80" localSheetId="1">#REF!</definedName>
    <definedName name="_______________DOZ80">#REF!</definedName>
    <definedName name="_______________EXC20">'[10]Rate Analysis '!$E$50</definedName>
    <definedName name="_______________ExV200" localSheetId="7">#REF!</definedName>
    <definedName name="_______________ExV200" localSheetId="47">#REF!</definedName>
    <definedName name="_______________ExV200" localSheetId="1">#REF!</definedName>
    <definedName name="_______________ExV200">#REF!</definedName>
    <definedName name="_______________GEN100" localSheetId="7">#REF!</definedName>
    <definedName name="_______________GEN100" localSheetId="47">#REF!</definedName>
    <definedName name="_______________GEN100" localSheetId="1">#REF!</definedName>
    <definedName name="_______________GEN100">#REF!</definedName>
    <definedName name="_______________GEN250" localSheetId="7">#REF!</definedName>
    <definedName name="_______________GEN250" localSheetId="47">#REF!</definedName>
    <definedName name="_______________GEN250" localSheetId="1">#REF!</definedName>
    <definedName name="_______________GEN250">#REF!</definedName>
    <definedName name="_______________GEN325" localSheetId="7">#REF!</definedName>
    <definedName name="_______________GEN325" localSheetId="47">#REF!</definedName>
    <definedName name="_______________GEN325" localSheetId="1">#REF!</definedName>
    <definedName name="_______________GEN325">#REF!</definedName>
    <definedName name="_______________GEN380" localSheetId="7">#REF!</definedName>
    <definedName name="_______________GEN380" localSheetId="47">#REF!</definedName>
    <definedName name="_______________GEN380" localSheetId="1">#REF!</definedName>
    <definedName name="_______________GEN380">#REF!</definedName>
    <definedName name="_______________GSB1" localSheetId="7">#REF!</definedName>
    <definedName name="_______________GSB1" localSheetId="47">#REF!</definedName>
    <definedName name="_______________GSB1" localSheetId="1">#REF!</definedName>
    <definedName name="_______________GSB1">#REF!</definedName>
    <definedName name="_______________GSB2" localSheetId="7">#REF!</definedName>
    <definedName name="_______________GSB2" localSheetId="47">#REF!</definedName>
    <definedName name="_______________GSB2" localSheetId="1">#REF!</definedName>
    <definedName name="_______________GSB2">#REF!</definedName>
    <definedName name="_______________GSB3" localSheetId="7">#REF!</definedName>
    <definedName name="_______________GSB3" localSheetId="47">#REF!</definedName>
    <definedName name="_______________GSB3" localSheetId="1">#REF!</definedName>
    <definedName name="_______________GSB3">#REF!</definedName>
    <definedName name="_______________HMP1" localSheetId="7">#REF!</definedName>
    <definedName name="_______________HMP1" localSheetId="47">#REF!</definedName>
    <definedName name="_______________HMP1" localSheetId="1">#REF!</definedName>
    <definedName name="_______________HMP1">#REF!</definedName>
    <definedName name="_______________HMP2" localSheetId="7">#REF!</definedName>
    <definedName name="_______________HMP2" localSheetId="47">#REF!</definedName>
    <definedName name="_______________HMP2" localSheetId="1">#REF!</definedName>
    <definedName name="_______________HMP2">#REF!</definedName>
    <definedName name="_______________HMP3" localSheetId="7">#REF!</definedName>
    <definedName name="_______________HMP3" localSheetId="47">#REF!</definedName>
    <definedName name="_______________HMP3" localSheetId="1">#REF!</definedName>
    <definedName name="_______________HMP3">#REF!</definedName>
    <definedName name="_______________HMP4" localSheetId="7">#REF!</definedName>
    <definedName name="_______________HMP4" localSheetId="47">#REF!</definedName>
    <definedName name="_______________HMP4" localSheetId="1">#REF!</definedName>
    <definedName name="_______________HMP4">#REF!</definedName>
    <definedName name="_______________lb1" localSheetId="7">#REF!</definedName>
    <definedName name="_______________lb1" localSheetId="47">#REF!</definedName>
    <definedName name="_______________lb1" localSheetId="1">#REF!</definedName>
    <definedName name="_______________lb1">#REF!</definedName>
    <definedName name="_______________lb2" localSheetId="7">#REF!</definedName>
    <definedName name="_______________lb2" localSheetId="47">#REF!</definedName>
    <definedName name="_______________lb2" localSheetId="1">#REF!</definedName>
    <definedName name="_______________lb2">#REF!</definedName>
    <definedName name="_______________mac2">200</definedName>
    <definedName name="_______________MIX10" localSheetId="7">#REF!</definedName>
    <definedName name="_______________MIX10" localSheetId="47">#REF!</definedName>
    <definedName name="_______________MIX10" localSheetId="1">#REF!</definedName>
    <definedName name="_______________MIX10">#REF!</definedName>
    <definedName name="_______________MIX15" localSheetId="7">#REF!</definedName>
    <definedName name="_______________MIX15" localSheetId="47">#REF!</definedName>
    <definedName name="_______________MIX15" localSheetId="1">#REF!</definedName>
    <definedName name="_______________MIX15">#REF!</definedName>
    <definedName name="_______________MIX15150" localSheetId="7">'[4]Mix Design'!#REF!</definedName>
    <definedName name="_______________MIX15150" localSheetId="47">'[4]Mix Design'!#REF!</definedName>
    <definedName name="_______________MIX15150" localSheetId="1">'[4]Mix Design'!#REF!</definedName>
    <definedName name="_______________MIX15150">'[4]Mix Design'!#REF!</definedName>
    <definedName name="_______________MIX1540">'[4]Mix Design'!$P$11</definedName>
    <definedName name="_______________MIX1580" localSheetId="7">'[4]Mix Design'!#REF!</definedName>
    <definedName name="_______________MIX1580" localSheetId="47">'[4]Mix Design'!#REF!</definedName>
    <definedName name="_______________MIX1580" localSheetId="1">'[4]Mix Design'!#REF!</definedName>
    <definedName name="_______________MIX1580">'[4]Mix Design'!#REF!</definedName>
    <definedName name="_______________MIX2">'[5]Mix Design'!$P$12</definedName>
    <definedName name="_______________MIX20" localSheetId="7">#REF!</definedName>
    <definedName name="_______________MIX20" localSheetId="47">#REF!</definedName>
    <definedName name="_______________MIX20" localSheetId="1">#REF!</definedName>
    <definedName name="_______________MIX20">#REF!</definedName>
    <definedName name="_______________MIX2020">'[4]Mix Design'!$P$12</definedName>
    <definedName name="_______________MIX2040">'[4]Mix Design'!$P$13</definedName>
    <definedName name="_______________MIX25" localSheetId="7">#REF!</definedName>
    <definedName name="_______________MIX25" localSheetId="47">#REF!</definedName>
    <definedName name="_______________MIX25" localSheetId="1">#REF!</definedName>
    <definedName name="_______________MIX25">#REF!</definedName>
    <definedName name="_______________MIX2540">'[4]Mix Design'!$P$15</definedName>
    <definedName name="_______________Mix255">'[6]Mix Design'!$P$13</definedName>
    <definedName name="_______________MIX30" localSheetId="7">#REF!</definedName>
    <definedName name="_______________MIX30" localSheetId="47">#REF!</definedName>
    <definedName name="_______________MIX30" localSheetId="1">#REF!</definedName>
    <definedName name="_______________MIX30">#REF!</definedName>
    <definedName name="_______________MIX35" localSheetId="7">#REF!</definedName>
    <definedName name="_______________MIX35" localSheetId="47">#REF!</definedName>
    <definedName name="_______________MIX35" localSheetId="1">#REF!</definedName>
    <definedName name="_______________MIX35">#REF!</definedName>
    <definedName name="_______________MIX40" localSheetId="7">#REF!</definedName>
    <definedName name="_______________MIX40" localSheetId="47">#REF!</definedName>
    <definedName name="_______________MIX40" localSheetId="1">#REF!</definedName>
    <definedName name="_______________MIX40">#REF!</definedName>
    <definedName name="_______________MIX45" localSheetId="7">'[4]Mix Design'!#REF!</definedName>
    <definedName name="_______________MIX45" localSheetId="47">'[4]Mix Design'!#REF!</definedName>
    <definedName name="_______________MIX45" localSheetId="1">'[4]Mix Design'!#REF!</definedName>
    <definedName name="_______________MIX45">'[4]Mix Design'!#REF!</definedName>
    <definedName name="_______________mm1" localSheetId="7">#REF!</definedName>
    <definedName name="_______________mm1" localSheetId="47">#REF!</definedName>
    <definedName name="_______________mm1" localSheetId="1">#REF!</definedName>
    <definedName name="_______________mm1">#REF!</definedName>
    <definedName name="_______________mm2" localSheetId="7">#REF!</definedName>
    <definedName name="_______________mm2" localSheetId="47">#REF!</definedName>
    <definedName name="_______________mm2" localSheetId="1">#REF!</definedName>
    <definedName name="_______________mm2">#REF!</definedName>
    <definedName name="_______________mm3" localSheetId="7">#REF!</definedName>
    <definedName name="_______________mm3" localSheetId="47">#REF!</definedName>
    <definedName name="_______________mm3" localSheetId="1">#REF!</definedName>
    <definedName name="_______________mm3">#REF!</definedName>
    <definedName name="_______________MUR5" localSheetId="7">#REF!</definedName>
    <definedName name="_______________MUR5" localSheetId="47">#REF!</definedName>
    <definedName name="_______________MUR5" localSheetId="1">#REF!</definedName>
    <definedName name="_______________MUR5">#REF!</definedName>
    <definedName name="_______________MUR8" localSheetId="7">#REF!</definedName>
    <definedName name="_______________MUR8" localSheetId="47">#REF!</definedName>
    <definedName name="_______________MUR8" localSheetId="1">#REF!</definedName>
    <definedName name="_______________MUR8">#REF!</definedName>
    <definedName name="_______________OPC43" localSheetId="7">#REF!</definedName>
    <definedName name="_______________OPC43" localSheetId="47">#REF!</definedName>
    <definedName name="_______________OPC43" localSheetId="1">#REF!</definedName>
    <definedName name="_______________OPC43">#REF!</definedName>
    <definedName name="_______________PPC53">'[12]Rate Analysis '!$E$19</definedName>
    <definedName name="_______________sh1">90</definedName>
    <definedName name="_______________sh2">120</definedName>
    <definedName name="_______________sh3">150</definedName>
    <definedName name="_______________sh4">180</definedName>
    <definedName name="_______________tab1" localSheetId="7">#REF!</definedName>
    <definedName name="_______________tab1" localSheetId="47">#REF!</definedName>
    <definedName name="_______________tab1" localSheetId="1">#REF!</definedName>
    <definedName name="_______________tab1">#REF!</definedName>
    <definedName name="_______________tab2" localSheetId="7">#REF!</definedName>
    <definedName name="_______________tab2" localSheetId="47">#REF!</definedName>
    <definedName name="_______________tab2" localSheetId="1">#REF!</definedName>
    <definedName name="_______________tab2">#REF!</definedName>
    <definedName name="_______________TIP1" localSheetId="7">#REF!</definedName>
    <definedName name="_______________TIP1" localSheetId="47">#REF!</definedName>
    <definedName name="_______________TIP1" localSheetId="1">#REF!</definedName>
    <definedName name="_______________TIP1">#REF!</definedName>
    <definedName name="_______________TIP2" localSheetId="7">#REF!</definedName>
    <definedName name="_______________TIP2" localSheetId="47">#REF!</definedName>
    <definedName name="_______________TIP2" localSheetId="1">#REF!</definedName>
    <definedName name="_______________TIP2">#REF!</definedName>
    <definedName name="_______________TIP3" localSheetId="7">#REF!</definedName>
    <definedName name="_______________TIP3" localSheetId="47">#REF!</definedName>
    <definedName name="_______________TIP3" localSheetId="1">#REF!</definedName>
    <definedName name="_______________TIP3">#REF!</definedName>
    <definedName name="______________A65537" localSheetId="7">#REF!</definedName>
    <definedName name="______________A65537" localSheetId="47">#REF!</definedName>
    <definedName name="______________A65537" localSheetId="1">#REF!</definedName>
    <definedName name="______________A65537">#REF!</definedName>
    <definedName name="______________ABM10" localSheetId="7">#REF!</definedName>
    <definedName name="______________ABM10" localSheetId="47">#REF!</definedName>
    <definedName name="______________ABM10" localSheetId="1">#REF!</definedName>
    <definedName name="______________ABM10">#REF!</definedName>
    <definedName name="______________ABM40" localSheetId="7">#REF!</definedName>
    <definedName name="______________ABM40" localSheetId="47">#REF!</definedName>
    <definedName name="______________ABM40" localSheetId="1">#REF!</definedName>
    <definedName name="______________ABM40">#REF!</definedName>
    <definedName name="______________ABM6" localSheetId="7">#REF!</definedName>
    <definedName name="______________ABM6" localSheetId="47">#REF!</definedName>
    <definedName name="______________ABM6" localSheetId="1">#REF!</definedName>
    <definedName name="______________ABM6">#REF!</definedName>
    <definedName name="______________ACB10" localSheetId="7">#REF!</definedName>
    <definedName name="______________ACB10" localSheetId="47">#REF!</definedName>
    <definedName name="______________ACB10" localSheetId="1">#REF!</definedName>
    <definedName name="______________ACB10">#REF!</definedName>
    <definedName name="______________ACB20" localSheetId="7">#REF!</definedName>
    <definedName name="______________ACB20" localSheetId="47">#REF!</definedName>
    <definedName name="______________ACB20" localSheetId="1">#REF!</definedName>
    <definedName name="______________ACB20">#REF!</definedName>
    <definedName name="______________ACR10" localSheetId="7">#REF!</definedName>
    <definedName name="______________ACR10" localSheetId="47">#REF!</definedName>
    <definedName name="______________ACR10" localSheetId="1">#REF!</definedName>
    <definedName name="______________ACR10">#REF!</definedName>
    <definedName name="______________ACR20" localSheetId="7">#REF!</definedName>
    <definedName name="______________ACR20" localSheetId="47">#REF!</definedName>
    <definedName name="______________ACR20" localSheetId="1">#REF!</definedName>
    <definedName name="______________ACR20">#REF!</definedName>
    <definedName name="______________AGG10" localSheetId="7">#REF!</definedName>
    <definedName name="______________AGG10" localSheetId="47">#REF!</definedName>
    <definedName name="______________AGG10" localSheetId="1">#REF!</definedName>
    <definedName name="______________AGG10">#REF!</definedName>
    <definedName name="______________AGG6" localSheetId="7">#REF!</definedName>
    <definedName name="______________AGG6" localSheetId="47">#REF!</definedName>
    <definedName name="______________AGG6" localSheetId="1">#REF!</definedName>
    <definedName name="______________AGG6">#REF!</definedName>
    <definedName name="______________ARV8040">'[20]ANAL-PUMP HOUSE'!$I$55</definedName>
    <definedName name="______________ash1" localSheetId="7">[21]ANAL!#REF!</definedName>
    <definedName name="______________ash1" localSheetId="47">[21]ANAL!#REF!</definedName>
    <definedName name="______________ash1" localSheetId="1">[21]ANAL!#REF!</definedName>
    <definedName name="______________ash1">[21]ANAL!#REF!</definedName>
    <definedName name="______________AWM10" localSheetId="7">#REF!</definedName>
    <definedName name="______________AWM10" localSheetId="47">#REF!</definedName>
    <definedName name="______________AWM10" localSheetId="1">#REF!</definedName>
    <definedName name="______________AWM10">#REF!</definedName>
    <definedName name="______________AWM40" localSheetId="7">#REF!</definedName>
    <definedName name="______________AWM40" localSheetId="47">#REF!</definedName>
    <definedName name="______________AWM40" localSheetId="1">#REF!</definedName>
    <definedName name="______________AWM40">#REF!</definedName>
    <definedName name="______________AWM6" localSheetId="7">#REF!</definedName>
    <definedName name="______________AWM6" localSheetId="47">#REF!</definedName>
    <definedName name="______________AWM6" localSheetId="1">#REF!</definedName>
    <definedName name="______________AWM6">#REF!</definedName>
    <definedName name="______________b111121" localSheetId="7">#REF!</definedName>
    <definedName name="______________b111121" localSheetId="47">#REF!</definedName>
    <definedName name="______________b111121" localSheetId="1">#REF!</definedName>
    <definedName name="______________b111121">#REF!</definedName>
    <definedName name="______________BTV300">'[20]ANAL-PUMP HOUSE'!$I$52</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58" localSheetId="7">[14]PROCTOR!#REF!</definedName>
    <definedName name="______________CAN458" localSheetId="47">[14]PROCTOR!#REF!</definedName>
    <definedName name="______________CAN458" localSheetId="1">[14]PROCTOR!#REF!</definedName>
    <definedName name="______________CAN458">[14]PROCTOR!#REF!</definedName>
    <definedName name="______________CAN486" localSheetId="7">[14]PROCTOR!#REF!</definedName>
    <definedName name="______________CAN486" localSheetId="47">[14]PROCTOR!#REF!</definedName>
    <definedName name="______________CAN486" localSheetId="1">[14]PROCTOR!#REF!</definedName>
    <definedName name="______________CAN486">[14]PROCTOR!#REF!</definedName>
    <definedName name="______________CAN487" localSheetId="7">[14]PROCTOR!#REF!</definedName>
    <definedName name="______________CAN487" localSheetId="47">[14]PROCTOR!#REF!</definedName>
    <definedName name="______________CAN487" localSheetId="1">[14]PROCTOR!#REF!</definedName>
    <definedName name="______________CAN487">[14]PROCTOR!#REF!</definedName>
    <definedName name="______________CAN488" localSheetId="7">[14]PROCTOR!#REF!</definedName>
    <definedName name="______________CAN488" localSheetId="47">[14]PROCTOR!#REF!</definedName>
    <definedName name="______________CAN488" localSheetId="1">[14]PROCTOR!#REF!</definedName>
    <definedName name="______________CAN488">[14]PROCTOR!#REF!</definedName>
    <definedName name="______________CAN489" localSheetId="7">[14]PROCTOR!#REF!</definedName>
    <definedName name="______________CAN489" localSheetId="47">[14]PROCTOR!#REF!</definedName>
    <definedName name="______________CAN489" localSheetId="1">[14]PROCTOR!#REF!</definedName>
    <definedName name="______________CAN489">[14]PROCTOR!#REF!</definedName>
    <definedName name="______________CAN490" localSheetId="7">[14]PROCTOR!#REF!</definedName>
    <definedName name="______________CAN490" localSheetId="47">[14]PROCTOR!#REF!</definedName>
    <definedName name="______________CAN490" localSheetId="1">[14]PROCTOR!#REF!</definedName>
    <definedName name="______________CAN490">[14]PROCTOR!#REF!</definedName>
    <definedName name="______________CAN491" localSheetId="7">[14]PROCTOR!#REF!</definedName>
    <definedName name="______________CAN491" localSheetId="47">[14]PROCTOR!#REF!</definedName>
    <definedName name="______________CAN491" localSheetId="1">[14]PROCTOR!#REF!</definedName>
    <definedName name="______________CAN491">[14]PROCTOR!#REF!</definedName>
    <definedName name="______________CAN492" localSheetId="7">[14]PROCTOR!#REF!</definedName>
    <definedName name="______________CAN492" localSheetId="47">[14]PROCTOR!#REF!</definedName>
    <definedName name="______________CAN492" localSheetId="1">[14]PROCTOR!#REF!</definedName>
    <definedName name="______________CAN492">[14]PROCTOR!#REF!</definedName>
    <definedName name="______________CAN493" localSheetId="7">[14]PROCTOR!#REF!</definedName>
    <definedName name="______________CAN493" localSheetId="47">[14]PROCTOR!#REF!</definedName>
    <definedName name="______________CAN493" localSheetId="1">[14]PROCTOR!#REF!</definedName>
    <definedName name="______________CAN493">[14]PROCTOR!#REF!</definedName>
    <definedName name="______________CAN494" localSheetId="7">[14]PROCTOR!#REF!</definedName>
    <definedName name="______________CAN494" localSheetId="47">[14]PROCTOR!#REF!</definedName>
    <definedName name="______________CAN494" localSheetId="1">[14]PROCTOR!#REF!</definedName>
    <definedName name="______________CAN494">[14]PROCTOR!#REF!</definedName>
    <definedName name="______________CAN495" localSheetId="7">[14]PROCTOR!#REF!</definedName>
    <definedName name="______________CAN495" localSheetId="47">[14]PROCTOR!#REF!</definedName>
    <definedName name="______________CAN495" localSheetId="1">[14]PROCTOR!#REF!</definedName>
    <definedName name="______________CAN495">[14]PROCTOR!#REF!</definedName>
    <definedName name="______________CAN496" localSheetId="7">[14]PROCTOR!#REF!</definedName>
    <definedName name="______________CAN496" localSheetId="47">[14]PROCTOR!#REF!</definedName>
    <definedName name="______________CAN496" localSheetId="1">[14]PROCTOR!#REF!</definedName>
    <definedName name="______________CAN496">[14]PROCTOR!#REF!</definedName>
    <definedName name="______________CAN497" localSheetId="7">[14]PROCTOR!#REF!</definedName>
    <definedName name="______________CAN497" localSheetId="47">[14]PROCTOR!#REF!</definedName>
    <definedName name="______________CAN497" localSheetId="1">[14]PROCTOR!#REF!</definedName>
    <definedName name="______________CAN497">[14]PROCTOR!#REF!</definedName>
    <definedName name="______________CAN498" localSheetId="7">[14]PROCTOR!#REF!</definedName>
    <definedName name="______________CAN498" localSheetId="47">[14]PROCTOR!#REF!</definedName>
    <definedName name="______________CAN498" localSheetId="1">[14]PROCTOR!#REF!</definedName>
    <definedName name="______________CAN498">[14]PROCTOR!#REF!</definedName>
    <definedName name="______________CAN499" localSheetId="7">[14]PROCTOR!#REF!</definedName>
    <definedName name="______________CAN499" localSheetId="47">[14]PROCTOR!#REF!</definedName>
    <definedName name="______________CAN499" localSheetId="1">[14]PROCTOR!#REF!</definedName>
    <definedName name="______________CAN499">[14]PROCTOR!#REF!</definedName>
    <definedName name="______________CAN500" localSheetId="7">[14]PROCTOR!#REF!</definedName>
    <definedName name="______________CAN500" localSheetId="47">[14]PROCTOR!#REF!</definedName>
    <definedName name="______________CAN500" localSheetId="1">[14]PROCTOR!#REF!</definedName>
    <definedName name="______________CAN500">[14]PROCTOR!#REF!</definedName>
    <definedName name="______________CDG100" localSheetId="7">#REF!</definedName>
    <definedName name="______________CDG100" localSheetId="47">#REF!</definedName>
    <definedName name="______________CDG100" localSheetId="1">#REF!</definedName>
    <definedName name="______________CDG100">#REF!</definedName>
    <definedName name="______________CDG250" localSheetId="7">#REF!</definedName>
    <definedName name="______________CDG250" localSheetId="47">#REF!</definedName>
    <definedName name="______________CDG250" localSheetId="1">#REF!</definedName>
    <definedName name="______________CDG250">#REF!</definedName>
    <definedName name="______________CDG50" localSheetId="7">#REF!</definedName>
    <definedName name="______________CDG50" localSheetId="47">#REF!</definedName>
    <definedName name="______________CDG50" localSheetId="1">#REF!</definedName>
    <definedName name="______________CDG50">#REF!</definedName>
    <definedName name="______________CDG500" localSheetId="7">#REF!</definedName>
    <definedName name="______________CDG500" localSheetId="47">#REF!</definedName>
    <definedName name="______________CDG500" localSheetId="1">#REF!</definedName>
    <definedName name="______________CDG500">#REF!</definedName>
    <definedName name="______________CEM53" localSheetId="7">#REF!</definedName>
    <definedName name="______________CEM53" localSheetId="47">#REF!</definedName>
    <definedName name="______________CEM53" localSheetId="1">#REF!</definedName>
    <definedName name="______________CEM53">#REF!</definedName>
    <definedName name="______________CRN3" localSheetId="7">#REF!</definedName>
    <definedName name="______________CRN3" localSheetId="47">#REF!</definedName>
    <definedName name="______________CRN3" localSheetId="1">#REF!</definedName>
    <definedName name="______________CRN3">#REF!</definedName>
    <definedName name="______________CRN35" localSheetId="7">#REF!</definedName>
    <definedName name="______________CRN35" localSheetId="47">#REF!</definedName>
    <definedName name="______________CRN35" localSheetId="1">#REF!</definedName>
    <definedName name="______________CRN35">#REF!</definedName>
    <definedName name="______________CRN80" localSheetId="7">#REF!</definedName>
    <definedName name="______________CRN80" localSheetId="47">#REF!</definedName>
    <definedName name="______________CRN80" localSheetId="1">#REF!</definedName>
    <definedName name="______________CRN80">#REF!</definedName>
    <definedName name="______________dec05" localSheetId="7" hidden="1">{"'Sheet1'!$A$4386:$N$4591"}</definedName>
    <definedName name="______________dec05" localSheetId="47" hidden="1">{"'Sheet1'!$A$4386:$N$4591"}</definedName>
    <definedName name="______________dec05" localSheetId="1" hidden="1">{"'Sheet1'!$A$4386:$N$4591"}</definedName>
    <definedName name="______________dec05" hidden="1">{"'Sheet1'!$A$4386:$N$4591"}</definedName>
    <definedName name="______________DOZ50" localSheetId="7">#REF!</definedName>
    <definedName name="______________DOZ50" localSheetId="47">#REF!</definedName>
    <definedName name="______________DOZ50" localSheetId="1">#REF!</definedName>
    <definedName name="______________DOZ50">#REF!</definedName>
    <definedName name="______________DOZ80" localSheetId="7">#REF!</definedName>
    <definedName name="______________DOZ80" localSheetId="47">#REF!</definedName>
    <definedName name="______________DOZ80" localSheetId="1">#REF!</definedName>
    <definedName name="______________DOZ80">#REF!</definedName>
    <definedName name="______________EXC20">'[10]Rate Analysis '!$E$50</definedName>
    <definedName name="______________ExV200" localSheetId="7">#REF!</definedName>
    <definedName name="______________ExV200" localSheetId="47">#REF!</definedName>
    <definedName name="______________ExV200" localSheetId="1">#REF!</definedName>
    <definedName name="______________ExV200">#REF!</definedName>
    <definedName name="______________GEN100" localSheetId="7">#REF!</definedName>
    <definedName name="______________GEN100" localSheetId="47">#REF!</definedName>
    <definedName name="______________GEN100" localSheetId="1">#REF!</definedName>
    <definedName name="______________GEN100">#REF!</definedName>
    <definedName name="______________GEN250" localSheetId="7">#REF!</definedName>
    <definedName name="______________GEN250" localSheetId="47">#REF!</definedName>
    <definedName name="______________GEN250" localSheetId="1">#REF!</definedName>
    <definedName name="______________GEN250">#REF!</definedName>
    <definedName name="______________GEN325" localSheetId="7">#REF!</definedName>
    <definedName name="______________GEN325" localSheetId="47">#REF!</definedName>
    <definedName name="______________GEN325" localSheetId="1">#REF!</definedName>
    <definedName name="______________GEN325">#REF!</definedName>
    <definedName name="______________GEN380" localSheetId="7">#REF!</definedName>
    <definedName name="______________GEN380" localSheetId="47">#REF!</definedName>
    <definedName name="______________GEN380" localSheetId="1">#REF!</definedName>
    <definedName name="______________GEN380">#REF!</definedName>
    <definedName name="______________GSB1" localSheetId="7">#REF!</definedName>
    <definedName name="______________GSB1" localSheetId="47">#REF!</definedName>
    <definedName name="______________GSB1" localSheetId="1">#REF!</definedName>
    <definedName name="______________GSB1">#REF!</definedName>
    <definedName name="______________GSB2" localSheetId="7">#REF!</definedName>
    <definedName name="______________GSB2" localSheetId="47">#REF!</definedName>
    <definedName name="______________GSB2" localSheetId="1">#REF!</definedName>
    <definedName name="______________GSB2">#REF!</definedName>
    <definedName name="______________GSB3" localSheetId="7">#REF!</definedName>
    <definedName name="______________GSB3" localSheetId="47">#REF!</definedName>
    <definedName name="______________GSB3" localSheetId="1">#REF!</definedName>
    <definedName name="______________GSB3">#REF!</definedName>
    <definedName name="______________HMP1" localSheetId="7">#REF!</definedName>
    <definedName name="______________HMP1" localSheetId="47">#REF!</definedName>
    <definedName name="______________HMP1" localSheetId="1">#REF!</definedName>
    <definedName name="______________HMP1">#REF!</definedName>
    <definedName name="______________HMP2" localSheetId="7">#REF!</definedName>
    <definedName name="______________HMP2" localSheetId="47">#REF!</definedName>
    <definedName name="______________HMP2" localSheetId="1">#REF!</definedName>
    <definedName name="______________HMP2">#REF!</definedName>
    <definedName name="______________HMP3" localSheetId="7">#REF!</definedName>
    <definedName name="______________HMP3" localSheetId="47">#REF!</definedName>
    <definedName name="______________HMP3" localSheetId="1">#REF!</definedName>
    <definedName name="______________HMP3">#REF!</definedName>
    <definedName name="______________HMP4" localSheetId="7">#REF!</definedName>
    <definedName name="______________HMP4" localSheetId="47">#REF!</definedName>
    <definedName name="______________HMP4" localSheetId="1">#REF!</definedName>
    <definedName name="______________HMP4">#REF!</definedName>
    <definedName name="______________HRC1">'[20]Pipe trench'!$V$23</definedName>
    <definedName name="______________HRC2">'[20]Pipe trench'!$V$24</definedName>
    <definedName name="______________HSE1">'[20]Pipe trench'!$V$11</definedName>
    <definedName name="______________Ki1" localSheetId="7">#REF!</definedName>
    <definedName name="______________Ki1" localSheetId="47">#REF!</definedName>
    <definedName name="______________Ki1" localSheetId="1">#REF!</definedName>
    <definedName name="______________Ki1">#REF!</definedName>
    <definedName name="______________Ki2" localSheetId="7">#REF!</definedName>
    <definedName name="______________Ki2" localSheetId="47">#REF!</definedName>
    <definedName name="______________Ki2" localSheetId="1">#REF!</definedName>
    <definedName name="______________Ki2">#REF!</definedName>
    <definedName name="______________lb1" localSheetId="7">#REF!</definedName>
    <definedName name="______________lb1" localSheetId="47">#REF!</definedName>
    <definedName name="______________lb1" localSheetId="1">#REF!</definedName>
    <definedName name="______________lb1">#REF!</definedName>
    <definedName name="______________lb2" localSheetId="7">#REF!</definedName>
    <definedName name="______________lb2" localSheetId="47">#REF!</definedName>
    <definedName name="______________lb2" localSheetId="1">#REF!</definedName>
    <definedName name="______________lb2">#REF!</definedName>
    <definedName name="______________mac2">200</definedName>
    <definedName name="______________MAN1" localSheetId="7">#REF!</definedName>
    <definedName name="______________MAN1" localSheetId="47">#REF!</definedName>
    <definedName name="______________MAN1" localSheetId="1">#REF!</definedName>
    <definedName name="______________MAN1">#REF!</definedName>
    <definedName name="______________MIX10" localSheetId="7">#REF!</definedName>
    <definedName name="______________MIX10" localSheetId="47">#REF!</definedName>
    <definedName name="______________MIX10" localSheetId="1">#REF!</definedName>
    <definedName name="______________MIX10">#REF!</definedName>
    <definedName name="______________MIX15" localSheetId="7">#REF!</definedName>
    <definedName name="______________MIX15" localSheetId="47">#REF!</definedName>
    <definedName name="______________MIX15" localSheetId="1">#REF!</definedName>
    <definedName name="______________MIX15">#REF!</definedName>
    <definedName name="______________MIX15150" localSheetId="7">'[4]Mix Design'!#REF!</definedName>
    <definedName name="______________MIX15150" localSheetId="47">'[4]Mix Design'!#REF!</definedName>
    <definedName name="______________MIX15150" localSheetId="1">'[4]Mix Design'!#REF!</definedName>
    <definedName name="______________MIX15150">'[4]Mix Design'!#REF!</definedName>
    <definedName name="______________MIX1540">'[4]Mix Design'!$P$11</definedName>
    <definedName name="______________MIX1580" localSheetId="7">'[4]Mix Design'!#REF!</definedName>
    <definedName name="______________MIX1580" localSheetId="47">'[4]Mix Design'!#REF!</definedName>
    <definedName name="______________MIX1580" localSheetId="1">'[4]Mix Design'!#REF!</definedName>
    <definedName name="______________MIX1580">'[4]Mix Design'!#REF!</definedName>
    <definedName name="______________MIX2">'[5]Mix Design'!$P$12</definedName>
    <definedName name="______________MIX20" localSheetId="7">#REF!</definedName>
    <definedName name="______________MIX20" localSheetId="47">#REF!</definedName>
    <definedName name="______________MIX20" localSheetId="1">#REF!</definedName>
    <definedName name="______________MIX20">#REF!</definedName>
    <definedName name="______________MIX2020">'[4]Mix Design'!$P$12</definedName>
    <definedName name="______________MIX2040">'[4]Mix Design'!$P$13</definedName>
    <definedName name="______________MIX25" localSheetId="7">#REF!</definedName>
    <definedName name="______________MIX25" localSheetId="47">#REF!</definedName>
    <definedName name="______________MIX25" localSheetId="1">#REF!</definedName>
    <definedName name="______________MIX25">#REF!</definedName>
    <definedName name="______________MIX2540">'[4]Mix Design'!$P$15</definedName>
    <definedName name="______________Mix255">'[6]Mix Design'!$P$13</definedName>
    <definedName name="______________MIX30" localSheetId="7">#REF!</definedName>
    <definedName name="______________MIX30" localSheetId="47">#REF!</definedName>
    <definedName name="______________MIX30" localSheetId="1">#REF!</definedName>
    <definedName name="______________MIX30">#REF!</definedName>
    <definedName name="______________MIX35" localSheetId="7">#REF!</definedName>
    <definedName name="______________MIX35" localSheetId="47">#REF!</definedName>
    <definedName name="______________MIX35" localSheetId="1">#REF!</definedName>
    <definedName name="______________MIX35">#REF!</definedName>
    <definedName name="______________MIX40" localSheetId="7">#REF!</definedName>
    <definedName name="______________MIX40" localSheetId="47">#REF!</definedName>
    <definedName name="______________MIX40" localSheetId="1">#REF!</definedName>
    <definedName name="______________MIX40">#REF!</definedName>
    <definedName name="______________MIX45" localSheetId="7">'[4]Mix Design'!#REF!</definedName>
    <definedName name="______________MIX45" localSheetId="47">'[4]Mix Design'!#REF!</definedName>
    <definedName name="______________MIX45" localSheetId="1">'[4]Mix Design'!#REF!</definedName>
    <definedName name="______________MIX45">'[4]Mix Design'!#REF!</definedName>
    <definedName name="______________mm1" localSheetId="7">#REF!</definedName>
    <definedName name="______________mm1" localSheetId="47">#REF!</definedName>
    <definedName name="______________mm1" localSheetId="1">#REF!</definedName>
    <definedName name="______________mm1">#REF!</definedName>
    <definedName name="______________mm2" localSheetId="7">#REF!</definedName>
    <definedName name="______________mm2" localSheetId="47">#REF!</definedName>
    <definedName name="______________mm2" localSheetId="1">#REF!</definedName>
    <definedName name="______________mm2">#REF!</definedName>
    <definedName name="______________mm3" localSheetId="7">#REF!</definedName>
    <definedName name="______________mm3" localSheetId="47">#REF!</definedName>
    <definedName name="______________mm3" localSheetId="1">#REF!</definedName>
    <definedName name="______________mm3">#REF!</definedName>
    <definedName name="______________MUR5" localSheetId="7">#REF!</definedName>
    <definedName name="______________MUR5" localSheetId="47">#REF!</definedName>
    <definedName name="______________MUR5" localSheetId="1">#REF!</definedName>
    <definedName name="______________MUR5">#REF!</definedName>
    <definedName name="______________MUR8" localSheetId="7">#REF!</definedName>
    <definedName name="______________MUR8" localSheetId="47">#REF!</definedName>
    <definedName name="______________MUR8" localSheetId="1">#REF!</definedName>
    <definedName name="______________MUR8">#REF!</definedName>
    <definedName name="______________OPC43" localSheetId="7">#REF!</definedName>
    <definedName name="______________OPC43" localSheetId="47">#REF!</definedName>
    <definedName name="______________OPC43" localSheetId="1">#REF!</definedName>
    <definedName name="______________OPC43">#REF!</definedName>
    <definedName name="______________ORC1">'[20]Pipe trench'!$V$17</definedName>
    <definedName name="______________ORC2">'[20]Pipe trench'!$V$18</definedName>
    <definedName name="______________OSE1">'[20]Pipe trench'!$V$8</definedName>
    <definedName name="______________PB1" localSheetId="7">#REF!</definedName>
    <definedName name="______________PB1" localSheetId="47">#REF!</definedName>
    <definedName name="______________PB1" localSheetId="1">#REF!</definedName>
    <definedName name="______________PB1">#REF!</definedName>
    <definedName name="______________PPC53">'[12]Rate Analysis '!$E$19</definedName>
    <definedName name="______________sh1">90</definedName>
    <definedName name="______________sh2">120</definedName>
    <definedName name="______________sh3">150</definedName>
    <definedName name="______________sh4">180</definedName>
    <definedName name="______________SH5" localSheetId="7">#REF!</definedName>
    <definedName name="______________SH5" localSheetId="47">#REF!</definedName>
    <definedName name="______________SH5" localSheetId="1">#REF!</definedName>
    <definedName name="______________SH5">#REF!</definedName>
    <definedName name="______________SLV10025" localSheetId="7">'[8]ANAL-PIPE LINE'!#REF!</definedName>
    <definedName name="______________SLV10025" localSheetId="47">'[8]ANAL-PIPE LINE'!#REF!</definedName>
    <definedName name="______________SLV10025" localSheetId="1">'[8]ANAL-PIPE LINE'!#REF!</definedName>
    <definedName name="______________SLV10025">'[8]ANAL-PIPE LINE'!#REF!</definedName>
    <definedName name="______________SLV20025">'[20]ANAL-PUMP HOUSE'!$I$58</definedName>
    <definedName name="______________SLV80010">'[20]ANAL-PUMP HOUSE'!$I$60</definedName>
    <definedName name="______________tab1" localSheetId="7">#REF!</definedName>
    <definedName name="______________tab1" localSheetId="47">#REF!</definedName>
    <definedName name="______________tab1" localSheetId="1">#REF!</definedName>
    <definedName name="______________tab1">#REF!</definedName>
    <definedName name="______________tab2" localSheetId="7">#REF!</definedName>
    <definedName name="______________tab2" localSheetId="47">#REF!</definedName>
    <definedName name="______________tab2" localSheetId="1">#REF!</definedName>
    <definedName name="______________tab2">#REF!</definedName>
    <definedName name="______________TB2" localSheetId="7">#REF!</definedName>
    <definedName name="______________TB2" localSheetId="47">#REF!</definedName>
    <definedName name="______________TB2" localSheetId="1">#REF!</definedName>
    <definedName name="______________TB2">#REF!</definedName>
    <definedName name="______________TIP1" localSheetId="7">#REF!</definedName>
    <definedName name="______________TIP1" localSheetId="47">#REF!</definedName>
    <definedName name="______________TIP1" localSheetId="1">#REF!</definedName>
    <definedName name="______________TIP1">#REF!</definedName>
    <definedName name="______________TIP2" localSheetId="7">#REF!</definedName>
    <definedName name="______________TIP2" localSheetId="47">#REF!</definedName>
    <definedName name="______________TIP2" localSheetId="1">#REF!</definedName>
    <definedName name="______________TIP2">#REF!</definedName>
    <definedName name="______________TIP3" localSheetId="7">#REF!</definedName>
    <definedName name="______________TIP3" localSheetId="47">#REF!</definedName>
    <definedName name="______________TIP3" localSheetId="1">#REF!</definedName>
    <definedName name="______________TIP3">#REF!</definedName>
    <definedName name="_____________A65537" localSheetId="7">#REF!</definedName>
    <definedName name="_____________A65537" localSheetId="47">#REF!</definedName>
    <definedName name="_____________A65537" localSheetId="1">#REF!</definedName>
    <definedName name="_____________A65537">#REF!</definedName>
    <definedName name="_____________ABM10" localSheetId="7">#REF!</definedName>
    <definedName name="_____________ABM10" localSheetId="47">#REF!</definedName>
    <definedName name="_____________ABM10" localSheetId="1">#REF!</definedName>
    <definedName name="_____________ABM10">#REF!</definedName>
    <definedName name="_____________ABM40" localSheetId="7">#REF!</definedName>
    <definedName name="_____________ABM40" localSheetId="47">#REF!</definedName>
    <definedName name="_____________ABM40" localSheetId="1">#REF!</definedName>
    <definedName name="_____________ABM40">#REF!</definedName>
    <definedName name="_____________ABM6" localSheetId="7">#REF!</definedName>
    <definedName name="_____________ABM6" localSheetId="47">#REF!</definedName>
    <definedName name="_____________ABM6" localSheetId="1">#REF!</definedName>
    <definedName name="_____________ABM6">#REF!</definedName>
    <definedName name="_____________ACB10" localSheetId="7">#REF!</definedName>
    <definedName name="_____________ACB10" localSheetId="47">#REF!</definedName>
    <definedName name="_____________ACB10" localSheetId="1">#REF!</definedName>
    <definedName name="_____________ACB10">#REF!</definedName>
    <definedName name="_____________ACB20" localSheetId="7">#REF!</definedName>
    <definedName name="_____________ACB20" localSheetId="47">#REF!</definedName>
    <definedName name="_____________ACB20" localSheetId="1">#REF!</definedName>
    <definedName name="_____________ACB20">#REF!</definedName>
    <definedName name="_____________ACR10" localSheetId="7">#REF!</definedName>
    <definedName name="_____________ACR10" localSheetId="47">#REF!</definedName>
    <definedName name="_____________ACR10" localSheetId="1">#REF!</definedName>
    <definedName name="_____________ACR10">#REF!</definedName>
    <definedName name="_____________ACR20" localSheetId="7">#REF!</definedName>
    <definedName name="_____________ACR20" localSheetId="47">#REF!</definedName>
    <definedName name="_____________ACR20" localSheetId="1">#REF!</definedName>
    <definedName name="_____________ACR20">#REF!</definedName>
    <definedName name="_____________AGG10" localSheetId="7">#REF!</definedName>
    <definedName name="_____________AGG10" localSheetId="47">#REF!</definedName>
    <definedName name="_____________AGG10" localSheetId="1">#REF!</definedName>
    <definedName name="_____________AGG10">#REF!</definedName>
    <definedName name="_____________AGG40" localSheetId="7">#REF!</definedName>
    <definedName name="_____________AGG40" localSheetId="47">#REF!</definedName>
    <definedName name="_____________AGG40" localSheetId="1">#REF!</definedName>
    <definedName name="_____________AGG40">#REF!</definedName>
    <definedName name="_____________AGG6" localSheetId="7">#REF!</definedName>
    <definedName name="_____________AGG6" localSheetId="47">#REF!</definedName>
    <definedName name="_____________AGG6" localSheetId="1">#REF!</definedName>
    <definedName name="_____________AGG6">#REF!</definedName>
    <definedName name="_____________ash1" localSheetId="7">[13]ANAL!#REF!</definedName>
    <definedName name="_____________ash1" localSheetId="47">[13]ANAL!#REF!</definedName>
    <definedName name="_____________ash1" localSheetId="1">[13]ANAL!#REF!</definedName>
    <definedName name="_____________ash1">[13]ANAL!#REF!</definedName>
    <definedName name="_____________AWM10" localSheetId="7">#REF!</definedName>
    <definedName name="_____________AWM10" localSheetId="47">#REF!</definedName>
    <definedName name="_____________AWM10" localSheetId="1">#REF!</definedName>
    <definedName name="_____________AWM10">#REF!</definedName>
    <definedName name="_____________AWM40" localSheetId="7">#REF!</definedName>
    <definedName name="_____________AWM40" localSheetId="47">#REF!</definedName>
    <definedName name="_____________AWM40" localSheetId="1">#REF!</definedName>
    <definedName name="_____________AWM40">#REF!</definedName>
    <definedName name="_____________AWM6" localSheetId="7">#REF!</definedName>
    <definedName name="_____________AWM6" localSheetId="47">#REF!</definedName>
    <definedName name="_____________AWM6" localSheetId="1">#REF!</definedName>
    <definedName name="_____________AWM6">#REF!</definedName>
    <definedName name="_____________b111121" localSheetId="7">#REF!</definedName>
    <definedName name="_____________b111121" localSheetId="47">#REF!</definedName>
    <definedName name="_____________b111121" localSheetId="1">#REF!</definedName>
    <definedName name="_____________b111121">#REF!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58" localSheetId="7">[14]PROCTOR!#REF!</definedName>
    <definedName name="_____________CAN458" localSheetId="47">[14]PROCTOR!#REF!</definedName>
    <definedName name="_____________CAN458" localSheetId="1">[14]PROCTOR!#REF!</definedName>
    <definedName name="_____________CAN458">[14]PROCTOR!#REF!</definedName>
    <definedName name="_____________CAN486" localSheetId="7">[14]PROCTOR!#REF!</definedName>
    <definedName name="_____________CAN486" localSheetId="47">[14]PROCTOR!#REF!</definedName>
    <definedName name="_____________CAN486" localSheetId="1">[14]PROCTOR!#REF!</definedName>
    <definedName name="_____________CAN486">[14]PROCTOR!#REF!</definedName>
    <definedName name="_____________CAN487" localSheetId="7">[14]PROCTOR!#REF!</definedName>
    <definedName name="_____________CAN487" localSheetId="47">[14]PROCTOR!#REF!</definedName>
    <definedName name="_____________CAN487" localSheetId="1">[14]PROCTOR!#REF!</definedName>
    <definedName name="_____________CAN487">[14]PROCTOR!#REF!</definedName>
    <definedName name="_____________CAN488" localSheetId="7">[14]PROCTOR!#REF!</definedName>
    <definedName name="_____________CAN488" localSheetId="47">[14]PROCTOR!#REF!</definedName>
    <definedName name="_____________CAN488" localSheetId="1">[14]PROCTOR!#REF!</definedName>
    <definedName name="_____________CAN488">[14]PROCTOR!#REF!</definedName>
    <definedName name="_____________CAN489" localSheetId="7">[14]PROCTOR!#REF!</definedName>
    <definedName name="_____________CAN489" localSheetId="47">[14]PROCTOR!#REF!</definedName>
    <definedName name="_____________CAN489" localSheetId="1">[14]PROCTOR!#REF!</definedName>
    <definedName name="_____________CAN489">[14]PROCTOR!#REF!</definedName>
    <definedName name="_____________CAN490" localSheetId="7">[14]PROCTOR!#REF!</definedName>
    <definedName name="_____________CAN490" localSheetId="47">[14]PROCTOR!#REF!</definedName>
    <definedName name="_____________CAN490" localSheetId="1">[14]PROCTOR!#REF!</definedName>
    <definedName name="_____________CAN490">[14]PROCTOR!#REF!</definedName>
    <definedName name="_____________CAN491" localSheetId="7">[14]PROCTOR!#REF!</definedName>
    <definedName name="_____________CAN491" localSheetId="47">[14]PROCTOR!#REF!</definedName>
    <definedName name="_____________CAN491" localSheetId="1">[14]PROCTOR!#REF!</definedName>
    <definedName name="_____________CAN491">[14]PROCTOR!#REF!</definedName>
    <definedName name="_____________CAN492" localSheetId="7">[14]PROCTOR!#REF!</definedName>
    <definedName name="_____________CAN492" localSheetId="47">[14]PROCTOR!#REF!</definedName>
    <definedName name="_____________CAN492" localSheetId="1">[14]PROCTOR!#REF!</definedName>
    <definedName name="_____________CAN492">[14]PROCTOR!#REF!</definedName>
    <definedName name="_____________CAN493" localSheetId="7">[14]PROCTOR!#REF!</definedName>
    <definedName name="_____________CAN493" localSheetId="47">[14]PROCTOR!#REF!</definedName>
    <definedName name="_____________CAN493" localSheetId="1">[14]PROCTOR!#REF!</definedName>
    <definedName name="_____________CAN493">[14]PROCTOR!#REF!</definedName>
    <definedName name="_____________CAN494" localSheetId="7">[14]PROCTOR!#REF!</definedName>
    <definedName name="_____________CAN494" localSheetId="47">[14]PROCTOR!#REF!</definedName>
    <definedName name="_____________CAN494" localSheetId="1">[14]PROCTOR!#REF!</definedName>
    <definedName name="_____________CAN494">[14]PROCTOR!#REF!</definedName>
    <definedName name="_____________CAN495" localSheetId="7">[14]PROCTOR!#REF!</definedName>
    <definedName name="_____________CAN495" localSheetId="47">[14]PROCTOR!#REF!</definedName>
    <definedName name="_____________CAN495" localSheetId="1">[14]PROCTOR!#REF!</definedName>
    <definedName name="_____________CAN495">[14]PROCTOR!#REF!</definedName>
    <definedName name="_____________CAN496" localSheetId="7">[14]PROCTOR!#REF!</definedName>
    <definedName name="_____________CAN496" localSheetId="47">[14]PROCTOR!#REF!</definedName>
    <definedName name="_____________CAN496" localSheetId="1">[14]PROCTOR!#REF!</definedName>
    <definedName name="_____________CAN496">[14]PROCTOR!#REF!</definedName>
    <definedName name="_____________CAN497" localSheetId="7">[14]PROCTOR!#REF!</definedName>
    <definedName name="_____________CAN497" localSheetId="47">[14]PROCTOR!#REF!</definedName>
    <definedName name="_____________CAN497" localSheetId="1">[14]PROCTOR!#REF!</definedName>
    <definedName name="_____________CAN497">[14]PROCTOR!#REF!</definedName>
    <definedName name="_____________CAN498" localSheetId="7">[14]PROCTOR!#REF!</definedName>
    <definedName name="_____________CAN498" localSheetId="47">[14]PROCTOR!#REF!</definedName>
    <definedName name="_____________CAN498" localSheetId="1">[14]PROCTOR!#REF!</definedName>
    <definedName name="_____________CAN498">[14]PROCTOR!#REF!</definedName>
    <definedName name="_____________CAN499" localSheetId="7">[14]PROCTOR!#REF!</definedName>
    <definedName name="_____________CAN499" localSheetId="47">[14]PROCTOR!#REF!</definedName>
    <definedName name="_____________CAN499" localSheetId="1">[14]PROCTOR!#REF!</definedName>
    <definedName name="_____________CAN499">[14]PROCTOR!#REF!</definedName>
    <definedName name="_____________CAN500" localSheetId="7">[14]PROCTOR!#REF!</definedName>
    <definedName name="_____________CAN500" localSheetId="47">[14]PROCTOR!#REF!</definedName>
    <definedName name="_____________CAN500" localSheetId="1">[14]PROCTOR!#REF!</definedName>
    <definedName name="_____________CAN500">[14]PROCTOR!#REF!</definedName>
    <definedName name="_____________CDG100" localSheetId="7">#REF!</definedName>
    <definedName name="_____________CDG100" localSheetId="47">#REF!</definedName>
    <definedName name="_____________CDG100" localSheetId="1">#REF!</definedName>
    <definedName name="_____________CDG100">#REF!</definedName>
    <definedName name="_____________CDG250" localSheetId="7">#REF!</definedName>
    <definedName name="_____________CDG250" localSheetId="47">#REF!</definedName>
    <definedName name="_____________CDG250" localSheetId="1">#REF!</definedName>
    <definedName name="_____________CDG250">#REF!</definedName>
    <definedName name="_____________CDG50" localSheetId="7">#REF!</definedName>
    <definedName name="_____________CDG50" localSheetId="47">#REF!</definedName>
    <definedName name="_____________CDG50" localSheetId="1">#REF!</definedName>
    <definedName name="_____________CDG50">#REF!</definedName>
    <definedName name="_____________CDG500" localSheetId="7">#REF!</definedName>
    <definedName name="_____________CDG500" localSheetId="47">#REF!</definedName>
    <definedName name="_____________CDG500" localSheetId="1">#REF!</definedName>
    <definedName name="_____________CDG500">#REF!</definedName>
    <definedName name="_____________CEM53" localSheetId="7">#REF!</definedName>
    <definedName name="_____________CEM53" localSheetId="47">#REF!</definedName>
    <definedName name="_____________CEM53" localSheetId="1">#REF!</definedName>
    <definedName name="_____________CEM53">#REF!</definedName>
    <definedName name="_____________CRN3" localSheetId="7">#REF!</definedName>
    <definedName name="_____________CRN3" localSheetId="47">#REF!</definedName>
    <definedName name="_____________CRN3" localSheetId="1">#REF!</definedName>
    <definedName name="_____________CRN3">#REF!</definedName>
    <definedName name="_____________CRN35" localSheetId="7">#REF!</definedName>
    <definedName name="_____________CRN35" localSheetId="47">#REF!</definedName>
    <definedName name="_____________CRN35" localSheetId="1">#REF!</definedName>
    <definedName name="_____________CRN35">#REF!</definedName>
    <definedName name="_____________CRN80" localSheetId="7">#REF!</definedName>
    <definedName name="_____________CRN80" localSheetId="47">#REF!</definedName>
    <definedName name="_____________CRN80" localSheetId="1">#REF!</definedName>
    <definedName name="_____________CRN80">#REF!</definedName>
    <definedName name="_____________dec05" localSheetId="7" hidden="1">{"'Sheet1'!$A$4386:$N$4591"}</definedName>
    <definedName name="_____________dec05" localSheetId="47" hidden="1">{"'Sheet1'!$A$4386:$N$4591"}</definedName>
    <definedName name="_____________dec05" localSheetId="1" hidden="1">{"'Sheet1'!$A$4386:$N$4591"}</definedName>
    <definedName name="_____________dec05" hidden="1">{"'Sheet1'!$A$4386:$N$4591"}</definedName>
    <definedName name="_____________DOZ50" localSheetId="7">#REF!</definedName>
    <definedName name="_____________DOZ50" localSheetId="47">#REF!</definedName>
    <definedName name="_____________DOZ50" localSheetId="1">#REF!</definedName>
    <definedName name="_____________DOZ50">#REF!</definedName>
    <definedName name="_____________DOZ80" localSheetId="7">#REF!</definedName>
    <definedName name="_____________DOZ80" localSheetId="47">#REF!</definedName>
    <definedName name="_____________DOZ80" localSheetId="1">#REF!</definedName>
    <definedName name="_____________DOZ80">#REF!</definedName>
    <definedName name="_____________ExV200" localSheetId="7">#REF!</definedName>
    <definedName name="_____________ExV200" localSheetId="47">#REF!</definedName>
    <definedName name="_____________ExV200" localSheetId="1">#REF!</definedName>
    <definedName name="_____________ExV200">#REF!</definedName>
    <definedName name="_____________GEN100" localSheetId="7">#REF!</definedName>
    <definedName name="_____________GEN100" localSheetId="47">#REF!</definedName>
    <definedName name="_____________GEN100" localSheetId="1">#REF!</definedName>
    <definedName name="_____________GEN100">#REF!</definedName>
    <definedName name="_____________GEN250" localSheetId="7">#REF!</definedName>
    <definedName name="_____________GEN250" localSheetId="47">#REF!</definedName>
    <definedName name="_____________GEN250" localSheetId="1">#REF!</definedName>
    <definedName name="_____________GEN250">#REF!</definedName>
    <definedName name="_____________GEN325" localSheetId="7">#REF!</definedName>
    <definedName name="_____________GEN325" localSheetId="47">#REF!</definedName>
    <definedName name="_____________GEN325" localSheetId="1">#REF!</definedName>
    <definedName name="_____________GEN325">#REF!</definedName>
    <definedName name="_____________GEN380" localSheetId="7">#REF!</definedName>
    <definedName name="_____________GEN380" localSheetId="47">#REF!</definedName>
    <definedName name="_____________GEN380" localSheetId="1">#REF!</definedName>
    <definedName name="_____________GEN380">#REF!</definedName>
    <definedName name="_____________GSB1" localSheetId="7">#REF!</definedName>
    <definedName name="_____________GSB1" localSheetId="47">#REF!</definedName>
    <definedName name="_____________GSB1" localSheetId="1">#REF!</definedName>
    <definedName name="_____________GSB1">#REF!</definedName>
    <definedName name="_____________GSB2" localSheetId="7">#REF!</definedName>
    <definedName name="_____________GSB2" localSheetId="47">#REF!</definedName>
    <definedName name="_____________GSB2" localSheetId="1">#REF!</definedName>
    <definedName name="_____________GSB2">#REF!</definedName>
    <definedName name="_____________GSB3" localSheetId="7">#REF!</definedName>
    <definedName name="_____________GSB3" localSheetId="47">#REF!</definedName>
    <definedName name="_____________GSB3" localSheetId="1">#REF!</definedName>
    <definedName name="_____________GSB3">#REF!</definedName>
    <definedName name="_____________HMP1" localSheetId="7">#REF!</definedName>
    <definedName name="_____________HMP1" localSheetId="47">#REF!</definedName>
    <definedName name="_____________HMP1" localSheetId="1">#REF!</definedName>
    <definedName name="_____________HMP1">#REF!</definedName>
    <definedName name="_____________HMP2" localSheetId="7">#REF!</definedName>
    <definedName name="_____________HMP2" localSheetId="47">#REF!</definedName>
    <definedName name="_____________HMP2" localSheetId="1">#REF!</definedName>
    <definedName name="_____________HMP2">#REF!</definedName>
    <definedName name="_____________HMP3" localSheetId="7">#REF!</definedName>
    <definedName name="_____________HMP3" localSheetId="47">#REF!</definedName>
    <definedName name="_____________HMP3" localSheetId="1">#REF!</definedName>
    <definedName name="_____________HMP3">#REF!</definedName>
    <definedName name="_____________HMP4" localSheetId="7">#REF!</definedName>
    <definedName name="_____________HMP4" localSheetId="47">#REF!</definedName>
    <definedName name="_____________HMP4" localSheetId="1">#REF!</definedName>
    <definedName name="_____________HMP4">#REF!</definedName>
    <definedName name="_____________Ki1" localSheetId="7">#REF!</definedName>
    <definedName name="_____________Ki1" localSheetId="47">#REF!</definedName>
    <definedName name="_____________Ki1" localSheetId="1">#REF!</definedName>
    <definedName name="_____________Ki1">#REF!</definedName>
    <definedName name="_____________Ki2" localSheetId="7">#REF!</definedName>
    <definedName name="_____________Ki2" localSheetId="47">#REF!</definedName>
    <definedName name="_____________Ki2" localSheetId="1">#REF!</definedName>
    <definedName name="_____________Ki2">#REF!</definedName>
    <definedName name="_____________lb1" localSheetId="7">#REF!</definedName>
    <definedName name="_____________lb1" localSheetId="47">#REF!</definedName>
    <definedName name="_____________lb1" localSheetId="1">#REF!</definedName>
    <definedName name="_____________lb1">#REF!</definedName>
    <definedName name="_____________lb2" localSheetId="7">#REF!</definedName>
    <definedName name="_____________lb2" localSheetId="47">#REF!</definedName>
    <definedName name="_____________lb2" localSheetId="1">#REF!</definedName>
    <definedName name="_____________lb2">#REF!</definedName>
    <definedName name="_____________mac2">200</definedName>
    <definedName name="_____________MAN1" localSheetId="7">#REF!</definedName>
    <definedName name="_____________MAN1" localSheetId="47">#REF!</definedName>
    <definedName name="_____________MAN1" localSheetId="1">#REF!</definedName>
    <definedName name="_____________MAN1">#REF!</definedName>
    <definedName name="_____________MIX10" localSheetId="7">#REF!</definedName>
    <definedName name="_____________MIX10" localSheetId="47">#REF!</definedName>
    <definedName name="_____________MIX10" localSheetId="1">#REF!</definedName>
    <definedName name="_____________MIX10">#REF!</definedName>
    <definedName name="_____________MIX15" localSheetId="7">#REF!</definedName>
    <definedName name="_____________MIX15" localSheetId="47">#REF!</definedName>
    <definedName name="_____________MIX15" localSheetId="1">#REF!</definedName>
    <definedName name="_____________MIX15">#REF!</definedName>
    <definedName name="_____________MIX15150" localSheetId="7">'[4]Mix Design'!#REF!</definedName>
    <definedName name="_____________MIX15150" localSheetId="47">'[4]Mix Design'!#REF!</definedName>
    <definedName name="_____________MIX15150" localSheetId="1">'[4]Mix Design'!#REF!</definedName>
    <definedName name="_____________MIX15150">'[4]Mix Design'!#REF!</definedName>
    <definedName name="_____________MIX1540">'[4]Mix Design'!$P$11</definedName>
    <definedName name="_____________MIX1580" localSheetId="7">'[4]Mix Design'!#REF!</definedName>
    <definedName name="_____________MIX1580" localSheetId="47">'[4]Mix Design'!#REF!</definedName>
    <definedName name="_____________MIX1580" localSheetId="1">'[4]Mix Design'!#REF!</definedName>
    <definedName name="_____________MIX1580">'[4]Mix Design'!#REF!</definedName>
    <definedName name="_____________MIX2">'[5]Mix Design'!$P$12</definedName>
    <definedName name="_____________MIX20" localSheetId="7">#REF!</definedName>
    <definedName name="_____________MIX20" localSheetId="47">#REF!</definedName>
    <definedName name="_____________MIX20" localSheetId="1">#REF!</definedName>
    <definedName name="_____________MIX20">#REF!</definedName>
    <definedName name="_____________MIX2020">'[4]Mix Design'!$P$12</definedName>
    <definedName name="_____________MIX2040">'[4]Mix Design'!$P$13</definedName>
    <definedName name="_____________MIX25" localSheetId="7">#REF!</definedName>
    <definedName name="_____________MIX25" localSheetId="47">#REF!</definedName>
    <definedName name="_____________MIX25" localSheetId="1">#REF!</definedName>
    <definedName name="_____________MIX25">#REF!</definedName>
    <definedName name="_____________MIX2540">'[4]Mix Design'!$P$15</definedName>
    <definedName name="_____________Mix255">'[6]Mix Design'!$P$13</definedName>
    <definedName name="_____________MIX30" localSheetId="7">#REF!</definedName>
    <definedName name="_____________MIX30" localSheetId="47">#REF!</definedName>
    <definedName name="_____________MIX30" localSheetId="1">#REF!</definedName>
    <definedName name="_____________MIX30">#REF!</definedName>
    <definedName name="_____________MIX35" localSheetId="7">#REF!</definedName>
    <definedName name="_____________MIX35" localSheetId="47">#REF!</definedName>
    <definedName name="_____________MIX35" localSheetId="1">#REF!</definedName>
    <definedName name="_____________MIX35">#REF!</definedName>
    <definedName name="_____________MIX40" localSheetId="7">#REF!</definedName>
    <definedName name="_____________MIX40" localSheetId="47">#REF!</definedName>
    <definedName name="_____________MIX40" localSheetId="1">#REF!</definedName>
    <definedName name="_____________MIX40">#REF!</definedName>
    <definedName name="_____________MIX45" localSheetId="7">'[4]Mix Design'!#REF!</definedName>
    <definedName name="_____________MIX45" localSheetId="47">'[4]Mix Design'!#REF!</definedName>
    <definedName name="_____________MIX45" localSheetId="1">'[4]Mix Design'!#REF!</definedName>
    <definedName name="_____________MIX45">'[4]Mix Design'!#REF!</definedName>
    <definedName name="_____________mm1" localSheetId="7">#REF!</definedName>
    <definedName name="_____________mm1" localSheetId="47">#REF!</definedName>
    <definedName name="_____________mm1" localSheetId="1">#REF!</definedName>
    <definedName name="_____________mm1">#REF!</definedName>
    <definedName name="_____________mm2" localSheetId="7">#REF!</definedName>
    <definedName name="_____________mm2" localSheetId="47">#REF!</definedName>
    <definedName name="_____________mm2" localSheetId="1">#REF!</definedName>
    <definedName name="_____________mm2">#REF!</definedName>
    <definedName name="_____________mm3" localSheetId="7">#REF!</definedName>
    <definedName name="_____________mm3" localSheetId="47">#REF!</definedName>
    <definedName name="_____________mm3" localSheetId="1">#REF!</definedName>
    <definedName name="_____________mm3">#REF!</definedName>
    <definedName name="_____________MUR5" localSheetId="7">#REF!</definedName>
    <definedName name="_____________MUR5" localSheetId="47">#REF!</definedName>
    <definedName name="_____________MUR5" localSheetId="1">#REF!</definedName>
    <definedName name="_____________MUR5">#REF!</definedName>
    <definedName name="_____________MUR8" localSheetId="7">#REF!</definedName>
    <definedName name="_____________MUR8" localSheetId="47">#REF!</definedName>
    <definedName name="_____________MUR8" localSheetId="1">#REF!</definedName>
    <definedName name="_____________MUR8">#REF!</definedName>
    <definedName name="_____________OPC43" localSheetId="7">#REF!</definedName>
    <definedName name="_____________OPC43" localSheetId="47">#REF!</definedName>
    <definedName name="_____________OPC43" localSheetId="1">#REF!</definedName>
    <definedName name="_____________OPC43">#REF!</definedName>
    <definedName name="_____________PB1" localSheetId="7">#REF!</definedName>
    <definedName name="_____________PB1" localSheetId="47">#REF!</definedName>
    <definedName name="_____________PB1" localSheetId="1">#REF!</definedName>
    <definedName name="_____________PB1">#REF!</definedName>
    <definedName name="_____________PPC53">'[22]Rate Analysis '!$E$19</definedName>
    <definedName name="_____________sh1">90</definedName>
    <definedName name="_____________sh2">120</definedName>
    <definedName name="_____________sh3">150</definedName>
    <definedName name="_____________sh4">180</definedName>
    <definedName name="_____________SH5" localSheetId="7">#REF!</definedName>
    <definedName name="_____________SH5" localSheetId="47">#REF!</definedName>
    <definedName name="_____________SH5" localSheetId="1">#REF!</definedName>
    <definedName name="_____________SH5">#REF!</definedName>
    <definedName name="_____________tab1" localSheetId="7">#REF!</definedName>
    <definedName name="_____________tab1" localSheetId="47">#REF!</definedName>
    <definedName name="_____________tab1" localSheetId="1">#REF!</definedName>
    <definedName name="_____________tab1">#REF!</definedName>
    <definedName name="_____________tab2" localSheetId="7">#REF!</definedName>
    <definedName name="_____________tab2" localSheetId="47">#REF!</definedName>
    <definedName name="_____________tab2" localSheetId="1">#REF!</definedName>
    <definedName name="_____________tab2">#REF!</definedName>
    <definedName name="_____________TB2" localSheetId="7">#REF!</definedName>
    <definedName name="_____________TB2" localSheetId="47">#REF!</definedName>
    <definedName name="_____________TB2" localSheetId="1">#REF!</definedName>
    <definedName name="_____________TB2">#REF!</definedName>
    <definedName name="_____________TIP1" localSheetId="7">#REF!</definedName>
    <definedName name="_____________TIP1" localSheetId="47">#REF!</definedName>
    <definedName name="_____________TIP1" localSheetId="1">#REF!</definedName>
    <definedName name="_____________TIP1">#REF!</definedName>
    <definedName name="_____________TIP2" localSheetId="7">#REF!</definedName>
    <definedName name="_____________TIP2" localSheetId="47">#REF!</definedName>
    <definedName name="_____________TIP2" localSheetId="1">#REF!</definedName>
    <definedName name="_____________TIP2">#REF!</definedName>
    <definedName name="_____________TIP3" localSheetId="7">#REF!</definedName>
    <definedName name="_____________TIP3" localSheetId="47">#REF!</definedName>
    <definedName name="_____________TIP3" localSheetId="1">#REF!</definedName>
    <definedName name="_____________TIP3">#REF!</definedName>
    <definedName name="____________A65537" localSheetId="7">#REF!</definedName>
    <definedName name="____________A65537" localSheetId="47">#REF!</definedName>
    <definedName name="____________A65537" localSheetId="1">#REF!</definedName>
    <definedName name="____________A65537">#REF!</definedName>
    <definedName name="____________ABM10" localSheetId="7">#REF!</definedName>
    <definedName name="____________ABM10" localSheetId="47">#REF!</definedName>
    <definedName name="____________ABM10" localSheetId="1">#REF!</definedName>
    <definedName name="____________ABM10">#REF!</definedName>
    <definedName name="____________ABM40" localSheetId="7">#REF!</definedName>
    <definedName name="____________ABM40" localSheetId="47">#REF!</definedName>
    <definedName name="____________ABM40" localSheetId="1">#REF!</definedName>
    <definedName name="____________ABM40">#REF!</definedName>
    <definedName name="____________ABM6" localSheetId="7">#REF!</definedName>
    <definedName name="____________ABM6" localSheetId="47">#REF!</definedName>
    <definedName name="____________ABM6" localSheetId="1">#REF!</definedName>
    <definedName name="____________ABM6">#REF!</definedName>
    <definedName name="____________ACB10" localSheetId="7">#REF!</definedName>
    <definedName name="____________ACB10" localSheetId="47">#REF!</definedName>
    <definedName name="____________ACB10" localSheetId="1">#REF!</definedName>
    <definedName name="____________ACB10">#REF!</definedName>
    <definedName name="____________ACB20" localSheetId="7">#REF!</definedName>
    <definedName name="____________ACB20" localSheetId="47">#REF!</definedName>
    <definedName name="____________ACB20" localSheetId="1">#REF!</definedName>
    <definedName name="____________ACB20">#REF!</definedName>
    <definedName name="____________ACR10" localSheetId="7">#REF!</definedName>
    <definedName name="____________ACR10" localSheetId="47">#REF!</definedName>
    <definedName name="____________ACR10" localSheetId="1">#REF!</definedName>
    <definedName name="____________ACR10">#REF!</definedName>
    <definedName name="____________ACR20" localSheetId="7">#REF!</definedName>
    <definedName name="____________ACR20" localSheetId="47">#REF!</definedName>
    <definedName name="____________ACR20" localSheetId="1">#REF!</definedName>
    <definedName name="____________ACR20">#REF!</definedName>
    <definedName name="____________AGG10" localSheetId="7">#REF!</definedName>
    <definedName name="____________AGG10" localSheetId="47">#REF!</definedName>
    <definedName name="____________AGG10" localSheetId="1">#REF!</definedName>
    <definedName name="____________AGG10">#REF!</definedName>
    <definedName name="____________AGG40" localSheetId="7">#REF!</definedName>
    <definedName name="____________AGG40" localSheetId="47">#REF!</definedName>
    <definedName name="____________AGG40" localSheetId="1">#REF!</definedName>
    <definedName name="____________AGG40">#REF!</definedName>
    <definedName name="____________AGG6" localSheetId="7">#REF!</definedName>
    <definedName name="____________AGG6" localSheetId="47">#REF!</definedName>
    <definedName name="____________AGG6" localSheetId="1">#REF!</definedName>
    <definedName name="____________AGG6">#REF!</definedName>
    <definedName name="____________ash1" localSheetId="7">[13]ANAL!#REF!</definedName>
    <definedName name="____________ash1" localSheetId="47">[13]ANAL!#REF!</definedName>
    <definedName name="____________ash1" localSheetId="1">[13]ANAL!#REF!</definedName>
    <definedName name="____________ash1">[13]ANAL!#REF!</definedName>
    <definedName name="____________AWM10" localSheetId="7">#REF!</definedName>
    <definedName name="____________AWM10" localSheetId="47">#REF!</definedName>
    <definedName name="____________AWM10" localSheetId="1">#REF!</definedName>
    <definedName name="____________AWM10">#REF!</definedName>
    <definedName name="____________AWM40" localSheetId="7">#REF!</definedName>
    <definedName name="____________AWM40" localSheetId="47">#REF!</definedName>
    <definedName name="____________AWM40" localSheetId="1">#REF!</definedName>
    <definedName name="____________AWM40">#REF!</definedName>
    <definedName name="____________AWM6" localSheetId="7">#REF!</definedName>
    <definedName name="____________AWM6" localSheetId="47">#REF!</definedName>
    <definedName name="____________AWM6" localSheetId="1">#REF!</definedName>
    <definedName name="____________AWM6">#REF!</definedName>
    <definedName name="____________b111121" localSheetId="7">#REF!</definedName>
    <definedName name="____________b111121" localSheetId="47">#REF!</definedName>
    <definedName name="____________b111121" localSheetId="1">#REF!</definedName>
    <definedName name="____________b111121">#REF!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58" localSheetId="7">[19]PROCTOR!#REF!</definedName>
    <definedName name="____________CAN458" localSheetId="47">[19]PROCTOR!#REF!</definedName>
    <definedName name="____________CAN458" localSheetId="1">[19]PROCTOR!#REF!</definedName>
    <definedName name="____________CAN458">[19]PROCTOR!#REF!</definedName>
    <definedName name="____________CAN486" localSheetId="7">[19]PROCTOR!#REF!</definedName>
    <definedName name="____________CAN486" localSheetId="47">[19]PROCTOR!#REF!</definedName>
    <definedName name="____________CAN486" localSheetId="1">[19]PROCTOR!#REF!</definedName>
    <definedName name="____________CAN486">[19]PROCTOR!#REF!</definedName>
    <definedName name="____________CAN487" localSheetId="7">[19]PROCTOR!#REF!</definedName>
    <definedName name="____________CAN487" localSheetId="47">[19]PROCTOR!#REF!</definedName>
    <definedName name="____________CAN487" localSheetId="1">[19]PROCTOR!#REF!</definedName>
    <definedName name="____________CAN487">[19]PROCTOR!#REF!</definedName>
    <definedName name="____________CAN488" localSheetId="7">[19]PROCTOR!#REF!</definedName>
    <definedName name="____________CAN488" localSheetId="47">[19]PROCTOR!#REF!</definedName>
    <definedName name="____________CAN488" localSheetId="1">[19]PROCTOR!#REF!</definedName>
    <definedName name="____________CAN488">[19]PROCTOR!#REF!</definedName>
    <definedName name="____________CAN489" localSheetId="7">[19]PROCTOR!#REF!</definedName>
    <definedName name="____________CAN489" localSheetId="47">[19]PROCTOR!#REF!</definedName>
    <definedName name="____________CAN489" localSheetId="1">[19]PROCTOR!#REF!</definedName>
    <definedName name="____________CAN489">[19]PROCTOR!#REF!</definedName>
    <definedName name="____________CAN490" localSheetId="7">[19]PROCTOR!#REF!</definedName>
    <definedName name="____________CAN490" localSheetId="47">[19]PROCTOR!#REF!</definedName>
    <definedName name="____________CAN490" localSheetId="1">[19]PROCTOR!#REF!</definedName>
    <definedName name="____________CAN490">[19]PROCTOR!#REF!</definedName>
    <definedName name="____________CAN491" localSheetId="7">[19]PROCTOR!#REF!</definedName>
    <definedName name="____________CAN491" localSheetId="47">[19]PROCTOR!#REF!</definedName>
    <definedName name="____________CAN491" localSheetId="1">[19]PROCTOR!#REF!</definedName>
    <definedName name="____________CAN491">[19]PROCTOR!#REF!</definedName>
    <definedName name="____________CAN492" localSheetId="7">[19]PROCTOR!#REF!</definedName>
    <definedName name="____________CAN492" localSheetId="47">[19]PROCTOR!#REF!</definedName>
    <definedName name="____________CAN492" localSheetId="1">[19]PROCTOR!#REF!</definedName>
    <definedName name="____________CAN492">[19]PROCTOR!#REF!</definedName>
    <definedName name="____________CAN493" localSheetId="7">[19]PROCTOR!#REF!</definedName>
    <definedName name="____________CAN493" localSheetId="47">[19]PROCTOR!#REF!</definedName>
    <definedName name="____________CAN493" localSheetId="1">[19]PROCTOR!#REF!</definedName>
    <definedName name="____________CAN493">[19]PROCTOR!#REF!</definedName>
    <definedName name="____________CAN494" localSheetId="7">[19]PROCTOR!#REF!</definedName>
    <definedName name="____________CAN494" localSheetId="47">[19]PROCTOR!#REF!</definedName>
    <definedName name="____________CAN494" localSheetId="1">[19]PROCTOR!#REF!</definedName>
    <definedName name="____________CAN494">[19]PROCTOR!#REF!</definedName>
    <definedName name="____________CAN495" localSheetId="7">[19]PROCTOR!#REF!</definedName>
    <definedName name="____________CAN495" localSheetId="47">[19]PROCTOR!#REF!</definedName>
    <definedName name="____________CAN495" localSheetId="1">[19]PROCTOR!#REF!</definedName>
    <definedName name="____________CAN495">[19]PROCTOR!#REF!</definedName>
    <definedName name="____________CAN496" localSheetId="7">[19]PROCTOR!#REF!</definedName>
    <definedName name="____________CAN496" localSheetId="47">[19]PROCTOR!#REF!</definedName>
    <definedName name="____________CAN496" localSheetId="1">[19]PROCTOR!#REF!</definedName>
    <definedName name="____________CAN496">[19]PROCTOR!#REF!</definedName>
    <definedName name="____________CAN497" localSheetId="7">[19]PROCTOR!#REF!</definedName>
    <definedName name="____________CAN497" localSheetId="47">[19]PROCTOR!#REF!</definedName>
    <definedName name="____________CAN497" localSheetId="1">[19]PROCTOR!#REF!</definedName>
    <definedName name="____________CAN497">[19]PROCTOR!#REF!</definedName>
    <definedName name="____________CAN498" localSheetId="7">[19]PROCTOR!#REF!</definedName>
    <definedName name="____________CAN498" localSheetId="47">[19]PROCTOR!#REF!</definedName>
    <definedName name="____________CAN498" localSheetId="1">[19]PROCTOR!#REF!</definedName>
    <definedName name="____________CAN498">[19]PROCTOR!#REF!</definedName>
    <definedName name="____________CAN499" localSheetId="7">[19]PROCTOR!#REF!</definedName>
    <definedName name="____________CAN499" localSheetId="47">[19]PROCTOR!#REF!</definedName>
    <definedName name="____________CAN499" localSheetId="1">[19]PROCTOR!#REF!</definedName>
    <definedName name="____________CAN499">[19]PROCTOR!#REF!</definedName>
    <definedName name="____________CAN500" localSheetId="7">[19]PROCTOR!#REF!</definedName>
    <definedName name="____________CAN500" localSheetId="47">[19]PROCTOR!#REF!</definedName>
    <definedName name="____________CAN500" localSheetId="1">[19]PROCTOR!#REF!</definedName>
    <definedName name="____________CAN500">[19]PROCTOR!#REF!</definedName>
    <definedName name="____________CDG100" localSheetId="7">#REF!</definedName>
    <definedName name="____________CDG100" localSheetId="47">#REF!</definedName>
    <definedName name="____________CDG100" localSheetId="1">#REF!</definedName>
    <definedName name="____________CDG100">#REF!</definedName>
    <definedName name="____________CDG250" localSheetId="7">#REF!</definedName>
    <definedName name="____________CDG250" localSheetId="47">#REF!</definedName>
    <definedName name="____________CDG250" localSheetId="1">#REF!</definedName>
    <definedName name="____________CDG250">#REF!</definedName>
    <definedName name="____________CDG50" localSheetId="7">#REF!</definedName>
    <definedName name="____________CDG50" localSheetId="47">#REF!</definedName>
    <definedName name="____________CDG50" localSheetId="1">#REF!</definedName>
    <definedName name="____________CDG50">#REF!</definedName>
    <definedName name="____________CDG500" localSheetId="7">#REF!</definedName>
    <definedName name="____________CDG500" localSheetId="47">#REF!</definedName>
    <definedName name="____________CDG500" localSheetId="1">#REF!</definedName>
    <definedName name="____________CDG500">#REF!</definedName>
    <definedName name="____________CEM53" localSheetId="7">#REF!</definedName>
    <definedName name="____________CEM53" localSheetId="47">#REF!</definedName>
    <definedName name="____________CEM53" localSheetId="1">#REF!</definedName>
    <definedName name="____________CEM53">#REF!</definedName>
    <definedName name="____________CRN3" localSheetId="7">#REF!</definedName>
    <definedName name="____________CRN3" localSheetId="47">#REF!</definedName>
    <definedName name="____________CRN3" localSheetId="1">#REF!</definedName>
    <definedName name="____________CRN3">#REF!</definedName>
    <definedName name="____________CRN35" localSheetId="7">#REF!</definedName>
    <definedName name="____________CRN35" localSheetId="47">#REF!</definedName>
    <definedName name="____________CRN35" localSheetId="1">#REF!</definedName>
    <definedName name="____________CRN35">#REF!</definedName>
    <definedName name="____________CRN80" localSheetId="7">#REF!</definedName>
    <definedName name="____________CRN80" localSheetId="47">#REF!</definedName>
    <definedName name="____________CRN80" localSheetId="1">#REF!</definedName>
    <definedName name="____________CRN80">#REF!</definedName>
    <definedName name="____________dec05" localSheetId="7" hidden="1">{"'Sheet1'!$A$4386:$N$4591"}</definedName>
    <definedName name="____________dec05" localSheetId="47" hidden="1">{"'Sheet1'!$A$4386:$N$4591"}</definedName>
    <definedName name="____________dec05" localSheetId="1" hidden="1">{"'Sheet1'!$A$4386:$N$4591"}</definedName>
    <definedName name="____________dec05" hidden="1">{"'Sheet1'!$A$4386:$N$4591"}</definedName>
    <definedName name="____________DOZ50" localSheetId="7">#REF!</definedName>
    <definedName name="____________DOZ50" localSheetId="47">#REF!</definedName>
    <definedName name="____________DOZ50" localSheetId="1">#REF!</definedName>
    <definedName name="____________DOZ50">#REF!</definedName>
    <definedName name="____________DOZ80" localSheetId="7">#REF!</definedName>
    <definedName name="____________DOZ80" localSheetId="47">#REF!</definedName>
    <definedName name="____________DOZ80" localSheetId="1">#REF!</definedName>
    <definedName name="____________DOZ80">#REF!</definedName>
    <definedName name="____________EXC20">'[23]21-Rate Analysis-1'!$E$51</definedName>
    <definedName name="____________ExV200" localSheetId="7">#REF!</definedName>
    <definedName name="____________ExV200" localSheetId="47">#REF!</definedName>
    <definedName name="____________ExV200" localSheetId="1">#REF!</definedName>
    <definedName name="____________ExV200">#REF!</definedName>
    <definedName name="____________GEN100" localSheetId="7">#REF!</definedName>
    <definedName name="____________GEN100" localSheetId="47">#REF!</definedName>
    <definedName name="____________GEN100" localSheetId="1">#REF!</definedName>
    <definedName name="____________GEN100">#REF!</definedName>
    <definedName name="____________GEN250" localSheetId="7">#REF!</definedName>
    <definedName name="____________GEN250" localSheetId="47">#REF!</definedName>
    <definedName name="____________GEN250" localSheetId="1">#REF!</definedName>
    <definedName name="____________GEN250">#REF!</definedName>
    <definedName name="____________GEN325" localSheetId="7">#REF!</definedName>
    <definedName name="____________GEN325" localSheetId="47">#REF!</definedName>
    <definedName name="____________GEN325" localSheetId="1">#REF!</definedName>
    <definedName name="____________GEN325">#REF!</definedName>
    <definedName name="____________GEN380" localSheetId="7">#REF!</definedName>
    <definedName name="____________GEN380" localSheetId="47">#REF!</definedName>
    <definedName name="____________GEN380" localSheetId="1">#REF!</definedName>
    <definedName name="____________GEN380">#REF!</definedName>
    <definedName name="____________GSB1" localSheetId="7">#REF!</definedName>
    <definedName name="____________GSB1" localSheetId="47">#REF!</definedName>
    <definedName name="____________GSB1" localSheetId="1">#REF!</definedName>
    <definedName name="____________GSB1">#REF!</definedName>
    <definedName name="____________GSB2" localSheetId="7">#REF!</definedName>
    <definedName name="____________GSB2" localSheetId="47">#REF!</definedName>
    <definedName name="____________GSB2" localSheetId="1">#REF!</definedName>
    <definedName name="____________GSB2">#REF!</definedName>
    <definedName name="____________GSB3" localSheetId="7">#REF!</definedName>
    <definedName name="____________GSB3" localSheetId="47">#REF!</definedName>
    <definedName name="____________GSB3" localSheetId="1">#REF!</definedName>
    <definedName name="____________GSB3">#REF!</definedName>
    <definedName name="____________HMP1" localSheetId="7">#REF!</definedName>
    <definedName name="____________HMP1" localSheetId="47">#REF!</definedName>
    <definedName name="____________HMP1" localSheetId="1">#REF!</definedName>
    <definedName name="____________HMP1">#REF!</definedName>
    <definedName name="____________HMP2" localSheetId="7">#REF!</definedName>
    <definedName name="____________HMP2" localSheetId="47">#REF!</definedName>
    <definedName name="____________HMP2" localSheetId="1">#REF!</definedName>
    <definedName name="____________HMP2">#REF!</definedName>
    <definedName name="____________HMP3" localSheetId="7">#REF!</definedName>
    <definedName name="____________HMP3" localSheetId="47">#REF!</definedName>
    <definedName name="____________HMP3" localSheetId="1">#REF!</definedName>
    <definedName name="____________HMP3">#REF!</definedName>
    <definedName name="____________HMP4" localSheetId="7">#REF!</definedName>
    <definedName name="____________HMP4" localSheetId="47">#REF!</definedName>
    <definedName name="____________HMP4" localSheetId="1">#REF!</definedName>
    <definedName name="____________HMP4">#REF!</definedName>
    <definedName name="____________Ki1" localSheetId="7">#REF!</definedName>
    <definedName name="____________Ki1" localSheetId="47">#REF!</definedName>
    <definedName name="____________Ki1" localSheetId="1">#REF!</definedName>
    <definedName name="____________Ki1">#REF!</definedName>
    <definedName name="____________Ki2" localSheetId="7">#REF!</definedName>
    <definedName name="____________Ki2" localSheetId="47">#REF!</definedName>
    <definedName name="____________Ki2" localSheetId="1">#REF!</definedName>
    <definedName name="____________Ki2">#REF!</definedName>
    <definedName name="____________lb1" localSheetId="7">#REF!</definedName>
    <definedName name="____________lb1" localSheetId="47">#REF!</definedName>
    <definedName name="____________lb1" localSheetId="1">#REF!</definedName>
    <definedName name="____________lb1">#REF!</definedName>
    <definedName name="____________lb2" localSheetId="7">#REF!</definedName>
    <definedName name="____________lb2" localSheetId="47">#REF!</definedName>
    <definedName name="____________lb2" localSheetId="1">#REF!</definedName>
    <definedName name="____________lb2">#REF!</definedName>
    <definedName name="____________mac2">200</definedName>
    <definedName name="____________MAN1" localSheetId="7">#REF!</definedName>
    <definedName name="____________MAN1" localSheetId="47">#REF!</definedName>
    <definedName name="____________MAN1" localSheetId="1">#REF!</definedName>
    <definedName name="____________MAN1">#REF!</definedName>
    <definedName name="____________MIX10" localSheetId="7">#REF!</definedName>
    <definedName name="____________MIX10" localSheetId="47">#REF!</definedName>
    <definedName name="____________MIX10" localSheetId="1">#REF!</definedName>
    <definedName name="____________MIX10">#REF!</definedName>
    <definedName name="____________MIX15" localSheetId="7">#REF!</definedName>
    <definedName name="____________MIX15" localSheetId="47">#REF!</definedName>
    <definedName name="____________MIX15" localSheetId="1">#REF!</definedName>
    <definedName name="____________MIX15">#REF!</definedName>
    <definedName name="____________MIX15150" localSheetId="7">'[4]Mix Design'!#REF!</definedName>
    <definedName name="____________MIX15150" localSheetId="47">'[4]Mix Design'!#REF!</definedName>
    <definedName name="____________MIX15150" localSheetId="1">'[4]Mix Design'!#REF!</definedName>
    <definedName name="____________MIX15150">'[4]Mix Design'!#REF!</definedName>
    <definedName name="____________MIX1540">'[4]Mix Design'!$P$11</definedName>
    <definedName name="____________MIX1580" localSheetId="7">'[4]Mix Design'!#REF!</definedName>
    <definedName name="____________MIX1580" localSheetId="47">'[4]Mix Design'!#REF!</definedName>
    <definedName name="____________MIX1580" localSheetId="1">'[4]Mix Design'!#REF!</definedName>
    <definedName name="____________MIX1580">'[4]Mix Design'!#REF!</definedName>
    <definedName name="____________MIX2">'[5]Mix Design'!$P$12</definedName>
    <definedName name="____________MIX20" localSheetId="7">#REF!</definedName>
    <definedName name="____________MIX20" localSheetId="47">#REF!</definedName>
    <definedName name="____________MIX20" localSheetId="1">#REF!</definedName>
    <definedName name="____________MIX20">#REF!</definedName>
    <definedName name="____________MIX2020">'[4]Mix Design'!$P$12</definedName>
    <definedName name="____________MIX2040">'[4]Mix Design'!$P$13</definedName>
    <definedName name="____________MIX25" localSheetId="7">#REF!</definedName>
    <definedName name="____________MIX25" localSheetId="47">#REF!</definedName>
    <definedName name="____________MIX25" localSheetId="1">#REF!</definedName>
    <definedName name="____________MIX25">#REF!</definedName>
    <definedName name="____________MIX2540">'[4]Mix Design'!$P$15</definedName>
    <definedName name="____________Mix255">'[6]Mix Design'!$P$13</definedName>
    <definedName name="____________MIX30" localSheetId="7">#REF!</definedName>
    <definedName name="____________MIX30" localSheetId="47">#REF!</definedName>
    <definedName name="____________MIX30" localSheetId="1">#REF!</definedName>
    <definedName name="____________MIX30">#REF!</definedName>
    <definedName name="____________MIX35" localSheetId="7">#REF!</definedName>
    <definedName name="____________MIX35" localSheetId="47">#REF!</definedName>
    <definedName name="____________MIX35" localSheetId="1">#REF!</definedName>
    <definedName name="____________MIX35">#REF!</definedName>
    <definedName name="____________MIX40" localSheetId="7">#REF!</definedName>
    <definedName name="____________MIX40" localSheetId="47">#REF!</definedName>
    <definedName name="____________MIX40" localSheetId="1">#REF!</definedName>
    <definedName name="____________MIX40">#REF!</definedName>
    <definedName name="____________MIX45" localSheetId="7">'[4]Mix Design'!#REF!</definedName>
    <definedName name="____________MIX45" localSheetId="47">'[4]Mix Design'!#REF!</definedName>
    <definedName name="____________MIX45" localSheetId="1">'[4]Mix Design'!#REF!</definedName>
    <definedName name="____________MIX45">'[4]Mix Design'!#REF!</definedName>
    <definedName name="____________mm1" localSheetId="7">#REF!</definedName>
    <definedName name="____________mm1" localSheetId="47">#REF!</definedName>
    <definedName name="____________mm1" localSheetId="1">#REF!</definedName>
    <definedName name="____________mm1">#REF!</definedName>
    <definedName name="____________mm2" localSheetId="7">#REF!</definedName>
    <definedName name="____________mm2" localSheetId="47">#REF!</definedName>
    <definedName name="____________mm2" localSheetId="1">#REF!</definedName>
    <definedName name="____________mm2">#REF!</definedName>
    <definedName name="____________mm3" localSheetId="7">#REF!</definedName>
    <definedName name="____________mm3" localSheetId="47">#REF!</definedName>
    <definedName name="____________mm3" localSheetId="1">#REF!</definedName>
    <definedName name="____________mm3">#REF!</definedName>
    <definedName name="____________MUR5" localSheetId="7">#REF!</definedName>
    <definedName name="____________MUR5" localSheetId="47">#REF!</definedName>
    <definedName name="____________MUR5" localSheetId="1">#REF!</definedName>
    <definedName name="____________MUR5">#REF!</definedName>
    <definedName name="____________MUR8" localSheetId="7">#REF!</definedName>
    <definedName name="____________MUR8" localSheetId="47">#REF!</definedName>
    <definedName name="____________MUR8" localSheetId="1">#REF!</definedName>
    <definedName name="____________MUR8">#REF!</definedName>
    <definedName name="____________OPC43" localSheetId="7">#REF!</definedName>
    <definedName name="____________OPC43" localSheetId="47">#REF!</definedName>
    <definedName name="____________OPC43" localSheetId="1">#REF!</definedName>
    <definedName name="____________OPC43">#REF!</definedName>
    <definedName name="____________PB1" localSheetId="7">#REF!</definedName>
    <definedName name="____________PB1" localSheetId="47">#REF!</definedName>
    <definedName name="____________PB1" localSheetId="1">#REF!</definedName>
    <definedName name="____________PB1">#REF!</definedName>
    <definedName name="____________PPC53">'[23]21-Rate Analysis-1'!$E$19</definedName>
    <definedName name="____________sh1">90</definedName>
    <definedName name="____________sh2">120</definedName>
    <definedName name="____________sh3">150</definedName>
    <definedName name="____________sh4">180</definedName>
    <definedName name="____________SH5" localSheetId="7">#REF!</definedName>
    <definedName name="____________SH5" localSheetId="47">#REF!</definedName>
    <definedName name="____________SH5" localSheetId="1">#REF!</definedName>
    <definedName name="____________SH5">#REF!</definedName>
    <definedName name="____________tab1" localSheetId="7">#REF!</definedName>
    <definedName name="____________tab1" localSheetId="47">#REF!</definedName>
    <definedName name="____________tab1" localSheetId="1">#REF!</definedName>
    <definedName name="____________tab1">#REF!</definedName>
    <definedName name="____________tab2" localSheetId="7">#REF!</definedName>
    <definedName name="____________tab2" localSheetId="47">#REF!</definedName>
    <definedName name="____________tab2" localSheetId="1">#REF!</definedName>
    <definedName name="____________tab2">#REF!</definedName>
    <definedName name="____________TB2" localSheetId="7">#REF!</definedName>
    <definedName name="____________TB2" localSheetId="47">#REF!</definedName>
    <definedName name="____________TB2" localSheetId="1">#REF!</definedName>
    <definedName name="____________TB2">#REF!</definedName>
    <definedName name="____________TIP1" localSheetId="7">#REF!</definedName>
    <definedName name="____________TIP1" localSheetId="47">#REF!</definedName>
    <definedName name="____________TIP1" localSheetId="1">#REF!</definedName>
    <definedName name="____________TIP1">#REF!</definedName>
    <definedName name="____________TIP2" localSheetId="7">#REF!</definedName>
    <definedName name="____________TIP2" localSheetId="47">#REF!</definedName>
    <definedName name="____________TIP2" localSheetId="1">#REF!</definedName>
    <definedName name="____________TIP2">#REF!</definedName>
    <definedName name="____________TIP3" localSheetId="7">#REF!</definedName>
    <definedName name="____________TIP3" localSheetId="47">#REF!</definedName>
    <definedName name="____________TIP3" localSheetId="1">#REF!</definedName>
    <definedName name="____________TIP3">#REF!</definedName>
    <definedName name="___________A65537" localSheetId="7">#REF!</definedName>
    <definedName name="___________A65537" localSheetId="47">#REF!</definedName>
    <definedName name="___________A65537" localSheetId="1">#REF!</definedName>
    <definedName name="___________A65537">#REF!</definedName>
    <definedName name="___________ABM10" localSheetId="7">#REF!</definedName>
    <definedName name="___________ABM10" localSheetId="47">#REF!</definedName>
    <definedName name="___________ABM10" localSheetId="1">#REF!</definedName>
    <definedName name="___________ABM10">#REF!</definedName>
    <definedName name="___________ABM40" localSheetId="7">#REF!</definedName>
    <definedName name="___________ABM40" localSheetId="47">#REF!</definedName>
    <definedName name="___________ABM40" localSheetId="1">#REF!</definedName>
    <definedName name="___________ABM40">#REF!</definedName>
    <definedName name="___________ABM6" localSheetId="7">#REF!</definedName>
    <definedName name="___________ABM6" localSheetId="47">#REF!</definedName>
    <definedName name="___________ABM6" localSheetId="1">#REF!</definedName>
    <definedName name="___________ABM6">#REF!</definedName>
    <definedName name="___________ACB10" localSheetId="7">#REF!</definedName>
    <definedName name="___________ACB10" localSheetId="47">#REF!</definedName>
    <definedName name="___________ACB10" localSheetId="1">#REF!</definedName>
    <definedName name="___________ACB10">#REF!</definedName>
    <definedName name="___________ACB20" localSheetId="7">#REF!</definedName>
    <definedName name="___________ACB20" localSheetId="47">#REF!</definedName>
    <definedName name="___________ACB20" localSheetId="1">#REF!</definedName>
    <definedName name="___________ACB20">#REF!</definedName>
    <definedName name="___________ACR10" localSheetId="7">#REF!</definedName>
    <definedName name="___________ACR10" localSheetId="47">#REF!</definedName>
    <definedName name="___________ACR10" localSheetId="1">#REF!</definedName>
    <definedName name="___________ACR10">#REF!</definedName>
    <definedName name="___________ACR20" localSheetId="7">#REF!</definedName>
    <definedName name="___________ACR20" localSheetId="47">#REF!</definedName>
    <definedName name="___________ACR20" localSheetId="1">#REF!</definedName>
    <definedName name="___________ACR20">#REF!</definedName>
    <definedName name="___________AGG10" localSheetId="7">#REF!</definedName>
    <definedName name="___________AGG10" localSheetId="47">#REF!</definedName>
    <definedName name="___________AGG10" localSheetId="1">#REF!</definedName>
    <definedName name="___________AGG10">#REF!</definedName>
    <definedName name="___________AGG40" localSheetId="7">#REF!</definedName>
    <definedName name="___________AGG40" localSheetId="47">#REF!</definedName>
    <definedName name="___________AGG40" localSheetId="1">#REF!</definedName>
    <definedName name="___________AGG40">#REF!</definedName>
    <definedName name="___________AGG6" localSheetId="7">#REF!</definedName>
    <definedName name="___________AGG6" localSheetId="47">#REF!</definedName>
    <definedName name="___________AGG6" localSheetId="1">#REF!</definedName>
    <definedName name="___________AGG6">#REF!</definedName>
    <definedName name="___________ARV8040">'[20]ANAL-PUMP HOUSE'!$I$55</definedName>
    <definedName name="___________ash1" localSheetId="7">[21]ANAL!#REF!</definedName>
    <definedName name="___________ash1" localSheetId="47">[21]ANAL!#REF!</definedName>
    <definedName name="___________ash1" localSheetId="1">[21]ANAL!#REF!</definedName>
    <definedName name="___________ash1">[21]ANAL!#REF!</definedName>
    <definedName name="___________AWM10" localSheetId="7">#REF!</definedName>
    <definedName name="___________AWM10" localSheetId="47">#REF!</definedName>
    <definedName name="___________AWM10" localSheetId="1">#REF!</definedName>
    <definedName name="___________AWM10">#REF!</definedName>
    <definedName name="___________AWM40" localSheetId="7">#REF!</definedName>
    <definedName name="___________AWM40" localSheetId="47">#REF!</definedName>
    <definedName name="___________AWM40" localSheetId="1">#REF!</definedName>
    <definedName name="___________AWM40">#REF!</definedName>
    <definedName name="___________AWM6" localSheetId="7">#REF!</definedName>
    <definedName name="___________AWM6" localSheetId="47">#REF!</definedName>
    <definedName name="___________AWM6" localSheetId="1">#REF!</definedName>
    <definedName name="___________AWM6">#REF!</definedName>
    <definedName name="___________b111121" localSheetId="7">#REF!</definedName>
    <definedName name="___________b111121" localSheetId="47">#REF!</definedName>
    <definedName name="___________b111121" localSheetId="1">#REF!</definedName>
    <definedName name="___________b111121">#REF!</definedName>
    <definedName name="___________BTV300">'[20]ANAL-PUMP HOUSE'!$I$52</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58" localSheetId="7">[19]PROCTOR!#REF!</definedName>
    <definedName name="___________CAN458" localSheetId="47">[19]PROCTOR!#REF!</definedName>
    <definedName name="___________CAN458" localSheetId="1">[19]PROCTOR!#REF!</definedName>
    <definedName name="___________CAN458">[19]PROCTOR!#REF!</definedName>
    <definedName name="___________CAN486" localSheetId="7">[19]PROCTOR!#REF!</definedName>
    <definedName name="___________CAN486" localSheetId="47">[19]PROCTOR!#REF!</definedName>
    <definedName name="___________CAN486" localSheetId="1">[19]PROCTOR!#REF!</definedName>
    <definedName name="___________CAN486">[19]PROCTOR!#REF!</definedName>
    <definedName name="___________CAN487" localSheetId="7">[19]PROCTOR!#REF!</definedName>
    <definedName name="___________CAN487" localSheetId="47">[19]PROCTOR!#REF!</definedName>
    <definedName name="___________CAN487" localSheetId="1">[19]PROCTOR!#REF!</definedName>
    <definedName name="___________CAN487">[19]PROCTOR!#REF!</definedName>
    <definedName name="___________CAN488" localSheetId="7">[19]PROCTOR!#REF!</definedName>
    <definedName name="___________CAN488" localSheetId="47">[19]PROCTOR!#REF!</definedName>
    <definedName name="___________CAN488" localSheetId="1">[19]PROCTOR!#REF!</definedName>
    <definedName name="___________CAN488">[19]PROCTOR!#REF!</definedName>
    <definedName name="___________CAN489" localSheetId="7">[19]PROCTOR!#REF!</definedName>
    <definedName name="___________CAN489" localSheetId="47">[19]PROCTOR!#REF!</definedName>
    <definedName name="___________CAN489" localSheetId="1">[19]PROCTOR!#REF!</definedName>
    <definedName name="___________CAN489">[19]PROCTOR!#REF!</definedName>
    <definedName name="___________CAN490" localSheetId="7">[19]PROCTOR!#REF!</definedName>
    <definedName name="___________CAN490" localSheetId="47">[19]PROCTOR!#REF!</definedName>
    <definedName name="___________CAN490" localSheetId="1">[19]PROCTOR!#REF!</definedName>
    <definedName name="___________CAN490">[19]PROCTOR!#REF!</definedName>
    <definedName name="___________CAN491" localSheetId="7">[19]PROCTOR!#REF!</definedName>
    <definedName name="___________CAN491" localSheetId="47">[19]PROCTOR!#REF!</definedName>
    <definedName name="___________CAN491" localSheetId="1">[19]PROCTOR!#REF!</definedName>
    <definedName name="___________CAN491">[19]PROCTOR!#REF!</definedName>
    <definedName name="___________CAN492" localSheetId="7">[19]PROCTOR!#REF!</definedName>
    <definedName name="___________CAN492" localSheetId="47">[19]PROCTOR!#REF!</definedName>
    <definedName name="___________CAN492" localSheetId="1">[19]PROCTOR!#REF!</definedName>
    <definedName name="___________CAN492">[19]PROCTOR!#REF!</definedName>
    <definedName name="___________CAN493" localSheetId="7">[19]PROCTOR!#REF!</definedName>
    <definedName name="___________CAN493" localSheetId="47">[19]PROCTOR!#REF!</definedName>
    <definedName name="___________CAN493" localSheetId="1">[19]PROCTOR!#REF!</definedName>
    <definedName name="___________CAN493">[19]PROCTOR!#REF!</definedName>
    <definedName name="___________CAN494" localSheetId="7">[19]PROCTOR!#REF!</definedName>
    <definedName name="___________CAN494" localSheetId="47">[19]PROCTOR!#REF!</definedName>
    <definedName name="___________CAN494" localSheetId="1">[19]PROCTOR!#REF!</definedName>
    <definedName name="___________CAN494">[19]PROCTOR!#REF!</definedName>
    <definedName name="___________CAN495" localSheetId="7">[19]PROCTOR!#REF!</definedName>
    <definedName name="___________CAN495" localSheetId="47">[19]PROCTOR!#REF!</definedName>
    <definedName name="___________CAN495" localSheetId="1">[19]PROCTOR!#REF!</definedName>
    <definedName name="___________CAN495">[19]PROCTOR!#REF!</definedName>
    <definedName name="___________CAN496" localSheetId="7">[19]PROCTOR!#REF!</definedName>
    <definedName name="___________CAN496" localSheetId="47">[19]PROCTOR!#REF!</definedName>
    <definedName name="___________CAN496" localSheetId="1">[19]PROCTOR!#REF!</definedName>
    <definedName name="___________CAN496">[19]PROCTOR!#REF!</definedName>
    <definedName name="___________CAN497" localSheetId="7">[19]PROCTOR!#REF!</definedName>
    <definedName name="___________CAN497" localSheetId="47">[19]PROCTOR!#REF!</definedName>
    <definedName name="___________CAN497" localSheetId="1">[19]PROCTOR!#REF!</definedName>
    <definedName name="___________CAN497">[19]PROCTOR!#REF!</definedName>
    <definedName name="___________CAN498" localSheetId="7">[19]PROCTOR!#REF!</definedName>
    <definedName name="___________CAN498" localSheetId="47">[19]PROCTOR!#REF!</definedName>
    <definedName name="___________CAN498" localSheetId="1">[19]PROCTOR!#REF!</definedName>
    <definedName name="___________CAN498">[19]PROCTOR!#REF!</definedName>
    <definedName name="___________CAN499" localSheetId="7">[19]PROCTOR!#REF!</definedName>
    <definedName name="___________CAN499" localSheetId="47">[19]PROCTOR!#REF!</definedName>
    <definedName name="___________CAN499" localSheetId="1">[19]PROCTOR!#REF!</definedName>
    <definedName name="___________CAN499">[19]PROCTOR!#REF!</definedName>
    <definedName name="___________CAN500" localSheetId="7">[19]PROCTOR!#REF!</definedName>
    <definedName name="___________CAN500" localSheetId="47">[19]PROCTOR!#REF!</definedName>
    <definedName name="___________CAN500" localSheetId="1">[19]PROCTOR!#REF!</definedName>
    <definedName name="___________CAN500">[19]PROCTOR!#REF!</definedName>
    <definedName name="___________CDG100" localSheetId="7">#REF!</definedName>
    <definedName name="___________CDG100" localSheetId="47">#REF!</definedName>
    <definedName name="___________CDG100" localSheetId="1">#REF!</definedName>
    <definedName name="___________CDG100">#REF!</definedName>
    <definedName name="___________CDG250" localSheetId="7">#REF!</definedName>
    <definedName name="___________CDG250" localSheetId="47">#REF!</definedName>
    <definedName name="___________CDG250" localSheetId="1">#REF!</definedName>
    <definedName name="___________CDG250">#REF!</definedName>
    <definedName name="___________CDG50" localSheetId="7">#REF!</definedName>
    <definedName name="___________CDG50" localSheetId="47">#REF!</definedName>
    <definedName name="___________CDG50" localSheetId="1">#REF!</definedName>
    <definedName name="___________CDG50">#REF!</definedName>
    <definedName name="___________CDG500" localSheetId="7">#REF!</definedName>
    <definedName name="___________CDG500" localSheetId="47">#REF!</definedName>
    <definedName name="___________CDG500" localSheetId="1">#REF!</definedName>
    <definedName name="___________CDG500">#REF!</definedName>
    <definedName name="___________CEM53" localSheetId="7">#REF!</definedName>
    <definedName name="___________CEM53" localSheetId="47">#REF!</definedName>
    <definedName name="___________CEM53" localSheetId="1">#REF!</definedName>
    <definedName name="___________CEM53">#REF!</definedName>
    <definedName name="___________CRN3" localSheetId="7">#REF!</definedName>
    <definedName name="___________CRN3" localSheetId="47">#REF!</definedName>
    <definedName name="___________CRN3" localSheetId="1">#REF!</definedName>
    <definedName name="___________CRN3">#REF!</definedName>
    <definedName name="___________CRN35" localSheetId="7">#REF!</definedName>
    <definedName name="___________CRN35" localSheetId="47">#REF!</definedName>
    <definedName name="___________CRN35" localSheetId="1">#REF!</definedName>
    <definedName name="___________CRN35">#REF!</definedName>
    <definedName name="___________CRN80" localSheetId="7">#REF!</definedName>
    <definedName name="___________CRN80" localSheetId="47">#REF!</definedName>
    <definedName name="___________CRN80" localSheetId="1">#REF!</definedName>
    <definedName name="___________CRN80">#REF!</definedName>
    <definedName name="___________dec05" localSheetId="7" hidden="1">{"'Sheet1'!$A$4386:$N$4591"}</definedName>
    <definedName name="___________dec05" localSheetId="47" hidden="1">{"'Sheet1'!$A$4386:$N$4591"}</definedName>
    <definedName name="___________dec05" localSheetId="1" hidden="1">{"'Sheet1'!$A$4386:$N$4591"}</definedName>
    <definedName name="___________dec05" hidden="1">{"'Sheet1'!$A$4386:$N$4591"}</definedName>
    <definedName name="___________DOZ50" localSheetId="7">#REF!</definedName>
    <definedName name="___________DOZ50" localSheetId="47">#REF!</definedName>
    <definedName name="___________DOZ50" localSheetId="1">#REF!</definedName>
    <definedName name="___________DOZ50">#REF!</definedName>
    <definedName name="___________DOZ80" localSheetId="7">#REF!</definedName>
    <definedName name="___________DOZ80" localSheetId="47">#REF!</definedName>
    <definedName name="___________DOZ80" localSheetId="1">#REF!</definedName>
    <definedName name="___________DOZ80">#REF!</definedName>
    <definedName name="___________EXC20">'[23]21-Rate Analysis-1'!$E$51</definedName>
    <definedName name="___________ExV200" localSheetId="7">#REF!</definedName>
    <definedName name="___________ExV200" localSheetId="47">#REF!</definedName>
    <definedName name="___________ExV200" localSheetId="1">#REF!</definedName>
    <definedName name="___________ExV200">#REF!</definedName>
    <definedName name="___________GEN100" localSheetId="7">#REF!</definedName>
    <definedName name="___________GEN100" localSheetId="47">#REF!</definedName>
    <definedName name="___________GEN100" localSheetId="1">#REF!</definedName>
    <definedName name="___________GEN100">#REF!</definedName>
    <definedName name="___________GEN250" localSheetId="7">#REF!</definedName>
    <definedName name="___________GEN250" localSheetId="47">#REF!</definedName>
    <definedName name="___________GEN250" localSheetId="1">#REF!</definedName>
    <definedName name="___________GEN250">#REF!</definedName>
    <definedName name="___________GEN325" localSheetId="7">#REF!</definedName>
    <definedName name="___________GEN325" localSheetId="47">#REF!</definedName>
    <definedName name="___________GEN325" localSheetId="1">#REF!</definedName>
    <definedName name="___________GEN325">#REF!</definedName>
    <definedName name="___________GEN380" localSheetId="7">#REF!</definedName>
    <definedName name="___________GEN380" localSheetId="47">#REF!</definedName>
    <definedName name="___________GEN380" localSheetId="1">#REF!</definedName>
    <definedName name="___________GEN380">#REF!</definedName>
    <definedName name="___________GSB1" localSheetId="7">#REF!</definedName>
    <definedName name="___________GSB1" localSheetId="47">#REF!</definedName>
    <definedName name="___________GSB1" localSheetId="1">#REF!</definedName>
    <definedName name="___________GSB1">#REF!</definedName>
    <definedName name="___________GSB2" localSheetId="7">#REF!</definedName>
    <definedName name="___________GSB2" localSheetId="47">#REF!</definedName>
    <definedName name="___________GSB2" localSheetId="1">#REF!</definedName>
    <definedName name="___________GSB2">#REF!</definedName>
    <definedName name="___________GSB3" localSheetId="7">#REF!</definedName>
    <definedName name="___________GSB3" localSheetId="47">#REF!</definedName>
    <definedName name="___________GSB3" localSheetId="1">#REF!</definedName>
    <definedName name="___________GSB3">#REF!</definedName>
    <definedName name="___________HMP1" localSheetId="7">#REF!</definedName>
    <definedName name="___________HMP1" localSheetId="47">#REF!</definedName>
    <definedName name="___________HMP1" localSheetId="1">#REF!</definedName>
    <definedName name="___________HMP1">#REF!</definedName>
    <definedName name="___________HMP2" localSheetId="7">#REF!</definedName>
    <definedName name="___________HMP2" localSheetId="47">#REF!</definedName>
    <definedName name="___________HMP2" localSheetId="1">#REF!</definedName>
    <definedName name="___________HMP2">#REF!</definedName>
    <definedName name="___________HMP3" localSheetId="7">#REF!</definedName>
    <definedName name="___________HMP3" localSheetId="47">#REF!</definedName>
    <definedName name="___________HMP3" localSheetId="1">#REF!</definedName>
    <definedName name="___________HMP3">#REF!</definedName>
    <definedName name="___________HMP4" localSheetId="7">#REF!</definedName>
    <definedName name="___________HMP4" localSheetId="47">#REF!</definedName>
    <definedName name="___________HMP4" localSheetId="1">#REF!</definedName>
    <definedName name="___________HMP4">#REF!</definedName>
    <definedName name="___________HRC1">'[20]Pipe trench'!$V$23</definedName>
    <definedName name="___________HRC2">'[20]Pipe trench'!$V$24</definedName>
    <definedName name="___________HSE1">'[20]Pipe trench'!$V$11</definedName>
    <definedName name="___________Ki1" localSheetId="7">#REF!</definedName>
    <definedName name="___________Ki1" localSheetId="47">#REF!</definedName>
    <definedName name="___________Ki1" localSheetId="1">#REF!</definedName>
    <definedName name="___________Ki1">#REF!</definedName>
    <definedName name="___________Ki2" localSheetId="7">#REF!</definedName>
    <definedName name="___________Ki2" localSheetId="47">#REF!</definedName>
    <definedName name="___________Ki2" localSheetId="1">#REF!</definedName>
    <definedName name="___________Ki2">#REF!</definedName>
    <definedName name="___________lb1" localSheetId="7">#REF!</definedName>
    <definedName name="___________lb1" localSheetId="47">#REF!</definedName>
    <definedName name="___________lb1" localSheetId="1">#REF!</definedName>
    <definedName name="___________lb1">#REF!</definedName>
    <definedName name="___________lb2" localSheetId="7">#REF!</definedName>
    <definedName name="___________lb2" localSheetId="47">#REF!</definedName>
    <definedName name="___________lb2" localSheetId="1">#REF!</definedName>
    <definedName name="___________lb2">#REF!</definedName>
    <definedName name="___________mac2">200</definedName>
    <definedName name="___________MAN1" localSheetId="7">#REF!</definedName>
    <definedName name="___________MAN1" localSheetId="47">#REF!</definedName>
    <definedName name="___________MAN1" localSheetId="1">#REF!</definedName>
    <definedName name="___________MAN1">#REF!</definedName>
    <definedName name="___________MIX10" localSheetId="7">#REF!</definedName>
    <definedName name="___________MIX10" localSheetId="47">#REF!</definedName>
    <definedName name="___________MIX10" localSheetId="1">#REF!</definedName>
    <definedName name="___________MIX10">#REF!</definedName>
    <definedName name="___________MIX15" localSheetId="7">#REF!</definedName>
    <definedName name="___________MIX15" localSheetId="47">#REF!</definedName>
    <definedName name="___________MIX15" localSheetId="1">#REF!</definedName>
    <definedName name="___________MIX15">#REF!</definedName>
    <definedName name="___________MIX15150" localSheetId="7">'[4]Mix Design'!#REF!</definedName>
    <definedName name="___________MIX15150" localSheetId="47">'[4]Mix Design'!#REF!</definedName>
    <definedName name="___________MIX15150" localSheetId="1">'[4]Mix Design'!#REF!</definedName>
    <definedName name="___________MIX15150">'[4]Mix Design'!#REF!</definedName>
    <definedName name="___________MIX1540">'[4]Mix Design'!$P$11</definedName>
    <definedName name="___________MIX1580" localSheetId="7">'[4]Mix Design'!#REF!</definedName>
    <definedName name="___________MIX1580" localSheetId="47">'[4]Mix Design'!#REF!</definedName>
    <definedName name="___________MIX1580" localSheetId="1">'[4]Mix Design'!#REF!</definedName>
    <definedName name="___________MIX1580">'[4]Mix Design'!#REF!</definedName>
    <definedName name="___________MIX2">'[5]Mix Design'!$P$12</definedName>
    <definedName name="___________MIX20" localSheetId="7">#REF!</definedName>
    <definedName name="___________MIX20" localSheetId="47">#REF!</definedName>
    <definedName name="___________MIX20" localSheetId="1">#REF!</definedName>
    <definedName name="___________MIX20">#REF!</definedName>
    <definedName name="___________MIX2020">'[4]Mix Design'!$P$12</definedName>
    <definedName name="___________MIX2040">'[4]Mix Design'!$P$13</definedName>
    <definedName name="___________MIX25" localSheetId="7">#REF!</definedName>
    <definedName name="___________MIX25" localSheetId="47">#REF!</definedName>
    <definedName name="___________MIX25" localSheetId="1">#REF!</definedName>
    <definedName name="___________MIX25">#REF!</definedName>
    <definedName name="___________MIX2540">'[4]Mix Design'!$P$15</definedName>
    <definedName name="___________Mix255">'[6]Mix Design'!$P$13</definedName>
    <definedName name="___________MIX30" localSheetId="7">#REF!</definedName>
    <definedName name="___________MIX30" localSheetId="47">#REF!</definedName>
    <definedName name="___________MIX30" localSheetId="1">#REF!</definedName>
    <definedName name="___________MIX30">#REF!</definedName>
    <definedName name="___________MIX35" localSheetId="7">#REF!</definedName>
    <definedName name="___________MIX35" localSheetId="47">#REF!</definedName>
    <definedName name="___________MIX35" localSheetId="1">#REF!</definedName>
    <definedName name="___________MIX35">#REF!</definedName>
    <definedName name="___________MIX40" localSheetId="7">#REF!</definedName>
    <definedName name="___________MIX40" localSheetId="47">#REF!</definedName>
    <definedName name="___________MIX40" localSheetId="1">#REF!</definedName>
    <definedName name="___________MIX40">#REF!</definedName>
    <definedName name="___________MIX45" localSheetId="7">'[4]Mix Design'!#REF!</definedName>
    <definedName name="___________MIX45" localSheetId="47">'[4]Mix Design'!#REF!</definedName>
    <definedName name="___________MIX45" localSheetId="1">'[4]Mix Design'!#REF!</definedName>
    <definedName name="___________MIX45">'[4]Mix Design'!#REF!</definedName>
    <definedName name="___________mm1" localSheetId="7">#REF!</definedName>
    <definedName name="___________mm1" localSheetId="47">#REF!</definedName>
    <definedName name="___________mm1" localSheetId="1">#REF!</definedName>
    <definedName name="___________mm1">#REF!</definedName>
    <definedName name="___________mm2" localSheetId="7">#REF!</definedName>
    <definedName name="___________mm2" localSheetId="47">#REF!</definedName>
    <definedName name="___________mm2" localSheetId="1">#REF!</definedName>
    <definedName name="___________mm2">#REF!</definedName>
    <definedName name="___________mm3" localSheetId="7">#REF!</definedName>
    <definedName name="___________mm3" localSheetId="47">#REF!</definedName>
    <definedName name="___________mm3" localSheetId="1">#REF!</definedName>
    <definedName name="___________mm3">#REF!</definedName>
    <definedName name="___________MUR5" localSheetId="7">#REF!</definedName>
    <definedName name="___________MUR5" localSheetId="47">#REF!</definedName>
    <definedName name="___________MUR5" localSheetId="1">#REF!</definedName>
    <definedName name="___________MUR5">#REF!</definedName>
    <definedName name="___________MUR8" localSheetId="7">#REF!</definedName>
    <definedName name="___________MUR8" localSheetId="47">#REF!</definedName>
    <definedName name="___________MUR8" localSheetId="1">#REF!</definedName>
    <definedName name="___________MUR8">#REF!</definedName>
    <definedName name="___________OPC43" localSheetId="7">#REF!</definedName>
    <definedName name="___________OPC43" localSheetId="47">#REF!</definedName>
    <definedName name="___________OPC43" localSheetId="1">#REF!</definedName>
    <definedName name="___________OPC43">#REF!</definedName>
    <definedName name="___________ORC1">'[20]Pipe trench'!$V$17</definedName>
    <definedName name="___________ORC2">'[20]Pipe trench'!$V$18</definedName>
    <definedName name="___________OSE1">'[20]Pipe trench'!$V$8</definedName>
    <definedName name="___________PB1" localSheetId="7">#REF!</definedName>
    <definedName name="___________PB1" localSheetId="47">#REF!</definedName>
    <definedName name="___________PB1" localSheetId="1">#REF!</definedName>
    <definedName name="___________PB1">#REF!</definedName>
    <definedName name="___________PPC53">'[23]21-Rate Analysis-1'!$E$19</definedName>
    <definedName name="___________sh1">90</definedName>
    <definedName name="___________sh2">120</definedName>
    <definedName name="___________sh3">150</definedName>
    <definedName name="___________sh4">180</definedName>
    <definedName name="___________SH5" localSheetId="7">#REF!</definedName>
    <definedName name="___________SH5" localSheetId="47">#REF!</definedName>
    <definedName name="___________SH5" localSheetId="1">#REF!</definedName>
    <definedName name="___________SH5">#REF!</definedName>
    <definedName name="___________SLV20025">'[20]ANAL-PUMP HOUSE'!$I$58</definedName>
    <definedName name="___________SLV80010">'[20]ANAL-PUMP HOUSE'!$I$60</definedName>
    <definedName name="___________tab1" localSheetId="7">#REF!</definedName>
    <definedName name="___________tab1" localSheetId="47">#REF!</definedName>
    <definedName name="___________tab1" localSheetId="1">#REF!</definedName>
    <definedName name="___________tab1">#REF!</definedName>
    <definedName name="___________tab2" localSheetId="7">#REF!</definedName>
    <definedName name="___________tab2" localSheetId="47">#REF!</definedName>
    <definedName name="___________tab2" localSheetId="1">#REF!</definedName>
    <definedName name="___________tab2">#REF!</definedName>
    <definedName name="___________TB2" localSheetId="7">#REF!</definedName>
    <definedName name="___________TB2" localSheetId="47">#REF!</definedName>
    <definedName name="___________TB2" localSheetId="1">#REF!</definedName>
    <definedName name="___________TB2">#REF!</definedName>
    <definedName name="___________TIP1" localSheetId="7">#REF!</definedName>
    <definedName name="___________TIP1" localSheetId="47">#REF!</definedName>
    <definedName name="___________TIP1" localSheetId="1">#REF!</definedName>
    <definedName name="___________TIP1">#REF!</definedName>
    <definedName name="___________TIP2" localSheetId="7">#REF!</definedName>
    <definedName name="___________TIP2" localSheetId="47">#REF!</definedName>
    <definedName name="___________TIP2" localSheetId="1">#REF!</definedName>
    <definedName name="___________TIP2">#REF!</definedName>
    <definedName name="___________TIP3" localSheetId="7">#REF!</definedName>
    <definedName name="___________TIP3" localSheetId="47">#REF!</definedName>
    <definedName name="___________TIP3" localSheetId="1">#REF!</definedName>
    <definedName name="___________TIP3">#REF!</definedName>
    <definedName name="__________A65537" localSheetId="7">#REF!</definedName>
    <definedName name="__________A65537" localSheetId="47">#REF!</definedName>
    <definedName name="__________A65537" localSheetId="1">#REF!</definedName>
    <definedName name="__________A65537">#REF!</definedName>
    <definedName name="__________ABM10" localSheetId="7">#REF!</definedName>
    <definedName name="__________ABM10" localSheetId="47">#REF!</definedName>
    <definedName name="__________ABM10" localSheetId="1">#REF!</definedName>
    <definedName name="__________ABM10">#REF!</definedName>
    <definedName name="__________ABM40" localSheetId="7">#REF!</definedName>
    <definedName name="__________ABM40" localSheetId="47">#REF!</definedName>
    <definedName name="__________ABM40" localSheetId="1">#REF!</definedName>
    <definedName name="__________ABM40">#REF!</definedName>
    <definedName name="__________ABM6" localSheetId="7">#REF!</definedName>
    <definedName name="__________ABM6" localSheetId="47">#REF!</definedName>
    <definedName name="__________ABM6" localSheetId="1">#REF!</definedName>
    <definedName name="__________ABM6">#REF!</definedName>
    <definedName name="__________ACB10" localSheetId="7">#REF!</definedName>
    <definedName name="__________ACB10" localSheetId="47">#REF!</definedName>
    <definedName name="__________ACB10" localSheetId="1">#REF!</definedName>
    <definedName name="__________ACB10">#REF!</definedName>
    <definedName name="__________ACB20" localSheetId="7">#REF!</definedName>
    <definedName name="__________ACB20" localSheetId="47">#REF!</definedName>
    <definedName name="__________ACB20" localSheetId="1">#REF!</definedName>
    <definedName name="__________ACB20">#REF!</definedName>
    <definedName name="__________ACR10" localSheetId="7">#REF!</definedName>
    <definedName name="__________ACR10" localSheetId="47">#REF!</definedName>
    <definedName name="__________ACR10" localSheetId="1">#REF!</definedName>
    <definedName name="__________ACR10">#REF!</definedName>
    <definedName name="__________ACR20" localSheetId="7">#REF!</definedName>
    <definedName name="__________ACR20" localSheetId="47">#REF!</definedName>
    <definedName name="__________ACR20" localSheetId="1">#REF!</definedName>
    <definedName name="__________ACR20">#REF!</definedName>
    <definedName name="__________AGG10" localSheetId="7">#REF!</definedName>
    <definedName name="__________AGG10" localSheetId="47">#REF!</definedName>
    <definedName name="__________AGG10" localSheetId="1">#REF!</definedName>
    <definedName name="__________AGG10">#REF!</definedName>
    <definedName name="__________AGG40" localSheetId="7">#REF!</definedName>
    <definedName name="__________AGG40" localSheetId="47">#REF!</definedName>
    <definedName name="__________AGG40" localSheetId="1">#REF!</definedName>
    <definedName name="__________AGG40">#REF!</definedName>
    <definedName name="__________AGG6" localSheetId="7">#REF!</definedName>
    <definedName name="__________AGG6" localSheetId="47">#REF!</definedName>
    <definedName name="__________AGG6" localSheetId="1">#REF!</definedName>
    <definedName name="__________AGG6">#REF!</definedName>
    <definedName name="__________ARV8040">'[20]ANAL-PUMP HOUSE'!$I$55</definedName>
    <definedName name="__________ash1" localSheetId="7">[21]ANAL!#REF!</definedName>
    <definedName name="__________ash1" localSheetId="47">[21]ANAL!#REF!</definedName>
    <definedName name="__________ash1" localSheetId="1">[21]ANAL!#REF!</definedName>
    <definedName name="__________ash1">[21]ANAL!#REF!</definedName>
    <definedName name="__________AWM10" localSheetId="7">#REF!</definedName>
    <definedName name="__________AWM10" localSheetId="47">#REF!</definedName>
    <definedName name="__________AWM10" localSheetId="1">#REF!</definedName>
    <definedName name="__________AWM10">#REF!</definedName>
    <definedName name="__________AWM40" localSheetId="7">#REF!</definedName>
    <definedName name="__________AWM40" localSheetId="47">#REF!</definedName>
    <definedName name="__________AWM40" localSheetId="1">#REF!</definedName>
    <definedName name="__________AWM40">#REF!</definedName>
    <definedName name="__________AWM6" localSheetId="7">#REF!</definedName>
    <definedName name="__________AWM6" localSheetId="47">#REF!</definedName>
    <definedName name="__________AWM6" localSheetId="1">#REF!</definedName>
    <definedName name="__________AWM6">#REF!</definedName>
    <definedName name="__________b111121" localSheetId="7">#REF!</definedName>
    <definedName name="__________b111121" localSheetId="47">#REF!</definedName>
    <definedName name="__________b111121" localSheetId="1">#REF!</definedName>
    <definedName name="__________b111121">#REF!</definedName>
    <definedName name="__________BTV300">'[20]ANAL-PUMP HOUSE'!$I$52</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58" localSheetId="7">[19]PROCTOR!#REF!</definedName>
    <definedName name="__________CAN458" localSheetId="47">[19]PROCTOR!#REF!</definedName>
    <definedName name="__________CAN458" localSheetId="1">[19]PROCTOR!#REF!</definedName>
    <definedName name="__________CAN458">[19]PROCTOR!#REF!</definedName>
    <definedName name="__________CAN486" localSheetId="7">[19]PROCTOR!#REF!</definedName>
    <definedName name="__________CAN486" localSheetId="47">[19]PROCTOR!#REF!</definedName>
    <definedName name="__________CAN486" localSheetId="1">[19]PROCTOR!#REF!</definedName>
    <definedName name="__________CAN486">[19]PROCTOR!#REF!</definedName>
    <definedName name="__________CAN487" localSheetId="7">[19]PROCTOR!#REF!</definedName>
    <definedName name="__________CAN487" localSheetId="47">[19]PROCTOR!#REF!</definedName>
    <definedName name="__________CAN487" localSheetId="1">[19]PROCTOR!#REF!</definedName>
    <definedName name="__________CAN487">[19]PROCTOR!#REF!</definedName>
    <definedName name="__________CAN488" localSheetId="7">[19]PROCTOR!#REF!</definedName>
    <definedName name="__________CAN488" localSheetId="47">[19]PROCTOR!#REF!</definedName>
    <definedName name="__________CAN488" localSheetId="1">[19]PROCTOR!#REF!</definedName>
    <definedName name="__________CAN488">[19]PROCTOR!#REF!</definedName>
    <definedName name="__________CAN489" localSheetId="7">[19]PROCTOR!#REF!</definedName>
    <definedName name="__________CAN489" localSheetId="47">[19]PROCTOR!#REF!</definedName>
    <definedName name="__________CAN489" localSheetId="1">[19]PROCTOR!#REF!</definedName>
    <definedName name="__________CAN489">[19]PROCTOR!#REF!</definedName>
    <definedName name="__________CAN490" localSheetId="7">[19]PROCTOR!#REF!</definedName>
    <definedName name="__________CAN490" localSheetId="47">[19]PROCTOR!#REF!</definedName>
    <definedName name="__________CAN490" localSheetId="1">[19]PROCTOR!#REF!</definedName>
    <definedName name="__________CAN490">[19]PROCTOR!#REF!</definedName>
    <definedName name="__________CAN491" localSheetId="7">[19]PROCTOR!#REF!</definedName>
    <definedName name="__________CAN491" localSheetId="47">[19]PROCTOR!#REF!</definedName>
    <definedName name="__________CAN491" localSheetId="1">[19]PROCTOR!#REF!</definedName>
    <definedName name="__________CAN491">[19]PROCTOR!#REF!</definedName>
    <definedName name="__________CAN492" localSheetId="7">[19]PROCTOR!#REF!</definedName>
    <definedName name="__________CAN492" localSheetId="47">[19]PROCTOR!#REF!</definedName>
    <definedName name="__________CAN492" localSheetId="1">[19]PROCTOR!#REF!</definedName>
    <definedName name="__________CAN492">[19]PROCTOR!#REF!</definedName>
    <definedName name="__________CAN493" localSheetId="7">[19]PROCTOR!#REF!</definedName>
    <definedName name="__________CAN493" localSheetId="47">[19]PROCTOR!#REF!</definedName>
    <definedName name="__________CAN493" localSheetId="1">[19]PROCTOR!#REF!</definedName>
    <definedName name="__________CAN493">[19]PROCTOR!#REF!</definedName>
    <definedName name="__________CAN494" localSheetId="7">[19]PROCTOR!#REF!</definedName>
    <definedName name="__________CAN494" localSheetId="47">[19]PROCTOR!#REF!</definedName>
    <definedName name="__________CAN494" localSheetId="1">[19]PROCTOR!#REF!</definedName>
    <definedName name="__________CAN494">[19]PROCTOR!#REF!</definedName>
    <definedName name="__________CAN495" localSheetId="7">[19]PROCTOR!#REF!</definedName>
    <definedName name="__________CAN495" localSheetId="47">[19]PROCTOR!#REF!</definedName>
    <definedName name="__________CAN495" localSheetId="1">[19]PROCTOR!#REF!</definedName>
    <definedName name="__________CAN495">[19]PROCTOR!#REF!</definedName>
    <definedName name="__________CAN496" localSheetId="7">[19]PROCTOR!#REF!</definedName>
    <definedName name="__________CAN496" localSheetId="47">[19]PROCTOR!#REF!</definedName>
    <definedName name="__________CAN496" localSheetId="1">[19]PROCTOR!#REF!</definedName>
    <definedName name="__________CAN496">[19]PROCTOR!#REF!</definedName>
    <definedName name="__________CAN497" localSheetId="7">[19]PROCTOR!#REF!</definedName>
    <definedName name="__________CAN497" localSheetId="47">[19]PROCTOR!#REF!</definedName>
    <definedName name="__________CAN497" localSheetId="1">[19]PROCTOR!#REF!</definedName>
    <definedName name="__________CAN497">[19]PROCTOR!#REF!</definedName>
    <definedName name="__________CAN498" localSheetId="7">[19]PROCTOR!#REF!</definedName>
    <definedName name="__________CAN498" localSheetId="47">[19]PROCTOR!#REF!</definedName>
    <definedName name="__________CAN498" localSheetId="1">[19]PROCTOR!#REF!</definedName>
    <definedName name="__________CAN498">[19]PROCTOR!#REF!</definedName>
    <definedName name="__________CAN499" localSheetId="7">[19]PROCTOR!#REF!</definedName>
    <definedName name="__________CAN499" localSheetId="47">[19]PROCTOR!#REF!</definedName>
    <definedName name="__________CAN499" localSheetId="1">[19]PROCTOR!#REF!</definedName>
    <definedName name="__________CAN499">[19]PROCTOR!#REF!</definedName>
    <definedName name="__________CAN500" localSheetId="7">[19]PROCTOR!#REF!</definedName>
    <definedName name="__________CAN500" localSheetId="47">[19]PROCTOR!#REF!</definedName>
    <definedName name="__________CAN500" localSheetId="1">[19]PROCTOR!#REF!</definedName>
    <definedName name="__________CAN500">[19]PROCTOR!#REF!</definedName>
    <definedName name="__________CDG100" localSheetId="7">#REF!</definedName>
    <definedName name="__________CDG100" localSheetId="47">#REF!</definedName>
    <definedName name="__________CDG100" localSheetId="1">#REF!</definedName>
    <definedName name="__________CDG100">#REF!</definedName>
    <definedName name="__________CDG250" localSheetId="7">#REF!</definedName>
    <definedName name="__________CDG250" localSheetId="47">#REF!</definedName>
    <definedName name="__________CDG250" localSheetId="1">#REF!</definedName>
    <definedName name="__________CDG250">#REF!</definedName>
    <definedName name="__________CDG50" localSheetId="7">#REF!</definedName>
    <definedName name="__________CDG50" localSheetId="47">#REF!</definedName>
    <definedName name="__________CDG50" localSheetId="1">#REF!</definedName>
    <definedName name="__________CDG50">#REF!</definedName>
    <definedName name="__________CDG500" localSheetId="7">#REF!</definedName>
    <definedName name="__________CDG500" localSheetId="47">#REF!</definedName>
    <definedName name="__________CDG500" localSheetId="1">#REF!</definedName>
    <definedName name="__________CDG500">#REF!</definedName>
    <definedName name="__________CEM53" localSheetId="7">#REF!</definedName>
    <definedName name="__________CEM53" localSheetId="47">#REF!</definedName>
    <definedName name="__________CEM53" localSheetId="1">#REF!</definedName>
    <definedName name="__________CEM53">#REF!</definedName>
    <definedName name="__________CRN3" localSheetId="7">#REF!</definedName>
    <definedName name="__________CRN3" localSheetId="47">#REF!</definedName>
    <definedName name="__________CRN3" localSheetId="1">#REF!</definedName>
    <definedName name="__________CRN3">#REF!</definedName>
    <definedName name="__________CRN35" localSheetId="7">#REF!</definedName>
    <definedName name="__________CRN35" localSheetId="47">#REF!</definedName>
    <definedName name="__________CRN35" localSheetId="1">#REF!</definedName>
    <definedName name="__________CRN35">#REF!</definedName>
    <definedName name="__________CRN80" localSheetId="7">#REF!</definedName>
    <definedName name="__________CRN80" localSheetId="47">#REF!</definedName>
    <definedName name="__________CRN80" localSheetId="1">#REF!</definedName>
    <definedName name="__________CRN80">#REF!</definedName>
    <definedName name="__________dec05" localSheetId="7" hidden="1">{"'Sheet1'!$A$4386:$N$4591"}</definedName>
    <definedName name="__________dec05" localSheetId="47" hidden="1">{"'Sheet1'!$A$4386:$N$4591"}</definedName>
    <definedName name="__________dec05" localSheetId="1" hidden="1">{"'Sheet1'!$A$4386:$N$4591"}</definedName>
    <definedName name="__________dec05" hidden="1">{"'Sheet1'!$A$4386:$N$4591"}</definedName>
    <definedName name="__________DOZ50" localSheetId="7">#REF!</definedName>
    <definedName name="__________DOZ50" localSheetId="47">#REF!</definedName>
    <definedName name="__________DOZ50" localSheetId="1">#REF!</definedName>
    <definedName name="__________DOZ50">#REF!</definedName>
    <definedName name="__________DOZ80" localSheetId="7">#REF!</definedName>
    <definedName name="__________DOZ80" localSheetId="47">#REF!</definedName>
    <definedName name="__________DOZ80" localSheetId="1">#REF!</definedName>
    <definedName name="__________DOZ80">#REF!</definedName>
    <definedName name="__________EXC20">'[23]21-Rate Analysis-1'!$E$51</definedName>
    <definedName name="__________ExV200" localSheetId="7">#REF!</definedName>
    <definedName name="__________ExV200" localSheetId="47">#REF!</definedName>
    <definedName name="__________ExV200" localSheetId="1">#REF!</definedName>
    <definedName name="__________ExV200">#REF!</definedName>
    <definedName name="__________GEN100" localSheetId="7">#REF!</definedName>
    <definedName name="__________GEN100" localSheetId="47">#REF!</definedName>
    <definedName name="__________GEN100" localSheetId="1">#REF!</definedName>
    <definedName name="__________GEN100">#REF!</definedName>
    <definedName name="__________GEN250" localSheetId="7">#REF!</definedName>
    <definedName name="__________GEN250" localSheetId="47">#REF!</definedName>
    <definedName name="__________GEN250" localSheetId="1">#REF!</definedName>
    <definedName name="__________GEN250">#REF!</definedName>
    <definedName name="__________GEN325" localSheetId="7">#REF!</definedName>
    <definedName name="__________GEN325" localSheetId="47">#REF!</definedName>
    <definedName name="__________GEN325" localSheetId="1">#REF!</definedName>
    <definedName name="__________GEN325">#REF!</definedName>
    <definedName name="__________GEN380" localSheetId="7">#REF!</definedName>
    <definedName name="__________GEN380" localSheetId="47">#REF!</definedName>
    <definedName name="__________GEN380" localSheetId="1">#REF!</definedName>
    <definedName name="__________GEN380">#REF!</definedName>
    <definedName name="__________GSB1" localSheetId="7">#REF!</definedName>
    <definedName name="__________GSB1" localSheetId="47">#REF!</definedName>
    <definedName name="__________GSB1" localSheetId="1">#REF!</definedName>
    <definedName name="__________GSB1">#REF!</definedName>
    <definedName name="__________GSB2" localSheetId="7">#REF!</definedName>
    <definedName name="__________GSB2" localSheetId="47">#REF!</definedName>
    <definedName name="__________GSB2" localSheetId="1">#REF!</definedName>
    <definedName name="__________GSB2">#REF!</definedName>
    <definedName name="__________GSB3" localSheetId="7">#REF!</definedName>
    <definedName name="__________GSB3" localSheetId="47">#REF!</definedName>
    <definedName name="__________GSB3" localSheetId="1">#REF!</definedName>
    <definedName name="__________GSB3">#REF!</definedName>
    <definedName name="__________HMP1" localSheetId="7">#REF!</definedName>
    <definedName name="__________HMP1" localSheetId="47">#REF!</definedName>
    <definedName name="__________HMP1" localSheetId="1">#REF!</definedName>
    <definedName name="__________HMP1">#REF!</definedName>
    <definedName name="__________HMP2" localSheetId="7">#REF!</definedName>
    <definedName name="__________HMP2" localSheetId="47">#REF!</definedName>
    <definedName name="__________HMP2" localSheetId="1">#REF!</definedName>
    <definedName name="__________HMP2">#REF!</definedName>
    <definedName name="__________HMP3" localSheetId="7">#REF!</definedName>
    <definedName name="__________HMP3" localSheetId="47">#REF!</definedName>
    <definedName name="__________HMP3" localSheetId="1">#REF!</definedName>
    <definedName name="__________HMP3">#REF!</definedName>
    <definedName name="__________HMP4" localSheetId="7">#REF!</definedName>
    <definedName name="__________HMP4" localSheetId="47">#REF!</definedName>
    <definedName name="__________HMP4" localSheetId="1">#REF!</definedName>
    <definedName name="__________HMP4">#REF!</definedName>
    <definedName name="__________HRC1">'[20]Pipe trench'!$V$23</definedName>
    <definedName name="__________HRC2">'[20]Pipe trench'!$V$24</definedName>
    <definedName name="__________HSE1">'[20]Pipe trench'!$V$11</definedName>
    <definedName name="__________Ki1" localSheetId="7">#REF!</definedName>
    <definedName name="__________Ki1" localSheetId="47">#REF!</definedName>
    <definedName name="__________Ki1" localSheetId="1">#REF!</definedName>
    <definedName name="__________Ki1">#REF!</definedName>
    <definedName name="__________Ki2" localSheetId="7">#REF!</definedName>
    <definedName name="__________Ki2" localSheetId="47">#REF!</definedName>
    <definedName name="__________Ki2" localSheetId="1">#REF!</definedName>
    <definedName name="__________Ki2">#REF!</definedName>
    <definedName name="__________lb1" localSheetId="7">#REF!</definedName>
    <definedName name="__________lb1" localSheetId="47">#REF!</definedName>
    <definedName name="__________lb1" localSheetId="1">#REF!</definedName>
    <definedName name="__________lb1">#REF!</definedName>
    <definedName name="__________lb2" localSheetId="7">#REF!</definedName>
    <definedName name="__________lb2" localSheetId="47">#REF!</definedName>
    <definedName name="__________lb2" localSheetId="1">#REF!</definedName>
    <definedName name="__________lb2">#REF!</definedName>
    <definedName name="__________mac2">200</definedName>
    <definedName name="__________MAN1" localSheetId="7">#REF!</definedName>
    <definedName name="__________MAN1" localSheetId="47">#REF!</definedName>
    <definedName name="__________MAN1" localSheetId="1">#REF!</definedName>
    <definedName name="__________MAN1">#REF!</definedName>
    <definedName name="__________MIX10" localSheetId="7">#REF!</definedName>
    <definedName name="__________MIX10" localSheetId="47">#REF!</definedName>
    <definedName name="__________MIX10" localSheetId="1">#REF!</definedName>
    <definedName name="__________MIX10">#REF!</definedName>
    <definedName name="__________MIX15" localSheetId="7">#REF!</definedName>
    <definedName name="__________MIX15" localSheetId="47">#REF!</definedName>
    <definedName name="__________MIX15" localSheetId="1">#REF!</definedName>
    <definedName name="__________MIX15">#REF!</definedName>
    <definedName name="__________MIX15150" localSheetId="7">'[4]Mix Design'!#REF!</definedName>
    <definedName name="__________MIX15150" localSheetId="47">'[4]Mix Design'!#REF!</definedName>
    <definedName name="__________MIX15150" localSheetId="1">'[4]Mix Design'!#REF!</definedName>
    <definedName name="__________MIX15150">'[4]Mix Design'!#REF!</definedName>
    <definedName name="__________MIX1540">'[4]Mix Design'!$P$11</definedName>
    <definedName name="__________MIX1580" localSheetId="7">'[4]Mix Design'!#REF!</definedName>
    <definedName name="__________MIX1580" localSheetId="47">'[4]Mix Design'!#REF!</definedName>
    <definedName name="__________MIX1580" localSheetId="1">'[4]Mix Design'!#REF!</definedName>
    <definedName name="__________MIX1580">'[4]Mix Design'!#REF!</definedName>
    <definedName name="__________MIX2">'[5]Mix Design'!$P$12</definedName>
    <definedName name="__________MIX20" localSheetId="7">#REF!</definedName>
    <definedName name="__________MIX20" localSheetId="47">#REF!</definedName>
    <definedName name="__________MIX20" localSheetId="1">#REF!</definedName>
    <definedName name="__________MIX20">#REF!</definedName>
    <definedName name="__________MIX2020">'[4]Mix Design'!$P$12</definedName>
    <definedName name="__________MIX2040">'[4]Mix Design'!$P$13</definedName>
    <definedName name="__________MIX25" localSheetId="7">#REF!</definedName>
    <definedName name="__________MIX25" localSheetId="47">#REF!</definedName>
    <definedName name="__________MIX25" localSheetId="1">#REF!</definedName>
    <definedName name="__________MIX25">#REF!</definedName>
    <definedName name="__________MIX2540">'[4]Mix Design'!$P$15</definedName>
    <definedName name="__________Mix255">'[6]Mix Design'!$P$13</definedName>
    <definedName name="__________MIX30" localSheetId="7">#REF!</definedName>
    <definedName name="__________MIX30" localSheetId="47">#REF!</definedName>
    <definedName name="__________MIX30" localSheetId="1">#REF!</definedName>
    <definedName name="__________MIX30">#REF!</definedName>
    <definedName name="__________MIX35" localSheetId="7">#REF!</definedName>
    <definedName name="__________MIX35" localSheetId="47">#REF!</definedName>
    <definedName name="__________MIX35" localSheetId="1">#REF!</definedName>
    <definedName name="__________MIX35">#REF!</definedName>
    <definedName name="__________MIX40" localSheetId="7">#REF!</definedName>
    <definedName name="__________MIX40" localSheetId="47">#REF!</definedName>
    <definedName name="__________MIX40" localSheetId="1">#REF!</definedName>
    <definedName name="__________MIX40">#REF!</definedName>
    <definedName name="__________MIX45" localSheetId="7">'[4]Mix Design'!#REF!</definedName>
    <definedName name="__________MIX45" localSheetId="47">'[4]Mix Design'!#REF!</definedName>
    <definedName name="__________MIX45" localSheetId="1">'[4]Mix Design'!#REF!</definedName>
    <definedName name="__________MIX45">'[4]Mix Design'!#REF!</definedName>
    <definedName name="__________mm1" localSheetId="7">#REF!</definedName>
    <definedName name="__________mm1" localSheetId="47">#REF!</definedName>
    <definedName name="__________mm1" localSheetId="1">#REF!</definedName>
    <definedName name="__________mm1">#REF!</definedName>
    <definedName name="__________mm2" localSheetId="7">#REF!</definedName>
    <definedName name="__________mm2" localSheetId="47">#REF!</definedName>
    <definedName name="__________mm2" localSheetId="1">#REF!</definedName>
    <definedName name="__________mm2">#REF!</definedName>
    <definedName name="__________mm3" localSheetId="7">#REF!</definedName>
    <definedName name="__________mm3" localSheetId="47">#REF!</definedName>
    <definedName name="__________mm3" localSheetId="1">#REF!</definedName>
    <definedName name="__________mm3">#REF!</definedName>
    <definedName name="__________MUR5" localSheetId="7">#REF!</definedName>
    <definedName name="__________MUR5" localSheetId="47">#REF!</definedName>
    <definedName name="__________MUR5" localSheetId="1">#REF!</definedName>
    <definedName name="__________MUR5">#REF!</definedName>
    <definedName name="__________MUR8" localSheetId="7">#REF!</definedName>
    <definedName name="__________MUR8" localSheetId="47">#REF!</definedName>
    <definedName name="__________MUR8" localSheetId="1">#REF!</definedName>
    <definedName name="__________MUR8">#REF!</definedName>
    <definedName name="__________OPC43" localSheetId="7">#REF!</definedName>
    <definedName name="__________OPC43" localSheetId="47">#REF!</definedName>
    <definedName name="__________OPC43" localSheetId="1">#REF!</definedName>
    <definedName name="__________OPC43">#REF!</definedName>
    <definedName name="__________ORC1">'[20]Pipe trench'!$V$17</definedName>
    <definedName name="__________ORC2">'[20]Pipe trench'!$V$18</definedName>
    <definedName name="__________OSE1">'[20]Pipe trench'!$V$8</definedName>
    <definedName name="__________PB1" localSheetId="7">#REF!</definedName>
    <definedName name="__________PB1" localSheetId="47">#REF!</definedName>
    <definedName name="__________PB1" localSheetId="1">#REF!</definedName>
    <definedName name="__________PB1">#REF!</definedName>
    <definedName name="__________PPC53">'[23]21-Rate Analysis-1'!$E$19</definedName>
    <definedName name="__________sh1">90</definedName>
    <definedName name="__________sh2">120</definedName>
    <definedName name="__________sh3">150</definedName>
    <definedName name="__________sh4">180</definedName>
    <definedName name="__________SH5" localSheetId="7">#REF!</definedName>
    <definedName name="__________SH5" localSheetId="47">#REF!</definedName>
    <definedName name="__________SH5" localSheetId="1">#REF!</definedName>
    <definedName name="__________SH5">#REF!</definedName>
    <definedName name="__________SLV20025">'[20]ANAL-PUMP HOUSE'!$I$58</definedName>
    <definedName name="__________SLV80010">'[20]ANAL-PUMP HOUSE'!$I$60</definedName>
    <definedName name="__________tab1" localSheetId="7">#REF!</definedName>
    <definedName name="__________tab1" localSheetId="47">#REF!</definedName>
    <definedName name="__________tab1" localSheetId="1">#REF!</definedName>
    <definedName name="__________tab1">#REF!</definedName>
    <definedName name="__________tab2" localSheetId="7">#REF!</definedName>
    <definedName name="__________tab2" localSheetId="47">#REF!</definedName>
    <definedName name="__________tab2" localSheetId="1">#REF!</definedName>
    <definedName name="__________tab2">#REF!</definedName>
    <definedName name="__________TB2" localSheetId="7">#REF!</definedName>
    <definedName name="__________TB2" localSheetId="47">#REF!</definedName>
    <definedName name="__________TB2" localSheetId="1">#REF!</definedName>
    <definedName name="__________TB2">#REF!</definedName>
    <definedName name="__________TIP1" localSheetId="7">#REF!</definedName>
    <definedName name="__________TIP1" localSheetId="47">#REF!</definedName>
    <definedName name="__________TIP1" localSheetId="1">#REF!</definedName>
    <definedName name="__________TIP1">#REF!</definedName>
    <definedName name="__________TIP2" localSheetId="7">#REF!</definedName>
    <definedName name="__________TIP2" localSheetId="47">#REF!</definedName>
    <definedName name="__________TIP2" localSheetId="1">#REF!</definedName>
    <definedName name="__________TIP2">#REF!</definedName>
    <definedName name="__________TIP3" localSheetId="7">#REF!</definedName>
    <definedName name="__________TIP3" localSheetId="47">#REF!</definedName>
    <definedName name="__________TIP3" localSheetId="1">#REF!</definedName>
    <definedName name="__________TIP3">#REF!</definedName>
    <definedName name="_________A65537" localSheetId="7">#REF!</definedName>
    <definedName name="_________A65537" localSheetId="47">#REF!</definedName>
    <definedName name="_________A65537" localSheetId="1">#REF!</definedName>
    <definedName name="_________A65537">#REF!</definedName>
    <definedName name="_________ABM10" localSheetId="7">#REF!</definedName>
    <definedName name="_________ABM10" localSheetId="47">#REF!</definedName>
    <definedName name="_________ABM10" localSheetId="1">#REF!</definedName>
    <definedName name="_________ABM10">#REF!</definedName>
    <definedName name="_________ABM40" localSheetId="7">#REF!</definedName>
    <definedName name="_________ABM40" localSheetId="47">#REF!</definedName>
    <definedName name="_________ABM40" localSheetId="1">#REF!</definedName>
    <definedName name="_________ABM40">#REF!</definedName>
    <definedName name="_________ABM6" localSheetId="7">#REF!</definedName>
    <definedName name="_________ABM6" localSheetId="47">#REF!</definedName>
    <definedName name="_________ABM6" localSheetId="1">#REF!</definedName>
    <definedName name="_________ABM6">#REF!</definedName>
    <definedName name="_________ACB10" localSheetId="7">#REF!</definedName>
    <definedName name="_________ACB10" localSheetId="47">#REF!</definedName>
    <definedName name="_________ACB10" localSheetId="1">#REF!</definedName>
    <definedName name="_________ACB10">#REF!</definedName>
    <definedName name="_________ACB20" localSheetId="7">#REF!</definedName>
    <definedName name="_________ACB20" localSheetId="47">#REF!</definedName>
    <definedName name="_________ACB20" localSheetId="1">#REF!</definedName>
    <definedName name="_________ACB20">#REF!</definedName>
    <definedName name="_________ACR10" localSheetId="7">#REF!</definedName>
    <definedName name="_________ACR10" localSheetId="47">#REF!</definedName>
    <definedName name="_________ACR10" localSheetId="1">#REF!</definedName>
    <definedName name="_________ACR10">#REF!</definedName>
    <definedName name="_________ACR20" localSheetId="7">#REF!</definedName>
    <definedName name="_________ACR20" localSheetId="47">#REF!</definedName>
    <definedName name="_________ACR20" localSheetId="1">#REF!</definedName>
    <definedName name="_________ACR20">#REF!</definedName>
    <definedName name="_________AGG10">'[23]21-Rate Analysis-1'!$E$22</definedName>
    <definedName name="_________AGG40" localSheetId="7">#REF!</definedName>
    <definedName name="_________AGG40" localSheetId="47">#REF!</definedName>
    <definedName name="_________AGG40" localSheetId="1">#REF!</definedName>
    <definedName name="_________AGG40">#REF!</definedName>
    <definedName name="_________AGG6" localSheetId="7">#REF!</definedName>
    <definedName name="_________AGG6" localSheetId="47">#REF!</definedName>
    <definedName name="_________AGG6" localSheetId="1">#REF!</definedName>
    <definedName name="_________AGG6">#REF!</definedName>
    <definedName name="_________ARV8040">'[20]ANAL-PUMP HOUSE'!$I$55</definedName>
    <definedName name="_________ash1" localSheetId="7">[21]ANAL!#REF!</definedName>
    <definedName name="_________ash1" localSheetId="47">[21]ANAL!#REF!</definedName>
    <definedName name="_________ash1" localSheetId="1">[21]ANAL!#REF!</definedName>
    <definedName name="_________ash1">[21]ANAL!#REF!</definedName>
    <definedName name="_________AWM10" localSheetId="7">#REF!</definedName>
    <definedName name="_________AWM10" localSheetId="47">#REF!</definedName>
    <definedName name="_________AWM10" localSheetId="1">#REF!</definedName>
    <definedName name="_________AWM10">#REF!</definedName>
    <definedName name="_________AWM40" localSheetId="7">#REF!</definedName>
    <definedName name="_________AWM40" localSheetId="47">#REF!</definedName>
    <definedName name="_________AWM40" localSheetId="1">#REF!</definedName>
    <definedName name="_________AWM40">#REF!</definedName>
    <definedName name="_________AWM6" localSheetId="7">#REF!</definedName>
    <definedName name="_________AWM6" localSheetId="47">#REF!</definedName>
    <definedName name="_________AWM6" localSheetId="1">#REF!</definedName>
    <definedName name="_________AWM6">#REF!</definedName>
    <definedName name="_________b111121" localSheetId="7">#REF!</definedName>
    <definedName name="_________b111121" localSheetId="47">#REF!</definedName>
    <definedName name="_________b111121" localSheetId="1">#REF!</definedName>
    <definedName name="_________b111121">#REF!</definedName>
    <definedName name="_________BTV300">'[20]ANAL-PUMP HOUSE'!$I$52</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58" localSheetId="7">[19]PROCTOR!#REF!</definedName>
    <definedName name="_________CAN458" localSheetId="47">[19]PROCTOR!#REF!</definedName>
    <definedName name="_________CAN458" localSheetId="1">[19]PROCTOR!#REF!</definedName>
    <definedName name="_________CAN458">[19]PROCTOR!#REF!</definedName>
    <definedName name="_________CAN486" localSheetId="7">[19]PROCTOR!#REF!</definedName>
    <definedName name="_________CAN486" localSheetId="47">[19]PROCTOR!#REF!</definedName>
    <definedName name="_________CAN486" localSheetId="1">[19]PROCTOR!#REF!</definedName>
    <definedName name="_________CAN486">[19]PROCTOR!#REF!</definedName>
    <definedName name="_________CAN487" localSheetId="7">[19]PROCTOR!#REF!</definedName>
    <definedName name="_________CAN487" localSheetId="47">[19]PROCTOR!#REF!</definedName>
    <definedName name="_________CAN487" localSheetId="1">[19]PROCTOR!#REF!</definedName>
    <definedName name="_________CAN487">[19]PROCTOR!#REF!</definedName>
    <definedName name="_________CAN488" localSheetId="7">[19]PROCTOR!#REF!</definedName>
    <definedName name="_________CAN488" localSheetId="47">[19]PROCTOR!#REF!</definedName>
    <definedName name="_________CAN488" localSheetId="1">[19]PROCTOR!#REF!</definedName>
    <definedName name="_________CAN488">[19]PROCTOR!#REF!</definedName>
    <definedName name="_________CAN489" localSheetId="7">[19]PROCTOR!#REF!</definedName>
    <definedName name="_________CAN489" localSheetId="47">[19]PROCTOR!#REF!</definedName>
    <definedName name="_________CAN489" localSheetId="1">[19]PROCTOR!#REF!</definedName>
    <definedName name="_________CAN489">[19]PROCTOR!#REF!</definedName>
    <definedName name="_________CAN490" localSheetId="7">[19]PROCTOR!#REF!</definedName>
    <definedName name="_________CAN490" localSheetId="47">[19]PROCTOR!#REF!</definedName>
    <definedName name="_________CAN490" localSheetId="1">[19]PROCTOR!#REF!</definedName>
    <definedName name="_________CAN490">[19]PROCTOR!#REF!</definedName>
    <definedName name="_________CAN491" localSheetId="7">[19]PROCTOR!#REF!</definedName>
    <definedName name="_________CAN491" localSheetId="47">[19]PROCTOR!#REF!</definedName>
    <definedName name="_________CAN491" localSheetId="1">[19]PROCTOR!#REF!</definedName>
    <definedName name="_________CAN491">[19]PROCTOR!#REF!</definedName>
    <definedName name="_________CAN492" localSheetId="7">[19]PROCTOR!#REF!</definedName>
    <definedName name="_________CAN492" localSheetId="47">[19]PROCTOR!#REF!</definedName>
    <definedName name="_________CAN492" localSheetId="1">[19]PROCTOR!#REF!</definedName>
    <definedName name="_________CAN492">[19]PROCTOR!#REF!</definedName>
    <definedName name="_________CAN493" localSheetId="7">[19]PROCTOR!#REF!</definedName>
    <definedName name="_________CAN493" localSheetId="47">[19]PROCTOR!#REF!</definedName>
    <definedName name="_________CAN493" localSheetId="1">[19]PROCTOR!#REF!</definedName>
    <definedName name="_________CAN493">[19]PROCTOR!#REF!</definedName>
    <definedName name="_________CAN494" localSheetId="7">[19]PROCTOR!#REF!</definedName>
    <definedName name="_________CAN494" localSheetId="47">[19]PROCTOR!#REF!</definedName>
    <definedName name="_________CAN494" localSheetId="1">[19]PROCTOR!#REF!</definedName>
    <definedName name="_________CAN494">[19]PROCTOR!#REF!</definedName>
    <definedName name="_________CAN495" localSheetId="7">[19]PROCTOR!#REF!</definedName>
    <definedName name="_________CAN495" localSheetId="47">[19]PROCTOR!#REF!</definedName>
    <definedName name="_________CAN495" localSheetId="1">[19]PROCTOR!#REF!</definedName>
    <definedName name="_________CAN495">[19]PROCTOR!#REF!</definedName>
    <definedName name="_________CAN496" localSheetId="7">[19]PROCTOR!#REF!</definedName>
    <definedName name="_________CAN496" localSheetId="47">[19]PROCTOR!#REF!</definedName>
    <definedName name="_________CAN496" localSheetId="1">[19]PROCTOR!#REF!</definedName>
    <definedName name="_________CAN496">[19]PROCTOR!#REF!</definedName>
    <definedName name="_________CAN497" localSheetId="7">[19]PROCTOR!#REF!</definedName>
    <definedName name="_________CAN497" localSheetId="47">[19]PROCTOR!#REF!</definedName>
    <definedName name="_________CAN497" localSheetId="1">[19]PROCTOR!#REF!</definedName>
    <definedName name="_________CAN497">[19]PROCTOR!#REF!</definedName>
    <definedName name="_________CAN498" localSheetId="7">[19]PROCTOR!#REF!</definedName>
    <definedName name="_________CAN498" localSheetId="47">[19]PROCTOR!#REF!</definedName>
    <definedName name="_________CAN498" localSheetId="1">[19]PROCTOR!#REF!</definedName>
    <definedName name="_________CAN498">[19]PROCTOR!#REF!</definedName>
    <definedName name="_________CAN499" localSheetId="7">[19]PROCTOR!#REF!</definedName>
    <definedName name="_________CAN499" localSheetId="47">[19]PROCTOR!#REF!</definedName>
    <definedName name="_________CAN499" localSheetId="1">[19]PROCTOR!#REF!</definedName>
    <definedName name="_________CAN499">[19]PROCTOR!#REF!</definedName>
    <definedName name="_________CAN500" localSheetId="7">[19]PROCTOR!#REF!</definedName>
    <definedName name="_________CAN500" localSheetId="47">[19]PROCTOR!#REF!</definedName>
    <definedName name="_________CAN500" localSheetId="1">[19]PROCTOR!#REF!</definedName>
    <definedName name="_________CAN500">[19]PROCTOR!#REF!</definedName>
    <definedName name="_________CDG100" localSheetId="7">#REF!</definedName>
    <definedName name="_________CDG100" localSheetId="47">#REF!</definedName>
    <definedName name="_________CDG100" localSheetId="1">#REF!</definedName>
    <definedName name="_________CDG100">#REF!</definedName>
    <definedName name="_________CDG250" localSheetId="7">#REF!</definedName>
    <definedName name="_________CDG250" localSheetId="47">#REF!</definedName>
    <definedName name="_________CDG250" localSheetId="1">#REF!</definedName>
    <definedName name="_________CDG250">#REF!</definedName>
    <definedName name="_________CDG50" localSheetId="7">#REF!</definedName>
    <definedName name="_________CDG50" localSheetId="47">#REF!</definedName>
    <definedName name="_________CDG50" localSheetId="1">#REF!</definedName>
    <definedName name="_________CDG50">#REF!</definedName>
    <definedName name="_________CDG500" localSheetId="7">#REF!</definedName>
    <definedName name="_________CDG500" localSheetId="47">#REF!</definedName>
    <definedName name="_________CDG500" localSheetId="1">#REF!</definedName>
    <definedName name="_________CDG500">#REF!</definedName>
    <definedName name="_________CEM53" localSheetId="7">#REF!</definedName>
    <definedName name="_________CEM53" localSheetId="47">#REF!</definedName>
    <definedName name="_________CEM53" localSheetId="1">#REF!</definedName>
    <definedName name="_________CEM53">#REF!</definedName>
    <definedName name="_________CRN3" localSheetId="7">#REF!</definedName>
    <definedName name="_________CRN3" localSheetId="47">#REF!</definedName>
    <definedName name="_________CRN3" localSheetId="1">#REF!</definedName>
    <definedName name="_________CRN3">#REF!</definedName>
    <definedName name="_________CRN35" localSheetId="7">#REF!</definedName>
    <definedName name="_________CRN35" localSheetId="47">#REF!</definedName>
    <definedName name="_________CRN35" localSheetId="1">#REF!</definedName>
    <definedName name="_________CRN35">#REF!</definedName>
    <definedName name="_________CRN80" localSheetId="7">#REF!</definedName>
    <definedName name="_________CRN80" localSheetId="47">#REF!</definedName>
    <definedName name="_________CRN80" localSheetId="1">#REF!</definedName>
    <definedName name="_________CRN80">#REF!</definedName>
    <definedName name="_________dec05" localSheetId="7" hidden="1">{"'Sheet1'!$A$4386:$N$4591"}</definedName>
    <definedName name="_________dec05" localSheetId="47" hidden="1">{"'Sheet1'!$A$4386:$N$4591"}</definedName>
    <definedName name="_________dec05" localSheetId="1" hidden="1">{"'Sheet1'!$A$4386:$N$4591"}</definedName>
    <definedName name="_________dec05" hidden="1">{"'Sheet1'!$A$4386:$N$4591"}</definedName>
    <definedName name="_________DOZ50" localSheetId="7">#REF!</definedName>
    <definedName name="_________DOZ50" localSheetId="47">#REF!</definedName>
    <definedName name="_________DOZ50" localSheetId="1">#REF!</definedName>
    <definedName name="_________DOZ50">#REF!</definedName>
    <definedName name="_________DOZ80" localSheetId="7">#REF!</definedName>
    <definedName name="_________DOZ80" localSheetId="47">#REF!</definedName>
    <definedName name="_________DOZ80" localSheetId="1">#REF!</definedName>
    <definedName name="_________DOZ80">#REF!</definedName>
    <definedName name="_________ExV200" localSheetId="7">#REF!</definedName>
    <definedName name="_________ExV200" localSheetId="47">#REF!</definedName>
    <definedName name="_________ExV200" localSheetId="1">#REF!</definedName>
    <definedName name="_________ExV200">#REF!</definedName>
    <definedName name="_________GEN100" localSheetId="7">#REF!</definedName>
    <definedName name="_________GEN100" localSheetId="47">#REF!</definedName>
    <definedName name="_________GEN100" localSheetId="1">#REF!</definedName>
    <definedName name="_________GEN100">#REF!</definedName>
    <definedName name="_________GEN250" localSheetId="7">#REF!</definedName>
    <definedName name="_________GEN250" localSheetId="47">#REF!</definedName>
    <definedName name="_________GEN250" localSheetId="1">#REF!</definedName>
    <definedName name="_________GEN250">#REF!</definedName>
    <definedName name="_________GEN325" localSheetId="7">#REF!</definedName>
    <definedName name="_________GEN325" localSheetId="47">#REF!</definedName>
    <definedName name="_________GEN325" localSheetId="1">#REF!</definedName>
    <definedName name="_________GEN325">#REF!</definedName>
    <definedName name="_________GEN380" localSheetId="7">#REF!</definedName>
    <definedName name="_________GEN380" localSheetId="47">#REF!</definedName>
    <definedName name="_________GEN380" localSheetId="1">#REF!</definedName>
    <definedName name="_________GEN380">#REF!</definedName>
    <definedName name="_________GSB1" localSheetId="7">#REF!</definedName>
    <definedName name="_________GSB1" localSheetId="47">#REF!</definedName>
    <definedName name="_________GSB1" localSheetId="1">#REF!</definedName>
    <definedName name="_________GSB1">#REF!</definedName>
    <definedName name="_________GSB2" localSheetId="7">#REF!</definedName>
    <definedName name="_________GSB2" localSheetId="47">#REF!</definedName>
    <definedName name="_________GSB2" localSheetId="1">#REF!</definedName>
    <definedName name="_________GSB2">#REF!</definedName>
    <definedName name="_________GSB3" localSheetId="7">#REF!</definedName>
    <definedName name="_________GSB3" localSheetId="47">#REF!</definedName>
    <definedName name="_________GSB3" localSheetId="1">#REF!</definedName>
    <definedName name="_________GSB3">#REF!</definedName>
    <definedName name="_________HMP1" localSheetId="7">#REF!</definedName>
    <definedName name="_________HMP1" localSheetId="47">#REF!</definedName>
    <definedName name="_________HMP1" localSheetId="1">#REF!</definedName>
    <definedName name="_________HMP1">#REF!</definedName>
    <definedName name="_________HMP2" localSheetId="7">#REF!</definedName>
    <definedName name="_________HMP2" localSheetId="47">#REF!</definedName>
    <definedName name="_________HMP2" localSheetId="1">#REF!</definedName>
    <definedName name="_________HMP2">#REF!</definedName>
    <definedName name="_________HMP3" localSheetId="7">#REF!</definedName>
    <definedName name="_________HMP3" localSheetId="47">#REF!</definedName>
    <definedName name="_________HMP3" localSheetId="1">#REF!</definedName>
    <definedName name="_________HMP3">#REF!</definedName>
    <definedName name="_________HMP4" localSheetId="7">#REF!</definedName>
    <definedName name="_________HMP4" localSheetId="47">#REF!</definedName>
    <definedName name="_________HMP4" localSheetId="1">#REF!</definedName>
    <definedName name="_________HMP4">#REF!</definedName>
    <definedName name="_________HRC1">'[20]Pipe trench'!$V$23</definedName>
    <definedName name="_________HRC2">'[20]Pipe trench'!$V$24</definedName>
    <definedName name="_________HSE1">'[20]Pipe trench'!$V$11</definedName>
    <definedName name="_________Ki1" localSheetId="7">#REF!</definedName>
    <definedName name="_________Ki1" localSheetId="47">#REF!</definedName>
    <definedName name="_________Ki1" localSheetId="1">#REF!</definedName>
    <definedName name="_________Ki1">#REF!</definedName>
    <definedName name="_________Ki2" localSheetId="7">#REF!</definedName>
    <definedName name="_________Ki2" localSheetId="47">#REF!</definedName>
    <definedName name="_________Ki2" localSheetId="1">#REF!</definedName>
    <definedName name="_________Ki2">#REF!</definedName>
    <definedName name="_________lb1" localSheetId="7">#REF!</definedName>
    <definedName name="_________lb1" localSheetId="47">#REF!</definedName>
    <definedName name="_________lb1" localSheetId="1">#REF!</definedName>
    <definedName name="_________lb1">#REF!</definedName>
    <definedName name="_________lb2" localSheetId="7">#REF!</definedName>
    <definedName name="_________lb2" localSheetId="47">#REF!</definedName>
    <definedName name="_________lb2" localSheetId="1">#REF!</definedName>
    <definedName name="_________lb2">#REF!</definedName>
    <definedName name="_________mac2">200</definedName>
    <definedName name="_________MAN1" localSheetId="7">#REF!</definedName>
    <definedName name="_________MAN1" localSheetId="47">#REF!</definedName>
    <definedName name="_________MAN1" localSheetId="1">#REF!</definedName>
    <definedName name="_________MAN1">#REF!</definedName>
    <definedName name="_________MIX10" localSheetId="7">#REF!</definedName>
    <definedName name="_________MIX10" localSheetId="47">#REF!</definedName>
    <definedName name="_________MIX10" localSheetId="1">#REF!</definedName>
    <definedName name="_________MIX10">#REF!</definedName>
    <definedName name="_________MIX15" localSheetId="7">#REF!</definedName>
    <definedName name="_________MIX15" localSheetId="47">#REF!</definedName>
    <definedName name="_________MIX15" localSheetId="1">#REF!</definedName>
    <definedName name="_________MIX15">#REF!</definedName>
    <definedName name="_________MIX15150" localSheetId="7">'[4]Mix Design'!#REF!</definedName>
    <definedName name="_________MIX15150" localSheetId="47">'[4]Mix Design'!#REF!</definedName>
    <definedName name="_________MIX15150" localSheetId="1">'[4]Mix Design'!#REF!</definedName>
    <definedName name="_________MIX15150">'[4]Mix Design'!#REF!</definedName>
    <definedName name="_________MIX1540">'[4]Mix Design'!$P$11</definedName>
    <definedName name="_________MIX1580" localSheetId="7">'[4]Mix Design'!#REF!</definedName>
    <definedName name="_________MIX1580" localSheetId="47">'[4]Mix Design'!#REF!</definedName>
    <definedName name="_________MIX1580" localSheetId="1">'[4]Mix Design'!#REF!</definedName>
    <definedName name="_________MIX1580">'[4]Mix Design'!#REF!</definedName>
    <definedName name="_________MIX2">'[5]Mix Design'!$P$12</definedName>
    <definedName name="_________MIX20" localSheetId="7">#REF!</definedName>
    <definedName name="_________MIX20" localSheetId="47">#REF!</definedName>
    <definedName name="_________MIX20" localSheetId="1">#REF!</definedName>
    <definedName name="_________MIX20">#REF!</definedName>
    <definedName name="_________MIX2020">'[4]Mix Design'!$P$12</definedName>
    <definedName name="_________MIX2040">'[4]Mix Design'!$P$13</definedName>
    <definedName name="_________MIX25" localSheetId="7">#REF!</definedName>
    <definedName name="_________MIX25" localSheetId="47">#REF!</definedName>
    <definedName name="_________MIX25" localSheetId="1">#REF!</definedName>
    <definedName name="_________MIX25">#REF!</definedName>
    <definedName name="_________MIX2540">'[4]Mix Design'!$P$15</definedName>
    <definedName name="_________Mix255">'[6]Mix Design'!$P$13</definedName>
    <definedName name="_________MIX30" localSheetId="7">#REF!</definedName>
    <definedName name="_________MIX30" localSheetId="47">#REF!</definedName>
    <definedName name="_________MIX30" localSheetId="1">#REF!</definedName>
    <definedName name="_________MIX30">#REF!</definedName>
    <definedName name="_________MIX35" localSheetId="7">#REF!</definedName>
    <definedName name="_________MIX35" localSheetId="47">#REF!</definedName>
    <definedName name="_________MIX35" localSheetId="1">#REF!</definedName>
    <definedName name="_________MIX35">#REF!</definedName>
    <definedName name="_________MIX40" localSheetId="7">#REF!</definedName>
    <definedName name="_________MIX40" localSheetId="47">#REF!</definedName>
    <definedName name="_________MIX40" localSheetId="1">#REF!</definedName>
    <definedName name="_________MIX40">#REF!</definedName>
    <definedName name="_________MIX45" localSheetId="7">'[4]Mix Design'!#REF!</definedName>
    <definedName name="_________MIX45" localSheetId="47">'[4]Mix Design'!#REF!</definedName>
    <definedName name="_________MIX45" localSheetId="1">'[4]Mix Design'!#REF!</definedName>
    <definedName name="_________MIX45">'[4]Mix Design'!#REF!</definedName>
    <definedName name="_________mm1" localSheetId="7">#REF!</definedName>
    <definedName name="_________mm1" localSheetId="47">#REF!</definedName>
    <definedName name="_________mm1" localSheetId="1">#REF!</definedName>
    <definedName name="_________mm1">#REF!</definedName>
    <definedName name="_________mm2" localSheetId="7">#REF!</definedName>
    <definedName name="_________mm2" localSheetId="47">#REF!</definedName>
    <definedName name="_________mm2" localSheetId="1">#REF!</definedName>
    <definedName name="_________mm2">#REF!</definedName>
    <definedName name="_________mm3" localSheetId="7">#REF!</definedName>
    <definedName name="_________mm3" localSheetId="47">#REF!</definedName>
    <definedName name="_________mm3" localSheetId="1">#REF!</definedName>
    <definedName name="_________mm3">#REF!</definedName>
    <definedName name="_________MUR5" localSheetId="7">#REF!</definedName>
    <definedName name="_________MUR5" localSheetId="47">#REF!</definedName>
    <definedName name="_________MUR5" localSheetId="1">#REF!</definedName>
    <definedName name="_________MUR5">#REF!</definedName>
    <definedName name="_________MUR8" localSheetId="7">#REF!</definedName>
    <definedName name="_________MUR8" localSheetId="47">#REF!</definedName>
    <definedName name="_________MUR8" localSheetId="1">#REF!</definedName>
    <definedName name="_________MUR8">#REF!</definedName>
    <definedName name="_________OPC43" localSheetId="7">#REF!</definedName>
    <definedName name="_________OPC43" localSheetId="47">#REF!</definedName>
    <definedName name="_________OPC43" localSheetId="1">#REF!</definedName>
    <definedName name="_________OPC43">#REF!</definedName>
    <definedName name="_________ORC1">'[20]Pipe trench'!$V$17</definedName>
    <definedName name="_________ORC2">'[20]Pipe trench'!$V$18</definedName>
    <definedName name="_________OSE1">'[20]Pipe trench'!$V$8</definedName>
    <definedName name="_________PB1" localSheetId="7">#REF!</definedName>
    <definedName name="_________PB1" localSheetId="47">#REF!</definedName>
    <definedName name="_________PB1" localSheetId="1">#REF!</definedName>
    <definedName name="_________PB1">#REF!</definedName>
    <definedName name="_________sh1">90</definedName>
    <definedName name="_________sh2">120</definedName>
    <definedName name="_________sh3">150</definedName>
    <definedName name="_________sh4">180</definedName>
    <definedName name="_________SH5" localSheetId="7">#REF!</definedName>
    <definedName name="_________SH5" localSheetId="47">#REF!</definedName>
    <definedName name="_________SH5" localSheetId="1">#REF!</definedName>
    <definedName name="_________SH5">#REF!</definedName>
    <definedName name="_________SLV10025" localSheetId="7">'[24]ANAL-PIPE LINE'!#REF!</definedName>
    <definedName name="_________SLV10025" localSheetId="47">'[24]ANAL-PIPE LINE'!#REF!</definedName>
    <definedName name="_________SLV10025" localSheetId="1">'[24]ANAL-PIPE LINE'!#REF!</definedName>
    <definedName name="_________SLV10025">'[24]ANAL-PIPE LINE'!#REF!</definedName>
    <definedName name="_________SLV20025">'[20]ANAL-PUMP HOUSE'!$I$58</definedName>
    <definedName name="_________SLV80010">'[20]ANAL-PUMP HOUSE'!$I$60</definedName>
    <definedName name="_________SMG1">#N/A</definedName>
    <definedName name="_________SMG2">#N/A</definedName>
    <definedName name="_________tab1" localSheetId="7">#REF!</definedName>
    <definedName name="_________tab1" localSheetId="47">#REF!</definedName>
    <definedName name="_________tab1" localSheetId="1">#REF!</definedName>
    <definedName name="_________tab1">#REF!</definedName>
    <definedName name="_________tab2" localSheetId="7">#REF!</definedName>
    <definedName name="_________tab2" localSheetId="47">#REF!</definedName>
    <definedName name="_________tab2" localSheetId="1">#REF!</definedName>
    <definedName name="_________tab2">#REF!</definedName>
    <definedName name="_________TB2" localSheetId="7">#REF!</definedName>
    <definedName name="_________TB2" localSheetId="47">#REF!</definedName>
    <definedName name="_________TB2" localSheetId="1">#REF!</definedName>
    <definedName name="_________TB2">#REF!</definedName>
    <definedName name="_________TIP1" localSheetId="7">#REF!</definedName>
    <definedName name="_________TIP1" localSheetId="47">#REF!</definedName>
    <definedName name="_________TIP1" localSheetId="1">#REF!</definedName>
    <definedName name="_________TIP1">#REF!</definedName>
    <definedName name="_________TIP2" localSheetId="7">#REF!</definedName>
    <definedName name="_________TIP2" localSheetId="47">#REF!</definedName>
    <definedName name="_________TIP2" localSheetId="1">#REF!</definedName>
    <definedName name="_________TIP2">#REF!</definedName>
    <definedName name="_________TIP3" localSheetId="7">#REF!</definedName>
    <definedName name="_________TIP3" localSheetId="47">#REF!</definedName>
    <definedName name="_________TIP3" localSheetId="1">#REF!</definedName>
    <definedName name="_________TIP3">#REF!</definedName>
    <definedName name="________A65537" localSheetId="7">#REF!</definedName>
    <definedName name="________A65537" localSheetId="47">#REF!</definedName>
    <definedName name="________A65537" localSheetId="1">#REF!</definedName>
    <definedName name="________A65537">#REF!</definedName>
    <definedName name="________ABM10" localSheetId="7">#REF!</definedName>
    <definedName name="________ABM10" localSheetId="47">#REF!</definedName>
    <definedName name="________ABM10" localSheetId="1">#REF!</definedName>
    <definedName name="________ABM10">#REF!</definedName>
    <definedName name="________ABM40" localSheetId="7">#REF!</definedName>
    <definedName name="________ABM40" localSheetId="47">#REF!</definedName>
    <definedName name="________ABM40" localSheetId="1">#REF!</definedName>
    <definedName name="________ABM40">#REF!</definedName>
    <definedName name="________ABM6" localSheetId="7">#REF!</definedName>
    <definedName name="________ABM6" localSheetId="47">#REF!</definedName>
    <definedName name="________ABM6" localSheetId="1">#REF!</definedName>
    <definedName name="________ABM6">#REF!</definedName>
    <definedName name="________ACB10" localSheetId="7">#REF!</definedName>
    <definedName name="________ACB10" localSheetId="47">#REF!</definedName>
    <definedName name="________ACB10" localSheetId="1">#REF!</definedName>
    <definedName name="________ACB10">#REF!</definedName>
    <definedName name="________ACB20" localSheetId="7">#REF!</definedName>
    <definedName name="________ACB20" localSheetId="47">#REF!</definedName>
    <definedName name="________ACB20" localSheetId="1">#REF!</definedName>
    <definedName name="________ACB20">#REF!</definedName>
    <definedName name="________ACR10" localSheetId="7">#REF!</definedName>
    <definedName name="________ACR10" localSheetId="47">#REF!</definedName>
    <definedName name="________ACR10" localSheetId="1">#REF!</definedName>
    <definedName name="________ACR10">#REF!</definedName>
    <definedName name="________ACR20" localSheetId="7">#REF!</definedName>
    <definedName name="________ACR20" localSheetId="47">#REF!</definedName>
    <definedName name="________ACR20" localSheetId="1">#REF!</definedName>
    <definedName name="________ACR20">#REF!</definedName>
    <definedName name="________AGG10">'[23]21-Rate Analysis-1'!$E$22</definedName>
    <definedName name="________AGG40" localSheetId="7">#REF!</definedName>
    <definedName name="________AGG40" localSheetId="47">#REF!</definedName>
    <definedName name="________AGG40" localSheetId="1">#REF!</definedName>
    <definedName name="________AGG40">#REF!</definedName>
    <definedName name="________AGG6" localSheetId="7">#REF!</definedName>
    <definedName name="________AGG6" localSheetId="47">#REF!</definedName>
    <definedName name="________AGG6" localSheetId="1">#REF!</definedName>
    <definedName name="________AGG6">#REF!</definedName>
    <definedName name="________ARV8040">'[20]ANAL-PUMP HOUSE'!$I$55</definedName>
    <definedName name="________ash1" localSheetId="7">[21]ANAL!#REF!</definedName>
    <definedName name="________ash1" localSheetId="47">[21]ANAL!#REF!</definedName>
    <definedName name="________ash1" localSheetId="1">[21]ANAL!#REF!</definedName>
    <definedName name="________ash1">[21]ANAL!#REF!</definedName>
    <definedName name="________AWM10" localSheetId="7">#REF!</definedName>
    <definedName name="________AWM10" localSheetId="47">#REF!</definedName>
    <definedName name="________AWM10" localSheetId="1">#REF!</definedName>
    <definedName name="________AWM10">#REF!</definedName>
    <definedName name="________AWM40" localSheetId="7">#REF!</definedName>
    <definedName name="________AWM40" localSheetId="47">#REF!</definedName>
    <definedName name="________AWM40" localSheetId="1">#REF!</definedName>
    <definedName name="________AWM40">#REF!</definedName>
    <definedName name="________AWM6" localSheetId="7">#REF!</definedName>
    <definedName name="________AWM6" localSheetId="47">#REF!</definedName>
    <definedName name="________AWM6" localSheetId="1">#REF!</definedName>
    <definedName name="________AWM6">#REF!</definedName>
    <definedName name="________b111121" localSheetId="7">#REF!</definedName>
    <definedName name="________b111121" localSheetId="47">#REF!</definedName>
    <definedName name="________b111121" localSheetId="1">#REF!</definedName>
    <definedName name="________b111121">#REF!</definedName>
    <definedName name="________BTV300">'[20]ANAL-PUMP HOUSE'!$I$52</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58" localSheetId="7">[14]PROCTOR!#REF!</definedName>
    <definedName name="________CAN458" localSheetId="47">[14]PROCTOR!#REF!</definedName>
    <definedName name="________CAN458" localSheetId="1">[14]PROCTOR!#REF!</definedName>
    <definedName name="________CAN458">[14]PROCTOR!#REF!</definedName>
    <definedName name="________CAN486" localSheetId="7">[14]PROCTOR!#REF!</definedName>
    <definedName name="________CAN486" localSheetId="47">[14]PROCTOR!#REF!</definedName>
    <definedName name="________CAN486" localSheetId="1">[14]PROCTOR!#REF!</definedName>
    <definedName name="________CAN486">[14]PROCTOR!#REF!</definedName>
    <definedName name="________CAN487" localSheetId="7">[14]PROCTOR!#REF!</definedName>
    <definedName name="________CAN487" localSheetId="47">[14]PROCTOR!#REF!</definedName>
    <definedName name="________CAN487" localSheetId="1">[14]PROCTOR!#REF!</definedName>
    <definedName name="________CAN487">[14]PROCTOR!#REF!</definedName>
    <definedName name="________CAN488" localSheetId="7">[14]PROCTOR!#REF!</definedName>
    <definedName name="________CAN488" localSheetId="47">[14]PROCTOR!#REF!</definedName>
    <definedName name="________CAN488" localSheetId="1">[14]PROCTOR!#REF!</definedName>
    <definedName name="________CAN488">[14]PROCTOR!#REF!</definedName>
    <definedName name="________CAN489" localSheetId="7">[14]PROCTOR!#REF!</definedName>
    <definedName name="________CAN489" localSheetId="47">[14]PROCTOR!#REF!</definedName>
    <definedName name="________CAN489" localSheetId="1">[14]PROCTOR!#REF!</definedName>
    <definedName name="________CAN489">[14]PROCTOR!#REF!</definedName>
    <definedName name="________CAN490" localSheetId="7">[14]PROCTOR!#REF!</definedName>
    <definedName name="________CAN490" localSheetId="47">[14]PROCTOR!#REF!</definedName>
    <definedName name="________CAN490" localSheetId="1">[14]PROCTOR!#REF!</definedName>
    <definedName name="________CAN490">[14]PROCTOR!#REF!</definedName>
    <definedName name="________CAN491" localSheetId="7">[14]PROCTOR!#REF!</definedName>
    <definedName name="________CAN491" localSheetId="47">[14]PROCTOR!#REF!</definedName>
    <definedName name="________CAN491" localSheetId="1">[14]PROCTOR!#REF!</definedName>
    <definedName name="________CAN491">[14]PROCTOR!#REF!</definedName>
    <definedName name="________CAN492" localSheetId="7">[14]PROCTOR!#REF!</definedName>
    <definedName name="________CAN492" localSheetId="47">[14]PROCTOR!#REF!</definedName>
    <definedName name="________CAN492" localSheetId="1">[14]PROCTOR!#REF!</definedName>
    <definedName name="________CAN492">[14]PROCTOR!#REF!</definedName>
    <definedName name="________CAN493" localSheetId="7">[14]PROCTOR!#REF!</definedName>
    <definedName name="________CAN493" localSheetId="47">[14]PROCTOR!#REF!</definedName>
    <definedName name="________CAN493" localSheetId="1">[14]PROCTOR!#REF!</definedName>
    <definedName name="________CAN493">[14]PROCTOR!#REF!</definedName>
    <definedName name="________CAN494" localSheetId="7">[14]PROCTOR!#REF!</definedName>
    <definedName name="________CAN494" localSheetId="47">[14]PROCTOR!#REF!</definedName>
    <definedName name="________CAN494" localSheetId="1">[14]PROCTOR!#REF!</definedName>
    <definedName name="________CAN494">[14]PROCTOR!#REF!</definedName>
    <definedName name="________CAN495" localSheetId="7">[14]PROCTOR!#REF!</definedName>
    <definedName name="________CAN495" localSheetId="47">[14]PROCTOR!#REF!</definedName>
    <definedName name="________CAN495" localSheetId="1">[14]PROCTOR!#REF!</definedName>
    <definedName name="________CAN495">[14]PROCTOR!#REF!</definedName>
    <definedName name="________CAN496" localSheetId="7">[14]PROCTOR!#REF!</definedName>
    <definedName name="________CAN496" localSheetId="47">[14]PROCTOR!#REF!</definedName>
    <definedName name="________CAN496" localSheetId="1">[14]PROCTOR!#REF!</definedName>
    <definedName name="________CAN496">[14]PROCTOR!#REF!</definedName>
    <definedName name="________CAN497" localSheetId="7">[14]PROCTOR!#REF!</definedName>
    <definedName name="________CAN497" localSheetId="47">[14]PROCTOR!#REF!</definedName>
    <definedName name="________CAN497" localSheetId="1">[14]PROCTOR!#REF!</definedName>
    <definedName name="________CAN497">[14]PROCTOR!#REF!</definedName>
    <definedName name="________CAN498" localSheetId="7">[14]PROCTOR!#REF!</definedName>
    <definedName name="________CAN498" localSheetId="47">[14]PROCTOR!#REF!</definedName>
    <definedName name="________CAN498" localSheetId="1">[14]PROCTOR!#REF!</definedName>
    <definedName name="________CAN498">[14]PROCTOR!#REF!</definedName>
    <definedName name="________CAN499" localSheetId="7">[14]PROCTOR!#REF!</definedName>
    <definedName name="________CAN499" localSheetId="47">[14]PROCTOR!#REF!</definedName>
    <definedName name="________CAN499" localSheetId="1">[14]PROCTOR!#REF!</definedName>
    <definedName name="________CAN499">[14]PROCTOR!#REF!</definedName>
    <definedName name="________CAN500" localSheetId="7">[14]PROCTOR!#REF!</definedName>
    <definedName name="________CAN500" localSheetId="47">[14]PROCTOR!#REF!</definedName>
    <definedName name="________CAN500" localSheetId="1">[14]PROCTOR!#REF!</definedName>
    <definedName name="________CAN500">[14]PROCTOR!#REF!</definedName>
    <definedName name="________CDG100" localSheetId="7">#REF!</definedName>
    <definedName name="________CDG100" localSheetId="47">#REF!</definedName>
    <definedName name="________CDG100" localSheetId="1">#REF!</definedName>
    <definedName name="________CDG100">#REF!</definedName>
    <definedName name="________CDG250" localSheetId="7">#REF!</definedName>
    <definedName name="________CDG250" localSheetId="47">#REF!</definedName>
    <definedName name="________CDG250" localSheetId="1">#REF!</definedName>
    <definedName name="________CDG250">#REF!</definedName>
    <definedName name="________CDG50" localSheetId="7">#REF!</definedName>
    <definedName name="________CDG50" localSheetId="47">#REF!</definedName>
    <definedName name="________CDG50" localSheetId="1">#REF!</definedName>
    <definedName name="________CDG50">#REF!</definedName>
    <definedName name="________CDG500" localSheetId="7">#REF!</definedName>
    <definedName name="________CDG500" localSheetId="47">#REF!</definedName>
    <definedName name="________CDG500" localSheetId="1">#REF!</definedName>
    <definedName name="________CDG500">#REF!</definedName>
    <definedName name="________CEM53" localSheetId="7">#REF!</definedName>
    <definedName name="________CEM53" localSheetId="47">#REF!</definedName>
    <definedName name="________CEM53" localSheetId="1">#REF!</definedName>
    <definedName name="________CEM53">#REF!</definedName>
    <definedName name="________CRN3" localSheetId="7">#REF!</definedName>
    <definedName name="________CRN3" localSheetId="47">#REF!</definedName>
    <definedName name="________CRN3" localSheetId="1">#REF!</definedName>
    <definedName name="________CRN3">#REF!</definedName>
    <definedName name="________CRN35" localSheetId="7">#REF!</definedName>
    <definedName name="________CRN35" localSheetId="47">#REF!</definedName>
    <definedName name="________CRN35" localSheetId="1">#REF!</definedName>
    <definedName name="________CRN35">#REF!</definedName>
    <definedName name="________CRN80" localSheetId="7">#REF!</definedName>
    <definedName name="________CRN80" localSheetId="47">#REF!</definedName>
    <definedName name="________CRN80" localSheetId="1">#REF!</definedName>
    <definedName name="________CRN80">#REF!</definedName>
    <definedName name="________dec05" localSheetId="7" hidden="1">{"'Sheet1'!$A$4386:$N$4591"}</definedName>
    <definedName name="________dec05" localSheetId="47" hidden="1">{"'Sheet1'!$A$4386:$N$4591"}</definedName>
    <definedName name="________dec05" localSheetId="1" hidden="1">{"'Sheet1'!$A$4386:$N$4591"}</definedName>
    <definedName name="________dec05" hidden="1">{"'Sheet1'!$A$4386:$N$4591"}</definedName>
    <definedName name="________DOZ50" localSheetId="7">#REF!</definedName>
    <definedName name="________DOZ50" localSheetId="47">#REF!</definedName>
    <definedName name="________DOZ50" localSheetId="1">#REF!</definedName>
    <definedName name="________DOZ50">#REF!</definedName>
    <definedName name="________DOZ80" localSheetId="7">#REF!</definedName>
    <definedName name="________DOZ80" localSheetId="47">#REF!</definedName>
    <definedName name="________DOZ80" localSheetId="1">#REF!</definedName>
    <definedName name="________DOZ80">#REF!</definedName>
    <definedName name="________ExV200" localSheetId="7">#REF!</definedName>
    <definedName name="________ExV200" localSheetId="47">#REF!</definedName>
    <definedName name="________ExV200" localSheetId="1">#REF!</definedName>
    <definedName name="________ExV200">#REF!</definedName>
    <definedName name="________GEN100" localSheetId="7">#REF!</definedName>
    <definedName name="________GEN100" localSheetId="47">#REF!</definedName>
    <definedName name="________GEN100" localSheetId="1">#REF!</definedName>
    <definedName name="________GEN100">#REF!</definedName>
    <definedName name="________GEN250" localSheetId="7">#REF!</definedName>
    <definedName name="________GEN250" localSheetId="47">#REF!</definedName>
    <definedName name="________GEN250" localSheetId="1">#REF!</definedName>
    <definedName name="________GEN250">#REF!</definedName>
    <definedName name="________GEN325" localSheetId="7">#REF!</definedName>
    <definedName name="________GEN325" localSheetId="47">#REF!</definedName>
    <definedName name="________GEN325" localSheetId="1">#REF!</definedName>
    <definedName name="________GEN325">#REF!</definedName>
    <definedName name="________GEN380" localSheetId="7">#REF!</definedName>
    <definedName name="________GEN380" localSheetId="47">#REF!</definedName>
    <definedName name="________GEN380" localSheetId="1">#REF!</definedName>
    <definedName name="________GEN380">#REF!</definedName>
    <definedName name="________GSB1" localSheetId="7">#REF!</definedName>
    <definedName name="________GSB1" localSheetId="47">#REF!</definedName>
    <definedName name="________GSB1" localSheetId="1">#REF!</definedName>
    <definedName name="________GSB1">#REF!</definedName>
    <definedName name="________GSB2" localSheetId="7">#REF!</definedName>
    <definedName name="________GSB2" localSheetId="47">#REF!</definedName>
    <definedName name="________GSB2" localSheetId="1">#REF!</definedName>
    <definedName name="________GSB2">#REF!</definedName>
    <definedName name="________GSB3" localSheetId="7">#REF!</definedName>
    <definedName name="________GSB3" localSheetId="47">#REF!</definedName>
    <definedName name="________GSB3" localSheetId="1">#REF!</definedName>
    <definedName name="________GSB3">#REF!</definedName>
    <definedName name="________HMP1" localSheetId="7">#REF!</definedName>
    <definedName name="________HMP1" localSheetId="47">#REF!</definedName>
    <definedName name="________HMP1" localSheetId="1">#REF!</definedName>
    <definedName name="________HMP1">#REF!</definedName>
    <definedName name="________HMP2" localSheetId="7">#REF!</definedName>
    <definedName name="________HMP2" localSheetId="47">#REF!</definedName>
    <definedName name="________HMP2" localSheetId="1">#REF!</definedName>
    <definedName name="________HMP2">#REF!</definedName>
    <definedName name="________HMP3" localSheetId="7">#REF!</definedName>
    <definedName name="________HMP3" localSheetId="47">#REF!</definedName>
    <definedName name="________HMP3" localSheetId="1">#REF!</definedName>
    <definedName name="________HMP3">#REF!</definedName>
    <definedName name="________HMP4" localSheetId="7">#REF!</definedName>
    <definedName name="________HMP4" localSheetId="47">#REF!</definedName>
    <definedName name="________HMP4" localSheetId="1">#REF!</definedName>
    <definedName name="________HMP4">#REF!</definedName>
    <definedName name="________HRC1">'[20]Pipe trench'!$V$23</definedName>
    <definedName name="________HRC2">'[20]Pipe trench'!$V$24</definedName>
    <definedName name="________HSE1">'[20]Pipe trench'!$V$11</definedName>
    <definedName name="________Ki1" localSheetId="7">#REF!</definedName>
    <definedName name="________Ki1" localSheetId="47">#REF!</definedName>
    <definedName name="________Ki1" localSheetId="1">#REF!</definedName>
    <definedName name="________Ki1">#REF!</definedName>
    <definedName name="________Ki2" localSheetId="7">#REF!</definedName>
    <definedName name="________Ki2" localSheetId="47">#REF!</definedName>
    <definedName name="________Ki2" localSheetId="1">#REF!</definedName>
    <definedName name="________Ki2">#REF!</definedName>
    <definedName name="________lb1" localSheetId="7">#REF!</definedName>
    <definedName name="________lb1" localSheetId="47">#REF!</definedName>
    <definedName name="________lb1" localSheetId="1">#REF!</definedName>
    <definedName name="________lb1">#REF!</definedName>
    <definedName name="________lb2" localSheetId="7">#REF!</definedName>
    <definedName name="________lb2" localSheetId="47">#REF!</definedName>
    <definedName name="________lb2" localSheetId="1">#REF!</definedName>
    <definedName name="________lb2">#REF!</definedName>
    <definedName name="________mac2">200</definedName>
    <definedName name="________MAN1" localSheetId="7">#REF!</definedName>
    <definedName name="________MAN1" localSheetId="47">#REF!</definedName>
    <definedName name="________MAN1" localSheetId="1">#REF!</definedName>
    <definedName name="________MAN1">#REF!</definedName>
    <definedName name="________MIX10" localSheetId="7">#REF!</definedName>
    <definedName name="________MIX10" localSheetId="47">#REF!</definedName>
    <definedName name="________MIX10" localSheetId="1">#REF!</definedName>
    <definedName name="________MIX10">#REF!</definedName>
    <definedName name="________MIX15" localSheetId="7">#REF!</definedName>
    <definedName name="________MIX15" localSheetId="47">#REF!</definedName>
    <definedName name="________MIX15" localSheetId="1">#REF!</definedName>
    <definedName name="________MIX15">#REF!</definedName>
    <definedName name="________MIX15150" localSheetId="7">'[4]Mix Design'!#REF!</definedName>
    <definedName name="________MIX15150" localSheetId="47">'[4]Mix Design'!#REF!</definedName>
    <definedName name="________MIX15150" localSheetId="1">'[4]Mix Design'!#REF!</definedName>
    <definedName name="________MIX15150">'[4]Mix Design'!#REF!</definedName>
    <definedName name="________MIX1540">'[4]Mix Design'!$P$11</definedName>
    <definedName name="________MIX1580" localSheetId="7">'[4]Mix Design'!#REF!</definedName>
    <definedName name="________MIX1580" localSheetId="47">'[4]Mix Design'!#REF!</definedName>
    <definedName name="________MIX1580" localSheetId="1">'[4]Mix Design'!#REF!</definedName>
    <definedName name="________MIX1580">'[4]Mix Design'!#REF!</definedName>
    <definedName name="________MIX2">'[5]Mix Design'!$P$12</definedName>
    <definedName name="________MIX20" localSheetId="7">#REF!</definedName>
    <definedName name="________MIX20" localSheetId="47">#REF!</definedName>
    <definedName name="________MIX20" localSheetId="1">#REF!</definedName>
    <definedName name="________MIX20">#REF!</definedName>
    <definedName name="________MIX2020">'[4]Mix Design'!$P$12</definedName>
    <definedName name="________MIX2040">'[4]Mix Design'!$P$13</definedName>
    <definedName name="________MIX25" localSheetId="7">#REF!</definedName>
    <definedName name="________MIX25" localSheetId="47">#REF!</definedName>
    <definedName name="________MIX25" localSheetId="1">#REF!</definedName>
    <definedName name="________MIX25">#REF!</definedName>
    <definedName name="________MIX2540">'[4]Mix Design'!$P$15</definedName>
    <definedName name="________Mix255">'[6]Mix Design'!$P$13</definedName>
    <definedName name="________MIX30" localSheetId="7">#REF!</definedName>
    <definedName name="________MIX30" localSheetId="47">#REF!</definedName>
    <definedName name="________MIX30" localSheetId="1">#REF!</definedName>
    <definedName name="________MIX30">#REF!</definedName>
    <definedName name="________MIX35" localSheetId="7">#REF!</definedName>
    <definedName name="________MIX35" localSheetId="47">#REF!</definedName>
    <definedName name="________MIX35" localSheetId="1">#REF!</definedName>
    <definedName name="________MIX35">#REF!</definedName>
    <definedName name="________MIX40" localSheetId="7">#REF!</definedName>
    <definedName name="________MIX40" localSheetId="47">#REF!</definedName>
    <definedName name="________MIX40" localSheetId="1">#REF!</definedName>
    <definedName name="________MIX40">#REF!</definedName>
    <definedName name="________MIX45" localSheetId="7">'[4]Mix Design'!#REF!</definedName>
    <definedName name="________MIX45" localSheetId="47">'[4]Mix Design'!#REF!</definedName>
    <definedName name="________MIX45" localSheetId="1">'[4]Mix Design'!#REF!</definedName>
    <definedName name="________MIX45">'[4]Mix Design'!#REF!</definedName>
    <definedName name="________mm1" localSheetId="7">#REF!</definedName>
    <definedName name="________mm1" localSheetId="47">#REF!</definedName>
    <definedName name="________mm1" localSheetId="1">#REF!</definedName>
    <definedName name="________mm1">#REF!</definedName>
    <definedName name="________mm2" localSheetId="7">#REF!</definedName>
    <definedName name="________mm2" localSheetId="47">#REF!</definedName>
    <definedName name="________mm2" localSheetId="1">#REF!</definedName>
    <definedName name="________mm2">#REF!</definedName>
    <definedName name="________mm3" localSheetId="7">#REF!</definedName>
    <definedName name="________mm3" localSheetId="47">#REF!</definedName>
    <definedName name="________mm3" localSheetId="1">#REF!</definedName>
    <definedName name="________mm3">#REF!</definedName>
    <definedName name="________MUR5" localSheetId="7">#REF!</definedName>
    <definedName name="________MUR5" localSheetId="47">#REF!</definedName>
    <definedName name="________MUR5" localSheetId="1">#REF!</definedName>
    <definedName name="________MUR5">#REF!</definedName>
    <definedName name="________MUR8" localSheetId="7">#REF!</definedName>
    <definedName name="________MUR8" localSheetId="47">#REF!</definedName>
    <definedName name="________MUR8" localSheetId="1">#REF!</definedName>
    <definedName name="________MUR8">#REF!</definedName>
    <definedName name="________OPC43" localSheetId="7">#REF!</definedName>
    <definedName name="________OPC43" localSheetId="47">#REF!</definedName>
    <definedName name="________OPC43" localSheetId="1">#REF!</definedName>
    <definedName name="________OPC43">#REF!</definedName>
    <definedName name="________ORC1">'[20]Pipe trench'!$V$17</definedName>
    <definedName name="________ORC2">'[20]Pipe trench'!$V$18</definedName>
    <definedName name="________OSE1">'[20]Pipe trench'!$V$8</definedName>
    <definedName name="________PB1" localSheetId="7">#REF!</definedName>
    <definedName name="________PB1" localSheetId="47">#REF!</definedName>
    <definedName name="________PB1" localSheetId="1">#REF!</definedName>
    <definedName name="________PB1">#REF!</definedName>
    <definedName name="________sh1">90</definedName>
    <definedName name="________sh2">120</definedName>
    <definedName name="________sh3">150</definedName>
    <definedName name="________sh4">180</definedName>
    <definedName name="________SH5" localSheetId="7">#REF!</definedName>
    <definedName name="________SH5" localSheetId="47">#REF!</definedName>
    <definedName name="________SH5" localSheetId="1">#REF!</definedName>
    <definedName name="________SH5">#REF!</definedName>
    <definedName name="________SLV10025" localSheetId="7">'[25]ANAL-PIPE LINE'!#REF!</definedName>
    <definedName name="________SLV10025" localSheetId="47">'[25]ANAL-PIPE LINE'!#REF!</definedName>
    <definedName name="________SLV10025" localSheetId="1">'[25]ANAL-PIPE LINE'!#REF!</definedName>
    <definedName name="________SLV10025">'[25]ANAL-PIPE LINE'!#REF!</definedName>
    <definedName name="________SLV20025">'[20]ANAL-PUMP HOUSE'!$I$58</definedName>
    <definedName name="________SLV80010">'[20]ANAL-PUMP HOUSE'!$I$60</definedName>
    <definedName name="________tab1" localSheetId="7">#REF!</definedName>
    <definedName name="________tab1" localSheetId="47">#REF!</definedName>
    <definedName name="________tab1" localSheetId="1">#REF!</definedName>
    <definedName name="________tab1">#REF!</definedName>
    <definedName name="________tab2" localSheetId="7">#REF!</definedName>
    <definedName name="________tab2" localSheetId="47">#REF!</definedName>
    <definedName name="________tab2" localSheetId="1">#REF!</definedName>
    <definedName name="________tab2">#REF!</definedName>
    <definedName name="________TB2" localSheetId="7">#REF!</definedName>
    <definedName name="________TB2" localSheetId="47">#REF!</definedName>
    <definedName name="________TB2" localSheetId="1">#REF!</definedName>
    <definedName name="________TB2">#REF!</definedName>
    <definedName name="________TIP1" localSheetId="7">#REF!</definedName>
    <definedName name="________TIP1" localSheetId="47">#REF!</definedName>
    <definedName name="________TIP1" localSheetId="1">#REF!</definedName>
    <definedName name="________TIP1">#REF!</definedName>
    <definedName name="________TIP2" localSheetId="7">#REF!</definedName>
    <definedName name="________TIP2" localSheetId="47">#REF!</definedName>
    <definedName name="________TIP2" localSheetId="1">#REF!</definedName>
    <definedName name="________TIP2">#REF!</definedName>
    <definedName name="________TIP3" localSheetId="7">#REF!</definedName>
    <definedName name="________TIP3" localSheetId="47">#REF!</definedName>
    <definedName name="________TIP3" localSheetId="1">#REF!</definedName>
    <definedName name="________TIP3">#REF!</definedName>
    <definedName name="_______A65537" localSheetId="7">#REF!</definedName>
    <definedName name="_______A65537" localSheetId="47">#REF!</definedName>
    <definedName name="_______A65537" localSheetId="1">#REF!</definedName>
    <definedName name="_______A65537">#REF!</definedName>
    <definedName name="_______ABM10" localSheetId="7">#REF!</definedName>
    <definedName name="_______ABM10" localSheetId="47">#REF!</definedName>
    <definedName name="_______ABM10" localSheetId="1">#REF!</definedName>
    <definedName name="_______ABM10">#REF!</definedName>
    <definedName name="_______ABM40" localSheetId="7">#REF!</definedName>
    <definedName name="_______ABM40" localSheetId="47">#REF!</definedName>
    <definedName name="_______ABM40" localSheetId="1">#REF!</definedName>
    <definedName name="_______ABM40">#REF!</definedName>
    <definedName name="_______ABM6" localSheetId="7">#REF!</definedName>
    <definedName name="_______ABM6" localSheetId="47">#REF!</definedName>
    <definedName name="_______ABM6" localSheetId="1">#REF!</definedName>
    <definedName name="_______ABM6">#REF!</definedName>
    <definedName name="_______ACB10" localSheetId="7">#REF!</definedName>
    <definedName name="_______ACB10" localSheetId="47">#REF!</definedName>
    <definedName name="_______ACB10" localSheetId="1">#REF!</definedName>
    <definedName name="_______ACB10">#REF!</definedName>
    <definedName name="_______ACB20" localSheetId="7">#REF!</definedName>
    <definedName name="_______ACB20" localSheetId="47">#REF!</definedName>
    <definedName name="_______ACB20" localSheetId="1">#REF!</definedName>
    <definedName name="_______ACB20">#REF!</definedName>
    <definedName name="_______ACR10" localSheetId="7">#REF!</definedName>
    <definedName name="_______ACR10" localSheetId="47">#REF!</definedName>
    <definedName name="_______ACR10" localSheetId="1">#REF!</definedName>
    <definedName name="_______ACR10">#REF!</definedName>
    <definedName name="_______ACR20" localSheetId="7">#REF!</definedName>
    <definedName name="_______ACR20" localSheetId="47">#REF!</definedName>
    <definedName name="_______ACR20" localSheetId="1">#REF!</definedName>
    <definedName name="_______ACR20">#REF!</definedName>
    <definedName name="_______AGG10">'[23]21-Rate Analysis-1'!$E$22</definedName>
    <definedName name="_______AGG40" localSheetId="7">#REF!</definedName>
    <definedName name="_______AGG40" localSheetId="47">#REF!</definedName>
    <definedName name="_______AGG40" localSheetId="1">#REF!</definedName>
    <definedName name="_______AGG40">#REF!</definedName>
    <definedName name="_______AGG6" localSheetId="7">#REF!</definedName>
    <definedName name="_______AGG6" localSheetId="47">#REF!</definedName>
    <definedName name="_______AGG6" localSheetId="1">#REF!</definedName>
    <definedName name="_______AGG6">#REF!</definedName>
    <definedName name="_______ash1" localSheetId="7">[13]ANAL!#REF!</definedName>
    <definedName name="_______ash1" localSheetId="47">[13]ANAL!#REF!</definedName>
    <definedName name="_______ash1" localSheetId="1">[13]ANAL!#REF!</definedName>
    <definedName name="_______ash1">[13]ANAL!#REF!</definedName>
    <definedName name="_______AWM10" localSheetId="7">#REF!</definedName>
    <definedName name="_______AWM10" localSheetId="47">#REF!</definedName>
    <definedName name="_______AWM10" localSheetId="1">#REF!</definedName>
    <definedName name="_______AWM10">#REF!</definedName>
    <definedName name="_______AWM40" localSheetId="7">#REF!</definedName>
    <definedName name="_______AWM40" localSheetId="47">#REF!</definedName>
    <definedName name="_______AWM40" localSheetId="1">#REF!</definedName>
    <definedName name="_______AWM40">#REF!</definedName>
    <definedName name="_______AWM6" localSheetId="7">#REF!</definedName>
    <definedName name="_______AWM6" localSheetId="47">#REF!</definedName>
    <definedName name="_______AWM6" localSheetId="1">#REF!</definedName>
    <definedName name="_______AWM6">#REF!</definedName>
    <definedName name="_______b111121" localSheetId="7">#REF!</definedName>
    <definedName name="_______b111121" localSheetId="47">#REF!</definedName>
    <definedName name="_______b111121" localSheetId="1">#REF!</definedName>
    <definedName name="_______b111121">#REF!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58" localSheetId="7">[14]PROCTOR!#REF!</definedName>
    <definedName name="_______CAN458" localSheetId="47">[14]PROCTOR!#REF!</definedName>
    <definedName name="_______CAN458" localSheetId="1">[14]PROCTOR!#REF!</definedName>
    <definedName name="_______CAN458">[14]PROCTOR!#REF!</definedName>
    <definedName name="_______CAN486" localSheetId="7">[14]PROCTOR!#REF!</definedName>
    <definedName name="_______CAN486" localSheetId="47">[14]PROCTOR!#REF!</definedName>
    <definedName name="_______CAN486" localSheetId="1">[14]PROCTOR!#REF!</definedName>
    <definedName name="_______CAN486">[14]PROCTOR!#REF!</definedName>
    <definedName name="_______CAN487" localSheetId="7">[14]PROCTOR!#REF!</definedName>
    <definedName name="_______CAN487" localSheetId="47">[14]PROCTOR!#REF!</definedName>
    <definedName name="_______CAN487" localSheetId="1">[14]PROCTOR!#REF!</definedName>
    <definedName name="_______CAN487">[14]PROCTOR!#REF!</definedName>
    <definedName name="_______CAN488" localSheetId="7">[14]PROCTOR!#REF!</definedName>
    <definedName name="_______CAN488" localSheetId="47">[14]PROCTOR!#REF!</definedName>
    <definedName name="_______CAN488" localSheetId="1">[14]PROCTOR!#REF!</definedName>
    <definedName name="_______CAN488">[14]PROCTOR!#REF!</definedName>
    <definedName name="_______CAN489" localSheetId="7">[14]PROCTOR!#REF!</definedName>
    <definedName name="_______CAN489" localSheetId="47">[14]PROCTOR!#REF!</definedName>
    <definedName name="_______CAN489" localSheetId="1">[14]PROCTOR!#REF!</definedName>
    <definedName name="_______CAN489">[14]PROCTOR!#REF!</definedName>
    <definedName name="_______CAN490" localSheetId="7">[14]PROCTOR!#REF!</definedName>
    <definedName name="_______CAN490" localSheetId="47">[14]PROCTOR!#REF!</definedName>
    <definedName name="_______CAN490" localSheetId="1">[14]PROCTOR!#REF!</definedName>
    <definedName name="_______CAN490">[14]PROCTOR!#REF!</definedName>
    <definedName name="_______CAN491" localSheetId="7">[14]PROCTOR!#REF!</definedName>
    <definedName name="_______CAN491" localSheetId="47">[14]PROCTOR!#REF!</definedName>
    <definedName name="_______CAN491" localSheetId="1">[14]PROCTOR!#REF!</definedName>
    <definedName name="_______CAN491">[14]PROCTOR!#REF!</definedName>
    <definedName name="_______CAN492" localSheetId="7">[14]PROCTOR!#REF!</definedName>
    <definedName name="_______CAN492" localSheetId="47">[14]PROCTOR!#REF!</definedName>
    <definedName name="_______CAN492" localSheetId="1">[14]PROCTOR!#REF!</definedName>
    <definedName name="_______CAN492">[14]PROCTOR!#REF!</definedName>
    <definedName name="_______CAN493" localSheetId="7">[14]PROCTOR!#REF!</definedName>
    <definedName name="_______CAN493" localSheetId="47">[14]PROCTOR!#REF!</definedName>
    <definedName name="_______CAN493" localSheetId="1">[14]PROCTOR!#REF!</definedName>
    <definedName name="_______CAN493">[14]PROCTOR!#REF!</definedName>
    <definedName name="_______CAN494" localSheetId="7">[14]PROCTOR!#REF!</definedName>
    <definedName name="_______CAN494" localSheetId="47">[14]PROCTOR!#REF!</definedName>
    <definedName name="_______CAN494" localSheetId="1">[14]PROCTOR!#REF!</definedName>
    <definedName name="_______CAN494">[14]PROCTOR!#REF!</definedName>
    <definedName name="_______CAN495" localSheetId="7">[14]PROCTOR!#REF!</definedName>
    <definedName name="_______CAN495" localSheetId="47">[14]PROCTOR!#REF!</definedName>
    <definedName name="_______CAN495" localSheetId="1">[14]PROCTOR!#REF!</definedName>
    <definedName name="_______CAN495">[14]PROCTOR!#REF!</definedName>
    <definedName name="_______CAN496" localSheetId="7">[14]PROCTOR!#REF!</definedName>
    <definedName name="_______CAN496" localSheetId="47">[14]PROCTOR!#REF!</definedName>
    <definedName name="_______CAN496" localSheetId="1">[14]PROCTOR!#REF!</definedName>
    <definedName name="_______CAN496">[14]PROCTOR!#REF!</definedName>
    <definedName name="_______CAN497" localSheetId="7">[14]PROCTOR!#REF!</definedName>
    <definedName name="_______CAN497" localSheetId="47">[14]PROCTOR!#REF!</definedName>
    <definedName name="_______CAN497" localSheetId="1">[14]PROCTOR!#REF!</definedName>
    <definedName name="_______CAN497">[14]PROCTOR!#REF!</definedName>
    <definedName name="_______CAN498" localSheetId="7">[14]PROCTOR!#REF!</definedName>
    <definedName name="_______CAN498" localSheetId="47">[14]PROCTOR!#REF!</definedName>
    <definedName name="_______CAN498" localSheetId="1">[14]PROCTOR!#REF!</definedName>
    <definedName name="_______CAN498">[14]PROCTOR!#REF!</definedName>
    <definedName name="_______CAN499" localSheetId="7">[14]PROCTOR!#REF!</definedName>
    <definedName name="_______CAN499" localSheetId="47">[14]PROCTOR!#REF!</definedName>
    <definedName name="_______CAN499" localSheetId="1">[14]PROCTOR!#REF!</definedName>
    <definedName name="_______CAN499">[14]PROCTOR!#REF!</definedName>
    <definedName name="_______CAN500" localSheetId="7">[14]PROCTOR!#REF!</definedName>
    <definedName name="_______CAN500" localSheetId="47">[14]PROCTOR!#REF!</definedName>
    <definedName name="_______CAN500" localSheetId="1">[14]PROCTOR!#REF!</definedName>
    <definedName name="_______CAN500">[14]PROCTOR!#REF!</definedName>
    <definedName name="_______CDG100" localSheetId="7">#REF!</definedName>
    <definedName name="_______CDG100" localSheetId="47">#REF!</definedName>
    <definedName name="_______CDG100" localSheetId="1">#REF!</definedName>
    <definedName name="_______CDG100">#REF!</definedName>
    <definedName name="_______CDG250" localSheetId="7">#REF!</definedName>
    <definedName name="_______CDG250" localSheetId="47">#REF!</definedName>
    <definedName name="_______CDG250" localSheetId="1">#REF!</definedName>
    <definedName name="_______CDG250">#REF!</definedName>
    <definedName name="_______CDG50" localSheetId="7">#REF!</definedName>
    <definedName name="_______CDG50" localSheetId="47">#REF!</definedName>
    <definedName name="_______CDG50" localSheetId="1">#REF!</definedName>
    <definedName name="_______CDG50">#REF!</definedName>
    <definedName name="_______CDG500" localSheetId="7">#REF!</definedName>
    <definedName name="_______CDG500" localSheetId="47">#REF!</definedName>
    <definedName name="_______CDG500" localSheetId="1">#REF!</definedName>
    <definedName name="_______CDG500">#REF!</definedName>
    <definedName name="_______CEM53" localSheetId="7">#REF!</definedName>
    <definedName name="_______CEM53" localSheetId="47">#REF!</definedName>
    <definedName name="_______CEM53" localSheetId="1">#REF!</definedName>
    <definedName name="_______CEM53">#REF!</definedName>
    <definedName name="_______CRN3" localSheetId="7">#REF!</definedName>
    <definedName name="_______CRN3" localSheetId="47">#REF!</definedName>
    <definedName name="_______CRN3" localSheetId="1">#REF!</definedName>
    <definedName name="_______CRN3">#REF!</definedName>
    <definedName name="_______CRN35" localSheetId="7">#REF!</definedName>
    <definedName name="_______CRN35" localSheetId="47">#REF!</definedName>
    <definedName name="_______CRN35" localSheetId="1">#REF!</definedName>
    <definedName name="_______CRN35">#REF!</definedName>
    <definedName name="_______CRN80" localSheetId="7">#REF!</definedName>
    <definedName name="_______CRN80" localSheetId="47">#REF!</definedName>
    <definedName name="_______CRN80" localSheetId="1">#REF!</definedName>
    <definedName name="_______CRN80">#REF!</definedName>
    <definedName name="_______dec05" localSheetId="7" hidden="1">{"'Sheet1'!$A$4386:$N$4591"}</definedName>
    <definedName name="_______dec05" localSheetId="47" hidden="1">{"'Sheet1'!$A$4386:$N$4591"}</definedName>
    <definedName name="_______dec05" localSheetId="1" hidden="1">{"'Sheet1'!$A$4386:$N$4591"}</definedName>
    <definedName name="_______dec05" hidden="1">{"'Sheet1'!$A$4386:$N$4591"}</definedName>
    <definedName name="_______DOZ50" localSheetId="7">#REF!</definedName>
    <definedName name="_______DOZ50" localSheetId="47">#REF!</definedName>
    <definedName name="_______DOZ50" localSheetId="1">#REF!</definedName>
    <definedName name="_______DOZ50">#REF!</definedName>
    <definedName name="_______DOZ80" localSheetId="7">#REF!</definedName>
    <definedName name="_______DOZ80" localSheetId="47">#REF!</definedName>
    <definedName name="_______DOZ80" localSheetId="1">#REF!</definedName>
    <definedName name="_______DOZ80">#REF!</definedName>
    <definedName name="_______EXC20">'[26]21-Rate Analysis '!$E$50</definedName>
    <definedName name="_______ExV200" localSheetId="7">#REF!</definedName>
    <definedName name="_______ExV200" localSheetId="47">#REF!</definedName>
    <definedName name="_______ExV200" localSheetId="1">#REF!</definedName>
    <definedName name="_______ExV200">#REF!</definedName>
    <definedName name="_______GEN100" localSheetId="7">#REF!</definedName>
    <definedName name="_______GEN100" localSheetId="47">#REF!</definedName>
    <definedName name="_______GEN100" localSheetId="1">#REF!</definedName>
    <definedName name="_______GEN100">#REF!</definedName>
    <definedName name="_______GEN250" localSheetId="7">#REF!</definedName>
    <definedName name="_______GEN250" localSheetId="47">#REF!</definedName>
    <definedName name="_______GEN250" localSheetId="1">#REF!</definedName>
    <definedName name="_______GEN250">#REF!</definedName>
    <definedName name="_______GEN325" localSheetId="7">#REF!</definedName>
    <definedName name="_______GEN325" localSheetId="47">#REF!</definedName>
    <definedName name="_______GEN325" localSheetId="1">#REF!</definedName>
    <definedName name="_______GEN325">#REF!</definedName>
    <definedName name="_______GEN380" localSheetId="7">#REF!</definedName>
    <definedName name="_______GEN380" localSheetId="47">#REF!</definedName>
    <definedName name="_______GEN380" localSheetId="1">#REF!</definedName>
    <definedName name="_______GEN380">#REF!</definedName>
    <definedName name="_______GSB1" localSheetId="7">#REF!</definedName>
    <definedName name="_______GSB1" localSheetId="47">#REF!</definedName>
    <definedName name="_______GSB1" localSheetId="1">#REF!</definedName>
    <definedName name="_______GSB1">#REF!</definedName>
    <definedName name="_______GSB2" localSheetId="7">#REF!</definedName>
    <definedName name="_______GSB2" localSheetId="47">#REF!</definedName>
    <definedName name="_______GSB2" localSheetId="1">#REF!</definedName>
    <definedName name="_______GSB2">#REF!</definedName>
    <definedName name="_______GSB3" localSheetId="7">#REF!</definedName>
    <definedName name="_______GSB3" localSheetId="47">#REF!</definedName>
    <definedName name="_______GSB3" localSheetId="1">#REF!</definedName>
    <definedName name="_______GSB3">#REF!</definedName>
    <definedName name="_______HMP1" localSheetId="7">#REF!</definedName>
    <definedName name="_______HMP1" localSheetId="47">#REF!</definedName>
    <definedName name="_______HMP1" localSheetId="1">#REF!</definedName>
    <definedName name="_______HMP1">#REF!</definedName>
    <definedName name="_______HMP2" localSheetId="7">#REF!</definedName>
    <definedName name="_______HMP2" localSheetId="47">#REF!</definedName>
    <definedName name="_______HMP2" localSheetId="1">#REF!</definedName>
    <definedName name="_______HMP2">#REF!</definedName>
    <definedName name="_______HMP3" localSheetId="7">#REF!</definedName>
    <definedName name="_______HMP3" localSheetId="47">#REF!</definedName>
    <definedName name="_______HMP3" localSheetId="1">#REF!</definedName>
    <definedName name="_______HMP3">#REF!</definedName>
    <definedName name="_______HMP4" localSheetId="7">#REF!</definedName>
    <definedName name="_______HMP4" localSheetId="47">#REF!</definedName>
    <definedName name="_______HMP4" localSheetId="1">#REF!</definedName>
    <definedName name="_______HMP4">#REF!</definedName>
    <definedName name="_______Ki1" localSheetId="7">#REF!</definedName>
    <definedName name="_______Ki1" localSheetId="47">#REF!</definedName>
    <definedName name="_______Ki1" localSheetId="1">#REF!</definedName>
    <definedName name="_______Ki1">#REF!</definedName>
    <definedName name="_______Ki2" localSheetId="7">#REF!</definedName>
    <definedName name="_______Ki2" localSheetId="47">#REF!</definedName>
    <definedName name="_______Ki2" localSheetId="1">#REF!</definedName>
    <definedName name="_______Ki2">#REF!</definedName>
    <definedName name="_______lb1" localSheetId="7">#REF!</definedName>
    <definedName name="_______lb1" localSheetId="47">#REF!</definedName>
    <definedName name="_______lb1" localSheetId="1">#REF!</definedName>
    <definedName name="_______lb1">#REF!</definedName>
    <definedName name="_______lb2" localSheetId="7">#REF!</definedName>
    <definedName name="_______lb2" localSheetId="47">#REF!</definedName>
    <definedName name="_______lb2" localSheetId="1">#REF!</definedName>
    <definedName name="_______lb2">#REF!</definedName>
    <definedName name="_______mac2">200</definedName>
    <definedName name="_______MAN1" localSheetId="7">#REF!</definedName>
    <definedName name="_______MAN1" localSheetId="47">#REF!</definedName>
    <definedName name="_______MAN1" localSheetId="1">#REF!</definedName>
    <definedName name="_______MAN1">#REF!</definedName>
    <definedName name="_______MIX10" localSheetId="7">#REF!</definedName>
    <definedName name="_______MIX10" localSheetId="47">#REF!</definedName>
    <definedName name="_______MIX10" localSheetId="1">#REF!</definedName>
    <definedName name="_______MIX10">#REF!</definedName>
    <definedName name="_______MIX15" localSheetId="7">#REF!</definedName>
    <definedName name="_______MIX15" localSheetId="47">#REF!</definedName>
    <definedName name="_______MIX15" localSheetId="1">#REF!</definedName>
    <definedName name="_______MIX15">#REF!</definedName>
    <definedName name="_______MIX15150" localSheetId="7">'[4]Mix Design'!#REF!</definedName>
    <definedName name="_______MIX15150" localSheetId="47">'[4]Mix Design'!#REF!</definedName>
    <definedName name="_______MIX15150" localSheetId="1">'[4]Mix Design'!#REF!</definedName>
    <definedName name="_______MIX15150">'[4]Mix Design'!#REF!</definedName>
    <definedName name="_______MIX1540">'[4]Mix Design'!$P$11</definedName>
    <definedName name="_______MIX1580" localSheetId="7">'[4]Mix Design'!#REF!</definedName>
    <definedName name="_______MIX1580" localSheetId="47">'[4]Mix Design'!#REF!</definedName>
    <definedName name="_______MIX1580" localSheetId="1">'[4]Mix Design'!#REF!</definedName>
    <definedName name="_______MIX1580">'[4]Mix Design'!#REF!</definedName>
    <definedName name="_______MIX2">'[5]Mix Design'!$P$12</definedName>
    <definedName name="_______MIX20" localSheetId="7">#REF!</definedName>
    <definedName name="_______MIX20" localSheetId="47">#REF!</definedName>
    <definedName name="_______MIX20" localSheetId="1">#REF!</definedName>
    <definedName name="_______MIX20">#REF!</definedName>
    <definedName name="_______MIX2020">'[4]Mix Design'!$P$12</definedName>
    <definedName name="_______MIX2040">'[4]Mix Design'!$P$13</definedName>
    <definedName name="_______MIX25" localSheetId="7">#REF!</definedName>
    <definedName name="_______MIX25" localSheetId="47">#REF!</definedName>
    <definedName name="_______MIX25" localSheetId="1">#REF!</definedName>
    <definedName name="_______MIX25">#REF!</definedName>
    <definedName name="_______MIX2540">'[4]Mix Design'!$P$15</definedName>
    <definedName name="_______Mix255">'[6]Mix Design'!$P$13</definedName>
    <definedName name="_______MIX30" localSheetId="7">#REF!</definedName>
    <definedName name="_______MIX30" localSheetId="47">#REF!</definedName>
    <definedName name="_______MIX30" localSheetId="1">#REF!</definedName>
    <definedName name="_______MIX30">#REF!</definedName>
    <definedName name="_______MIX35" localSheetId="7">#REF!</definedName>
    <definedName name="_______MIX35" localSheetId="47">#REF!</definedName>
    <definedName name="_______MIX35" localSheetId="1">#REF!</definedName>
    <definedName name="_______MIX35">#REF!</definedName>
    <definedName name="_______MIX40" localSheetId="7">#REF!</definedName>
    <definedName name="_______MIX40" localSheetId="47">#REF!</definedName>
    <definedName name="_______MIX40" localSheetId="1">#REF!</definedName>
    <definedName name="_______MIX40">#REF!</definedName>
    <definedName name="_______MIX45" localSheetId="7">'[4]Mix Design'!#REF!</definedName>
    <definedName name="_______MIX45" localSheetId="47">'[4]Mix Design'!#REF!</definedName>
    <definedName name="_______MIX45" localSheetId="1">'[4]Mix Design'!#REF!</definedName>
    <definedName name="_______MIX45">'[4]Mix Design'!#REF!</definedName>
    <definedName name="_______mm1" localSheetId="7">#REF!</definedName>
    <definedName name="_______mm1" localSheetId="47">#REF!</definedName>
    <definedName name="_______mm1" localSheetId="1">#REF!</definedName>
    <definedName name="_______mm1">#REF!</definedName>
    <definedName name="_______mm2" localSheetId="7">#REF!</definedName>
    <definedName name="_______mm2" localSheetId="47">#REF!</definedName>
    <definedName name="_______mm2" localSheetId="1">#REF!</definedName>
    <definedName name="_______mm2">#REF!</definedName>
    <definedName name="_______mm3" localSheetId="7">#REF!</definedName>
    <definedName name="_______mm3" localSheetId="47">#REF!</definedName>
    <definedName name="_______mm3" localSheetId="1">#REF!</definedName>
    <definedName name="_______mm3">#REF!</definedName>
    <definedName name="_______MUR5" localSheetId="7">#REF!</definedName>
    <definedName name="_______MUR5" localSheetId="47">#REF!</definedName>
    <definedName name="_______MUR5" localSheetId="1">#REF!</definedName>
    <definedName name="_______MUR5">#REF!</definedName>
    <definedName name="_______MUR8" localSheetId="7">#REF!</definedName>
    <definedName name="_______MUR8" localSheetId="47">#REF!</definedName>
    <definedName name="_______MUR8" localSheetId="1">#REF!</definedName>
    <definedName name="_______MUR8">#REF!</definedName>
    <definedName name="_______OPC43" localSheetId="7">#REF!</definedName>
    <definedName name="_______OPC43" localSheetId="47">#REF!</definedName>
    <definedName name="_______OPC43" localSheetId="1">#REF!</definedName>
    <definedName name="_______OPC43">#REF!</definedName>
    <definedName name="_______PB1" localSheetId="7">#REF!</definedName>
    <definedName name="_______PB1" localSheetId="47">#REF!</definedName>
    <definedName name="_______PB1" localSheetId="1">#REF!</definedName>
    <definedName name="_______PB1">#REF!</definedName>
    <definedName name="_______PPC53">'[26]21-Rate Analysis '!$E$19</definedName>
    <definedName name="_______sh1">90</definedName>
    <definedName name="_______sh2">120</definedName>
    <definedName name="_______sh3">150</definedName>
    <definedName name="_______sh4">180</definedName>
    <definedName name="_______SH5" localSheetId="7">#REF!</definedName>
    <definedName name="_______SH5" localSheetId="47">#REF!</definedName>
    <definedName name="_______SH5" localSheetId="1">#REF!</definedName>
    <definedName name="_______SH5">#REF!</definedName>
    <definedName name="_______SLV10025" localSheetId="7">'[25]ANAL-PIPE LINE'!#REF!</definedName>
    <definedName name="_______SLV10025" localSheetId="47">'[25]ANAL-PIPE LINE'!#REF!</definedName>
    <definedName name="_______SLV10025" localSheetId="1">'[25]ANAL-PIPE LINE'!#REF!</definedName>
    <definedName name="_______SLV10025">'[25]ANAL-PIPE LINE'!#REF!</definedName>
    <definedName name="_______SMG1">#N/A</definedName>
    <definedName name="_______SMG2">#N/A</definedName>
    <definedName name="_______tab1" localSheetId="7">#REF!</definedName>
    <definedName name="_______tab1" localSheetId="47">#REF!</definedName>
    <definedName name="_______tab1" localSheetId="1">#REF!</definedName>
    <definedName name="_______tab1">#REF!</definedName>
    <definedName name="_______tab2" localSheetId="7">#REF!</definedName>
    <definedName name="_______tab2" localSheetId="47">#REF!</definedName>
    <definedName name="_______tab2" localSheetId="1">#REF!</definedName>
    <definedName name="_______tab2">#REF!</definedName>
    <definedName name="_______TB2" localSheetId="7">#REF!</definedName>
    <definedName name="_______TB2" localSheetId="47">#REF!</definedName>
    <definedName name="_______TB2" localSheetId="1">#REF!</definedName>
    <definedName name="_______TB2">#REF!</definedName>
    <definedName name="_______TIP1" localSheetId="7">#REF!</definedName>
    <definedName name="_______TIP1" localSheetId="47">#REF!</definedName>
    <definedName name="_______TIP1" localSheetId="1">#REF!</definedName>
    <definedName name="_______TIP1">#REF!</definedName>
    <definedName name="_______TIP2" localSheetId="7">#REF!</definedName>
    <definedName name="_______TIP2" localSheetId="47">#REF!</definedName>
    <definedName name="_______TIP2" localSheetId="1">#REF!</definedName>
    <definedName name="_______TIP2">#REF!</definedName>
    <definedName name="_______TIP3" localSheetId="7">#REF!</definedName>
    <definedName name="_______TIP3" localSheetId="47">#REF!</definedName>
    <definedName name="_______TIP3" localSheetId="1">#REF!</definedName>
    <definedName name="_______TIP3">#REF!</definedName>
    <definedName name="______A65537" localSheetId="7">#REF!</definedName>
    <definedName name="______A65537" localSheetId="47">#REF!</definedName>
    <definedName name="______A65537" localSheetId="1">#REF!</definedName>
    <definedName name="______A65537">#REF!</definedName>
    <definedName name="______ABM10" localSheetId="7">#REF!</definedName>
    <definedName name="______ABM10" localSheetId="47">#REF!</definedName>
    <definedName name="______ABM10" localSheetId="1">#REF!</definedName>
    <definedName name="______ABM10">#REF!</definedName>
    <definedName name="______ABM40" localSheetId="7">#REF!</definedName>
    <definedName name="______ABM40" localSheetId="47">#REF!</definedName>
    <definedName name="______ABM40" localSheetId="1">#REF!</definedName>
    <definedName name="______ABM40">#REF!</definedName>
    <definedName name="______ABM6" localSheetId="7">#REF!</definedName>
    <definedName name="______ABM6" localSheetId="47">#REF!</definedName>
    <definedName name="______ABM6" localSheetId="1">#REF!</definedName>
    <definedName name="______ABM6">#REF!</definedName>
    <definedName name="______ACB10" localSheetId="7">#REF!</definedName>
    <definedName name="______ACB10" localSheetId="47">#REF!</definedName>
    <definedName name="______ACB10" localSheetId="1">#REF!</definedName>
    <definedName name="______ACB10">#REF!</definedName>
    <definedName name="______ACB20" localSheetId="7">#REF!</definedName>
    <definedName name="______ACB20" localSheetId="47">#REF!</definedName>
    <definedName name="______ACB20" localSheetId="1">#REF!</definedName>
    <definedName name="______ACB20">#REF!</definedName>
    <definedName name="______ACR10" localSheetId="7">#REF!</definedName>
    <definedName name="______ACR10" localSheetId="47">#REF!</definedName>
    <definedName name="______ACR10" localSheetId="1">#REF!</definedName>
    <definedName name="______ACR10">#REF!</definedName>
    <definedName name="______ACR20" localSheetId="7">#REF!</definedName>
    <definedName name="______ACR20" localSheetId="47">#REF!</definedName>
    <definedName name="______ACR20" localSheetId="1">#REF!</definedName>
    <definedName name="______ACR20">#REF!</definedName>
    <definedName name="______AGG10">'[23]21-Rate Analysis-1'!$E$22</definedName>
    <definedName name="______AGG40" localSheetId="7">#REF!</definedName>
    <definedName name="______AGG40" localSheetId="47">#REF!</definedName>
    <definedName name="______AGG40" localSheetId="1">#REF!</definedName>
    <definedName name="______AGG40">#REF!</definedName>
    <definedName name="______AGG6" localSheetId="7">#REF!</definedName>
    <definedName name="______AGG6" localSheetId="47">#REF!</definedName>
    <definedName name="______AGG6" localSheetId="1">#REF!</definedName>
    <definedName name="______AGG6">#REF!</definedName>
    <definedName name="______ash1" localSheetId="7">[13]ANAL!#REF!</definedName>
    <definedName name="______ash1" localSheetId="47">[13]ANAL!#REF!</definedName>
    <definedName name="______ash1" localSheetId="1">[13]ANAL!#REF!</definedName>
    <definedName name="______ash1">[13]ANAL!#REF!</definedName>
    <definedName name="______AWM10" localSheetId="7">#REF!</definedName>
    <definedName name="______AWM10" localSheetId="47">#REF!</definedName>
    <definedName name="______AWM10" localSheetId="1">#REF!</definedName>
    <definedName name="______AWM10">#REF!</definedName>
    <definedName name="______AWM40" localSheetId="7">#REF!</definedName>
    <definedName name="______AWM40" localSheetId="47">#REF!</definedName>
    <definedName name="______AWM40" localSheetId="1">#REF!</definedName>
    <definedName name="______AWM40">#REF!</definedName>
    <definedName name="______AWM6" localSheetId="7">#REF!</definedName>
    <definedName name="______AWM6" localSheetId="47">#REF!</definedName>
    <definedName name="______AWM6" localSheetId="1">#REF!</definedName>
    <definedName name="______AWM6">#REF!</definedName>
    <definedName name="______b111121" localSheetId="7">#REF!</definedName>
    <definedName name="______b111121" localSheetId="47">#REF!</definedName>
    <definedName name="______b111121" localSheetId="1">#REF!</definedName>
    <definedName name="______b111121">#REF!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58" localSheetId="7">[14]PROCTOR!#REF!</definedName>
    <definedName name="______CAN458" localSheetId="47">[14]PROCTOR!#REF!</definedName>
    <definedName name="______CAN458" localSheetId="1">[14]PROCTOR!#REF!</definedName>
    <definedName name="______CAN458">[14]PROCTOR!#REF!</definedName>
    <definedName name="______CAN486" localSheetId="7">[14]PROCTOR!#REF!</definedName>
    <definedName name="______CAN486" localSheetId="47">[14]PROCTOR!#REF!</definedName>
    <definedName name="______CAN486" localSheetId="1">[14]PROCTOR!#REF!</definedName>
    <definedName name="______CAN486">[14]PROCTOR!#REF!</definedName>
    <definedName name="______CAN487" localSheetId="7">[14]PROCTOR!#REF!</definedName>
    <definedName name="______CAN487" localSheetId="47">[14]PROCTOR!#REF!</definedName>
    <definedName name="______CAN487" localSheetId="1">[14]PROCTOR!#REF!</definedName>
    <definedName name="______CAN487">[14]PROCTOR!#REF!</definedName>
    <definedName name="______CAN488" localSheetId="7">[14]PROCTOR!#REF!</definedName>
    <definedName name="______CAN488" localSheetId="47">[14]PROCTOR!#REF!</definedName>
    <definedName name="______CAN488" localSheetId="1">[14]PROCTOR!#REF!</definedName>
    <definedName name="______CAN488">[14]PROCTOR!#REF!</definedName>
    <definedName name="______CAN489" localSheetId="7">[14]PROCTOR!#REF!</definedName>
    <definedName name="______CAN489" localSheetId="47">[14]PROCTOR!#REF!</definedName>
    <definedName name="______CAN489" localSheetId="1">[14]PROCTOR!#REF!</definedName>
    <definedName name="______CAN489">[14]PROCTOR!#REF!</definedName>
    <definedName name="______CAN490" localSheetId="7">[14]PROCTOR!#REF!</definedName>
    <definedName name="______CAN490" localSheetId="47">[14]PROCTOR!#REF!</definedName>
    <definedName name="______CAN490" localSheetId="1">[14]PROCTOR!#REF!</definedName>
    <definedName name="______CAN490">[14]PROCTOR!#REF!</definedName>
    <definedName name="______CAN491" localSheetId="7">[14]PROCTOR!#REF!</definedName>
    <definedName name="______CAN491" localSheetId="47">[14]PROCTOR!#REF!</definedName>
    <definedName name="______CAN491" localSheetId="1">[14]PROCTOR!#REF!</definedName>
    <definedName name="______CAN491">[14]PROCTOR!#REF!</definedName>
    <definedName name="______CAN492" localSheetId="7">[14]PROCTOR!#REF!</definedName>
    <definedName name="______CAN492" localSheetId="47">[14]PROCTOR!#REF!</definedName>
    <definedName name="______CAN492" localSheetId="1">[14]PROCTOR!#REF!</definedName>
    <definedName name="______CAN492">[14]PROCTOR!#REF!</definedName>
    <definedName name="______CAN493" localSheetId="7">[14]PROCTOR!#REF!</definedName>
    <definedName name="______CAN493" localSheetId="47">[14]PROCTOR!#REF!</definedName>
    <definedName name="______CAN493" localSheetId="1">[14]PROCTOR!#REF!</definedName>
    <definedName name="______CAN493">[14]PROCTOR!#REF!</definedName>
    <definedName name="______CAN494" localSheetId="7">[14]PROCTOR!#REF!</definedName>
    <definedName name="______CAN494" localSheetId="47">[14]PROCTOR!#REF!</definedName>
    <definedName name="______CAN494" localSheetId="1">[14]PROCTOR!#REF!</definedName>
    <definedName name="______CAN494">[14]PROCTOR!#REF!</definedName>
    <definedName name="______CAN495" localSheetId="7">[14]PROCTOR!#REF!</definedName>
    <definedName name="______CAN495" localSheetId="47">[14]PROCTOR!#REF!</definedName>
    <definedName name="______CAN495" localSheetId="1">[14]PROCTOR!#REF!</definedName>
    <definedName name="______CAN495">[14]PROCTOR!#REF!</definedName>
    <definedName name="______CAN496" localSheetId="7">[14]PROCTOR!#REF!</definedName>
    <definedName name="______CAN496" localSheetId="47">[14]PROCTOR!#REF!</definedName>
    <definedName name="______CAN496" localSheetId="1">[14]PROCTOR!#REF!</definedName>
    <definedName name="______CAN496">[14]PROCTOR!#REF!</definedName>
    <definedName name="______CAN497" localSheetId="7">[14]PROCTOR!#REF!</definedName>
    <definedName name="______CAN497" localSheetId="47">[14]PROCTOR!#REF!</definedName>
    <definedName name="______CAN497" localSheetId="1">[14]PROCTOR!#REF!</definedName>
    <definedName name="______CAN497">[14]PROCTOR!#REF!</definedName>
    <definedName name="______CAN498" localSheetId="7">[14]PROCTOR!#REF!</definedName>
    <definedName name="______CAN498" localSheetId="47">[14]PROCTOR!#REF!</definedName>
    <definedName name="______CAN498" localSheetId="1">[14]PROCTOR!#REF!</definedName>
    <definedName name="______CAN498">[14]PROCTOR!#REF!</definedName>
    <definedName name="______CAN499" localSheetId="7">[14]PROCTOR!#REF!</definedName>
    <definedName name="______CAN499" localSheetId="47">[14]PROCTOR!#REF!</definedName>
    <definedName name="______CAN499" localSheetId="1">[14]PROCTOR!#REF!</definedName>
    <definedName name="______CAN499">[14]PROCTOR!#REF!</definedName>
    <definedName name="______CAN500" localSheetId="7">[14]PROCTOR!#REF!</definedName>
    <definedName name="______CAN500" localSheetId="47">[14]PROCTOR!#REF!</definedName>
    <definedName name="______CAN500" localSheetId="1">[14]PROCTOR!#REF!</definedName>
    <definedName name="______CAN500">[14]PROCTOR!#REF!</definedName>
    <definedName name="______CDG100" localSheetId="7">#REF!</definedName>
    <definedName name="______CDG100" localSheetId="47">#REF!</definedName>
    <definedName name="______CDG100" localSheetId="1">#REF!</definedName>
    <definedName name="______CDG100">#REF!</definedName>
    <definedName name="______CDG250" localSheetId="7">#REF!</definedName>
    <definedName name="______CDG250" localSheetId="47">#REF!</definedName>
    <definedName name="______CDG250" localSheetId="1">#REF!</definedName>
    <definedName name="______CDG250">#REF!</definedName>
    <definedName name="______CDG50" localSheetId="7">#REF!</definedName>
    <definedName name="______CDG50" localSheetId="47">#REF!</definedName>
    <definedName name="______CDG50" localSheetId="1">#REF!</definedName>
    <definedName name="______CDG50">#REF!</definedName>
    <definedName name="______CDG500" localSheetId="7">#REF!</definedName>
    <definedName name="______CDG500" localSheetId="47">#REF!</definedName>
    <definedName name="______CDG500" localSheetId="1">#REF!</definedName>
    <definedName name="______CDG500">#REF!</definedName>
    <definedName name="______CEM53" localSheetId="7">#REF!</definedName>
    <definedName name="______CEM53" localSheetId="47">#REF!</definedName>
    <definedName name="______CEM53" localSheetId="1">#REF!</definedName>
    <definedName name="______CEM53">#REF!</definedName>
    <definedName name="______CRN3" localSheetId="7">#REF!</definedName>
    <definedName name="______CRN3" localSheetId="47">#REF!</definedName>
    <definedName name="______CRN3" localSheetId="1">#REF!</definedName>
    <definedName name="______CRN3">#REF!</definedName>
    <definedName name="______CRN35" localSheetId="7">#REF!</definedName>
    <definedName name="______CRN35" localSheetId="47">#REF!</definedName>
    <definedName name="______CRN35" localSheetId="1">#REF!</definedName>
    <definedName name="______CRN35">#REF!</definedName>
    <definedName name="______CRN80" localSheetId="7">#REF!</definedName>
    <definedName name="______CRN80" localSheetId="47">#REF!</definedName>
    <definedName name="______CRN80" localSheetId="1">#REF!</definedName>
    <definedName name="______CRN80">#REF!</definedName>
    <definedName name="______dec05" localSheetId="7" hidden="1">{"'Sheet1'!$A$4386:$N$4591"}</definedName>
    <definedName name="______dec05" localSheetId="47" hidden="1">{"'Sheet1'!$A$4386:$N$4591"}</definedName>
    <definedName name="______dec05" localSheetId="1" hidden="1">{"'Sheet1'!$A$4386:$N$4591"}</definedName>
    <definedName name="______dec05" hidden="1">{"'Sheet1'!$A$4386:$N$4591"}</definedName>
    <definedName name="______DOZ50" localSheetId="7">#REF!</definedName>
    <definedName name="______DOZ50" localSheetId="47">#REF!</definedName>
    <definedName name="______DOZ50" localSheetId="1">#REF!</definedName>
    <definedName name="______DOZ50">#REF!</definedName>
    <definedName name="______DOZ80" localSheetId="7">#REF!</definedName>
    <definedName name="______DOZ80" localSheetId="47">#REF!</definedName>
    <definedName name="______DOZ80" localSheetId="1">#REF!</definedName>
    <definedName name="______DOZ80">#REF!</definedName>
    <definedName name="______EXC10">'[23]21-Rate Analysis-1'!$E$53</definedName>
    <definedName name="______EXC20">'[27]21-Rate Analysis '!$E$50</definedName>
    <definedName name="______EXC7">'[23]21-Rate Analysis-1'!$E$54</definedName>
    <definedName name="______ExV200" localSheetId="7">#REF!</definedName>
    <definedName name="______ExV200" localSheetId="47">#REF!</definedName>
    <definedName name="______ExV200" localSheetId="1">#REF!</definedName>
    <definedName name="______ExV200">#REF!</definedName>
    <definedName name="______GEN100" localSheetId="7">#REF!</definedName>
    <definedName name="______GEN100" localSheetId="47">#REF!</definedName>
    <definedName name="______GEN100" localSheetId="1">#REF!</definedName>
    <definedName name="______GEN100">#REF!</definedName>
    <definedName name="______GEN250" localSheetId="7">#REF!</definedName>
    <definedName name="______GEN250" localSheetId="47">#REF!</definedName>
    <definedName name="______GEN250" localSheetId="1">#REF!</definedName>
    <definedName name="______GEN250">#REF!</definedName>
    <definedName name="______GEN325" localSheetId="7">#REF!</definedName>
    <definedName name="______GEN325" localSheetId="47">#REF!</definedName>
    <definedName name="______GEN325" localSheetId="1">#REF!</definedName>
    <definedName name="______GEN325">#REF!</definedName>
    <definedName name="______GEN380" localSheetId="7">#REF!</definedName>
    <definedName name="______GEN380" localSheetId="47">#REF!</definedName>
    <definedName name="______GEN380" localSheetId="1">#REF!</definedName>
    <definedName name="______GEN380">#REF!</definedName>
    <definedName name="______GSB1" localSheetId="7">#REF!</definedName>
    <definedName name="______GSB1" localSheetId="47">#REF!</definedName>
    <definedName name="______GSB1" localSheetId="1">#REF!</definedName>
    <definedName name="______GSB1">#REF!</definedName>
    <definedName name="______GSB2" localSheetId="7">#REF!</definedName>
    <definedName name="______GSB2" localSheetId="47">#REF!</definedName>
    <definedName name="______GSB2" localSheetId="1">#REF!</definedName>
    <definedName name="______GSB2">#REF!</definedName>
    <definedName name="______GSB3" localSheetId="7">#REF!</definedName>
    <definedName name="______GSB3" localSheetId="47">#REF!</definedName>
    <definedName name="______GSB3" localSheetId="1">#REF!</definedName>
    <definedName name="______GSB3">#REF!</definedName>
    <definedName name="______HMP1" localSheetId="7">#REF!</definedName>
    <definedName name="______HMP1" localSheetId="47">#REF!</definedName>
    <definedName name="______HMP1" localSheetId="1">#REF!</definedName>
    <definedName name="______HMP1">#REF!</definedName>
    <definedName name="______HMP2" localSheetId="7">#REF!</definedName>
    <definedName name="______HMP2" localSheetId="47">#REF!</definedName>
    <definedName name="______HMP2" localSheetId="1">#REF!</definedName>
    <definedName name="______HMP2">#REF!</definedName>
    <definedName name="______HMP3" localSheetId="7">#REF!</definedName>
    <definedName name="______HMP3" localSheetId="47">#REF!</definedName>
    <definedName name="______HMP3" localSheetId="1">#REF!</definedName>
    <definedName name="______HMP3">#REF!</definedName>
    <definedName name="______HMP4" localSheetId="7">#REF!</definedName>
    <definedName name="______HMP4" localSheetId="47">#REF!</definedName>
    <definedName name="______HMP4" localSheetId="1">#REF!</definedName>
    <definedName name="______HMP4">#REF!</definedName>
    <definedName name="______Ki1" localSheetId="7">#REF!</definedName>
    <definedName name="______Ki1" localSheetId="47">#REF!</definedName>
    <definedName name="______Ki1" localSheetId="1">#REF!</definedName>
    <definedName name="______Ki1">#REF!</definedName>
    <definedName name="______Ki2" localSheetId="7">#REF!</definedName>
    <definedName name="______Ki2" localSheetId="47">#REF!</definedName>
    <definedName name="______Ki2" localSheetId="1">#REF!</definedName>
    <definedName name="______Ki2">#REF!</definedName>
    <definedName name="______lb1" localSheetId="7">#REF!</definedName>
    <definedName name="______lb1" localSheetId="47">#REF!</definedName>
    <definedName name="______lb1" localSheetId="1">#REF!</definedName>
    <definedName name="______lb1">#REF!</definedName>
    <definedName name="______lb2" localSheetId="7">#REF!</definedName>
    <definedName name="______lb2" localSheetId="47">#REF!</definedName>
    <definedName name="______lb2" localSheetId="1">#REF!</definedName>
    <definedName name="______lb2">#REF!</definedName>
    <definedName name="______mac2">200</definedName>
    <definedName name="______MAN1" localSheetId="7">#REF!</definedName>
    <definedName name="______MAN1" localSheetId="47">#REF!</definedName>
    <definedName name="______MAN1" localSheetId="1">#REF!</definedName>
    <definedName name="______MAN1">#REF!</definedName>
    <definedName name="______MIX10" localSheetId="7">#REF!</definedName>
    <definedName name="______MIX10" localSheetId="47">#REF!</definedName>
    <definedName name="______MIX10" localSheetId="1">#REF!</definedName>
    <definedName name="______MIX10">#REF!</definedName>
    <definedName name="______MIX15" localSheetId="7">#REF!</definedName>
    <definedName name="______MIX15" localSheetId="47">#REF!</definedName>
    <definedName name="______MIX15" localSheetId="1">#REF!</definedName>
    <definedName name="______MIX15">#REF!</definedName>
    <definedName name="______MIX15150" localSheetId="7">'[4]Mix Design'!#REF!</definedName>
    <definedName name="______MIX15150" localSheetId="47">'[4]Mix Design'!#REF!</definedName>
    <definedName name="______MIX15150" localSheetId="1">'[4]Mix Design'!#REF!</definedName>
    <definedName name="______MIX15150">'[4]Mix Design'!#REF!</definedName>
    <definedName name="______MIX1540">'[4]Mix Design'!$P$11</definedName>
    <definedName name="______MIX1580" localSheetId="7">'[4]Mix Design'!#REF!</definedName>
    <definedName name="______MIX1580" localSheetId="47">'[4]Mix Design'!#REF!</definedName>
    <definedName name="______MIX1580" localSheetId="1">'[4]Mix Design'!#REF!</definedName>
    <definedName name="______MIX1580">'[4]Mix Design'!#REF!</definedName>
    <definedName name="______MIX2">'[5]Mix Design'!$P$12</definedName>
    <definedName name="______MIX20" localSheetId="7">#REF!</definedName>
    <definedName name="______MIX20" localSheetId="47">#REF!</definedName>
    <definedName name="______MIX20" localSheetId="1">#REF!</definedName>
    <definedName name="______MIX20">#REF!</definedName>
    <definedName name="______MIX2020">'[4]Mix Design'!$P$12</definedName>
    <definedName name="______MIX2040">'[4]Mix Design'!$P$13</definedName>
    <definedName name="______MIX25" localSheetId="7">#REF!</definedName>
    <definedName name="______MIX25" localSheetId="47">#REF!</definedName>
    <definedName name="______MIX25" localSheetId="1">#REF!</definedName>
    <definedName name="______MIX25">#REF!</definedName>
    <definedName name="______MIX2540">'[4]Mix Design'!$P$15</definedName>
    <definedName name="______Mix255">'[6]Mix Design'!$P$13</definedName>
    <definedName name="______MIX30" localSheetId="7">#REF!</definedName>
    <definedName name="______MIX30" localSheetId="47">#REF!</definedName>
    <definedName name="______MIX30" localSheetId="1">#REF!</definedName>
    <definedName name="______MIX30">#REF!</definedName>
    <definedName name="______MIX35" localSheetId="7">#REF!</definedName>
    <definedName name="______MIX35" localSheetId="47">#REF!</definedName>
    <definedName name="______MIX35" localSheetId="1">#REF!</definedName>
    <definedName name="______MIX35">#REF!</definedName>
    <definedName name="______MIX40" localSheetId="7">#REF!</definedName>
    <definedName name="______MIX40" localSheetId="47">#REF!</definedName>
    <definedName name="______MIX40" localSheetId="1">#REF!</definedName>
    <definedName name="______MIX40">#REF!</definedName>
    <definedName name="______MIX45" localSheetId="7">'[4]Mix Design'!#REF!</definedName>
    <definedName name="______MIX45" localSheetId="47">'[4]Mix Design'!#REF!</definedName>
    <definedName name="______MIX45" localSheetId="1">'[4]Mix Design'!#REF!</definedName>
    <definedName name="______MIX45">'[4]Mix Design'!#REF!</definedName>
    <definedName name="______mm1" localSheetId="7">#REF!</definedName>
    <definedName name="______mm1" localSheetId="47">#REF!</definedName>
    <definedName name="______mm1" localSheetId="1">#REF!</definedName>
    <definedName name="______mm1">#REF!</definedName>
    <definedName name="______mm2" localSheetId="7">#REF!</definedName>
    <definedName name="______mm2" localSheetId="47">#REF!</definedName>
    <definedName name="______mm2" localSheetId="1">#REF!</definedName>
    <definedName name="______mm2">#REF!</definedName>
    <definedName name="______mm3" localSheetId="7">#REF!</definedName>
    <definedName name="______mm3" localSheetId="47">#REF!</definedName>
    <definedName name="______mm3" localSheetId="1">#REF!</definedName>
    <definedName name="______mm3">#REF!</definedName>
    <definedName name="______MUR5" localSheetId="7">#REF!</definedName>
    <definedName name="______MUR5" localSheetId="47">#REF!</definedName>
    <definedName name="______MUR5" localSheetId="1">#REF!</definedName>
    <definedName name="______MUR5">#REF!</definedName>
    <definedName name="______MUR8" localSheetId="7">#REF!</definedName>
    <definedName name="______MUR8" localSheetId="47">#REF!</definedName>
    <definedName name="______MUR8" localSheetId="1">#REF!</definedName>
    <definedName name="______MUR8">#REF!</definedName>
    <definedName name="______OPC43" localSheetId="7">#REF!</definedName>
    <definedName name="______OPC43" localSheetId="47">#REF!</definedName>
    <definedName name="______OPC43" localSheetId="1">#REF!</definedName>
    <definedName name="______OPC43">#REF!</definedName>
    <definedName name="______PB1" localSheetId="7">#REF!</definedName>
    <definedName name="______PB1" localSheetId="47">#REF!</definedName>
    <definedName name="______PB1" localSheetId="1">#REF!</definedName>
    <definedName name="______PB1">#REF!</definedName>
    <definedName name="______PPC53">'[27]21-Rate Analysis '!$E$19</definedName>
    <definedName name="______sh1">90</definedName>
    <definedName name="______sh2">120</definedName>
    <definedName name="______sh3">150</definedName>
    <definedName name="______sh4">180</definedName>
    <definedName name="______SH5" localSheetId="7">#REF!</definedName>
    <definedName name="______SH5" localSheetId="47">#REF!</definedName>
    <definedName name="______SH5" localSheetId="1">#REF!</definedName>
    <definedName name="______SH5">#REF!</definedName>
    <definedName name="______SLV10025" localSheetId="7">'[28]ANAL-PIPE LINE'!#REF!</definedName>
    <definedName name="______SLV10025" localSheetId="47">'[28]ANAL-PIPE LINE'!#REF!</definedName>
    <definedName name="______SLV10025" localSheetId="1">'[28]ANAL-PIPE LINE'!#REF!</definedName>
    <definedName name="______SLV10025">'[28]ANAL-PIPE LINE'!#REF!</definedName>
    <definedName name="______tab1" localSheetId="7">#REF!</definedName>
    <definedName name="______tab1" localSheetId="47">#REF!</definedName>
    <definedName name="______tab1" localSheetId="1">#REF!</definedName>
    <definedName name="______tab1">#REF!</definedName>
    <definedName name="______tab2" localSheetId="7">#REF!</definedName>
    <definedName name="______tab2" localSheetId="47">#REF!</definedName>
    <definedName name="______tab2" localSheetId="1">#REF!</definedName>
    <definedName name="______tab2">#REF!</definedName>
    <definedName name="______TB2" localSheetId="7">#REF!</definedName>
    <definedName name="______TB2" localSheetId="47">#REF!</definedName>
    <definedName name="______TB2" localSheetId="1">#REF!</definedName>
    <definedName name="______TB2">#REF!</definedName>
    <definedName name="______TIP1" localSheetId="7">#REF!</definedName>
    <definedName name="______TIP1" localSheetId="47">#REF!</definedName>
    <definedName name="______TIP1" localSheetId="1">#REF!</definedName>
    <definedName name="______TIP1">#REF!</definedName>
    <definedName name="______TIP2" localSheetId="7">#REF!</definedName>
    <definedName name="______TIP2" localSheetId="47">#REF!</definedName>
    <definedName name="______TIP2" localSheetId="1">#REF!</definedName>
    <definedName name="______TIP2">#REF!</definedName>
    <definedName name="______TIP3" localSheetId="7">#REF!</definedName>
    <definedName name="______TIP3" localSheetId="47">#REF!</definedName>
    <definedName name="______TIP3" localSheetId="1">#REF!</definedName>
    <definedName name="______TIP3">#REF!</definedName>
    <definedName name="_____A65537" localSheetId="7">#REF!</definedName>
    <definedName name="_____A65537" localSheetId="47">#REF!</definedName>
    <definedName name="_____A65537" localSheetId="1">#REF!</definedName>
    <definedName name="_____A65537">#REF!</definedName>
    <definedName name="_____ABM10" localSheetId="7">#REF!</definedName>
    <definedName name="_____ABM10" localSheetId="47">#REF!</definedName>
    <definedName name="_____ABM10" localSheetId="1">#REF!</definedName>
    <definedName name="_____ABM10">#REF!</definedName>
    <definedName name="_____ABM40" localSheetId="7">#REF!</definedName>
    <definedName name="_____ABM40" localSheetId="47">#REF!</definedName>
    <definedName name="_____ABM40" localSheetId="1">#REF!</definedName>
    <definedName name="_____ABM40">#REF!</definedName>
    <definedName name="_____ABM6" localSheetId="7">#REF!</definedName>
    <definedName name="_____ABM6" localSheetId="47">#REF!</definedName>
    <definedName name="_____ABM6" localSheetId="1">#REF!</definedName>
    <definedName name="_____ABM6">#REF!</definedName>
    <definedName name="_____ACB10" localSheetId="7">#REF!</definedName>
    <definedName name="_____ACB10" localSheetId="47">#REF!</definedName>
    <definedName name="_____ACB10" localSheetId="1">#REF!</definedName>
    <definedName name="_____ACB10">#REF!</definedName>
    <definedName name="_____ACB20" localSheetId="7">#REF!</definedName>
    <definedName name="_____ACB20" localSheetId="47">#REF!</definedName>
    <definedName name="_____ACB20" localSheetId="1">#REF!</definedName>
    <definedName name="_____ACB20">#REF!</definedName>
    <definedName name="_____ACR10" localSheetId="7">#REF!</definedName>
    <definedName name="_____ACR10" localSheetId="47">#REF!</definedName>
    <definedName name="_____ACR10" localSheetId="1">#REF!</definedName>
    <definedName name="_____ACR10">#REF!</definedName>
    <definedName name="_____ACR20" localSheetId="7">#REF!</definedName>
    <definedName name="_____ACR20" localSheetId="47">#REF!</definedName>
    <definedName name="_____ACR20" localSheetId="1">#REF!</definedName>
    <definedName name="_____ACR20">#REF!</definedName>
    <definedName name="_____AGG10" localSheetId="7">#REF!</definedName>
    <definedName name="_____AGG10" localSheetId="47">#REF!</definedName>
    <definedName name="_____AGG10" localSheetId="1">#REF!</definedName>
    <definedName name="_____AGG10">#REF!</definedName>
    <definedName name="_____AGG40" localSheetId="7">#REF!</definedName>
    <definedName name="_____AGG40" localSheetId="47">#REF!</definedName>
    <definedName name="_____AGG40" localSheetId="1">#REF!</definedName>
    <definedName name="_____AGG40">#REF!</definedName>
    <definedName name="_____AGG6" localSheetId="7">#REF!</definedName>
    <definedName name="_____AGG6" localSheetId="47">#REF!</definedName>
    <definedName name="_____AGG6" localSheetId="1">#REF!</definedName>
    <definedName name="_____AGG6">#REF!</definedName>
    <definedName name="_____ash1" localSheetId="7">[13]ANAL!#REF!</definedName>
    <definedName name="_____ash1" localSheetId="47">[13]ANAL!#REF!</definedName>
    <definedName name="_____ash1" localSheetId="1">[13]ANAL!#REF!</definedName>
    <definedName name="_____ash1">[13]ANAL!#REF!</definedName>
    <definedName name="_____AWM10" localSheetId="7">#REF!</definedName>
    <definedName name="_____AWM10" localSheetId="47">#REF!</definedName>
    <definedName name="_____AWM10" localSheetId="1">#REF!</definedName>
    <definedName name="_____AWM10">#REF!</definedName>
    <definedName name="_____AWM40" localSheetId="7">#REF!</definedName>
    <definedName name="_____AWM40" localSheetId="47">#REF!</definedName>
    <definedName name="_____AWM40" localSheetId="1">#REF!</definedName>
    <definedName name="_____AWM40">#REF!</definedName>
    <definedName name="_____AWM6" localSheetId="7">#REF!</definedName>
    <definedName name="_____AWM6" localSheetId="47">#REF!</definedName>
    <definedName name="_____AWM6" localSheetId="1">#REF!</definedName>
    <definedName name="_____AWM6">#REF!</definedName>
    <definedName name="_____b111121" localSheetId="7">#REF!</definedName>
    <definedName name="_____b111121" localSheetId="47">#REF!</definedName>
    <definedName name="_____b111121" localSheetId="1">#REF!</definedName>
    <definedName name="_____b111121">#REF!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7">[14]PROCTOR!#REF!</definedName>
    <definedName name="_____CAN458" localSheetId="47">[14]PROCTOR!#REF!</definedName>
    <definedName name="_____CAN458" localSheetId="1">[14]PROCTOR!#REF!</definedName>
    <definedName name="_____CAN458">[14]PROCTOR!#REF!</definedName>
    <definedName name="_____CAN486" localSheetId="7">[14]PROCTOR!#REF!</definedName>
    <definedName name="_____CAN486" localSheetId="47">[14]PROCTOR!#REF!</definedName>
    <definedName name="_____CAN486" localSheetId="1">[14]PROCTOR!#REF!</definedName>
    <definedName name="_____CAN486">[14]PROCTOR!#REF!</definedName>
    <definedName name="_____CAN487" localSheetId="7">[14]PROCTOR!#REF!</definedName>
    <definedName name="_____CAN487" localSheetId="47">[14]PROCTOR!#REF!</definedName>
    <definedName name="_____CAN487" localSheetId="1">[14]PROCTOR!#REF!</definedName>
    <definedName name="_____CAN487">[14]PROCTOR!#REF!</definedName>
    <definedName name="_____CAN488" localSheetId="7">[14]PROCTOR!#REF!</definedName>
    <definedName name="_____CAN488" localSheetId="47">[14]PROCTOR!#REF!</definedName>
    <definedName name="_____CAN488" localSheetId="1">[14]PROCTOR!#REF!</definedName>
    <definedName name="_____CAN488">[14]PROCTOR!#REF!</definedName>
    <definedName name="_____CAN489" localSheetId="7">[14]PROCTOR!#REF!</definedName>
    <definedName name="_____CAN489" localSheetId="47">[14]PROCTOR!#REF!</definedName>
    <definedName name="_____CAN489" localSheetId="1">[14]PROCTOR!#REF!</definedName>
    <definedName name="_____CAN489">[14]PROCTOR!#REF!</definedName>
    <definedName name="_____CAN490" localSheetId="7">[14]PROCTOR!#REF!</definedName>
    <definedName name="_____CAN490" localSheetId="47">[14]PROCTOR!#REF!</definedName>
    <definedName name="_____CAN490" localSheetId="1">[14]PROCTOR!#REF!</definedName>
    <definedName name="_____CAN490">[14]PROCTOR!#REF!</definedName>
    <definedName name="_____CAN491" localSheetId="7">[14]PROCTOR!#REF!</definedName>
    <definedName name="_____CAN491" localSheetId="47">[14]PROCTOR!#REF!</definedName>
    <definedName name="_____CAN491" localSheetId="1">[14]PROCTOR!#REF!</definedName>
    <definedName name="_____CAN491">[14]PROCTOR!#REF!</definedName>
    <definedName name="_____CAN492" localSheetId="7">[14]PROCTOR!#REF!</definedName>
    <definedName name="_____CAN492" localSheetId="47">[14]PROCTOR!#REF!</definedName>
    <definedName name="_____CAN492" localSheetId="1">[14]PROCTOR!#REF!</definedName>
    <definedName name="_____CAN492">[14]PROCTOR!#REF!</definedName>
    <definedName name="_____CAN493" localSheetId="7">[14]PROCTOR!#REF!</definedName>
    <definedName name="_____CAN493" localSheetId="47">[14]PROCTOR!#REF!</definedName>
    <definedName name="_____CAN493" localSheetId="1">[14]PROCTOR!#REF!</definedName>
    <definedName name="_____CAN493">[14]PROCTOR!#REF!</definedName>
    <definedName name="_____CAN494" localSheetId="7">[14]PROCTOR!#REF!</definedName>
    <definedName name="_____CAN494" localSheetId="47">[14]PROCTOR!#REF!</definedName>
    <definedName name="_____CAN494" localSheetId="1">[14]PROCTOR!#REF!</definedName>
    <definedName name="_____CAN494">[14]PROCTOR!#REF!</definedName>
    <definedName name="_____CAN495" localSheetId="7">[14]PROCTOR!#REF!</definedName>
    <definedName name="_____CAN495" localSheetId="47">[14]PROCTOR!#REF!</definedName>
    <definedName name="_____CAN495" localSheetId="1">[14]PROCTOR!#REF!</definedName>
    <definedName name="_____CAN495">[14]PROCTOR!#REF!</definedName>
    <definedName name="_____CAN496" localSheetId="7">[14]PROCTOR!#REF!</definedName>
    <definedName name="_____CAN496" localSheetId="47">[14]PROCTOR!#REF!</definedName>
    <definedName name="_____CAN496" localSheetId="1">[14]PROCTOR!#REF!</definedName>
    <definedName name="_____CAN496">[14]PROCTOR!#REF!</definedName>
    <definedName name="_____CAN497" localSheetId="7">[14]PROCTOR!#REF!</definedName>
    <definedName name="_____CAN497" localSheetId="47">[14]PROCTOR!#REF!</definedName>
    <definedName name="_____CAN497" localSheetId="1">[14]PROCTOR!#REF!</definedName>
    <definedName name="_____CAN497">[14]PROCTOR!#REF!</definedName>
    <definedName name="_____CAN498" localSheetId="7">[14]PROCTOR!#REF!</definedName>
    <definedName name="_____CAN498" localSheetId="47">[14]PROCTOR!#REF!</definedName>
    <definedName name="_____CAN498" localSheetId="1">[14]PROCTOR!#REF!</definedName>
    <definedName name="_____CAN498">[14]PROCTOR!#REF!</definedName>
    <definedName name="_____CAN499" localSheetId="7">[14]PROCTOR!#REF!</definedName>
    <definedName name="_____CAN499" localSheetId="47">[14]PROCTOR!#REF!</definedName>
    <definedName name="_____CAN499" localSheetId="1">[14]PROCTOR!#REF!</definedName>
    <definedName name="_____CAN499">[14]PROCTOR!#REF!</definedName>
    <definedName name="_____CAN500" localSheetId="7">[14]PROCTOR!#REF!</definedName>
    <definedName name="_____CAN500" localSheetId="47">[14]PROCTOR!#REF!</definedName>
    <definedName name="_____CAN500" localSheetId="1">[14]PROCTOR!#REF!</definedName>
    <definedName name="_____CAN500">[14]PROCTOR!#REF!</definedName>
    <definedName name="_____CDG100" localSheetId="7">#REF!</definedName>
    <definedName name="_____CDG100" localSheetId="47">#REF!</definedName>
    <definedName name="_____CDG100" localSheetId="1">#REF!</definedName>
    <definedName name="_____CDG100">#REF!</definedName>
    <definedName name="_____CDG250" localSheetId="7">#REF!</definedName>
    <definedName name="_____CDG250" localSheetId="47">#REF!</definedName>
    <definedName name="_____CDG250" localSheetId="1">#REF!</definedName>
    <definedName name="_____CDG250">#REF!</definedName>
    <definedName name="_____CDG50" localSheetId="7">#REF!</definedName>
    <definedName name="_____CDG50" localSheetId="47">#REF!</definedName>
    <definedName name="_____CDG50" localSheetId="1">#REF!</definedName>
    <definedName name="_____CDG50">#REF!</definedName>
    <definedName name="_____CDG500" localSheetId="7">#REF!</definedName>
    <definedName name="_____CDG500" localSheetId="47">#REF!</definedName>
    <definedName name="_____CDG500" localSheetId="1">#REF!</definedName>
    <definedName name="_____CDG500">#REF!</definedName>
    <definedName name="_____CEM53" localSheetId="7">#REF!</definedName>
    <definedName name="_____CEM53" localSheetId="47">#REF!</definedName>
    <definedName name="_____CEM53" localSheetId="1">#REF!</definedName>
    <definedName name="_____CEM53">#REF!</definedName>
    <definedName name="_____CRN3" localSheetId="7">#REF!</definedName>
    <definedName name="_____CRN3" localSheetId="47">#REF!</definedName>
    <definedName name="_____CRN3" localSheetId="1">#REF!</definedName>
    <definedName name="_____CRN3">#REF!</definedName>
    <definedName name="_____CRN35" localSheetId="7">#REF!</definedName>
    <definedName name="_____CRN35" localSheetId="47">#REF!</definedName>
    <definedName name="_____CRN35" localSheetId="1">#REF!</definedName>
    <definedName name="_____CRN35">#REF!</definedName>
    <definedName name="_____CRN80" localSheetId="7">#REF!</definedName>
    <definedName name="_____CRN80" localSheetId="47">#REF!</definedName>
    <definedName name="_____CRN80" localSheetId="1">#REF!</definedName>
    <definedName name="_____CRN80">#REF!</definedName>
    <definedName name="_____dec05" localSheetId="7" hidden="1">{"'Sheet1'!$A$4386:$N$4591"}</definedName>
    <definedName name="_____dec05" localSheetId="47" hidden="1">{"'Sheet1'!$A$4386:$N$4591"}</definedName>
    <definedName name="_____dec05" localSheetId="1" hidden="1">{"'Sheet1'!$A$4386:$N$4591"}</definedName>
    <definedName name="_____dec05" hidden="1">{"'Sheet1'!$A$4386:$N$4591"}</definedName>
    <definedName name="_____DOZ50" localSheetId="7">#REF!</definedName>
    <definedName name="_____DOZ50" localSheetId="47">#REF!</definedName>
    <definedName name="_____DOZ50" localSheetId="1">#REF!</definedName>
    <definedName name="_____DOZ50">#REF!</definedName>
    <definedName name="_____DOZ80" localSheetId="7">#REF!</definedName>
    <definedName name="_____DOZ80" localSheetId="47">#REF!</definedName>
    <definedName name="_____DOZ80" localSheetId="1">#REF!</definedName>
    <definedName name="_____DOZ80">#REF!</definedName>
    <definedName name="_____EXC10">'[23]21-Rate Analysis-1'!$E$53</definedName>
    <definedName name="_____EXC20">'[27]21-Rate Analysis '!$E$50</definedName>
    <definedName name="_____EXC7">'[23]21-Rate Analysis-1'!$E$54</definedName>
    <definedName name="_____ExV200" localSheetId="7">#REF!</definedName>
    <definedName name="_____ExV200" localSheetId="47">#REF!</definedName>
    <definedName name="_____ExV200" localSheetId="1">#REF!</definedName>
    <definedName name="_____ExV200">#REF!</definedName>
    <definedName name="_____GEN100" localSheetId="7">#REF!</definedName>
    <definedName name="_____GEN100" localSheetId="47">#REF!</definedName>
    <definedName name="_____GEN100" localSheetId="1">#REF!</definedName>
    <definedName name="_____GEN100">#REF!</definedName>
    <definedName name="_____GEN250" localSheetId="7">#REF!</definedName>
    <definedName name="_____GEN250" localSheetId="47">#REF!</definedName>
    <definedName name="_____GEN250" localSheetId="1">#REF!</definedName>
    <definedName name="_____GEN250">#REF!</definedName>
    <definedName name="_____GEN325" localSheetId="7">#REF!</definedName>
    <definedName name="_____GEN325" localSheetId="47">#REF!</definedName>
    <definedName name="_____GEN325" localSheetId="1">#REF!</definedName>
    <definedName name="_____GEN325">#REF!</definedName>
    <definedName name="_____GEN380" localSheetId="7">#REF!</definedName>
    <definedName name="_____GEN380" localSheetId="47">#REF!</definedName>
    <definedName name="_____GEN380" localSheetId="1">#REF!</definedName>
    <definedName name="_____GEN380">#REF!</definedName>
    <definedName name="_____GSB1" localSheetId="7">#REF!</definedName>
    <definedName name="_____GSB1" localSheetId="47">#REF!</definedName>
    <definedName name="_____GSB1" localSheetId="1">#REF!</definedName>
    <definedName name="_____GSB1">#REF!</definedName>
    <definedName name="_____GSB2" localSheetId="7">#REF!</definedName>
    <definedName name="_____GSB2" localSheetId="47">#REF!</definedName>
    <definedName name="_____GSB2" localSheetId="1">#REF!</definedName>
    <definedName name="_____GSB2">#REF!</definedName>
    <definedName name="_____GSB3" localSheetId="7">#REF!</definedName>
    <definedName name="_____GSB3" localSheetId="47">#REF!</definedName>
    <definedName name="_____GSB3" localSheetId="1">#REF!</definedName>
    <definedName name="_____GSB3">#REF!</definedName>
    <definedName name="_____HMP1" localSheetId="7">#REF!</definedName>
    <definedName name="_____HMP1" localSheetId="47">#REF!</definedName>
    <definedName name="_____HMP1" localSheetId="1">#REF!</definedName>
    <definedName name="_____HMP1">#REF!</definedName>
    <definedName name="_____HMP2" localSheetId="7">#REF!</definedName>
    <definedName name="_____HMP2" localSheetId="47">#REF!</definedName>
    <definedName name="_____HMP2" localSheetId="1">#REF!</definedName>
    <definedName name="_____HMP2">#REF!</definedName>
    <definedName name="_____HMP3" localSheetId="7">#REF!</definedName>
    <definedName name="_____HMP3" localSheetId="47">#REF!</definedName>
    <definedName name="_____HMP3" localSheetId="1">#REF!</definedName>
    <definedName name="_____HMP3">#REF!</definedName>
    <definedName name="_____HMP4" localSheetId="7">#REF!</definedName>
    <definedName name="_____HMP4" localSheetId="47">#REF!</definedName>
    <definedName name="_____HMP4" localSheetId="1">#REF!</definedName>
    <definedName name="_____HMP4">#REF!</definedName>
    <definedName name="_____Ki1" localSheetId="7">#REF!</definedName>
    <definedName name="_____Ki1" localSheetId="47">#REF!</definedName>
    <definedName name="_____Ki1" localSheetId="1">#REF!</definedName>
    <definedName name="_____Ki1">#REF!</definedName>
    <definedName name="_____Ki2" localSheetId="7">#REF!</definedName>
    <definedName name="_____Ki2" localSheetId="47">#REF!</definedName>
    <definedName name="_____Ki2" localSheetId="1">#REF!</definedName>
    <definedName name="_____Ki2">#REF!</definedName>
    <definedName name="_____lb1" localSheetId="7">#REF!</definedName>
    <definedName name="_____lb1" localSheetId="47">#REF!</definedName>
    <definedName name="_____lb1" localSheetId="1">#REF!</definedName>
    <definedName name="_____lb1">#REF!</definedName>
    <definedName name="_____lb2" localSheetId="7">#REF!</definedName>
    <definedName name="_____lb2" localSheetId="47">#REF!</definedName>
    <definedName name="_____lb2" localSheetId="1">#REF!</definedName>
    <definedName name="_____lb2">#REF!</definedName>
    <definedName name="_____mac2">200</definedName>
    <definedName name="_____MAN1" localSheetId="7">#REF!</definedName>
    <definedName name="_____MAN1" localSheetId="47">#REF!</definedName>
    <definedName name="_____MAN1" localSheetId="1">#REF!</definedName>
    <definedName name="_____MAN1">#REF!</definedName>
    <definedName name="_____MIX10" localSheetId="7">#REF!</definedName>
    <definedName name="_____MIX10" localSheetId="47">#REF!</definedName>
    <definedName name="_____MIX10" localSheetId="1">#REF!</definedName>
    <definedName name="_____MIX10">#REF!</definedName>
    <definedName name="_____MIX15" localSheetId="7">#REF!</definedName>
    <definedName name="_____MIX15" localSheetId="47">#REF!</definedName>
    <definedName name="_____MIX15" localSheetId="1">#REF!</definedName>
    <definedName name="_____MIX15">#REF!</definedName>
    <definedName name="_____MIX15150" localSheetId="7">'[4]Mix Design'!#REF!</definedName>
    <definedName name="_____MIX15150" localSheetId="47">'[4]Mix Design'!#REF!</definedName>
    <definedName name="_____MIX15150" localSheetId="1">'[4]Mix Design'!#REF!</definedName>
    <definedName name="_____MIX15150">'[4]Mix Design'!#REF!</definedName>
    <definedName name="_____MIX1540">'[4]Mix Design'!$P$11</definedName>
    <definedName name="_____MIX1580" localSheetId="7">'[4]Mix Design'!#REF!</definedName>
    <definedName name="_____MIX1580" localSheetId="47">'[4]Mix Design'!#REF!</definedName>
    <definedName name="_____MIX1580" localSheetId="1">'[4]Mix Design'!#REF!</definedName>
    <definedName name="_____MIX1580">'[4]Mix Design'!#REF!</definedName>
    <definedName name="_____MIX2">'[5]Mix Design'!$P$12</definedName>
    <definedName name="_____MIX20" localSheetId="7">#REF!</definedName>
    <definedName name="_____MIX20" localSheetId="47">#REF!</definedName>
    <definedName name="_____MIX20" localSheetId="1">#REF!</definedName>
    <definedName name="_____MIX20">#REF!</definedName>
    <definedName name="_____MIX2020">'[4]Mix Design'!$P$12</definedName>
    <definedName name="_____MIX2040">'[4]Mix Design'!$P$13</definedName>
    <definedName name="_____MIX25" localSheetId="7">#REF!</definedName>
    <definedName name="_____MIX25" localSheetId="47">#REF!</definedName>
    <definedName name="_____MIX25" localSheetId="1">#REF!</definedName>
    <definedName name="_____MIX25">#REF!</definedName>
    <definedName name="_____MIX2540">'[4]Mix Design'!$P$15</definedName>
    <definedName name="_____Mix255">'[6]Mix Design'!$P$13</definedName>
    <definedName name="_____MIX30" localSheetId="7">#REF!</definedName>
    <definedName name="_____MIX30" localSheetId="47">#REF!</definedName>
    <definedName name="_____MIX30" localSheetId="1">#REF!</definedName>
    <definedName name="_____MIX30">#REF!</definedName>
    <definedName name="_____MIX35" localSheetId="7">#REF!</definedName>
    <definedName name="_____MIX35" localSheetId="47">#REF!</definedName>
    <definedName name="_____MIX35" localSheetId="1">#REF!</definedName>
    <definedName name="_____MIX35">#REF!</definedName>
    <definedName name="_____MIX40" localSheetId="7">#REF!</definedName>
    <definedName name="_____MIX40" localSheetId="47">#REF!</definedName>
    <definedName name="_____MIX40" localSheetId="1">#REF!</definedName>
    <definedName name="_____MIX40">#REF!</definedName>
    <definedName name="_____MIX45" localSheetId="7">'[4]Mix Design'!#REF!</definedName>
    <definedName name="_____MIX45" localSheetId="47">'[4]Mix Design'!#REF!</definedName>
    <definedName name="_____MIX45" localSheetId="1">'[4]Mix Design'!#REF!</definedName>
    <definedName name="_____MIX45">'[4]Mix Design'!#REF!</definedName>
    <definedName name="_____mm1" localSheetId="7">#REF!</definedName>
    <definedName name="_____mm1" localSheetId="47">#REF!</definedName>
    <definedName name="_____mm1" localSheetId="1">#REF!</definedName>
    <definedName name="_____mm1">#REF!</definedName>
    <definedName name="_____mm2" localSheetId="7">#REF!</definedName>
    <definedName name="_____mm2" localSheetId="47">#REF!</definedName>
    <definedName name="_____mm2" localSheetId="1">#REF!</definedName>
    <definedName name="_____mm2">#REF!</definedName>
    <definedName name="_____mm3" localSheetId="7">#REF!</definedName>
    <definedName name="_____mm3" localSheetId="47">#REF!</definedName>
    <definedName name="_____mm3" localSheetId="1">#REF!</definedName>
    <definedName name="_____mm3">#REF!</definedName>
    <definedName name="_____MUR5" localSheetId="7">#REF!</definedName>
    <definedName name="_____MUR5" localSheetId="47">#REF!</definedName>
    <definedName name="_____MUR5" localSheetId="1">#REF!</definedName>
    <definedName name="_____MUR5">#REF!</definedName>
    <definedName name="_____MUR8" localSheetId="7">#REF!</definedName>
    <definedName name="_____MUR8" localSheetId="47">#REF!</definedName>
    <definedName name="_____MUR8" localSheetId="1">#REF!</definedName>
    <definedName name="_____MUR8">#REF!</definedName>
    <definedName name="_____OPC43" localSheetId="7">#REF!</definedName>
    <definedName name="_____OPC43" localSheetId="47">#REF!</definedName>
    <definedName name="_____OPC43" localSheetId="1">#REF!</definedName>
    <definedName name="_____OPC43">#REF!</definedName>
    <definedName name="_____PB1" localSheetId="7">#REF!</definedName>
    <definedName name="_____PB1" localSheetId="47">#REF!</definedName>
    <definedName name="_____PB1" localSheetId="1">#REF!</definedName>
    <definedName name="_____PB1">#REF!</definedName>
    <definedName name="_____PPC53">'[27]21-Rate Analysis '!$E$19</definedName>
    <definedName name="_____sh1">90</definedName>
    <definedName name="_____sh2">120</definedName>
    <definedName name="_____sh3">150</definedName>
    <definedName name="_____sh4">180</definedName>
    <definedName name="_____SH5" localSheetId="7">#REF!</definedName>
    <definedName name="_____SH5" localSheetId="47">#REF!</definedName>
    <definedName name="_____SH5" localSheetId="1">#REF!</definedName>
    <definedName name="_____SH5">#REF!</definedName>
    <definedName name="_____SMG1">#N/A</definedName>
    <definedName name="_____SMG2">#N/A</definedName>
    <definedName name="_____tab1" localSheetId="7">#REF!</definedName>
    <definedName name="_____tab1" localSheetId="47">#REF!</definedName>
    <definedName name="_____tab1" localSheetId="1">#REF!</definedName>
    <definedName name="_____tab1">#REF!</definedName>
    <definedName name="_____tab2" localSheetId="7">#REF!</definedName>
    <definedName name="_____tab2" localSheetId="47">#REF!</definedName>
    <definedName name="_____tab2" localSheetId="1">#REF!</definedName>
    <definedName name="_____tab2">#REF!</definedName>
    <definedName name="_____TB2" localSheetId="7">#REF!</definedName>
    <definedName name="_____TB2" localSheetId="47">#REF!</definedName>
    <definedName name="_____TB2" localSheetId="1">#REF!</definedName>
    <definedName name="_____TB2">#REF!</definedName>
    <definedName name="_____TIP1" localSheetId="7">#REF!</definedName>
    <definedName name="_____TIP1" localSheetId="47">#REF!</definedName>
    <definedName name="_____TIP1" localSheetId="1">#REF!</definedName>
    <definedName name="_____TIP1">#REF!</definedName>
    <definedName name="_____TIP2" localSheetId="7">#REF!</definedName>
    <definedName name="_____TIP2" localSheetId="47">#REF!</definedName>
    <definedName name="_____TIP2" localSheetId="1">#REF!</definedName>
    <definedName name="_____TIP2">#REF!</definedName>
    <definedName name="_____TIP3" localSheetId="7">#REF!</definedName>
    <definedName name="_____TIP3" localSheetId="47">#REF!</definedName>
    <definedName name="_____TIP3" localSheetId="1">#REF!</definedName>
    <definedName name="_____TIP3">#REF!</definedName>
    <definedName name="____A65537" localSheetId="7">#REF!</definedName>
    <definedName name="____A65537" localSheetId="47">#REF!</definedName>
    <definedName name="____A65537" localSheetId="1">#REF!</definedName>
    <definedName name="____A65537">#REF!</definedName>
    <definedName name="____ABM10" localSheetId="7">#REF!</definedName>
    <definedName name="____ABM10" localSheetId="47">#REF!</definedName>
    <definedName name="____ABM10" localSheetId="1">#REF!</definedName>
    <definedName name="____ABM10">#REF!</definedName>
    <definedName name="____ABM40" localSheetId="7">#REF!</definedName>
    <definedName name="____ABM40" localSheetId="47">#REF!</definedName>
    <definedName name="____ABM40" localSheetId="1">#REF!</definedName>
    <definedName name="____ABM40">#REF!</definedName>
    <definedName name="____ABM6" localSheetId="7">#REF!</definedName>
    <definedName name="____ABM6" localSheetId="47">#REF!</definedName>
    <definedName name="____ABM6" localSheetId="1">#REF!</definedName>
    <definedName name="____ABM6">#REF!</definedName>
    <definedName name="____ACB10" localSheetId="7">#REF!</definedName>
    <definedName name="____ACB10" localSheetId="47">#REF!</definedName>
    <definedName name="____ACB10" localSheetId="1">#REF!</definedName>
    <definedName name="____ACB10">#REF!</definedName>
    <definedName name="____ACB20" localSheetId="7">#REF!</definedName>
    <definedName name="____ACB20" localSheetId="47">#REF!</definedName>
    <definedName name="____ACB20" localSheetId="1">#REF!</definedName>
    <definedName name="____ACB20">#REF!</definedName>
    <definedName name="____ACR10" localSheetId="7">#REF!</definedName>
    <definedName name="____ACR10" localSheetId="47">#REF!</definedName>
    <definedName name="____ACR10" localSheetId="1">#REF!</definedName>
    <definedName name="____ACR10">#REF!</definedName>
    <definedName name="____ACR20" localSheetId="7">#REF!</definedName>
    <definedName name="____ACR20" localSheetId="47">#REF!</definedName>
    <definedName name="____ACR20" localSheetId="1">#REF!</definedName>
    <definedName name="____ACR20">#REF!</definedName>
    <definedName name="____AGG10" localSheetId="7">#REF!</definedName>
    <definedName name="____AGG10" localSheetId="47">#REF!</definedName>
    <definedName name="____AGG10" localSheetId="1">#REF!</definedName>
    <definedName name="____AGG10">#REF!</definedName>
    <definedName name="____AGG40" localSheetId="7">#REF!</definedName>
    <definedName name="____AGG40" localSheetId="47">#REF!</definedName>
    <definedName name="____AGG40" localSheetId="1">#REF!</definedName>
    <definedName name="____AGG40">#REF!</definedName>
    <definedName name="____AGG6" localSheetId="7">#REF!</definedName>
    <definedName name="____AGG6" localSheetId="47">#REF!</definedName>
    <definedName name="____AGG6" localSheetId="1">#REF!</definedName>
    <definedName name="____AGG6">#REF!</definedName>
    <definedName name="____ash1" localSheetId="7">[13]ANAL!#REF!</definedName>
    <definedName name="____ash1" localSheetId="47">[13]ANAL!#REF!</definedName>
    <definedName name="____ash1" localSheetId="1">[13]ANAL!#REF!</definedName>
    <definedName name="____ash1">[13]ANAL!#REF!</definedName>
    <definedName name="____AWM10" localSheetId="7">#REF!</definedName>
    <definedName name="____AWM10" localSheetId="47">#REF!</definedName>
    <definedName name="____AWM10" localSheetId="1">#REF!</definedName>
    <definedName name="____AWM10">#REF!</definedName>
    <definedName name="____AWM40" localSheetId="7">#REF!</definedName>
    <definedName name="____AWM40" localSheetId="47">#REF!</definedName>
    <definedName name="____AWM40" localSheetId="1">#REF!</definedName>
    <definedName name="____AWM40">#REF!</definedName>
    <definedName name="____AWM6" localSheetId="7">#REF!</definedName>
    <definedName name="____AWM6" localSheetId="47">#REF!</definedName>
    <definedName name="____AWM6" localSheetId="1">#REF!</definedName>
    <definedName name="____AWM6">#REF!</definedName>
    <definedName name="____b111121" localSheetId="7">#REF!</definedName>
    <definedName name="____b111121" localSheetId="47">#REF!</definedName>
    <definedName name="____b111121" localSheetId="1">#REF!</definedName>
    <definedName name="____b111121">#REF!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7">[14]PROCTOR!#REF!</definedName>
    <definedName name="____CAN458" localSheetId="47">[14]PROCTOR!#REF!</definedName>
    <definedName name="____CAN458" localSheetId="1">[14]PROCTOR!#REF!</definedName>
    <definedName name="____CAN458">[14]PROCTOR!#REF!</definedName>
    <definedName name="____CAN486" localSheetId="7">[14]PROCTOR!#REF!</definedName>
    <definedName name="____CAN486" localSheetId="47">[14]PROCTOR!#REF!</definedName>
    <definedName name="____CAN486" localSheetId="1">[14]PROCTOR!#REF!</definedName>
    <definedName name="____CAN486">[14]PROCTOR!#REF!</definedName>
    <definedName name="____CAN487" localSheetId="7">[14]PROCTOR!#REF!</definedName>
    <definedName name="____CAN487" localSheetId="47">[14]PROCTOR!#REF!</definedName>
    <definedName name="____CAN487" localSheetId="1">[14]PROCTOR!#REF!</definedName>
    <definedName name="____CAN487">[14]PROCTOR!#REF!</definedName>
    <definedName name="____CAN488" localSheetId="7">[14]PROCTOR!#REF!</definedName>
    <definedName name="____CAN488" localSheetId="47">[14]PROCTOR!#REF!</definedName>
    <definedName name="____CAN488" localSheetId="1">[14]PROCTOR!#REF!</definedName>
    <definedName name="____CAN488">[14]PROCTOR!#REF!</definedName>
    <definedName name="____CAN489" localSheetId="7">[14]PROCTOR!#REF!</definedName>
    <definedName name="____CAN489" localSheetId="47">[14]PROCTOR!#REF!</definedName>
    <definedName name="____CAN489" localSheetId="1">[14]PROCTOR!#REF!</definedName>
    <definedName name="____CAN489">[14]PROCTOR!#REF!</definedName>
    <definedName name="____CAN490" localSheetId="7">[14]PROCTOR!#REF!</definedName>
    <definedName name="____CAN490" localSheetId="47">[14]PROCTOR!#REF!</definedName>
    <definedName name="____CAN490" localSheetId="1">[14]PROCTOR!#REF!</definedName>
    <definedName name="____CAN490">[14]PROCTOR!#REF!</definedName>
    <definedName name="____CAN491" localSheetId="7">[14]PROCTOR!#REF!</definedName>
    <definedName name="____CAN491" localSheetId="47">[14]PROCTOR!#REF!</definedName>
    <definedName name="____CAN491" localSheetId="1">[14]PROCTOR!#REF!</definedName>
    <definedName name="____CAN491">[14]PROCTOR!#REF!</definedName>
    <definedName name="____CAN492" localSheetId="7">[14]PROCTOR!#REF!</definedName>
    <definedName name="____CAN492" localSheetId="47">[14]PROCTOR!#REF!</definedName>
    <definedName name="____CAN492" localSheetId="1">[14]PROCTOR!#REF!</definedName>
    <definedName name="____CAN492">[14]PROCTOR!#REF!</definedName>
    <definedName name="____CAN493" localSheetId="7">[14]PROCTOR!#REF!</definedName>
    <definedName name="____CAN493" localSheetId="47">[14]PROCTOR!#REF!</definedName>
    <definedName name="____CAN493" localSheetId="1">[14]PROCTOR!#REF!</definedName>
    <definedName name="____CAN493">[14]PROCTOR!#REF!</definedName>
    <definedName name="____CAN494" localSheetId="7">[14]PROCTOR!#REF!</definedName>
    <definedName name="____CAN494" localSheetId="47">[14]PROCTOR!#REF!</definedName>
    <definedName name="____CAN494" localSheetId="1">[14]PROCTOR!#REF!</definedName>
    <definedName name="____CAN494">[14]PROCTOR!#REF!</definedName>
    <definedName name="____CAN495" localSheetId="7">[14]PROCTOR!#REF!</definedName>
    <definedName name="____CAN495" localSheetId="47">[14]PROCTOR!#REF!</definedName>
    <definedName name="____CAN495" localSheetId="1">[14]PROCTOR!#REF!</definedName>
    <definedName name="____CAN495">[14]PROCTOR!#REF!</definedName>
    <definedName name="____CAN496" localSheetId="7">[14]PROCTOR!#REF!</definedName>
    <definedName name="____CAN496" localSheetId="47">[14]PROCTOR!#REF!</definedName>
    <definedName name="____CAN496" localSheetId="1">[14]PROCTOR!#REF!</definedName>
    <definedName name="____CAN496">[14]PROCTOR!#REF!</definedName>
    <definedName name="____CAN497" localSheetId="7">[14]PROCTOR!#REF!</definedName>
    <definedName name="____CAN497" localSheetId="47">[14]PROCTOR!#REF!</definedName>
    <definedName name="____CAN497" localSheetId="1">[14]PROCTOR!#REF!</definedName>
    <definedName name="____CAN497">[14]PROCTOR!#REF!</definedName>
    <definedName name="____CAN498" localSheetId="7">[14]PROCTOR!#REF!</definedName>
    <definedName name="____CAN498" localSheetId="47">[14]PROCTOR!#REF!</definedName>
    <definedName name="____CAN498" localSheetId="1">[14]PROCTOR!#REF!</definedName>
    <definedName name="____CAN498">[14]PROCTOR!#REF!</definedName>
    <definedName name="____CAN499" localSheetId="7">[14]PROCTOR!#REF!</definedName>
    <definedName name="____CAN499" localSheetId="47">[14]PROCTOR!#REF!</definedName>
    <definedName name="____CAN499" localSheetId="1">[14]PROCTOR!#REF!</definedName>
    <definedName name="____CAN499">[14]PROCTOR!#REF!</definedName>
    <definedName name="____CAN500" localSheetId="7">[14]PROCTOR!#REF!</definedName>
    <definedName name="____CAN500" localSheetId="47">[14]PROCTOR!#REF!</definedName>
    <definedName name="____CAN500" localSheetId="1">[14]PROCTOR!#REF!</definedName>
    <definedName name="____CAN500">[14]PROCTOR!#REF!</definedName>
    <definedName name="____CDG100" localSheetId="7">#REF!</definedName>
    <definedName name="____CDG100" localSheetId="47">#REF!</definedName>
    <definedName name="____CDG100" localSheetId="1">#REF!</definedName>
    <definedName name="____CDG100">#REF!</definedName>
    <definedName name="____CDG250" localSheetId="7">#REF!</definedName>
    <definedName name="____CDG250" localSheetId="47">#REF!</definedName>
    <definedName name="____CDG250" localSheetId="1">#REF!</definedName>
    <definedName name="____CDG250">#REF!</definedName>
    <definedName name="____CDG50" localSheetId="7">#REF!</definedName>
    <definedName name="____CDG50" localSheetId="47">#REF!</definedName>
    <definedName name="____CDG50" localSheetId="1">#REF!</definedName>
    <definedName name="____CDG50">#REF!</definedName>
    <definedName name="____CDG500" localSheetId="7">#REF!</definedName>
    <definedName name="____CDG500" localSheetId="47">#REF!</definedName>
    <definedName name="____CDG500" localSheetId="1">#REF!</definedName>
    <definedName name="____CDG500">#REF!</definedName>
    <definedName name="____CEM53" localSheetId="7">#REF!</definedName>
    <definedName name="____CEM53" localSheetId="47">#REF!</definedName>
    <definedName name="____CEM53" localSheetId="1">#REF!</definedName>
    <definedName name="____CEM53">#REF!</definedName>
    <definedName name="____CRN3" localSheetId="7">#REF!</definedName>
    <definedName name="____CRN3" localSheetId="47">#REF!</definedName>
    <definedName name="____CRN3" localSheetId="1">#REF!</definedName>
    <definedName name="____CRN3">#REF!</definedName>
    <definedName name="____CRN35" localSheetId="7">#REF!</definedName>
    <definedName name="____CRN35" localSheetId="47">#REF!</definedName>
    <definedName name="____CRN35" localSheetId="1">#REF!</definedName>
    <definedName name="____CRN35">#REF!</definedName>
    <definedName name="____CRN80" localSheetId="7">#REF!</definedName>
    <definedName name="____CRN80" localSheetId="47">#REF!</definedName>
    <definedName name="____CRN80" localSheetId="1">#REF!</definedName>
    <definedName name="____CRN80">#REF!</definedName>
    <definedName name="____dec05" localSheetId="7" hidden="1">{"'Sheet1'!$A$4386:$N$4591"}</definedName>
    <definedName name="____dec05" localSheetId="47" hidden="1">{"'Sheet1'!$A$4386:$N$4591"}</definedName>
    <definedName name="____dec05" localSheetId="1" hidden="1">{"'Sheet1'!$A$4386:$N$4591"}</definedName>
    <definedName name="____dec05" hidden="1">{"'Sheet1'!$A$4386:$N$4591"}</definedName>
    <definedName name="____doc1" localSheetId="7">#REF!</definedName>
    <definedName name="____doc1" localSheetId="47">#REF!</definedName>
    <definedName name="____doc1" localSheetId="1">#REF!</definedName>
    <definedName name="____doc1">#REF!</definedName>
    <definedName name="____DOZ50" localSheetId="7">#REF!</definedName>
    <definedName name="____DOZ50" localSheetId="47">#REF!</definedName>
    <definedName name="____DOZ50" localSheetId="1">#REF!</definedName>
    <definedName name="____DOZ50">#REF!</definedName>
    <definedName name="____DOZ80" localSheetId="7">#REF!</definedName>
    <definedName name="____DOZ80" localSheetId="47">#REF!</definedName>
    <definedName name="____DOZ80" localSheetId="1">#REF!</definedName>
    <definedName name="____DOZ80">#REF!</definedName>
    <definedName name="____EXC10">'[23]21-Rate Analysis-1'!$E$53</definedName>
    <definedName name="____EXC20">'[29]21-Rate Analysis-1'!$E$50</definedName>
    <definedName name="____EXC7">'[23]21-Rate Analysis-1'!$E$54</definedName>
    <definedName name="____ExV200" localSheetId="7">#REF!</definedName>
    <definedName name="____ExV200" localSheetId="47">#REF!</definedName>
    <definedName name="____ExV200" localSheetId="1">#REF!</definedName>
    <definedName name="____ExV200">#REF!</definedName>
    <definedName name="____GEN100" localSheetId="7">#REF!</definedName>
    <definedName name="____GEN100" localSheetId="47">#REF!</definedName>
    <definedName name="____GEN100" localSheetId="1">#REF!</definedName>
    <definedName name="____GEN100">#REF!</definedName>
    <definedName name="____GEN250" localSheetId="7">#REF!</definedName>
    <definedName name="____GEN250" localSheetId="47">#REF!</definedName>
    <definedName name="____GEN250" localSheetId="1">#REF!</definedName>
    <definedName name="____GEN250">#REF!</definedName>
    <definedName name="____GEN325" localSheetId="7">#REF!</definedName>
    <definedName name="____GEN325" localSheetId="47">#REF!</definedName>
    <definedName name="____GEN325" localSheetId="1">#REF!</definedName>
    <definedName name="____GEN325">#REF!</definedName>
    <definedName name="____GEN380" localSheetId="7">#REF!</definedName>
    <definedName name="____GEN380" localSheetId="47">#REF!</definedName>
    <definedName name="____GEN380" localSheetId="1">#REF!</definedName>
    <definedName name="____GEN380">#REF!</definedName>
    <definedName name="____GSB1" localSheetId="7">#REF!</definedName>
    <definedName name="____GSB1" localSheetId="47">#REF!</definedName>
    <definedName name="____GSB1" localSheetId="1">#REF!</definedName>
    <definedName name="____GSB1">#REF!</definedName>
    <definedName name="____GSB2" localSheetId="7">#REF!</definedName>
    <definedName name="____GSB2" localSheetId="47">#REF!</definedName>
    <definedName name="____GSB2" localSheetId="1">#REF!</definedName>
    <definedName name="____GSB2">#REF!</definedName>
    <definedName name="____GSB3" localSheetId="7">#REF!</definedName>
    <definedName name="____GSB3" localSheetId="47">#REF!</definedName>
    <definedName name="____GSB3" localSheetId="1">#REF!</definedName>
    <definedName name="____GSB3">#REF!</definedName>
    <definedName name="____HMP1" localSheetId="7">#REF!</definedName>
    <definedName name="____HMP1" localSheetId="47">#REF!</definedName>
    <definedName name="____HMP1" localSheetId="1">#REF!</definedName>
    <definedName name="____HMP1">#REF!</definedName>
    <definedName name="____HMP2" localSheetId="7">#REF!</definedName>
    <definedName name="____HMP2" localSheetId="47">#REF!</definedName>
    <definedName name="____HMP2" localSheetId="1">#REF!</definedName>
    <definedName name="____HMP2">#REF!</definedName>
    <definedName name="____HMP3" localSheetId="7">#REF!</definedName>
    <definedName name="____HMP3" localSheetId="47">#REF!</definedName>
    <definedName name="____HMP3" localSheetId="1">#REF!</definedName>
    <definedName name="____HMP3">#REF!</definedName>
    <definedName name="____HMP4" localSheetId="7">#REF!</definedName>
    <definedName name="____HMP4" localSheetId="47">#REF!</definedName>
    <definedName name="____HMP4" localSheetId="1">#REF!</definedName>
    <definedName name="____HMP4">#REF!</definedName>
    <definedName name="____Ki1" localSheetId="7">#REF!</definedName>
    <definedName name="____Ki1" localSheetId="47">#REF!</definedName>
    <definedName name="____Ki1" localSheetId="1">#REF!</definedName>
    <definedName name="____Ki1">#REF!</definedName>
    <definedName name="____Ki2" localSheetId="7">#REF!</definedName>
    <definedName name="____Ki2" localSheetId="47">#REF!</definedName>
    <definedName name="____Ki2" localSheetId="1">#REF!</definedName>
    <definedName name="____Ki2">#REF!</definedName>
    <definedName name="____lb1" localSheetId="7">#REF!</definedName>
    <definedName name="____lb1" localSheetId="47">#REF!</definedName>
    <definedName name="____lb1" localSheetId="1">#REF!</definedName>
    <definedName name="____lb1">#REF!</definedName>
    <definedName name="____lb2" localSheetId="7">#REF!</definedName>
    <definedName name="____lb2" localSheetId="47">#REF!</definedName>
    <definedName name="____lb2" localSheetId="1">#REF!</definedName>
    <definedName name="____lb2">#REF!</definedName>
    <definedName name="____mac2">200</definedName>
    <definedName name="____MAN1" localSheetId="7">#REF!</definedName>
    <definedName name="____MAN1" localSheetId="47">#REF!</definedName>
    <definedName name="____MAN1" localSheetId="1">#REF!</definedName>
    <definedName name="____MAN1">#REF!</definedName>
    <definedName name="____MIX10" localSheetId="7">#REF!</definedName>
    <definedName name="____MIX10" localSheetId="47">#REF!</definedName>
    <definedName name="____MIX10" localSheetId="1">#REF!</definedName>
    <definedName name="____MIX10">#REF!</definedName>
    <definedName name="____MIX15" localSheetId="7">#REF!</definedName>
    <definedName name="____MIX15" localSheetId="47">#REF!</definedName>
    <definedName name="____MIX15" localSheetId="1">#REF!</definedName>
    <definedName name="____MIX15">#REF!</definedName>
    <definedName name="____MIX15150" localSheetId="7">'[4]Mix Design'!#REF!</definedName>
    <definedName name="____MIX15150" localSheetId="47">'[4]Mix Design'!#REF!</definedName>
    <definedName name="____MIX15150" localSheetId="1">'[4]Mix Design'!#REF!</definedName>
    <definedName name="____MIX15150">'[4]Mix Design'!#REF!</definedName>
    <definedName name="____MIX1540">'[4]Mix Design'!$P$11</definedName>
    <definedName name="____MIX1580" localSheetId="7">'[4]Mix Design'!#REF!</definedName>
    <definedName name="____MIX1580" localSheetId="47">'[4]Mix Design'!#REF!</definedName>
    <definedName name="____MIX1580" localSheetId="1">'[4]Mix Design'!#REF!</definedName>
    <definedName name="____MIX1580">'[4]Mix Design'!#REF!</definedName>
    <definedName name="____MIX2">'[5]Mix Design'!$P$12</definedName>
    <definedName name="____MIX20" localSheetId="7">#REF!</definedName>
    <definedName name="____MIX20" localSheetId="47">#REF!</definedName>
    <definedName name="____MIX20" localSheetId="1">#REF!</definedName>
    <definedName name="____MIX20">#REF!</definedName>
    <definedName name="____MIX2020">'[4]Mix Design'!$P$12</definedName>
    <definedName name="____MIX2040">'[4]Mix Design'!$P$13</definedName>
    <definedName name="____MIX25" localSheetId="7">#REF!</definedName>
    <definedName name="____MIX25" localSheetId="47">#REF!</definedName>
    <definedName name="____MIX25" localSheetId="1">#REF!</definedName>
    <definedName name="____MIX25">#REF!</definedName>
    <definedName name="____MIX2540">'[4]Mix Design'!$P$15</definedName>
    <definedName name="____Mix255">'[6]Mix Design'!$P$13</definedName>
    <definedName name="____MIX30" localSheetId="7">#REF!</definedName>
    <definedName name="____MIX30" localSheetId="47">#REF!</definedName>
    <definedName name="____MIX30" localSheetId="1">#REF!</definedName>
    <definedName name="____MIX30">#REF!</definedName>
    <definedName name="____MIX35" localSheetId="7">#REF!</definedName>
    <definedName name="____MIX35" localSheetId="47">#REF!</definedName>
    <definedName name="____MIX35" localSheetId="1">#REF!</definedName>
    <definedName name="____MIX35">#REF!</definedName>
    <definedName name="____MIX40" localSheetId="7">#REF!</definedName>
    <definedName name="____MIX40" localSheetId="47">#REF!</definedName>
    <definedName name="____MIX40" localSheetId="1">#REF!</definedName>
    <definedName name="____MIX40">#REF!</definedName>
    <definedName name="____MIX45" localSheetId="7">'[4]Mix Design'!#REF!</definedName>
    <definedName name="____MIX45" localSheetId="47">'[4]Mix Design'!#REF!</definedName>
    <definedName name="____MIX45" localSheetId="1">'[4]Mix Design'!#REF!</definedName>
    <definedName name="____MIX45">'[4]Mix Design'!#REF!</definedName>
    <definedName name="____mm1" localSheetId="7">#REF!</definedName>
    <definedName name="____mm1" localSheetId="47">#REF!</definedName>
    <definedName name="____mm1" localSheetId="1">#REF!</definedName>
    <definedName name="____mm1">#REF!</definedName>
    <definedName name="____mm2" localSheetId="7">#REF!</definedName>
    <definedName name="____mm2" localSheetId="47">#REF!</definedName>
    <definedName name="____mm2" localSheetId="1">#REF!</definedName>
    <definedName name="____mm2">#REF!</definedName>
    <definedName name="____mm3" localSheetId="7">#REF!</definedName>
    <definedName name="____mm3" localSheetId="47">#REF!</definedName>
    <definedName name="____mm3" localSheetId="1">#REF!</definedName>
    <definedName name="____mm3">#REF!</definedName>
    <definedName name="____MUR5" localSheetId="7">#REF!</definedName>
    <definedName name="____MUR5" localSheetId="47">#REF!</definedName>
    <definedName name="____MUR5" localSheetId="1">#REF!</definedName>
    <definedName name="____MUR5">#REF!</definedName>
    <definedName name="____MUR8" localSheetId="7">#REF!</definedName>
    <definedName name="____MUR8" localSheetId="47">#REF!</definedName>
    <definedName name="____MUR8" localSheetId="1">#REF!</definedName>
    <definedName name="____MUR8">#REF!</definedName>
    <definedName name="____OPC43" localSheetId="7">#REF!</definedName>
    <definedName name="____OPC43" localSheetId="47">#REF!</definedName>
    <definedName name="____OPC43" localSheetId="1">#REF!</definedName>
    <definedName name="____OPC43">#REF!</definedName>
    <definedName name="____PB1" localSheetId="7">#REF!</definedName>
    <definedName name="____PB1" localSheetId="47">#REF!</definedName>
    <definedName name="____PB1" localSheetId="1">#REF!</definedName>
    <definedName name="____PB1">#REF!</definedName>
    <definedName name="____PPC53">'[29]21-Rate Analysis-1'!$E$19</definedName>
    <definedName name="____sh1">90</definedName>
    <definedName name="____sh2">120</definedName>
    <definedName name="____sh3">150</definedName>
    <definedName name="____sh4">180</definedName>
    <definedName name="____SH5" localSheetId="7">#REF!</definedName>
    <definedName name="____SH5" localSheetId="47">#REF!</definedName>
    <definedName name="____SH5" localSheetId="1">#REF!</definedName>
    <definedName name="____SH5">#REF!</definedName>
    <definedName name="____t1" localSheetId="7">#REF!</definedName>
    <definedName name="____t1" localSheetId="47">#REF!</definedName>
    <definedName name="____t1" localSheetId="1">#REF!</definedName>
    <definedName name="____t1">#REF!</definedName>
    <definedName name="____tab1" localSheetId="7">#REF!</definedName>
    <definedName name="____tab1" localSheetId="47">#REF!</definedName>
    <definedName name="____tab1" localSheetId="1">#REF!</definedName>
    <definedName name="____tab1">#REF!</definedName>
    <definedName name="____tab2" localSheetId="7">#REF!</definedName>
    <definedName name="____tab2" localSheetId="47">#REF!</definedName>
    <definedName name="____tab2" localSheetId="1">#REF!</definedName>
    <definedName name="____tab2">#REF!</definedName>
    <definedName name="____TB2" localSheetId="7">#REF!</definedName>
    <definedName name="____TB2" localSheetId="47">#REF!</definedName>
    <definedName name="____TB2" localSheetId="1">#REF!</definedName>
    <definedName name="____TB2">#REF!</definedName>
    <definedName name="____TIP1" localSheetId="7">#REF!</definedName>
    <definedName name="____TIP1" localSheetId="47">#REF!</definedName>
    <definedName name="____TIP1" localSheetId="1">#REF!</definedName>
    <definedName name="____TIP1">#REF!</definedName>
    <definedName name="____TIP2" localSheetId="7">#REF!</definedName>
    <definedName name="____TIP2" localSheetId="47">#REF!</definedName>
    <definedName name="____TIP2" localSheetId="1">#REF!</definedName>
    <definedName name="____TIP2">#REF!</definedName>
    <definedName name="____TIP3" localSheetId="7">#REF!</definedName>
    <definedName name="____TIP3" localSheetId="47">#REF!</definedName>
    <definedName name="____TIP3" localSheetId="1">#REF!</definedName>
    <definedName name="____TIP3">#REF!</definedName>
    <definedName name="___A1" localSheetId="7">#REF!</definedName>
    <definedName name="___A1" localSheetId="47">#REF!</definedName>
    <definedName name="___A1" localSheetId="1">#REF!</definedName>
    <definedName name="___A1">#REF!</definedName>
    <definedName name="___A65537" localSheetId="7">#REF!</definedName>
    <definedName name="___A65537" localSheetId="47">#REF!</definedName>
    <definedName name="___A65537" localSheetId="1">#REF!</definedName>
    <definedName name="___A65537">#REF!</definedName>
    <definedName name="___A655600" localSheetId="7">#REF!</definedName>
    <definedName name="___A655600" localSheetId="47">#REF!</definedName>
    <definedName name="___A655600" localSheetId="1">#REF!</definedName>
    <definedName name="___A655600">#REF!</definedName>
    <definedName name="___A8" localSheetId="7">#REF!</definedName>
    <definedName name="___A8" localSheetId="47">#REF!</definedName>
    <definedName name="___A8" localSheetId="1">#REF!</definedName>
    <definedName name="___A8">#REF!</definedName>
    <definedName name="___ABM10" localSheetId="7">#REF!</definedName>
    <definedName name="___ABM10" localSheetId="47">#REF!</definedName>
    <definedName name="___ABM10" localSheetId="1">#REF!</definedName>
    <definedName name="___ABM10">#REF!</definedName>
    <definedName name="___ABM40" localSheetId="7">#REF!</definedName>
    <definedName name="___ABM40" localSheetId="47">#REF!</definedName>
    <definedName name="___ABM40" localSheetId="1">#REF!</definedName>
    <definedName name="___ABM40">#REF!</definedName>
    <definedName name="___ABM6" localSheetId="7">#REF!</definedName>
    <definedName name="___ABM6" localSheetId="47">#REF!</definedName>
    <definedName name="___ABM6" localSheetId="1">#REF!</definedName>
    <definedName name="___ABM6">#REF!</definedName>
    <definedName name="___ACB10" localSheetId="7">#REF!</definedName>
    <definedName name="___ACB10" localSheetId="47">#REF!</definedName>
    <definedName name="___ACB10" localSheetId="1">#REF!</definedName>
    <definedName name="___ACB10">#REF!</definedName>
    <definedName name="___ACB20" localSheetId="7">#REF!</definedName>
    <definedName name="___ACB20" localSheetId="47">#REF!</definedName>
    <definedName name="___ACB20" localSheetId="1">#REF!</definedName>
    <definedName name="___ACB20">#REF!</definedName>
    <definedName name="___ACR10" localSheetId="7">#REF!</definedName>
    <definedName name="___ACR10" localSheetId="47">#REF!</definedName>
    <definedName name="___ACR10" localSheetId="1">#REF!</definedName>
    <definedName name="___ACR10">#REF!</definedName>
    <definedName name="___ACR20" localSheetId="7">#REF!</definedName>
    <definedName name="___ACR20" localSheetId="47">#REF!</definedName>
    <definedName name="___ACR20" localSheetId="1">#REF!</definedName>
    <definedName name="___ACR20">#REF!</definedName>
    <definedName name="___AGG10" localSheetId="7">#REF!</definedName>
    <definedName name="___AGG10" localSheetId="47">#REF!</definedName>
    <definedName name="___AGG10" localSheetId="1">#REF!</definedName>
    <definedName name="___AGG10">#REF!</definedName>
    <definedName name="___AGG40" localSheetId="7">#REF!</definedName>
    <definedName name="___AGG40" localSheetId="47">#REF!</definedName>
    <definedName name="___AGG40" localSheetId="1">#REF!</definedName>
    <definedName name="___AGG40">#REF!</definedName>
    <definedName name="___AGG6" localSheetId="7">#REF!</definedName>
    <definedName name="___AGG6" localSheetId="47">#REF!</definedName>
    <definedName name="___AGG6" localSheetId="1">#REF!</definedName>
    <definedName name="___AGG6">#REF!</definedName>
    <definedName name="___ash1" localSheetId="7">[13]ANAL!#REF!</definedName>
    <definedName name="___ash1" localSheetId="47">[13]ANAL!#REF!</definedName>
    <definedName name="___ash1" localSheetId="1">[13]ANAL!#REF!</definedName>
    <definedName name="___ash1">[13]ANAL!#REF!</definedName>
    <definedName name="___AWM10" localSheetId="7">#REF!</definedName>
    <definedName name="___AWM10" localSheetId="47">#REF!</definedName>
    <definedName name="___AWM10" localSheetId="1">#REF!</definedName>
    <definedName name="___AWM10">#REF!</definedName>
    <definedName name="___AWM40" localSheetId="7">#REF!</definedName>
    <definedName name="___AWM40" localSheetId="47">#REF!</definedName>
    <definedName name="___AWM40" localSheetId="1">#REF!</definedName>
    <definedName name="___AWM40">#REF!</definedName>
    <definedName name="___AWM6" localSheetId="7">#REF!</definedName>
    <definedName name="___AWM6" localSheetId="47">#REF!</definedName>
    <definedName name="___AWM6" localSheetId="1">#REF!</definedName>
    <definedName name="___AWM6">#REF!</definedName>
    <definedName name="___b111121" localSheetId="7">#REF!</definedName>
    <definedName name="___b111121" localSheetId="47">#REF!</definedName>
    <definedName name="___b111121" localSheetId="1">#REF!</definedName>
    <definedName name="___b111121">#REF!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7">[14]PROCTOR!#REF!</definedName>
    <definedName name="___CAN458" localSheetId="47">[14]PROCTOR!#REF!</definedName>
    <definedName name="___CAN458" localSheetId="1">[14]PROCTOR!#REF!</definedName>
    <definedName name="___CAN458">[14]PROCTOR!#REF!</definedName>
    <definedName name="___CAN486" localSheetId="7">[14]PROCTOR!#REF!</definedName>
    <definedName name="___CAN486" localSheetId="47">[14]PROCTOR!#REF!</definedName>
    <definedName name="___CAN486" localSheetId="1">[14]PROCTOR!#REF!</definedName>
    <definedName name="___CAN486">[14]PROCTOR!#REF!</definedName>
    <definedName name="___CAN487" localSheetId="7">[14]PROCTOR!#REF!</definedName>
    <definedName name="___CAN487" localSheetId="47">[14]PROCTOR!#REF!</definedName>
    <definedName name="___CAN487" localSheetId="1">[14]PROCTOR!#REF!</definedName>
    <definedName name="___CAN487">[14]PROCTOR!#REF!</definedName>
    <definedName name="___CAN488" localSheetId="7">[14]PROCTOR!#REF!</definedName>
    <definedName name="___CAN488" localSheetId="47">[14]PROCTOR!#REF!</definedName>
    <definedName name="___CAN488" localSheetId="1">[14]PROCTOR!#REF!</definedName>
    <definedName name="___CAN488">[14]PROCTOR!#REF!</definedName>
    <definedName name="___CAN489" localSheetId="7">[14]PROCTOR!#REF!</definedName>
    <definedName name="___CAN489" localSheetId="47">[14]PROCTOR!#REF!</definedName>
    <definedName name="___CAN489" localSheetId="1">[14]PROCTOR!#REF!</definedName>
    <definedName name="___CAN489">[14]PROCTOR!#REF!</definedName>
    <definedName name="___CAN490" localSheetId="7">[14]PROCTOR!#REF!</definedName>
    <definedName name="___CAN490" localSheetId="47">[14]PROCTOR!#REF!</definedName>
    <definedName name="___CAN490" localSheetId="1">[14]PROCTOR!#REF!</definedName>
    <definedName name="___CAN490">[14]PROCTOR!#REF!</definedName>
    <definedName name="___CAN491" localSheetId="7">[14]PROCTOR!#REF!</definedName>
    <definedName name="___CAN491" localSheetId="47">[14]PROCTOR!#REF!</definedName>
    <definedName name="___CAN491" localSheetId="1">[14]PROCTOR!#REF!</definedName>
    <definedName name="___CAN491">[14]PROCTOR!#REF!</definedName>
    <definedName name="___CAN492" localSheetId="7">[14]PROCTOR!#REF!</definedName>
    <definedName name="___CAN492" localSheetId="47">[14]PROCTOR!#REF!</definedName>
    <definedName name="___CAN492" localSheetId="1">[14]PROCTOR!#REF!</definedName>
    <definedName name="___CAN492">[14]PROCTOR!#REF!</definedName>
    <definedName name="___CAN493" localSheetId="7">[14]PROCTOR!#REF!</definedName>
    <definedName name="___CAN493" localSheetId="47">[14]PROCTOR!#REF!</definedName>
    <definedName name="___CAN493" localSheetId="1">[14]PROCTOR!#REF!</definedName>
    <definedName name="___CAN493">[14]PROCTOR!#REF!</definedName>
    <definedName name="___CAN494" localSheetId="7">[14]PROCTOR!#REF!</definedName>
    <definedName name="___CAN494" localSheetId="47">[14]PROCTOR!#REF!</definedName>
    <definedName name="___CAN494" localSheetId="1">[14]PROCTOR!#REF!</definedName>
    <definedName name="___CAN494">[14]PROCTOR!#REF!</definedName>
    <definedName name="___CAN495" localSheetId="7">[14]PROCTOR!#REF!</definedName>
    <definedName name="___CAN495" localSheetId="47">[14]PROCTOR!#REF!</definedName>
    <definedName name="___CAN495" localSheetId="1">[14]PROCTOR!#REF!</definedName>
    <definedName name="___CAN495">[14]PROCTOR!#REF!</definedName>
    <definedName name="___CAN496" localSheetId="7">[14]PROCTOR!#REF!</definedName>
    <definedName name="___CAN496" localSheetId="47">[14]PROCTOR!#REF!</definedName>
    <definedName name="___CAN496" localSheetId="1">[14]PROCTOR!#REF!</definedName>
    <definedName name="___CAN496">[14]PROCTOR!#REF!</definedName>
    <definedName name="___CAN497" localSheetId="7">[14]PROCTOR!#REF!</definedName>
    <definedName name="___CAN497" localSheetId="47">[14]PROCTOR!#REF!</definedName>
    <definedName name="___CAN497" localSheetId="1">[14]PROCTOR!#REF!</definedName>
    <definedName name="___CAN497">[14]PROCTOR!#REF!</definedName>
    <definedName name="___CAN498" localSheetId="7">[14]PROCTOR!#REF!</definedName>
    <definedName name="___CAN498" localSheetId="47">[14]PROCTOR!#REF!</definedName>
    <definedName name="___CAN498" localSheetId="1">[14]PROCTOR!#REF!</definedName>
    <definedName name="___CAN498">[14]PROCTOR!#REF!</definedName>
    <definedName name="___CAN499" localSheetId="7">[14]PROCTOR!#REF!</definedName>
    <definedName name="___CAN499" localSheetId="47">[14]PROCTOR!#REF!</definedName>
    <definedName name="___CAN499" localSheetId="1">[14]PROCTOR!#REF!</definedName>
    <definedName name="___CAN499">[14]PROCTOR!#REF!</definedName>
    <definedName name="___CAN500" localSheetId="7">[14]PROCTOR!#REF!</definedName>
    <definedName name="___CAN500" localSheetId="47">[14]PROCTOR!#REF!</definedName>
    <definedName name="___CAN500" localSheetId="1">[14]PROCTOR!#REF!</definedName>
    <definedName name="___CAN500">[14]PROCTOR!#REF!</definedName>
    <definedName name="___CDG100" localSheetId="7">#REF!</definedName>
    <definedName name="___CDG100" localSheetId="47">#REF!</definedName>
    <definedName name="___CDG100" localSheetId="1">#REF!</definedName>
    <definedName name="___CDG100">#REF!</definedName>
    <definedName name="___CDG250" localSheetId="7">#REF!</definedName>
    <definedName name="___CDG250" localSheetId="47">#REF!</definedName>
    <definedName name="___CDG250" localSheetId="1">#REF!</definedName>
    <definedName name="___CDG250">#REF!</definedName>
    <definedName name="___CDG50" localSheetId="7">#REF!</definedName>
    <definedName name="___CDG50" localSheetId="47">#REF!</definedName>
    <definedName name="___CDG50" localSheetId="1">#REF!</definedName>
    <definedName name="___CDG50">#REF!</definedName>
    <definedName name="___CDG500" localSheetId="7">#REF!</definedName>
    <definedName name="___CDG500" localSheetId="47">#REF!</definedName>
    <definedName name="___CDG500" localSheetId="1">#REF!</definedName>
    <definedName name="___CDG500">#REF!</definedName>
    <definedName name="___CEM53" localSheetId="7">#REF!</definedName>
    <definedName name="___CEM53" localSheetId="47">#REF!</definedName>
    <definedName name="___CEM53" localSheetId="1">#REF!</definedName>
    <definedName name="___CEM53">#REF!</definedName>
    <definedName name="___CRN3" localSheetId="7">#REF!</definedName>
    <definedName name="___CRN3" localSheetId="47">#REF!</definedName>
    <definedName name="___CRN3" localSheetId="1">#REF!</definedName>
    <definedName name="___CRN3">#REF!</definedName>
    <definedName name="___CRN35" localSheetId="7">#REF!</definedName>
    <definedName name="___CRN35" localSheetId="47">#REF!</definedName>
    <definedName name="___CRN35" localSheetId="1">#REF!</definedName>
    <definedName name="___CRN35">#REF!</definedName>
    <definedName name="___CRN80" localSheetId="7">#REF!</definedName>
    <definedName name="___CRN80" localSheetId="47">#REF!</definedName>
    <definedName name="___CRN80" localSheetId="1">#REF!</definedName>
    <definedName name="___CRN80">#REF!</definedName>
    <definedName name="___dec05" localSheetId="7" hidden="1">{"'Sheet1'!$A$4386:$N$4591"}</definedName>
    <definedName name="___dec05" localSheetId="47" hidden="1">{"'Sheet1'!$A$4386:$N$4591"}</definedName>
    <definedName name="___dec05" localSheetId="1" hidden="1">{"'Sheet1'!$A$4386:$N$4591"}</definedName>
    <definedName name="___dec05" hidden="1">{"'Sheet1'!$A$4386:$N$4591"}</definedName>
    <definedName name="___DIN217" localSheetId="7">#REF!</definedName>
    <definedName name="___DIN217" localSheetId="47">#REF!</definedName>
    <definedName name="___DIN217" localSheetId="1">#REF!</definedName>
    <definedName name="___DIN217">#REF!</definedName>
    <definedName name="___DOZ50" localSheetId="7">#REF!</definedName>
    <definedName name="___DOZ50" localSheetId="47">#REF!</definedName>
    <definedName name="___DOZ50" localSheetId="1">#REF!</definedName>
    <definedName name="___DOZ50">#REF!</definedName>
    <definedName name="___DOZ80" localSheetId="7">#REF!</definedName>
    <definedName name="___DOZ80" localSheetId="47">#REF!</definedName>
    <definedName name="___DOZ80" localSheetId="1">#REF!</definedName>
    <definedName name="___DOZ80">#REF!</definedName>
    <definedName name="___EXC10">'[23]21-Rate Analysis-1'!$E$53</definedName>
    <definedName name="___EXC20">'[23]21-Rate Analysis-1'!$E$51</definedName>
    <definedName name="___EXC7">'[23]21-Rate Analysis-1'!$E$54</definedName>
    <definedName name="___ExV200" localSheetId="7">#REF!</definedName>
    <definedName name="___ExV200" localSheetId="47">#REF!</definedName>
    <definedName name="___ExV200" localSheetId="1">#REF!</definedName>
    <definedName name="___ExV200">#REF!</definedName>
    <definedName name="___GEN100" localSheetId="7">#REF!</definedName>
    <definedName name="___GEN100" localSheetId="47">#REF!</definedName>
    <definedName name="___GEN100" localSheetId="1">#REF!</definedName>
    <definedName name="___GEN100">#REF!</definedName>
    <definedName name="___GEN250" localSheetId="7">#REF!</definedName>
    <definedName name="___GEN250" localSheetId="47">#REF!</definedName>
    <definedName name="___GEN250" localSheetId="1">#REF!</definedName>
    <definedName name="___GEN250">#REF!</definedName>
    <definedName name="___GEN325" localSheetId="7">#REF!</definedName>
    <definedName name="___GEN325" localSheetId="47">#REF!</definedName>
    <definedName name="___GEN325" localSheetId="1">#REF!</definedName>
    <definedName name="___GEN325">#REF!</definedName>
    <definedName name="___GEN380" localSheetId="7">#REF!</definedName>
    <definedName name="___GEN380" localSheetId="47">#REF!</definedName>
    <definedName name="___GEN380" localSheetId="1">#REF!</definedName>
    <definedName name="___GEN380">#REF!</definedName>
    <definedName name="___GSB1" localSheetId="7">#REF!</definedName>
    <definedName name="___GSB1" localSheetId="47">#REF!</definedName>
    <definedName name="___GSB1" localSheetId="1">#REF!</definedName>
    <definedName name="___GSB1">#REF!</definedName>
    <definedName name="___GSB2" localSheetId="7">#REF!</definedName>
    <definedName name="___GSB2" localSheetId="47">#REF!</definedName>
    <definedName name="___GSB2" localSheetId="1">#REF!</definedName>
    <definedName name="___GSB2">#REF!</definedName>
    <definedName name="___GSB3" localSheetId="7">#REF!</definedName>
    <definedName name="___GSB3" localSheetId="47">#REF!</definedName>
    <definedName name="___GSB3" localSheetId="1">#REF!</definedName>
    <definedName name="___GSB3">#REF!</definedName>
    <definedName name="___HMP1" localSheetId="7">#REF!</definedName>
    <definedName name="___HMP1" localSheetId="47">#REF!</definedName>
    <definedName name="___HMP1" localSheetId="1">#REF!</definedName>
    <definedName name="___HMP1">#REF!</definedName>
    <definedName name="___HMP2" localSheetId="7">#REF!</definedName>
    <definedName name="___HMP2" localSheetId="47">#REF!</definedName>
    <definedName name="___HMP2" localSheetId="1">#REF!</definedName>
    <definedName name="___HMP2">#REF!</definedName>
    <definedName name="___HMP3" localSheetId="7">#REF!</definedName>
    <definedName name="___HMP3" localSheetId="47">#REF!</definedName>
    <definedName name="___HMP3" localSheetId="1">#REF!</definedName>
    <definedName name="___HMP3">#REF!</definedName>
    <definedName name="___HMP4" localSheetId="7">#REF!</definedName>
    <definedName name="___HMP4" localSheetId="47">#REF!</definedName>
    <definedName name="___HMP4" localSheetId="1">#REF!</definedName>
    <definedName name="___HMP4">#REF!</definedName>
    <definedName name="___Ki1" localSheetId="7">#REF!</definedName>
    <definedName name="___Ki1" localSheetId="47">#REF!</definedName>
    <definedName name="___Ki1" localSheetId="1">#REF!</definedName>
    <definedName name="___Ki1">#REF!</definedName>
    <definedName name="___Ki2" localSheetId="7">#REF!</definedName>
    <definedName name="___Ki2" localSheetId="47">#REF!</definedName>
    <definedName name="___Ki2" localSheetId="1">#REF!</definedName>
    <definedName name="___Ki2">#REF!</definedName>
    <definedName name="___lb1" localSheetId="7">#REF!</definedName>
    <definedName name="___lb1" localSheetId="47">#REF!</definedName>
    <definedName name="___lb1" localSheetId="1">#REF!</definedName>
    <definedName name="___lb1">#REF!</definedName>
    <definedName name="___lb2" localSheetId="7">#REF!</definedName>
    <definedName name="___lb2" localSheetId="47">#REF!</definedName>
    <definedName name="___lb2" localSheetId="1">#REF!</definedName>
    <definedName name="___lb2">#REF!</definedName>
    <definedName name="___mac2">200</definedName>
    <definedName name="___MAN1" localSheetId="7">#REF!</definedName>
    <definedName name="___MAN1" localSheetId="47">#REF!</definedName>
    <definedName name="___MAN1" localSheetId="1">#REF!</definedName>
    <definedName name="___MAN1">#REF!</definedName>
    <definedName name="___MIX10" localSheetId="7">#REF!</definedName>
    <definedName name="___MIX10" localSheetId="47">#REF!</definedName>
    <definedName name="___MIX10" localSheetId="1">#REF!</definedName>
    <definedName name="___MIX10">#REF!</definedName>
    <definedName name="___MIX15" localSheetId="7">#REF!</definedName>
    <definedName name="___MIX15" localSheetId="47">#REF!</definedName>
    <definedName name="___MIX15" localSheetId="1">#REF!</definedName>
    <definedName name="___MIX15">#REF!</definedName>
    <definedName name="___MIX15150" localSheetId="7">'[4]Mix Design'!#REF!</definedName>
    <definedName name="___MIX15150" localSheetId="47">'[4]Mix Design'!#REF!</definedName>
    <definedName name="___MIX15150" localSheetId="1">'[4]Mix Design'!#REF!</definedName>
    <definedName name="___MIX15150">'[4]Mix Design'!#REF!</definedName>
    <definedName name="___MIX1540">'[4]Mix Design'!$P$11</definedName>
    <definedName name="___MIX1580" localSheetId="7">'[4]Mix Design'!#REF!</definedName>
    <definedName name="___MIX1580" localSheetId="47">'[4]Mix Design'!#REF!</definedName>
    <definedName name="___MIX1580" localSheetId="1">'[4]Mix Design'!#REF!</definedName>
    <definedName name="___MIX1580">'[4]Mix Design'!#REF!</definedName>
    <definedName name="___MIX2">'[5]Mix Design'!$P$12</definedName>
    <definedName name="___MIX20" localSheetId="7">#REF!</definedName>
    <definedName name="___MIX20" localSheetId="47">#REF!</definedName>
    <definedName name="___MIX20" localSheetId="1">#REF!</definedName>
    <definedName name="___MIX20">#REF!</definedName>
    <definedName name="___MIX2020">'[4]Mix Design'!$P$12</definedName>
    <definedName name="___MIX2040">'[4]Mix Design'!$P$13</definedName>
    <definedName name="___MIX25" localSheetId="7">#REF!</definedName>
    <definedName name="___MIX25" localSheetId="47">#REF!</definedName>
    <definedName name="___MIX25" localSheetId="1">#REF!</definedName>
    <definedName name="___MIX25">#REF!</definedName>
    <definedName name="___MIX2540">'[4]Mix Design'!$P$15</definedName>
    <definedName name="___Mix255">'[6]Mix Design'!$P$13</definedName>
    <definedName name="___MIX30" localSheetId="7">#REF!</definedName>
    <definedName name="___MIX30" localSheetId="47">#REF!</definedName>
    <definedName name="___MIX30" localSheetId="1">#REF!</definedName>
    <definedName name="___MIX30">#REF!</definedName>
    <definedName name="___MIX35" localSheetId="7">#REF!</definedName>
    <definedName name="___MIX35" localSheetId="47">#REF!</definedName>
    <definedName name="___MIX35" localSheetId="1">#REF!</definedName>
    <definedName name="___MIX35">#REF!</definedName>
    <definedName name="___MIX40" localSheetId="7">#REF!</definedName>
    <definedName name="___MIX40" localSheetId="47">#REF!</definedName>
    <definedName name="___MIX40" localSheetId="1">#REF!</definedName>
    <definedName name="___MIX40">#REF!</definedName>
    <definedName name="___MIX45" localSheetId="7">'[4]Mix Design'!#REF!</definedName>
    <definedName name="___MIX45" localSheetId="47">'[4]Mix Design'!#REF!</definedName>
    <definedName name="___MIX45" localSheetId="1">'[4]Mix Design'!#REF!</definedName>
    <definedName name="___MIX45">'[4]Mix Design'!#REF!</definedName>
    <definedName name="___mm1" localSheetId="7">#REF!</definedName>
    <definedName name="___mm1" localSheetId="47">#REF!</definedName>
    <definedName name="___mm1" localSheetId="1">#REF!</definedName>
    <definedName name="___mm1">#REF!</definedName>
    <definedName name="___mm2" localSheetId="7">#REF!</definedName>
    <definedName name="___mm2" localSheetId="47">#REF!</definedName>
    <definedName name="___mm2" localSheetId="1">#REF!</definedName>
    <definedName name="___mm2">#REF!</definedName>
    <definedName name="___mm3" localSheetId="7">#REF!</definedName>
    <definedName name="___mm3" localSheetId="47">#REF!</definedName>
    <definedName name="___mm3" localSheetId="1">#REF!</definedName>
    <definedName name="___mm3">#REF!</definedName>
    <definedName name="___MUR5" localSheetId="7">#REF!</definedName>
    <definedName name="___MUR5" localSheetId="47">#REF!</definedName>
    <definedName name="___MUR5" localSheetId="1">#REF!</definedName>
    <definedName name="___MUR5">#REF!</definedName>
    <definedName name="___MUR8" localSheetId="7">#REF!</definedName>
    <definedName name="___MUR8" localSheetId="47">#REF!</definedName>
    <definedName name="___MUR8" localSheetId="1">#REF!</definedName>
    <definedName name="___MUR8">#REF!</definedName>
    <definedName name="___OPC43" localSheetId="7">#REF!</definedName>
    <definedName name="___OPC43" localSheetId="47">#REF!</definedName>
    <definedName name="___OPC43" localSheetId="1">#REF!</definedName>
    <definedName name="___OPC43">#REF!</definedName>
    <definedName name="___PB1" localSheetId="7">#REF!</definedName>
    <definedName name="___PB1" localSheetId="47">#REF!</definedName>
    <definedName name="___PB1" localSheetId="1">#REF!</definedName>
    <definedName name="___PB1">#REF!</definedName>
    <definedName name="___PPC53">'[23]21-Rate Analysis-1'!$E$19</definedName>
    <definedName name="___sh1">90</definedName>
    <definedName name="___sh2">120</definedName>
    <definedName name="___sh3">150</definedName>
    <definedName name="___sh4">180</definedName>
    <definedName name="___SH5" localSheetId="7">#REF!</definedName>
    <definedName name="___SH5" localSheetId="47">#REF!</definedName>
    <definedName name="___SH5" localSheetId="1">#REF!</definedName>
    <definedName name="___SH5">#REF!</definedName>
    <definedName name="___tab1" localSheetId="7">#REF!</definedName>
    <definedName name="___tab1" localSheetId="47">#REF!</definedName>
    <definedName name="___tab1" localSheetId="1">#REF!</definedName>
    <definedName name="___tab1">#REF!</definedName>
    <definedName name="___tab2" localSheetId="7">#REF!</definedName>
    <definedName name="___tab2" localSheetId="47">#REF!</definedName>
    <definedName name="___tab2" localSheetId="1">#REF!</definedName>
    <definedName name="___tab2">#REF!</definedName>
    <definedName name="___TB2" localSheetId="7">#REF!</definedName>
    <definedName name="___TB2" localSheetId="47">#REF!</definedName>
    <definedName name="___TB2" localSheetId="1">#REF!</definedName>
    <definedName name="___TB2">#REF!</definedName>
    <definedName name="___TIP1" localSheetId="7">#REF!</definedName>
    <definedName name="___TIP1" localSheetId="47">#REF!</definedName>
    <definedName name="___TIP1" localSheetId="1">#REF!</definedName>
    <definedName name="___TIP1">#REF!</definedName>
    <definedName name="___TIP2" localSheetId="7">#REF!</definedName>
    <definedName name="___TIP2" localSheetId="47">#REF!</definedName>
    <definedName name="___TIP2" localSheetId="1">#REF!</definedName>
    <definedName name="___TIP2">#REF!</definedName>
    <definedName name="___TIP3" localSheetId="7">#REF!</definedName>
    <definedName name="___TIP3" localSheetId="47">#REF!</definedName>
    <definedName name="___TIP3" localSheetId="1">#REF!</definedName>
    <definedName name="___TIP3">#REF!</definedName>
    <definedName name="__12" localSheetId="7">#REF!</definedName>
    <definedName name="__12" localSheetId="47">#REF!</definedName>
    <definedName name="__12" localSheetId="1">#REF!</definedName>
    <definedName name="__12">#REF!</definedName>
    <definedName name="__123Graph_A" hidden="1">[30]TTL!$G$31:$AU$31</definedName>
    <definedName name="__123Graph_B" localSheetId="7" hidden="1">'[31]P-Ins &amp; Bonds'!#REF!</definedName>
    <definedName name="__123Graph_B" localSheetId="47" hidden="1">'[31]P-Ins &amp; Bonds'!#REF!</definedName>
    <definedName name="__123Graph_B" localSheetId="1" hidden="1">'[31]P-Ins &amp; Bonds'!#REF!</definedName>
    <definedName name="__123Graph_B" hidden="1">'[31]P-Ins &amp; Bonds'!#REF!</definedName>
    <definedName name="__123Graph_C" hidden="1">[30]TTL!$G$37:$AU$37</definedName>
    <definedName name="__123Graph_D" localSheetId="7" hidden="1">'[31]P-Ins &amp; Bonds'!#REF!</definedName>
    <definedName name="__123Graph_D" localSheetId="47" hidden="1">'[31]P-Ins &amp; Bonds'!#REF!</definedName>
    <definedName name="__123Graph_D" localSheetId="1" hidden="1">'[31]P-Ins &amp; Bonds'!#REF!</definedName>
    <definedName name="__123Graph_D" hidden="1">'[31]P-Ins &amp; Bonds'!#REF!</definedName>
    <definedName name="__123Graph_E" localSheetId="7" hidden="1">'[31]P-Ins &amp; Bonds'!#REF!</definedName>
    <definedName name="__123Graph_E" localSheetId="47" hidden="1">'[31]P-Ins &amp; Bonds'!#REF!</definedName>
    <definedName name="__123Graph_E" localSheetId="1" hidden="1">'[31]P-Ins &amp; Bonds'!#REF!</definedName>
    <definedName name="__123Graph_E" hidden="1">'[31]P-Ins &amp; Bonds'!#REF!</definedName>
    <definedName name="__123Graph_F" localSheetId="7" hidden="1">'[31]P-Ins &amp; Bonds'!#REF!</definedName>
    <definedName name="__123Graph_F" localSheetId="47" hidden="1">'[31]P-Ins &amp; Bonds'!#REF!</definedName>
    <definedName name="__123Graph_F" localSheetId="1" hidden="1">'[31]P-Ins &amp; Bonds'!#REF!</definedName>
    <definedName name="__123Graph_F" hidden="1">'[31]P-Ins &amp; Bonds'!#REF!</definedName>
    <definedName name="__123Graph_X" hidden="1">[30]TTL!$G$6:$AU$6</definedName>
    <definedName name="__A1" localSheetId="7">#REF!</definedName>
    <definedName name="__A1" localSheetId="47">#REF!</definedName>
    <definedName name="__A1" localSheetId="1">#REF!</definedName>
    <definedName name="__A1">#REF!</definedName>
    <definedName name="__A65537" localSheetId="7">#REF!</definedName>
    <definedName name="__A65537" localSheetId="47">#REF!</definedName>
    <definedName name="__A65537" localSheetId="1">#REF!</definedName>
    <definedName name="__A65537">#REF!</definedName>
    <definedName name="__A655600" localSheetId="7">#REF!</definedName>
    <definedName name="__A655600" localSheetId="47">#REF!</definedName>
    <definedName name="__A655600" localSheetId="1">#REF!</definedName>
    <definedName name="__A655600">#REF!</definedName>
    <definedName name="__A8" localSheetId="7">#REF!</definedName>
    <definedName name="__A8" localSheetId="47">#REF!</definedName>
    <definedName name="__A8" localSheetId="1">#REF!</definedName>
    <definedName name="__A8">#REF!</definedName>
    <definedName name="__ABM10" localSheetId="7">#REF!</definedName>
    <definedName name="__ABM10" localSheetId="47">#REF!</definedName>
    <definedName name="__ABM10" localSheetId="1">#REF!</definedName>
    <definedName name="__ABM10">#REF!</definedName>
    <definedName name="__ABM40" localSheetId="7">#REF!</definedName>
    <definedName name="__ABM40" localSheetId="47">#REF!</definedName>
    <definedName name="__ABM40" localSheetId="1">#REF!</definedName>
    <definedName name="__ABM40">#REF!</definedName>
    <definedName name="__ABM6" localSheetId="7">#REF!</definedName>
    <definedName name="__ABM6" localSheetId="47">#REF!</definedName>
    <definedName name="__ABM6" localSheetId="1">#REF!</definedName>
    <definedName name="__ABM6">#REF!</definedName>
    <definedName name="__ACB10" localSheetId="7">#REF!</definedName>
    <definedName name="__ACB10" localSheetId="47">#REF!</definedName>
    <definedName name="__ACB10" localSheetId="1">#REF!</definedName>
    <definedName name="__ACB10">#REF!</definedName>
    <definedName name="__ACB20" localSheetId="7">#REF!</definedName>
    <definedName name="__ACB20" localSheetId="47">#REF!</definedName>
    <definedName name="__ACB20" localSheetId="1">#REF!</definedName>
    <definedName name="__ACB20">#REF!</definedName>
    <definedName name="__ACR10" localSheetId="7">#REF!</definedName>
    <definedName name="__ACR10" localSheetId="47">#REF!</definedName>
    <definedName name="__ACR10" localSheetId="1">#REF!</definedName>
    <definedName name="__ACR10">#REF!</definedName>
    <definedName name="__ACR20" localSheetId="7">#REF!</definedName>
    <definedName name="__ACR20" localSheetId="47">#REF!</definedName>
    <definedName name="__ACR20" localSheetId="1">#REF!</definedName>
    <definedName name="__ACR20">#REF!</definedName>
    <definedName name="__AGG10" localSheetId="7">#REF!</definedName>
    <definedName name="__AGG10" localSheetId="47">#REF!</definedName>
    <definedName name="__AGG10" localSheetId="1">#REF!</definedName>
    <definedName name="__AGG10">#REF!</definedName>
    <definedName name="__AGG40" localSheetId="7">#REF!</definedName>
    <definedName name="__AGG40" localSheetId="47">#REF!</definedName>
    <definedName name="__AGG40" localSheetId="1">#REF!</definedName>
    <definedName name="__AGG40">#REF!</definedName>
    <definedName name="__AGG6" localSheetId="7">#REF!</definedName>
    <definedName name="__AGG6" localSheetId="47">#REF!</definedName>
    <definedName name="__AGG6" localSheetId="1">#REF!</definedName>
    <definedName name="__AGG6">#REF!</definedName>
    <definedName name="__ash1" localSheetId="7">[13]ANAL!#REF!</definedName>
    <definedName name="__ash1" localSheetId="47">[13]ANAL!#REF!</definedName>
    <definedName name="__ash1" localSheetId="1">[13]ANAL!#REF!</definedName>
    <definedName name="__ash1">[13]ANAL!#REF!</definedName>
    <definedName name="__AWM10" localSheetId="7">#REF!</definedName>
    <definedName name="__AWM10" localSheetId="47">#REF!</definedName>
    <definedName name="__AWM10" localSheetId="1">#REF!</definedName>
    <definedName name="__AWM10">#REF!</definedName>
    <definedName name="__AWM40" localSheetId="7">#REF!</definedName>
    <definedName name="__AWM40" localSheetId="47">#REF!</definedName>
    <definedName name="__AWM40" localSheetId="1">#REF!</definedName>
    <definedName name="__AWM40">#REF!</definedName>
    <definedName name="__AWM6" localSheetId="7">#REF!</definedName>
    <definedName name="__AWM6" localSheetId="47">#REF!</definedName>
    <definedName name="__AWM6" localSheetId="1">#REF!</definedName>
    <definedName name="__AWM6">#REF!</definedName>
    <definedName name="__b111121" localSheetId="7">#REF!</definedName>
    <definedName name="__b111121" localSheetId="47">#REF!</definedName>
    <definedName name="__b111121" localSheetId="1">#REF!</definedName>
    <definedName name="__b111121">#REF!</definedName>
    <definedName name="__BOQ3" localSheetId="7">{#N/A,#N/A,FALSE,"mpph1";#N/A,#N/A,FALSE,"mpmseb";#N/A,#N/A,FALSE,"mpph2"}</definedName>
    <definedName name="__BOQ3" localSheetId="47">{#N/A,#N/A,FALSE,"mpph1";#N/A,#N/A,FALSE,"mpmseb";#N/A,#N/A,FALSE,"mpph2"}</definedName>
    <definedName name="__BOQ3" localSheetId="1">{#N/A,#N/A,FALSE,"mpph1";#N/A,#N/A,FALSE,"mpmseb";#N/A,#N/A,FALSE,"mpph2"}</definedName>
    <definedName name="__BOQ3">{#N/A,#N/A,FALSE,"mpph1";#N/A,#N/A,FALSE,"mpmseb";#N/A,#N/A,FALSE,"mpph2"}</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7">[14]PROCTOR!#REF!</definedName>
    <definedName name="__CAN458" localSheetId="47">[14]PROCTOR!#REF!</definedName>
    <definedName name="__CAN458" localSheetId="1">[14]PROCTOR!#REF!</definedName>
    <definedName name="__CAN458">[14]PROCTOR!#REF!</definedName>
    <definedName name="__CAN486" localSheetId="7">[14]PROCTOR!#REF!</definedName>
    <definedName name="__CAN486" localSheetId="47">[14]PROCTOR!#REF!</definedName>
    <definedName name="__CAN486" localSheetId="1">[14]PROCTOR!#REF!</definedName>
    <definedName name="__CAN486">[14]PROCTOR!#REF!</definedName>
    <definedName name="__CAN487" localSheetId="7">[14]PROCTOR!#REF!</definedName>
    <definedName name="__CAN487" localSheetId="47">[14]PROCTOR!#REF!</definedName>
    <definedName name="__CAN487" localSheetId="1">[14]PROCTOR!#REF!</definedName>
    <definedName name="__CAN487">[14]PROCTOR!#REF!</definedName>
    <definedName name="__CAN488" localSheetId="7">[14]PROCTOR!#REF!</definedName>
    <definedName name="__CAN488" localSheetId="47">[14]PROCTOR!#REF!</definedName>
    <definedName name="__CAN488" localSheetId="1">[14]PROCTOR!#REF!</definedName>
    <definedName name="__CAN488">[14]PROCTOR!#REF!</definedName>
    <definedName name="__CAN489" localSheetId="7">[14]PROCTOR!#REF!</definedName>
    <definedName name="__CAN489" localSheetId="47">[14]PROCTOR!#REF!</definedName>
    <definedName name="__CAN489" localSheetId="1">[14]PROCTOR!#REF!</definedName>
    <definedName name="__CAN489">[14]PROCTOR!#REF!</definedName>
    <definedName name="__CAN490" localSheetId="7">[14]PROCTOR!#REF!</definedName>
    <definedName name="__CAN490" localSheetId="47">[14]PROCTOR!#REF!</definedName>
    <definedName name="__CAN490" localSheetId="1">[14]PROCTOR!#REF!</definedName>
    <definedName name="__CAN490">[14]PROCTOR!#REF!</definedName>
    <definedName name="__CAN491" localSheetId="7">[14]PROCTOR!#REF!</definedName>
    <definedName name="__CAN491" localSheetId="47">[14]PROCTOR!#REF!</definedName>
    <definedName name="__CAN491" localSheetId="1">[14]PROCTOR!#REF!</definedName>
    <definedName name="__CAN491">[14]PROCTOR!#REF!</definedName>
    <definedName name="__CAN492" localSheetId="7">[14]PROCTOR!#REF!</definedName>
    <definedName name="__CAN492" localSheetId="47">[14]PROCTOR!#REF!</definedName>
    <definedName name="__CAN492" localSheetId="1">[14]PROCTOR!#REF!</definedName>
    <definedName name="__CAN492">[14]PROCTOR!#REF!</definedName>
    <definedName name="__CAN493" localSheetId="7">[14]PROCTOR!#REF!</definedName>
    <definedName name="__CAN493" localSheetId="47">[14]PROCTOR!#REF!</definedName>
    <definedName name="__CAN493" localSheetId="1">[14]PROCTOR!#REF!</definedName>
    <definedName name="__CAN493">[14]PROCTOR!#REF!</definedName>
    <definedName name="__CAN494" localSheetId="7">[14]PROCTOR!#REF!</definedName>
    <definedName name="__CAN494" localSheetId="47">[14]PROCTOR!#REF!</definedName>
    <definedName name="__CAN494" localSheetId="1">[14]PROCTOR!#REF!</definedName>
    <definedName name="__CAN494">[14]PROCTOR!#REF!</definedName>
    <definedName name="__CAN495" localSheetId="7">[14]PROCTOR!#REF!</definedName>
    <definedName name="__CAN495" localSheetId="47">[14]PROCTOR!#REF!</definedName>
    <definedName name="__CAN495" localSheetId="1">[14]PROCTOR!#REF!</definedName>
    <definedName name="__CAN495">[14]PROCTOR!#REF!</definedName>
    <definedName name="__CAN496" localSheetId="7">[14]PROCTOR!#REF!</definedName>
    <definedName name="__CAN496" localSheetId="47">[14]PROCTOR!#REF!</definedName>
    <definedName name="__CAN496" localSheetId="1">[14]PROCTOR!#REF!</definedName>
    <definedName name="__CAN496">[14]PROCTOR!#REF!</definedName>
    <definedName name="__CAN497" localSheetId="7">[14]PROCTOR!#REF!</definedName>
    <definedName name="__CAN497" localSheetId="47">[14]PROCTOR!#REF!</definedName>
    <definedName name="__CAN497" localSheetId="1">[14]PROCTOR!#REF!</definedName>
    <definedName name="__CAN497">[14]PROCTOR!#REF!</definedName>
    <definedName name="__CAN498" localSheetId="7">[14]PROCTOR!#REF!</definedName>
    <definedName name="__CAN498" localSheetId="47">[14]PROCTOR!#REF!</definedName>
    <definedName name="__CAN498" localSheetId="1">[14]PROCTOR!#REF!</definedName>
    <definedName name="__CAN498">[14]PROCTOR!#REF!</definedName>
    <definedName name="__CAN499" localSheetId="7">[14]PROCTOR!#REF!</definedName>
    <definedName name="__CAN499" localSheetId="47">[14]PROCTOR!#REF!</definedName>
    <definedName name="__CAN499" localSheetId="1">[14]PROCTOR!#REF!</definedName>
    <definedName name="__CAN499">[14]PROCTOR!#REF!</definedName>
    <definedName name="__CAN500" localSheetId="7">[14]PROCTOR!#REF!</definedName>
    <definedName name="__CAN500" localSheetId="47">[14]PROCTOR!#REF!</definedName>
    <definedName name="__CAN500" localSheetId="1">[14]PROCTOR!#REF!</definedName>
    <definedName name="__CAN500">[14]PROCTOR!#REF!</definedName>
    <definedName name="__CDG100" localSheetId="7">#REF!</definedName>
    <definedName name="__CDG100" localSheetId="47">#REF!</definedName>
    <definedName name="__CDG100" localSheetId="1">#REF!</definedName>
    <definedName name="__CDG100">#REF!</definedName>
    <definedName name="__CDG250" localSheetId="7">#REF!</definedName>
    <definedName name="__CDG250" localSheetId="47">#REF!</definedName>
    <definedName name="__CDG250" localSheetId="1">#REF!</definedName>
    <definedName name="__CDG250">#REF!</definedName>
    <definedName name="__CDG50" localSheetId="7">#REF!</definedName>
    <definedName name="__CDG50" localSheetId="47">#REF!</definedName>
    <definedName name="__CDG50" localSheetId="1">#REF!</definedName>
    <definedName name="__CDG50">#REF!</definedName>
    <definedName name="__CDG500" localSheetId="7">#REF!</definedName>
    <definedName name="__CDG500" localSheetId="47">#REF!</definedName>
    <definedName name="__CDG500" localSheetId="1">#REF!</definedName>
    <definedName name="__CDG500">#REF!</definedName>
    <definedName name="__CEM53" localSheetId="7">#REF!</definedName>
    <definedName name="__CEM53" localSheetId="47">#REF!</definedName>
    <definedName name="__CEM53" localSheetId="1">#REF!</definedName>
    <definedName name="__CEM53">#REF!</definedName>
    <definedName name="__CRN3" localSheetId="7">#REF!</definedName>
    <definedName name="__CRN3" localSheetId="47">#REF!</definedName>
    <definedName name="__CRN3" localSheetId="1">#REF!</definedName>
    <definedName name="__CRN3">#REF!</definedName>
    <definedName name="__CRN35" localSheetId="7">#REF!</definedName>
    <definedName name="__CRN35" localSheetId="47">#REF!</definedName>
    <definedName name="__CRN35" localSheetId="1">#REF!</definedName>
    <definedName name="__CRN35">#REF!</definedName>
    <definedName name="__CRN80" localSheetId="7">#REF!</definedName>
    <definedName name="__CRN80" localSheetId="47">#REF!</definedName>
    <definedName name="__CRN80" localSheetId="1">#REF!</definedName>
    <definedName name="__CRN80">#REF!</definedName>
    <definedName name="__dec05" localSheetId="7" hidden="1">{"'Sheet1'!$A$4386:$N$4591"}</definedName>
    <definedName name="__dec05" localSheetId="47" hidden="1">{"'Sheet1'!$A$4386:$N$4591"}</definedName>
    <definedName name="__dec05" localSheetId="1" hidden="1">{"'Sheet1'!$A$4386:$N$4591"}</definedName>
    <definedName name="__dec05" hidden="1">{"'Sheet1'!$A$4386:$N$4591"}</definedName>
    <definedName name="__DIN217" localSheetId="7">#REF!</definedName>
    <definedName name="__DIN217" localSheetId="47">#REF!</definedName>
    <definedName name="__DIN217" localSheetId="1">#REF!</definedName>
    <definedName name="__DIN217">#REF!</definedName>
    <definedName name="__doc1" localSheetId="7">#REF!</definedName>
    <definedName name="__doc1" localSheetId="47">#REF!</definedName>
    <definedName name="__doc1" localSheetId="1">#REF!</definedName>
    <definedName name="__doc1">#REF!</definedName>
    <definedName name="__DOZ50" localSheetId="7">#REF!</definedName>
    <definedName name="__DOZ50" localSheetId="47">#REF!</definedName>
    <definedName name="__DOZ50" localSheetId="1">#REF!</definedName>
    <definedName name="__DOZ50">#REF!</definedName>
    <definedName name="__DOZ80" localSheetId="7">#REF!</definedName>
    <definedName name="__DOZ80" localSheetId="47">#REF!</definedName>
    <definedName name="__DOZ80" localSheetId="1">#REF!</definedName>
    <definedName name="__DOZ80">#REF!</definedName>
    <definedName name="__EXC20">'[32]Rate Analysis '!$E$50</definedName>
    <definedName name="__ExV200" localSheetId="7">#REF!</definedName>
    <definedName name="__ExV200" localSheetId="47">#REF!</definedName>
    <definedName name="__ExV200" localSheetId="1">#REF!</definedName>
    <definedName name="__ExV200">#REF!</definedName>
    <definedName name="__GEN100" localSheetId="7">#REF!</definedName>
    <definedName name="__GEN100" localSheetId="47">#REF!</definedName>
    <definedName name="__GEN100" localSheetId="1">#REF!</definedName>
    <definedName name="__GEN100">#REF!</definedName>
    <definedName name="__GEN250" localSheetId="7">#REF!</definedName>
    <definedName name="__GEN250" localSheetId="47">#REF!</definedName>
    <definedName name="__GEN250" localSheetId="1">#REF!</definedName>
    <definedName name="__GEN250">#REF!</definedName>
    <definedName name="__GEN325" localSheetId="7">#REF!</definedName>
    <definedName name="__GEN325" localSheetId="47">#REF!</definedName>
    <definedName name="__GEN325" localSheetId="1">#REF!</definedName>
    <definedName name="__GEN325">#REF!</definedName>
    <definedName name="__GEN380" localSheetId="7">#REF!</definedName>
    <definedName name="__GEN380" localSheetId="47">#REF!</definedName>
    <definedName name="__GEN380" localSheetId="1">#REF!</definedName>
    <definedName name="__GEN380">#REF!</definedName>
    <definedName name="__GSB1" localSheetId="7">#REF!</definedName>
    <definedName name="__GSB1" localSheetId="47">#REF!</definedName>
    <definedName name="__GSB1" localSheetId="1">#REF!</definedName>
    <definedName name="__GSB1">#REF!</definedName>
    <definedName name="__GSB2" localSheetId="7">#REF!</definedName>
    <definedName name="__GSB2" localSheetId="47">#REF!</definedName>
    <definedName name="__GSB2" localSheetId="1">#REF!</definedName>
    <definedName name="__GSB2">#REF!</definedName>
    <definedName name="__GSB3" localSheetId="7">#REF!</definedName>
    <definedName name="__GSB3" localSheetId="47">#REF!</definedName>
    <definedName name="__GSB3" localSheetId="1">#REF!</definedName>
    <definedName name="__GSB3">#REF!</definedName>
    <definedName name="__HMP1" localSheetId="7">#REF!</definedName>
    <definedName name="__HMP1" localSheetId="47">#REF!</definedName>
    <definedName name="__HMP1" localSheetId="1">#REF!</definedName>
    <definedName name="__HMP1">#REF!</definedName>
    <definedName name="__HMP2" localSheetId="7">#REF!</definedName>
    <definedName name="__HMP2" localSheetId="47">#REF!</definedName>
    <definedName name="__HMP2" localSheetId="1">#REF!</definedName>
    <definedName name="__HMP2">#REF!</definedName>
    <definedName name="__HMP3" localSheetId="7">#REF!</definedName>
    <definedName name="__HMP3" localSheetId="47">#REF!</definedName>
    <definedName name="__HMP3" localSheetId="1">#REF!</definedName>
    <definedName name="__HMP3">#REF!</definedName>
    <definedName name="__HMP4" localSheetId="7">#REF!</definedName>
    <definedName name="__HMP4" localSheetId="47">#REF!</definedName>
    <definedName name="__HMP4" localSheetId="1">#REF!</definedName>
    <definedName name="__HMP4">#REF!</definedName>
    <definedName name="__IntlFixup">TRUE()</definedName>
    <definedName name="__Ki1" localSheetId="7">#REF!</definedName>
    <definedName name="__Ki1" localSheetId="47">#REF!</definedName>
    <definedName name="__Ki1" localSheetId="1">#REF!</definedName>
    <definedName name="__Ki1">#REF!</definedName>
    <definedName name="__Ki2" localSheetId="7">#REF!</definedName>
    <definedName name="__Ki2" localSheetId="47">#REF!</definedName>
    <definedName name="__Ki2" localSheetId="1">#REF!</definedName>
    <definedName name="__Ki2">#REF!</definedName>
    <definedName name="__lb1" localSheetId="7">#REF!</definedName>
    <definedName name="__lb1" localSheetId="47">#REF!</definedName>
    <definedName name="__lb1" localSheetId="1">#REF!</definedName>
    <definedName name="__lb1">#REF!</definedName>
    <definedName name="__lb2" localSheetId="7">#REF!</definedName>
    <definedName name="__lb2" localSheetId="47">#REF!</definedName>
    <definedName name="__lb2" localSheetId="1">#REF!</definedName>
    <definedName name="__lb2">#REF!</definedName>
    <definedName name="__mac2">200</definedName>
    <definedName name="__MAN1" localSheetId="7">#REF!</definedName>
    <definedName name="__MAN1" localSheetId="47">#REF!</definedName>
    <definedName name="__MAN1" localSheetId="1">#REF!</definedName>
    <definedName name="__MAN1">#REF!</definedName>
    <definedName name="__MIX10" localSheetId="7">#REF!</definedName>
    <definedName name="__MIX10" localSheetId="47">#REF!</definedName>
    <definedName name="__MIX10" localSheetId="1">#REF!</definedName>
    <definedName name="__MIX10">#REF!</definedName>
    <definedName name="__MIX15" localSheetId="7">#REF!</definedName>
    <definedName name="__MIX15" localSheetId="47">#REF!</definedName>
    <definedName name="__MIX15" localSheetId="1">#REF!</definedName>
    <definedName name="__MIX15">#REF!</definedName>
    <definedName name="__MIX15150" localSheetId="7">'[4]Mix Design'!#REF!</definedName>
    <definedName name="__MIX15150" localSheetId="47">'[4]Mix Design'!#REF!</definedName>
    <definedName name="__MIX15150" localSheetId="1">'[4]Mix Design'!#REF!</definedName>
    <definedName name="__MIX15150">'[4]Mix Design'!#REF!</definedName>
    <definedName name="__MIX1540">'[4]Mix Design'!$P$11</definedName>
    <definedName name="__MIX1580" localSheetId="7">'[4]Mix Design'!#REF!</definedName>
    <definedName name="__MIX1580" localSheetId="47">'[4]Mix Design'!#REF!</definedName>
    <definedName name="__MIX1580" localSheetId="1">'[4]Mix Design'!#REF!</definedName>
    <definedName name="__MIX1580">'[4]Mix Design'!#REF!</definedName>
    <definedName name="__MIX2">'[5]Mix Design'!$P$12</definedName>
    <definedName name="__MIX20" localSheetId="7">#REF!</definedName>
    <definedName name="__MIX20" localSheetId="47">#REF!</definedName>
    <definedName name="__MIX20" localSheetId="1">#REF!</definedName>
    <definedName name="__MIX20">#REF!</definedName>
    <definedName name="__MIX2020">'[4]Mix Design'!$P$12</definedName>
    <definedName name="__MIX2040">'[4]Mix Design'!$P$13</definedName>
    <definedName name="__MIX25" localSheetId="7">#REF!</definedName>
    <definedName name="__MIX25" localSheetId="47">#REF!</definedName>
    <definedName name="__MIX25" localSheetId="1">#REF!</definedName>
    <definedName name="__MIX25">#REF!</definedName>
    <definedName name="__MIX2540">'[4]Mix Design'!$P$15</definedName>
    <definedName name="__Mix255">'[6]Mix Design'!$P$13</definedName>
    <definedName name="__MIX30" localSheetId="7">#REF!</definedName>
    <definedName name="__MIX30" localSheetId="47">#REF!</definedName>
    <definedName name="__MIX30" localSheetId="1">#REF!</definedName>
    <definedName name="__MIX30">#REF!</definedName>
    <definedName name="__MIX35" localSheetId="7">#REF!</definedName>
    <definedName name="__MIX35" localSheetId="47">#REF!</definedName>
    <definedName name="__MIX35" localSheetId="1">#REF!</definedName>
    <definedName name="__MIX35">#REF!</definedName>
    <definedName name="__MIX40" localSheetId="7">#REF!</definedName>
    <definedName name="__MIX40" localSheetId="47">#REF!</definedName>
    <definedName name="__MIX40" localSheetId="1">#REF!</definedName>
    <definedName name="__MIX40">#REF!</definedName>
    <definedName name="__MIX45" localSheetId="7">'[4]Mix Design'!#REF!</definedName>
    <definedName name="__MIX45" localSheetId="47">'[4]Mix Design'!#REF!</definedName>
    <definedName name="__MIX45" localSheetId="1">'[4]Mix Design'!#REF!</definedName>
    <definedName name="__MIX45">'[4]Mix Design'!#REF!</definedName>
    <definedName name="__mm1" localSheetId="7">#REF!</definedName>
    <definedName name="__mm1" localSheetId="47">#REF!</definedName>
    <definedName name="__mm1" localSheetId="1">#REF!</definedName>
    <definedName name="__mm1">#REF!</definedName>
    <definedName name="__mm2" localSheetId="7">#REF!</definedName>
    <definedName name="__mm2" localSheetId="47">#REF!</definedName>
    <definedName name="__mm2" localSheetId="1">#REF!</definedName>
    <definedName name="__mm2">#REF!</definedName>
    <definedName name="__mm3" localSheetId="7">#REF!</definedName>
    <definedName name="__mm3" localSheetId="47">#REF!</definedName>
    <definedName name="__mm3" localSheetId="1">#REF!</definedName>
    <definedName name="__mm3">#REF!</definedName>
    <definedName name="__MUR5" localSheetId="7">#REF!</definedName>
    <definedName name="__MUR5" localSheetId="47">#REF!</definedName>
    <definedName name="__MUR5" localSheetId="1">#REF!</definedName>
    <definedName name="__MUR5">#REF!</definedName>
    <definedName name="__MUR8" localSheetId="7">#REF!</definedName>
    <definedName name="__MUR8" localSheetId="47">#REF!</definedName>
    <definedName name="__MUR8" localSheetId="1">#REF!</definedName>
    <definedName name="__MUR8">#REF!</definedName>
    <definedName name="__OPC43" localSheetId="7">#REF!</definedName>
    <definedName name="__OPC43" localSheetId="47">#REF!</definedName>
    <definedName name="__OPC43" localSheetId="1">#REF!</definedName>
    <definedName name="__OPC43">#REF!</definedName>
    <definedName name="__PB1" localSheetId="7">#REF!</definedName>
    <definedName name="__PB1" localSheetId="47">#REF!</definedName>
    <definedName name="__PB1" localSheetId="1">#REF!</definedName>
    <definedName name="__PB1">#REF!</definedName>
    <definedName name="__PPC53">'[33]Rate Analysis '!$E$19</definedName>
    <definedName name="__RNG150">'[34]Valve Cl'!$A$8:$W$32</definedName>
    <definedName name="__RNG1500">'[34]Valve Cl'!$A$152:$W$176</definedName>
    <definedName name="__RNG2500">'[34]Valve Cl'!$A$181:$W$205</definedName>
    <definedName name="__RNG300">'[34]Valve Cl'!$A$37:$W$61</definedName>
    <definedName name="__RNG400">'[34]Valve Cl'!$A$66:$W$90</definedName>
    <definedName name="__RNG4500">'[34]Valve Cl'!$A$209:$W$233</definedName>
    <definedName name="__RNG600">'[34]Valve Cl'!$A$95:$W$119</definedName>
    <definedName name="__RNG900">'[34]Valve Cl'!$A$124:$W$148</definedName>
    <definedName name="__sh1">90</definedName>
    <definedName name="__SH10">'[35]Executive Summary -Thermal'!$A$4:$G$118</definedName>
    <definedName name="__SH11">'[35]Executive Summary -Thermal'!$A$4:$H$167</definedName>
    <definedName name="__sh2">120</definedName>
    <definedName name="__sh3">150</definedName>
    <definedName name="__sh4">180</definedName>
    <definedName name="__SH5">'[35]Executive Summary -Thermal'!$A$4:$H$96</definedName>
    <definedName name="__SH6">'[35]Executive Summary -Thermal'!$A$4:$H$95</definedName>
    <definedName name="__SH7">'[35]Executive Summary -Thermal'!$A$4:$H$163</definedName>
    <definedName name="__SH8">'[35]Executive Summary -Thermal'!$A$4:$H$133</definedName>
    <definedName name="__SH9">'[35]Executive Summary -Thermal'!$A$4:$H$194</definedName>
    <definedName name="__SMG1">#N/A</definedName>
    <definedName name="__SMG2">#N/A</definedName>
    <definedName name="__t1" localSheetId="7">#REF!</definedName>
    <definedName name="__t1" localSheetId="47">#REF!</definedName>
    <definedName name="__t1" localSheetId="1">#REF!</definedName>
    <definedName name="__t1">#REF!</definedName>
    <definedName name="__tab1" localSheetId="7">#REF!</definedName>
    <definedName name="__tab1" localSheetId="47">#REF!</definedName>
    <definedName name="__tab1" localSheetId="1">#REF!</definedName>
    <definedName name="__tab1">#REF!</definedName>
    <definedName name="__tab2" localSheetId="7">#REF!</definedName>
    <definedName name="__tab2" localSheetId="47">#REF!</definedName>
    <definedName name="__tab2" localSheetId="1">#REF!</definedName>
    <definedName name="__tab2">#REF!</definedName>
    <definedName name="__TB2" localSheetId="7">#REF!</definedName>
    <definedName name="__TB2" localSheetId="47">#REF!</definedName>
    <definedName name="__TB2" localSheetId="1">#REF!</definedName>
    <definedName name="__TB2">#REF!</definedName>
    <definedName name="__TIP1" localSheetId="7">#REF!</definedName>
    <definedName name="__TIP1" localSheetId="47">#REF!</definedName>
    <definedName name="__TIP1" localSheetId="1">#REF!</definedName>
    <definedName name="__TIP1">#REF!</definedName>
    <definedName name="__TIP2" localSheetId="7">#REF!</definedName>
    <definedName name="__TIP2" localSheetId="47">#REF!</definedName>
    <definedName name="__TIP2" localSheetId="1">#REF!</definedName>
    <definedName name="__TIP2">#REF!</definedName>
    <definedName name="__TIP3" localSheetId="7">#REF!</definedName>
    <definedName name="__TIP3" localSheetId="47">#REF!</definedName>
    <definedName name="__TIP3" localSheetId="1">#REF!</definedName>
    <definedName name="__TIP3">#REF!</definedName>
    <definedName name="_0" localSheetId="7">#REF!</definedName>
    <definedName name="_0" localSheetId="47">#REF!</definedName>
    <definedName name="_0" localSheetId="1">#REF!</definedName>
    <definedName name="_0">#REF!</definedName>
    <definedName name="_0___0" localSheetId="7">#REF!</definedName>
    <definedName name="_0___0" localSheetId="47">#REF!</definedName>
    <definedName name="_0___0" localSheetId="1">#REF!</definedName>
    <definedName name="_0___0">#REF!</definedName>
    <definedName name="_1" localSheetId="7">[36]당초!#REF!</definedName>
    <definedName name="_1" localSheetId="47">[36]당초!#REF!</definedName>
    <definedName name="_1" localSheetId="1">[36]당초!#REF!</definedName>
    <definedName name="_1">[36]당초!#REF!</definedName>
    <definedName name="_1_" localSheetId="7">[37]예가표!#REF!</definedName>
    <definedName name="_1_" localSheetId="47">[37]예가표!#REF!</definedName>
    <definedName name="_1_" localSheetId="1">[37]예가표!#REF!</definedName>
    <definedName name="_1_">[37]예가표!#REF!</definedName>
    <definedName name="_10__123Graph_DCHART_1" hidden="1">[38]Cash2!$K$16:$K$36</definedName>
    <definedName name="_11">#N/A</definedName>
    <definedName name="_11F" localSheetId="7" hidden="1">[39]산근!#REF!</definedName>
    <definedName name="_11F" localSheetId="47" hidden="1">[39]산근!#REF!</definedName>
    <definedName name="_11F" localSheetId="1" hidden="1">[39]산근!#REF!</definedName>
    <definedName name="_11F" hidden="1">[39]산근!#REF!</definedName>
    <definedName name="_12_0" localSheetId="7">[37]예가표!#REF!</definedName>
    <definedName name="_12_0" localSheetId="47">[37]예가표!#REF!</definedName>
    <definedName name="_12_0" localSheetId="1">[37]예가표!#REF!</definedName>
    <definedName name="_12_0">[37]예가표!#REF!</definedName>
    <definedName name="_13_0\LA" localSheetId="7">[40]공문!#REF!</definedName>
    <definedName name="_13_0\LA" localSheetId="47">[40]공문!#REF!</definedName>
    <definedName name="_13_0\LA" localSheetId="1">[40]공문!#REF!</definedName>
    <definedName name="_13_0\LA">[40]공문!#REF!</definedName>
    <definedName name="_13_ページング_電話関係" localSheetId="7">#REF!</definedName>
    <definedName name="_13_ページング_電話関係" localSheetId="47">#REF!</definedName>
    <definedName name="_13_ページング_電話関係" localSheetId="1">#REF!</definedName>
    <definedName name="_13_ページング_電話関係">#REF!</definedName>
    <definedName name="_14_0\MID" localSheetId="7">[40]공문!#REF!</definedName>
    <definedName name="_14_0\MID" localSheetId="47">[40]공문!#REF!</definedName>
    <definedName name="_14_0\MID" localSheetId="1">[40]공문!#REF!</definedName>
    <definedName name="_14_0\MID">[40]공문!#REF!</definedName>
    <definedName name="_15_0\SM" localSheetId="7">[40]공문!#REF!</definedName>
    <definedName name="_15_0\SM" localSheetId="47">[40]공문!#REF!</definedName>
    <definedName name="_15_0\SM" localSheetId="1">[40]공문!#REF!</definedName>
    <definedName name="_15_0\SM">[40]공문!#REF!</definedName>
    <definedName name="_16_0_0__123Grap" localSheetId="7" hidden="1">[41]공문!#REF!</definedName>
    <definedName name="_16_0_0__123Grap" localSheetId="47" hidden="1">[41]공문!#REF!</definedName>
    <definedName name="_16_0_0__123Grap" localSheetId="1" hidden="1">[41]공문!#REF!</definedName>
    <definedName name="_16_0_0__123Grap" hidden="1">[41]공문!#REF!</definedName>
    <definedName name="_17_0_0_F" localSheetId="7" hidden="1">#REF!</definedName>
    <definedName name="_17_0_0_F" localSheetId="47" hidden="1">#REF!</definedName>
    <definedName name="_17_0_0_F" localSheetId="1" hidden="1">#REF!</definedName>
    <definedName name="_17_0_0_F" hidden="1">#REF!</definedName>
    <definedName name="_18_0ME" localSheetId="7">[40]공문!#REF!</definedName>
    <definedName name="_18_0ME" localSheetId="47">[40]공문!#REF!</definedName>
    <definedName name="_18_0ME" localSheetId="1">[40]공문!#REF!</definedName>
    <definedName name="_18_0ME">[40]공문!#REF!</definedName>
    <definedName name="_19_0ME" localSheetId="7">[40]공문!#REF!</definedName>
    <definedName name="_19_0ME" localSheetId="47">[40]공문!#REF!</definedName>
    <definedName name="_19_0ME" localSheetId="1">[40]공문!#REF!</definedName>
    <definedName name="_19_0ME">[40]공문!#REF!</definedName>
    <definedName name="_2" localSheetId="7">[36]당초!#REF!</definedName>
    <definedName name="_2" localSheetId="47">[36]당초!#REF!</definedName>
    <definedName name="_2" localSheetId="1">[36]당초!#REF!</definedName>
    <definedName name="_2">[36]당초!#REF!</definedName>
    <definedName name="_2\LA" localSheetId="7">[40]공문!#REF!</definedName>
    <definedName name="_2\LA" localSheetId="47">[40]공문!#REF!</definedName>
    <definedName name="_2\LA" localSheetId="1">[40]공문!#REF!</definedName>
    <definedName name="_2\LA">[40]공문!#REF!</definedName>
    <definedName name="_20_0Print_A" localSheetId="7">#REF!</definedName>
    <definedName name="_20_0Print_A" localSheetId="47">#REF!</definedName>
    <definedName name="_20_0Print_A" localSheetId="1">#REF!</definedName>
    <definedName name="_20_0Print_A">#REF!</definedName>
    <definedName name="_21_11" localSheetId="7">#REF!</definedName>
    <definedName name="_21_11" localSheetId="47">#REF!</definedName>
    <definedName name="_21_11" localSheetId="1">#REF!</definedName>
    <definedName name="_21_11">#REF!</definedName>
    <definedName name="_22">#N/A</definedName>
    <definedName name="_22_3_0Crite" localSheetId="7">#REF!</definedName>
    <definedName name="_22_3_0Crite" localSheetId="47">#REF!</definedName>
    <definedName name="_22_3_0Crite" localSheetId="1">#REF!</definedName>
    <definedName name="_22_3_0Crite">#REF!</definedName>
    <definedName name="_23_3_0Criteria" localSheetId="7">#REF!</definedName>
    <definedName name="_23_3_0Criteria" localSheetId="47">#REF!</definedName>
    <definedName name="_23_3_0Criteria" localSheetId="1">#REF!</definedName>
    <definedName name="_23_3_0Criteria">#REF!</definedName>
    <definedName name="_24_3__Crite" localSheetId="7">#REF!</definedName>
    <definedName name="_24_3__Crite" localSheetId="47">#REF!</definedName>
    <definedName name="_24_3__Crite" localSheetId="1">#REF!</definedName>
    <definedName name="_24_3__Crite">#REF!</definedName>
    <definedName name="_25_3__Criteria" localSheetId="7">#REF!</definedName>
    <definedName name="_25_3__Criteria" localSheetId="47">#REF!</definedName>
    <definedName name="_25_3__Criteria" localSheetId="1">#REF!</definedName>
    <definedName name="_25_3__Criteria">#REF!</definedName>
    <definedName name="_26_4_0Pag" localSheetId="7">#REF!</definedName>
    <definedName name="_26_4_0Pag" localSheetId="47">#REF!</definedName>
    <definedName name="_26_4_0Pag" localSheetId="1">#REF!</definedName>
    <definedName name="_26_4_0Pag">#REF!</definedName>
    <definedName name="_27_6" localSheetId="7">#REF!</definedName>
    <definedName name="_27_6" localSheetId="47">#REF!</definedName>
    <definedName name="_27_6" localSheetId="1">#REF!</definedName>
    <definedName name="_27_6">#REF!</definedName>
    <definedName name="_28_7" localSheetId="7">#REF!</definedName>
    <definedName name="_28_7" localSheetId="47">#REF!</definedName>
    <definedName name="_28_7" localSheetId="1">#REF!</definedName>
    <definedName name="_28_7">#REF!</definedName>
    <definedName name="_29_8" localSheetId="7">#REF!</definedName>
    <definedName name="_29_8" localSheetId="47">#REF!</definedName>
    <definedName name="_29_8" localSheetId="1">#REF!</definedName>
    <definedName name="_29_8">#REF!</definedName>
    <definedName name="_2A1" localSheetId="7">'[31]P-Site fac'!#REF!</definedName>
    <definedName name="_2A1" localSheetId="47">'[31]P-Site fac'!#REF!</definedName>
    <definedName name="_2A1" localSheetId="1">'[31]P-Site fac'!#REF!</definedName>
    <definedName name="_2A1">'[31]P-Site fac'!#REF!</definedName>
    <definedName name="_2A3" localSheetId="7">'[31]P-Site fac'!#REF!</definedName>
    <definedName name="_2A3" localSheetId="47">'[31]P-Site fac'!#REF!</definedName>
    <definedName name="_2A3" localSheetId="1">'[31]P-Site fac'!#REF!</definedName>
    <definedName name="_2A3">'[31]P-Site fac'!#REF!</definedName>
    <definedName name="_2A4" localSheetId="7">'[31]P-Site fac'!#REF!</definedName>
    <definedName name="_2A4" localSheetId="47">'[31]P-Site fac'!#REF!</definedName>
    <definedName name="_2A4" localSheetId="1">'[31]P-Site fac'!#REF!</definedName>
    <definedName name="_2A4">'[31]P-Site fac'!#REF!</definedName>
    <definedName name="_3" localSheetId="7">#REF!</definedName>
    <definedName name="_3" localSheetId="47">#REF!</definedName>
    <definedName name="_3" localSheetId="1">#REF!</definedName>
    <definedName name="_3">#REF!</definedName>
    <definedName name="_3\MID" localSheetId="7">[40]공문!#REF!</definedName>
    <definedName name="_3\MID" localSheetId="47">[40]공문!#REF!</definedName>
    <definedName name="_3\MID" localSheetId="1">[40]공문!#REF!</definedName>
    <definedName name="_3\MID">[40]공문!#REF!</definedName>
    <definedName name="_30_9" localSheetId="7">#REF!</definedName>
    <definedName name="_30_9" localSheetId="47">#REF!</definedName>
    <definedName name="_30_9" localSheetId="1">#REF!</definedName>
    <definedName name="_30_9">#REF!</definedName>
    <definedName name="_31G_0Extr" localSheetId="7">#REF!</definedName>
    <definedName name="_31G_0Extr" localSheetId="47">#REF!</definedName>
    <definedName name="_31G_0Extr" localSheetId="1">#REF!</definedName>
    <definedName name="_31G_0Extr">#REF!</definedName>
    <definedName name="_32G_0Extract" localSheetId="7">#REF!</definedName>
    <definedName name="_32G_0Extract" localSheetId="47">#REF!</definedName>
    <definedName name="_32G_0Extract" localSheetId="1">#REF!</definedName>
    <definedName name="_32G_0Extract">#REF!</definedName>
    <definedName name="_33G__Extr" localSheetId="7">#REF!</definedName>
    <definedName name="_33G__Extr" localSheetId="47">#REF!</definedName>
    <definedName name="_33G__Extr" localSheetId="1">#REF!</definedName>
    <definedName name="_33G__Extr">#REF!</definedName>
    <definedName name="_34G__Extract" localSheetId="7">#REF!</definedName>
    <definedName name="_34G__Extract" localSheetId="47">#REF!</definedName>
    <definedName name="_34G__Extract" localSheetId="1">#REF!</definedName>
    <definedName name="_34G__Extract">#REF!</definedName>
    <definedName name="_35ME" localSheetId="7">[40]공문!#REF!</definedName>
    <definedName name="_35ME" localSheetId="47">[40]공문!#REF!</definedName>
    <definedName name="_35ME" localSheetId="1">[40]공문!#REF!</definedName>
    <definedName name="_35ME">[40]공문!#REF!</definedName>
    <definedName name="_36ME" localSheetId="7">[40]공문!#REF!</definedName>
    <definedName name="_36ME" localSheetId="47">[40]공문!#REF!</definedName>
    <definedName name="_36ME" localSheetId="1">[40]공문!#REF!</definedName>
    <definedName name="_36ME">[40]공문!#REF!</definedName>
    <definedName name="_37Y_0Crite" localSheetId="7">[42]jobhist!#REF!</definedName>
    <definedName name="_37Y_0Crite" localSheetId="47">[42]jobhist!#REF!</definedName>
    <definedName name="_37Y_0Crite" localSheetId="1">[42]jobhist!#REF!</definedName>
    <definedName name="_37Y_0Crite">[42]jobhist!#REF!</definedName>
    <definedName name="_38Y_0Extr" localSheetId="7">[42]jobhist!#REF!</definedName>
    <definedName name="_38Y_0Extr" localSheetId="47">[42]jobhist!#REF!</definedName>
    <definedName name="_38Y_0Extr" localSheetId="1">[42]jobhist!#REF!</definedName>
    <definedName name="_38Y_0Extr">[42]jobhist!#REF!</definedName>
    <definedName name="_3B1" localSheetId="7">'[31]P-Ins &amp; Bonds'!#REF!</definedName>
    <definedName name="_3B1" localSheetId="47">'[31]P-Ins &amp; Bonds'!#REF!</definedName>
    <definedName name="_3B1" localSheetId="1">'[31]P-Ins &amp; Bonds'!#REF!</definedName>
    <definedName name="_3B1">'[31]P-Ins &amp; Bonds'!#REF!</definedName>
    <definedName name="_3B2" localSheetId="7">'[31]P-Ins &amp; Bonds'!#REF!</definedName>
    <definedName name="_3B2" localSheetId="47">'[31]P-Ins &amp; Bonds'!#REF!</definedName>
    <definedName name="_3B2" localSheetId="1">'[31]P-Ins &amp; Bonds'!#REF!</definedName>
    <definedName name="_3B2">'[31]P-Ins &amp; Bonds'!#REF!</definedName>
    <definedName name="_3B3">[43]PRELIM5!$F$17</definedName>
    <definedName name="_4" localSheetId="7">#REF!</definedName>
    <definedName name="_4" localSheetId="47">#REF!</definedName>
    <definedName name="_4" localSheetId="1">#REF!</definedName>
    <definedName name="_4">#REF!</definedName>
    <definedName name="_4\SM" localSheetId="7">[40]공문!#REF!</definedName>
    <definedName name="_4\SM" localSheetId="47">[40]공문!#REF!</definedName>
    <definedName name="_4\SM" localSheetId="1">[40]공문!#REF!</definedName>
    <definedName name="_4\SM">[40]공문!#REF!</definedName>
    <definedName name="_5.0_Hire_and_running_charges_of_winch___grab" localSheetId="7">[44]SOR!#REF!</definedName>
    <definedName name="_5.0_Hire_and_running_charges_of_winch___grab" localSheetId="47">[44]SOR!#REF!</definedName>
    <definedName name="_5.0_Hire_and_running_charges_of_winch___grab" localSheetId="1">[44]SOR!#REF!</definedName>
    <definedName name="_5.0_Hire_and_running_charges_of_winch___grab">[44]SOR!#REF!</definedName>
    <definedName name="_5_123Grap" localSheetId="7" hidden="1">[41]공문!#REF!</definedName>
    <definedName name="_5_123Grap" localSheetId="47" hidden="1">[41]공문!#REF!</definedName>
    <definedName name="_5_123Grap" localSheetId="1" hidden="1">[41]공문!#REF!</definedName>
    <definedName name="_5_123Grap" hidden="1">[41]공문!#REF!</definedName>
    <definedName name="_5B5" localSheetId="7">'[31]P-Clients fac'!#REF!</definedName>
    <definedName name="_5B5" localSheetId="47">'[31]P-Clients fac'!#REF!</definedName>
    <definedName name="_5B5" localSheetId="1">'[31]P-Clients fac'!#REF!</definedName>
    <definedName name="_5B5">'[31]P-Clients fac'!#REF!</definedName>
    <definedName name="_5B6" localSheetId="7">'[31]P-Clients fac'!#REF!</definedName>
    <definedName name="_5B6" localSheetId="47">'[31]P-Clients fac'!#REF!</definedName>
    <definedName name="_5B6" localSheetId="1">'[31]P-Clients fac'!#REF!</definedName>
    <definedName name="_5B6">'[31]P-Clients fac'!#REF!</definedName>
    <definedName name="_5B7" localSheetId="7">'[31]P-Clients fac'!#REF!</definedName>
    <definedName name="_5B7" localSheetId="47">'[31]P-Clients fac'!#REF!</definedName>
    <definedName name="_5B7" localSheetId="1">'[31]P-Clients fac'!#REF!</definedName>
    <definedName name="_5B7">'[31]P-Clients fac'!#REF!</definedName>
    <definedName name="_6__123Graph_ACHART_1" hidden="1">[38]Cash2!$G$16:$G$31</definedName>
    <definedName name="_6B8" localSheetId="7">#REF!</definedName>
    <definedName name="_6B8" localSheetId="47">#REF!</definedName>
    <definedName name="_6B8" localSheetId="1">#REF!</definedName>
    <definedName name="_6B8">#REF!</definedName>
    <definedName name="_6B9" localSheetId="7">#REF!</definedName>
    <definedName name="_6B9" localSheetId="47">#REF!</definedName>
    <definedName name="_6B9" localSheetId="1">#REF!</definedName>
    <definedName name="_6B9">#REF!</definedName>
    <definedName name="_7__123Graph_ACHART_2" hidden="1">[38]Z!$T$179:$AH$179</definedName>
    <definedName name="_7C1" localSheetId="7">#REF!</definedName>
    <definedName name="_7C1" localSheetId="47">#REF!</definedName>
    <definedName name="_7C1" localSheetId="1">#REF!</definedName>
    <definedName name="_7C1">#REF!</definedName>
    <definedName name="_7C2" localSheetId="7">#REF!</definedName>
    <definedName name="_7C2" localSheetId="47">#REF!</definedName>
    <definedName name="_7C2" localSheetId="1">#REF!</definedName>
    <definedName name="_7C2">#REF!</definedName>
    <definedName name="_7C3" localSheetId="7">#REF!</definedName>
    <definedName name="_7C3" localSheetId="47">#REF!</definedName>
    <definedName name="_7C3" localSheetId="1">#REF!</definedName>
    <definedName name="_7C3">#REF!</definedName>
    <definedName name="_7D1" localSheetId="7">#REF!</definedName>
    <definedName name="_7D1" localSheetId="47">#REF!</definedName>
    <definedName name="_7D1" localSheetId="1">#REF!</definedName>
    <definedName name="_7D1">#REF!</definedName>
    <definedName name="_7D2" localSheetId="7">#REF!</definedName>
    <definedName name="_7D2" localSheetId="47">#REF!</definedName>
    <definedName name="_7D2" localSheetId="1">#REF!</definedName>
    <definedName name="_7D2">#REF!</definedName>
    <definedName name="_7D3" localSheetId="7">#REF!</definedName>
    <definedName name="_7D3" localSheetId="47">#REF!</definedName>
    <definedName name="_7D3" localSheetId="1">#REF!</definedName>
    <definedName name="_7D3">#REF!</definedName>
    <definedName name="_7D4" localSheetId="7">#REF!</definedName>
    <definedName name="_7D4" localSheetId="47">#REF!</definedName>
    <definedName name="_7D4" localSheetId="1">#REF!</definedName>
    <definedName name="_7D4">#REF!</definedName>
    <definedName name="_7D5" localSheetId="7">#REF!</definedName>
    <definedName name="_7D5" localSheetId="47">#REF!</definedName>
    <definedName name="_7D5" localSheetId="1">#REF!</definedName>
    <definedName name="_7D5">#REF!</definedName>
    <definedName name="_8__123Graph_BCHART_2" hidden="1">[38]Z!$T$180:$AH$180</definedName>
    <definedName name="_9__123Graph_CCHART_1" hidden="1">[38]Cash2!$J$16:$J$36</definedName>
    <definedName name="_A1" localSheetId="7">#REF!</definedName>
    <definedName name="_A1" localSheetId="47">#REF!</definedName>
    <definedName name="_A1" localSheetId="1">#REF!</definedName>
    <definedName name="_A1">#REF!</definedName>
    <definedName name="_a2" localSheetId="7">#REF!</definedName>
    <definedName name="_a2" localSheetId="47">#REF!</definedName>
    <definedName name="_a2" localSheetId="1">#REF!</definedName>
    <definedName name="_a2">#REF!</definedName>
    <definedName name="_A20000" localSheetId="7">#REF!</definedName>
    <definedName name="_A20000" localSheetId="47">#REF!</definedName>
    <definedName name="_A20000" localSheetId="1">#REF!</definedName>
    <definedName name="_A20000">#REF!</definedName>
    <definedName name="_a3">#N/A</definedName>
    <definedName name="_A65537" localSheetId="7">#REF!</definedName>
    <definedName name="_A65537" localSheetId="47">#REF!</definedName>
    <definedName name="_A65537" localSheetId="1">#REF!</definedName>
    <definedName name="_A65537">#REF!</definedName>
    <definedName name="_A655600" localSheetId="7">#REF!</definedName>
    <definedName name="_A655600" localSheetId="47">#REF!</definedName>
    <definedName name="_A655600" localSheetId="1">#REF!</definedName>
    <definedName name="_A655600">#REF!</definedName>
    <definedName name="_A8" localSheetId="7">#REF!</definedName>
    <definedName name="_A8" localSheetId="47">#REF!</definedName>
    <definedName name="_A8" localSheetId="1">#REF!</definedName>
    <definedName name="_A8">#REF!</definedName>
    <definedName name="_ABM10" localSheetId="7">#REF!</definedName>
    <definedName name="_ABM10" localSheetId="47">#REF!</definedName>
    <definedName name="_ABM10" localSheetId="1">#REF!</definedName>
    <definedName name="_ABM10">#REF!</definedName>
    <definedName name="_ABM40" localSheetId="7">#REF!</definedName>
    <definedName name="_ABM40" localSheetId="47">#REF!</definedName>
    <definedName name="_ABM40" localSheetId="1">#REF!</definedName>
    <definedName name="_ABM40">#REF!</definedName>
    <definedName name="_ABM6" localSheetId="7">#REF!</definedName>
    <definedName name="_ABM6" localSheetId="47">#REF!</definedName>
    <definedName name="_ABM6" localSheetId="1">#REF!</definedName>
    <definedName name="_ABM6">#REF!</definedName>
    <definedName name="_ACB10" localSheetId="7">#REF!</definedName>
    <definedName name="_ACB10" localSheetId="47">#REF!</definedName>
    <definedName name="_ACB10" localSheetId="1">#REF!</definedName>
    <definedName name="_ACB10">#REF!</definedName>
    <definedName name="_ACB20" localSheetId="7">#REF!</definedName>
    <definedName name="_ACB20" localSheetId="47">#REF!</definedName>
    <definedName name="_ACB20" localSheetId="1">#REF!</definedName>
    <definedName name="_ACB20">#REF!</definedName>
    <definedName name="_ACR10" localSheetId="7">#REF!</definedName>
    <definedName name="_ACR10" localSheetId="47">#REF!</definedName>
    <definedName name="_ACR10" localSheetId="1">#REF!</definedName>
    <definedName name="_ACR10">#REF!</definedName>
    <definedName name="_ACR20" localSheetId="7">#REF!</definedName>
    <definedName name="_ACR20" localSheetId="47">#REF!</definedName>
    <definedName name="_ACR20" localSheetId="1">#REF!</definedName>
    <definedName name="_ACR20">#REF!</definedName>
    <definedName name="_AGG6" localSheetId="7">#REF!</definedName>
    <definedName name="_AGG6" localSheetId="47">#REF!</definedName>
    <definedName name="_AGG6" localSheetId="1">#REF!</definedName>
    <definedName name="_AGG6">#REF!</definedName>
    <definedName name="_AOC2" localSheetId="7">#REF!</definedName>
    <definedName name="_AOC2" localSheetId="47">#REF!</definedName>
    <definedName name="_AOC2" localSheetId="1">#REF!</definedName>
    <definedName name="_AOC2">#REF!</definedName>
    <definedName name="_ash1" localSheetId="7">[13]ANAL!#REF!</definedName>
    <definedName name="_ash1" localSheetId="47">[13]ANAL!#REF!</definedName>
    <definedName name="_ash1" localSheetId="1">[13]ANAL!#REF!</definedName>
    <definedName name="_ash1">[13]ANAL!#REF!</definedName>
    <definedName name="_att2">#N/A</definedName>
    <definedName name="_AWM10" localSheetId="7">#REF!</definedName>
    <definedName name="_AWM10" localSheetId="47">#REF!</definedName>
    <definedName name="_AWM10" localSheetId="1">#REF!</definedName>
    <definedName name="_AWM10">#REF!</definedName>
    <definedName name="_AWM40" localSheetId="7">#REF!</definedName>
    <definedName name="_AWM40" localSheetId="47">#REF!</definedName>
    <definedName name="_AWM40" localSheetId="1">#REF!</definedName>
    <definedName name="_AWM40">#REF!</definedName>
    <definedName name="_AWM6" localSheetId="7">#REF!</definedName>
    <definedName name="_AWM6" localSheetId="47">#REF!</definedName>
    <definedName name="_AWM6" localSheetId="1">#REF!</definedName>
    <definedName name="_AWM6">#REF!</definedName>
    <definedName name="_b111121" localSheetId="7">#REF!</definedName>
    <definedName name="_b111121" localSheetId="47">#REF!</definedName>
    <definedName name="_b111121" localSheetId="1">#REF!</definedName>
    <definedName name="_b111121">#REF!</definedName>
    <definedName name="_b2" localSheetId="7">#REF!</definedName>
    <definedName name="_b2" localSheetId="47">#REF!</definedName>
    <definedName name="_b2" localSheetId="1">#REF!</definedName>
    <definedName name="_b2">#REF!</definedName>
    <definedName name="_BAS1" localSheetId="7">#REF!</definedName>
    <definedName name="_BAS1" localSheetId="47">#REF!</definedName>
    <definedName name="_BAS1" localSheetId="1">#REF!</definedName>
    <definedName name="_BAS1">#REF!</definedName>
    <definedName name="_BOQ3" localSheetId="7">{#N/A,#N/A,FALSE,"mpph1";#N/A,#N/A,FALSE,"mpmseb";#N/A,#N/A,FALSE,"mpph2"}</definedName>
    <definedName name="_BOQ3" localSheetId="47">{#N/A,#N/A,FALSE,"mpph1";#N/A,#N/A,FALSE,"mpmseb";#N/A,#N/A,FALSE,"mpph2"}</definedName>
    <definedName name="_BOQ3" localSheetId="1">{#N/A,#N/A,FALSE,"mpph1";#N/A,#N/A,FALSE,"mpmseb";#N/A,#N/A,FALSE,"mpph2"}</definedName>
    <definedName name="_BOQ3">{#N/A,#N/A,FALSE,"mpph1";#N/A,#N/A,FALSE,"mpmseb";#N/A,#N/A,FALSE,"mpph2"}</definedName>
    <definedName name="_C" localSheetId="7">#REF!</definedName>
    <definedName name="_C" localSheetId="47">#REF!</definedName>
    <definedName name="_C" localSheetId="1">#REF!</definedName>
    <definedName name="_C">#REF!</definedName>
    <definedName name="_C___0" localSheetId="7">#REF!</definedName>
    <definedName name="_C___0" localSheetId="47">#REF!</definedName>
    <definedName name="_C___0" localSheetId="1">#REF!</definedName>
    <definedName name="_C___0">#REF!</definedName>
    <definedName name="_C___13" localSheetId="7">#REF!</definedName>
    <definedName name="_C___13" localSheetId="47">#REF!</definedName>
    <definedName name="_C___13" localSheetId="1">#REF!</definedName>
    <definedName name="_C___13">#REF!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7">[14]PROCTOR!#REF!</definedName>
    <definedName name="_CAN458" localSheetId="47">[14]PROCTOR!#REF!</definedName>
    <definedName name="_CAN458" localSheetId="1">[14]PROCTOR!#REF!</definedName>
    <definedName name="_CAN458">[14]PROCTOR!#REF!</definedName>
    <definedName name="_CAN486" localSheetId="7">[14]PROCTOR!#REF!</definedName>
    <definedName name="_CAN486" localSheetId="47">[14]PROCTOR!#REF!</definedName>
    <definedName name="_CAN486" localSheetId="1">[14]PROCTOR!#REF!</definedName>
    <definedName name="_CAN486">[14]PROCTOR!#REF!</definedName>
    <definedName name="_CAN487" localSheetId="7">[14]PROCTOR!#REF!</definedName>
    <definedName name="_CAN487" localSheetId="47">[14]PROCTOR!#REF!</definedName>
    <definedName name="_CAN487" localSheetId="1">[14]PROCTOR!#REF!</definedName>
    <definedName name="_CAN487">[14]PROCTOR!#REF!</definedName>
    <definedName name="_CAN488" localSheetId="7">[14]PROCTOR!#REF!</definedName>
    <definedName name="_CAN488" localSheetId="47">[14]PROCTOR!#REF!</definedName>
    <definedName name="_CAN488" localSheetId="1">[14]PROCTOR!#REF!</definedName>
    <definedName name="_CAN488">[14]PROCTOR!#REF!</definedName>
    <definedName name="_CAN489" localSheetId="7">[14]PROCTOR!#REF!</definedName>
    <definedName name="_CAN489" localSheetId="47">[14]PROCTOR!#REF!</definedName>
    <definedName name="_CAN489" localSheetId="1">[14]PROCTOR!#REF!</definedName>
    <definedName name="_CAN489">[14]PROCTOR!#REF!</definedName>
    <definedName name="_CAN490" localSheetId="7">[14]PROCTOR!#REF!</definedName>
    <definedName name="_CAN490" localSheetId="47">[14]PROCTOR!#REF!</definedName>
    <definedName name="_CAN490" localSheetId="1">[14]PROCTOR!#REF!</definedName>
    <definedName name="_CAN490">[14]PROCTOR!#REF!</definedName>
    <definedName name="_CAN491" localSheetId="7">[14]PROCTOR!#REF!</definedName>
    <definedName name="_CAN491" localSheetId="47">[14]PROCTOR!#REF!</definedName>
    <definedName name="_CAN491" localSheetId="1">[14]PROCTOR!#REF!</definedName>
    <definedName name="_CAN491">[14]PROCTOR!#REF!</definedName>
    <definedName name="_CAN492" localSheetId="7">[14]PROCTOR!#REF!</definedName>
    <definedName name="_CAN492" localSheetId="47">[14]PROCTOR!#REF!</definedName>
    <definedName name="_CAN492" localSheetId="1">[14]PROCTOR!#REF!</definedName>
    <definedName name="_CAN492">[14]PROCTOR!#REF!</definedName>
    <definedName name="_CAN493" localSheetId="7">[14]PROCTOR!#REF!</definedName>
    <definedName name="_CAN493" localSheetId="47">[14]PROCTOR!#REF!</definedName>
    <definedName name="_CAN493" localSheetId="1">[14]PROCTOR!#REF!</definedName>
    <definedName name="_CAN493">[14]PROCTOR!#REF!</definedName>
    <definedName name="_CAN494" localSheetId="7">[14]PROCTOR!#REF!</definedName>
    <definedName name="_CAN494" localSheetId="47">[14]PROCTOR!#REF!</definedName>
    <definedName name="_CAN494" localSheetId="1">[14]PROCTOR!#REF!</definedName>
    <definedName name="_CAN494">[14]PROCTOR!#REF!</definedName>
    <definedName name="_CAN495" localSheetId="7">[14]PROCTOR!#REF!</definedName>
    <definedName name="_CAN495" localSheetId="47">[14]PROCTOR!#REF!</definedName>
    <definedName name="_CAN495" localSheetId="1">[14]PROCTOR!#REF!</definedName>
    <definedName name="_CAN495">[14]PROCTOR!#REF!</definedName>
    <definedName name="_CAN496" localSheetId="7">[14]PROCTOR!#REF!</definedName>
    <definedName name="_CAN496" localSheetId="47">[14]PROCTOR!#REF!</definedName>
    <definedName name="_CAN496" localSheetId="1">[14]PROCTOR!#REF!</definedName>
    <definedName name="_CAN496">[14]PROCTOR!#REF!</definedName>
    <definedName name="_CAN497" localSheetId="7">[14]PROCTOR!#REF!</definedName>
    <definedName name="_CAN497" localSheetId="47">[14]PROCTOR!#REF!</definedName>
    <definedName name="_CAN497" localSheetId="1">[14]PROCTOR!#REF!</definedName>
    <definedName name="_CAN497">[14]PROCTOR!#REF!</definedName>
    <definedName name="_CAN498" localSheetId="7">[14]PROCTOR!#REF!</definedName>
    <definedName name="_CAN498" localSheetId="47">[14]PROCTOR!#REF!</definedName>
    <definedName name="_CAN498" localSheetId="1">[14]PROCTOR!#REF!</definedName>
    <definedName name="_CAN498">[14]PROCTOR!#REF!</definedName>
    <definedName name="_CAN499" localSheetId="7">[14]PROCTOR!#REF!</definedName>
    <definedName name="_CAN499" localSheetId="47">[14]PROCTOR!#REF!</definedName>
    <definedName name="_CAN499" localSheetId="1">[14]PROCTOR!#REF!</definedName>
    <definedName name="_CAN499">[14]PROCTOR!#REF!</definedName>
    <definedName name="_CAN500" localSheetId="7">[14]PROCTOR!#REF!</definedName>
    <definedName name="_CAN500" localSheetId="47">[14]PROCTOR!#REF!</definedName>
    <definedName name="_CAN500" localSheetId="1">[14]PROCTOR!#REF!</definedName>
    <definedName name="_CAN500">[14]PROCTOR!#REF!</definedName>
    <definedName name="_CDG100" localSheetId="7">#REF!</definedName>
    <definedName name="_CDG100" localSheetId="47">#REF!</definedName>
    <definedName name="_CDG100" localSheetId="1">#REF!</definedName>
    <definedName name="_CDG100">#REF!</definedName>
    <definedName name="_CDG250" localSheetId="7">#REF!</definedName>
    <definedName name="_CDG250" localSheetId="47">#REF!</definedName>
    <definedName name="_CDG250" localSheetId="1">#REF!</definedName>
    <definedName name="_CDG250">#REF!</definedName>
    <definedName name="_CDG50" localSheetId="7">#REF!</definedName>
    <definedName name="_CDG50" localSheetId="47">#REF!</definedName>
    <definedName name="_CDG50" localSheetId="1">#REF!</definedName>
    <definedName name="_CDG50">#REF!</definedName>
    <definedName name="_CDG500" localSheetId="7">#REF!</definedName>
    <definedName name="_CDG500" localSheetId="47">#REF!</definedName>
    <definedName name="_CDG500" localSheetId="1">#REF!</definedName>
    <definedName name="_CDG500">#REF!</definedName>
    <definedName name="_CDT1" localSheetId="7">#REF!</definedName>
    <definedName name="_CDT1" localSheetId="47">#REF!</definedName>
    <definedName name="_CDT1" localSheetId="1">#REF!</definedName>
    <definedName name="_CDT1">#REF!</definedName>
    <definedName name="_CEM53" localSheetId="7">#REF!</definedName>
    <definedName name="_CEM53" localSheetId="47">#REF!</definedName>
    <definedName name="_CEM53" localSheetId="1">#REF!</definedName>
    <definedName name="_CEM53">#REF!</definedName>
    <definedName name="_CRN3" localSheetId="7">#REF!</definedName>
    <definedName name="_CRN3" localSheetId="47">#REF!</definedName>
    <definedName name="_CRN3" localSheetId="1">#REF!</definedName>
    <definedName name="_CRN3">#REF!</definedName>
    <definedName name="_CRN35" localSheetId="7">#REF!</definedName>
    <definedName name="_CRN35" localSheetId="47">#REF!</definedName>
    <definedName name="_CRN35" localSheetId="1">#REF!</definedName>
    <definedName name="_CRN35">#REF!</definedName>
    <definedName name="_CRN80" localSheetId="7">#REF!</definedName>
    <definedName name="_CRN80" localSheetId="47">#REF!</definedName>
    <definedName name="_CRN80" localSheetId="1">#REF!</definedName>
    <definedName name="_CRN80">#REF!</definedName>
    <definedName name="_CT250" localSheetId="7">'[45]dongia (2)'!#REF!</definedName>
    <definedName name="_CT250" localSheetId="47">'[45]dongia (2)'!#REF!</definedName>
    <definedName name="_CT250" localSheetId="1">'[45]dongia (2)'!#REF!</definedName>
    <definedName name="_CT250">'[45]dongia (2)'!#REF!</definedName>
    <definedName name="_dec05" localSheetId="7" hidden="1">{"'Sheet1'!$A$4386:$N$4591"}</definedName>
    <definedName name="_dec05" localSheetId="47" hidden="1">{"'Sheet1'!$A$4386:$N$4591"}</definedName>
    <definedName name="_dec05" localSheetId="1" hidden="1">{"'Sheet1'!$A$4386:$N$4591"}</definedName>
    <definedName name="_dec05" hidden="1">{"'Sheet1'!$A$4386:$N$4591"}</definedName>
    <definedName name="_DIN217" localSheetId="7">#REF!</definedName>
    <definedName name="_DIN217" localSheetId="47">#REF!</definedName>
    <definedName name="_DIN217" localSheetId="1">#REF!</definedName>
    <definedName name="_DIN217">#REF!</definedName>
    <definedName name="_doc1" localSheetId="7">#REF!</definedName>
    <definedName name="_doc1" localSheetId="47">#REF!</definedName>
    <definedName name="_doc1" localSheetId="1">#REF!</definedName>
    <definedName name="_doc1">#REF!</definedName>
    <definedName name="_DOZ50" localSheetId="7">#REF!</definedName>
    <definedName name="_DOZ50" localSheetId="47">#REF!</definedName>
    <definedName name="_DOZ50" localSheetId="1">#REF!</definedName>
    <definedName name="_DOZ50">#REF!</definedName>
    <definedName name="_DOZ80" localSheetId="7">#REF!</definedName>
    <definedName name="_DOZ80" localSheetId="47">#REF!</definedName>
    <definedName name="_DOZ80" localSheetId="1">#REF!</definedName>
    <definedName name="_DOZ80">#REF!</definedName>
    <definedName name="_ELL45" localSheetId="7">#REF!</definedName>
    <definedName name="_ELL45" localSheetId="47">#REF!</definedName>
    <definedName name="_ELL45" localSheetId="1">#REF!</definedName>
    <definedName name="_ELL45">#REF!</definedName>
    <definedName name="_ELL90" localSheetId="7">#REF!</definedName>
    <definedName name="_ELL90" localSheetId="47">#REF!</definedName>
    <definedName name="_ELL90" localSheetId="1">#REF!</definedName>
    <definedName name="_ELL90">#REF!</definedName>
    <definedName name="_EXC20">'[46]RA Civil'!$E$50</definedName>
    <definedName name="_ExV200" localSheetId="7">#REF!</definedName>
    <definedName name="_ExV200" localSheetId="47">#REF!</definedName>
    <definedName name="_ExV200" localSheetId="1">#REF!</definedName>
    <definedName name="_ExV200">#REF!</definedName>
    <definedName name="_f2" localSheetId="7">#REF!</definedName>
    <definedName name="_f2" localSheetId="47">#REF!</definedName>
    <definedName name="_f2" localSheetId="1">#REF!</definedName>
    <definedName name="_f2">#REF!</definedName>
    <definedName name="_F3" localSheetId="7">#REF!</definedName>
    <definedName name="_F3" localSheetId="47">#REF!</definedName>
    <definedName name="_F3" localSheetId="1">#REF!</definedName>
    <definedName name="_F3">#REF!</definedName>
    <definedName name="_FF3" localSheetId="7">#REF!</definedName>
    <definedName name="_FF3" localSheetId="47">#REF!</definedName>
    <definedName name="_FF3" localSheetId="1">#REF!</definedName>
    <definedName name="_FF3">#REF!</definedName>
    <definedName name="_Fill" localSheetId="7" hidden="1">[47]BHANDUP!#REF!</definedName>
    <definedName name="_Fill" localSheetId="47" hidden="1">[47]BHANDUP!#REF!</definedName>
    <definedName name="_Fill" localSheetId="1" hidden="1">[47]BHANDUP!#REF!</definedName>
    <definedName name="_Fill" hidden="1">[47]BHANDUP!#REF!</definedName>
    <definedName name="_Fill1" localSheetId="7" hidden="1">[47]BHANDUP!#REF!</definedName>
    <definedName name="_Fill1" localSheetId="47" hidden="1">[47]BHANDUP!#REF!</definedName>
    <definedName name="_Fill1" localSheetId="1" hidden="1">[47]BHANDUP!#REF!</definedName>
    <definedName name="_Fill1" hidden="1">[47]BHANDUP!#REF!</definedName>
    <definedName name="_xlnm._FilterDatabase" localSheetId="36" hidden="1">' barasarai 2'!$A$11:$AC$31</definedName>
    <definedName name="_xlnm._FilterDatabase" localSheetId="41" hidden="1">amuwahi!$B$4:$K$116</definedName>
    <definedName name="_xlnm._FilterDatabase" localSheetId="40" hidden="1">amuwahi1!$F$4:$F$65</definedName>
    <definedName name="_xlnm._FilterDatabase" localSheetId="28" hidden="1">'ATTARASAND AGS'!$B$4:$P$130</definedName>
    <definedName name="_xlnm._FilterDatabase" localSheetId="29" hidden="1">'ATTARASAND KHAYATHI'!$B$4:$W$135</definedName>
    <definedName name="_xlnm._FilterDatabase" localSheetId="30" hidden="1">'ATTARASAND PR'!$B$4:$Z$135</definedName>
    <definedName name="_xlnm._FilterDatabase" localSheetId="27" hidden="1">'Attarsand AK'!$B$3:$L$141</definedName>
    <definedName name="_xlnm._FilterDatabase" localSheetId="5" hidden="1">aurangabad!$B$12:$U$205</definedName>
    <definedName name="_xlnm._FilterDatabase" localSheetId="35" hidden="1">Barasarai!$B$4:$AC$242</definedName>
    <definedName name="_xlnm._FilterDatabase" localSheetId="11" hidden="1">bhaidpur!$B$13:$S$199</definedName>
    <definedName name="_xlnm._FilterDatabase" localSheetId="7" hidden="1">bhausiya!$B$13:$S$218</definedName>
    <definedName name="_xlnm._FilterDatabase" localSheetId="3" hidden="1">brahapur!$B$13:$S$192</definedName>
    <definedName name="_xlnm._FilterDatabase" localSheetId="4" hidden="1">'brahapur 2'!$B$12:$U$61</definedName>
    <definedName name="_xlnm._FilterDatabase" localSheetId="10" hidden="1">'CHOUMARI(MAHADEV)'!$C$4:$L$249</definedName>
    <definedName name="_xlnm._FilterDatabase" localSheetId="12" hidden="1">DARAOULI!$D$5:$H$172</definedName>
    <definedName name="_xlnm._FilterDatabase" localSheetId="18" hidden="1">'Dehri digar (2)'!$D$5:$W$111</definedName>
    <definedName name="_xlnm._FilterDatabase" localSheetId="24" hidden="1">gehrauli!$E$192:$L$363</definedName>
    <definedName name="_xlnm._FilterDatabase" localSheetId="23" hidden="1">HARDOI!$A$4:$AA$119</definedName>
    <definedName name="_xlnm._FilterDatabase" localSheetId="42" hidden="1">hasthara!$D$4:$P$193</definedName>
    <definedName name="_xlnm._FilterDatabase" localSheetId="43" hidden="1">'hasthara 2'!$C$4:$L$64</definedName>
    <definedName name="_xlnm._FilterDatabase" localSheetId="15" hidden="1">Kansapatti!$C$3:$M$153</definedName>
    <definedName name="_xlnm._FilterDatabase" localSheetId="14" hidden="1">'Lauli Pokhtakham'!$C$3:$G$290</definedName>
    <definedName name="_xlnm._FilterDatabase" localSheetId="45" hidden="1">'madhra rani (ags)'!$B$4:$O$161</definedName>
    <definedName name="_xlnm._FilterDatabase" localSheetId="44" hidden="1">'MADHURA RANI GANJ'!$A$3:$W$261</definedName>
    <definedName name="_xlnm._FilterDatabase" localSheetId="47" hidden="1">'MADHURA RANI GANJ(TANISH-2)'!$B$3:$P$136</definedName>
    <definedName name="_xlnm._FilterDatabase" localSheetId="37" hidden="1">malaak!$C$4:$X$264</definedName>
    <definedName name="_xlnm._FilterDatabase" localSheetId="8" hidden="1">'mandah &amp; bhoji'!$B$12:$S$157</definedName>
    <definedName name="_xlnm._FilterDatabase" localSheetId="31" hidden="1">MANGRAURA!$B$5:$AA$201</definedName>
    <definedName name="_xlnm._FilterDatabase" localSheetId="19" hidden="1">'PADAMPUR (2)'!$C$4:$D$136</definedName>
    <definedName name="_xlnm._FilterDatabase" localSheetId="13" hidden="1">'PERSANDA (3)'!$B$4:$H$108</definedName>
    <definedName name="_xlnm._FilterDatabase" localSheetId="33" hidden="1">'PURBHIKA AND RAIGARH'!$B$4:$V$333</definedName>
    <definedName name="_xlnm._FilterDatabase" localSheetId="16" hidden="1">Puremanikanth!$C$4:$H$183</definedName>
    <definedName name="_xlnm._FilterDatabase" localSheetId="21" hidden="1">SAKRA!$A$5:$AO$84</definedName>
    <definedName name="_xlnm._FilterDatabase" localSheetId="22" hidden="1">'sakra 2'!$B$4:$P$142</definedName>
    <definedName name="_xlnm._FilterDatabase" localSheetId="32" hidden="1">'SARAI JAMMUVARI'!$B$3:$S$48</definedName>
    <definedName name="_xlnm._FilterDatabase" localSheetId="39" hidden="1">sarsidhi!$B$4:$Q$4</definedName>
    <definedName name="_xlnm._FilterDatabase" localSheetId="25" hidden="1">'SESHPUR ADHARGANJ'!$A$100:$AH$175</definedName>
    <definedName name="_xlnm._FilterDatabase" localSheetId="34" hidden="1">Sheet1!$B$3:$K$305</definedName>
    <definedName name="_xlnm._FilterDatabase" localSheetId="38" hidden="1">'shivapur khurd'!$B$3:$L$153</definedName>
    <definedName name="_xlnm._FilterDatabase" localSheetId="0" hidden="1">'suryagarh jagannath'!$A$11:$R$151</definedName>
    <definedName name="_xlnm._FilterDatabase" localSheetId="2" hidden="1">UTRAS!$C$4:$L$125</definedName>
    <definedName name="_xlnm._FilterDatabase" localSheetId="1" hidden="1">'utras 2'!$A$11:$R$191</definedName>
    <definedName name="_xlnm._FilterDatabase" hidden="1">#REF!</definedName>
    <definedName name="_FLK1" localSheetId="7">#REF!</definedName>
    <definedName name="_FLK1" localSheetId="47">#REF!</definedName>
    <definedName name="_FLK1" localSheetId="1">#REF!</definedName>
    <definedName name="_FLK1">#REF!</definedName>
    <definedName name="_GEN1" localSheetId="7">#REF!</definedName>
    <definedName name="_GEN1" localSheetId="47">#REF!</definedName>
    <definedName name="_GEN1" localSheetId="1">#REF!</definedName>
    <definedName name="_GEN1">#REF!</definedName>
    <definedName name="_GEN100" localSheetId="7">#REF!</definedName>
    <definedName name="_GEN100" localSheetId="47">#REF!</definedName>
    <definedName name="_GEN100" localSheetId="1">#REF!</definedName>
    <definedName name="_GEN100">#REF!</definedName>
    <definedName name="_GEN250" localSheetId="7">#REF!</definedName>
    <definedName name="_GEN250" localSheetId="47">#REF!</definedName>
    <definedName name="_GEN250" localSheetId="1">#REF!</definedName>
    <definedName name="_GEN250">#REF!</definedName>
    <definedName name="_GEN325" localSheetId="7">#REF!</definedName>
    <definedName name="_GEN325" localSheetId="47">#REF!</definedName>
    <definedName name="_GEN325" localSheetId="1">#REF!</definedName>
    <definedName name="_GEN325">#REF!</definedName>
    <definedName name="_GEN380" localSheetId="7">#REF!</definedName>
    <definedName name="_GEN380" localSheetId="47">#REF!</definedName>
    <definedName name="_GEN380" localSheetId="1">#REF!</definedName>
    <definedName name="_GEN380">#REF!</definedName>
    <definedName name="_GSB1" localSheetId="7">#REF!</definedName>
    <definedName name="_GSB1" localSheetId="47">#REF!</definedName>
    <definedName name="_GSB1" localSheetId="1">#REF!</definedName>
    <definedName name="_GSB1">#REF!</definedName>
    <definedName name="_GSB2" localSheetId="7">#REF!</definedName>
    <definedName name="_GSB2" localSheetId="47">#REF!</definedName>
    <definedName name="_GSB2" localSheetId="1">#REF!</definedName>
    <definedName name="_GSB2">#REF!</definedName>
    <definedName name="_GSB3" localSheetId="7">#REF!</definedName>
    <definedName name="_GSB3" localSheetId="47">#REF!</definedName>
    <definedName name="_GSB3" localSheetId="1">#REF!</definedName>
    <definedName name="_GSB3">#REF!</definedName>
    <definedName name="_HE02" localSheetId="7">#REF!</definedName>
    <definedName name="_HE02" localSheetId="47">#REF!</definedName>
    <definedName name="_HE02" localSheetId="1">#REF!</definedName>
    <definedName name="_HE02">#REF!</definedName>
    <definedName name="_HE06" localSheetId="7">#REF!</definedName>
    <definedName name="_HE06" localSheetId="47">#REF!</definedName>
    <definedName name="_HE06" localSheetId="1">#REF!</definedName>
    <definedName name="_HE06">#REF!</definedName>
    <definedName name="_HE07" localSheetId="7">#REF!</definedName>
    <definedName name="_HE07" localSheetId="47">#REF!</definedName>
    <definedName name="_HE07" localSheetId="1">#REF!</definedName>
    <definedName name="_HE07">#REF!</definedName>
    <definedName name="_HE08" localSheetId="7">#REF!</definedName>
    <definedName name="_HE08" localSheetId="47">#REF!</definedName>
    <definedName name="_HE08" localSheetId="1">#REF!</definedName>
    <definedName name="_HE08">#REF!</definedName>
    <definedName name="_HE09" localSheetId="7">#REF!</definedName>
    <definedName name="_HE09" localSheetId="47">#REF!</definedName>
    <definedName name="_HE09" localSheetId="1">#REF!</definedName>
    <definedName name="_HE09">#REF!</definedName>
    <definedName name="_HE1" localSheetId="7">#REF!</definedName>
    <definedName name="_HE1" localSheetId="47">#REF!</definedName>
    <definedName name="_HE1" localSheetId="1">#REF!</definedName>
    <definedName name="_HE1">#REF!</definedName>
    <definedName name="_HE11" localSheetId="7">#REF!</definedName>
    <definedName name="_HE11" localSheetId="47">#REF!</definedName>
    <definedName name="_HE11" localSheetId="1">#REF!</definedName>
    <definedName name="_HE11">#REF!</definedName>
    <definedName name="_HE2" localSheetId="7">#REF!</definedName>
    <definedName name="_HE2" localSheetId="47">#REF!</definedName>
    <definedName name="_HE2" localSheetId="1">#REF!</definedName>
    <definedName name="_HE2">#REF!</definedName>
    <definedName name="_HE21" localSheetId="7">#REF!</definedName>
    <definedName name="_HE21" localSheetId="47">#REF!</definedName>
    <definedName name="_HE21" localSheetId="1">#REF!</definedName>
    <definedName name="_HE21">#REF!</definedName>
    <definedName name="_HE3" localSheetId="7">#REF!</definedName>
    <definedName name="_HE3" localSheetId="47">#REF!</definedName>
    <definedName name="_HE3" localSheetId="1">#REF!</definedName>
    <definedName name="_HE3">#REF!</definedName>
    <definedName name="_HE4" localSheetId="7">#REF!</definedName>
    <definedName name="_HE4" localSheetId="47">#REF!</definedName>
    <definedName name="_HE4" localSheetId="1">#REF!</definedName>
    <definedName name="_HE4">#REF!</definedName>
    <definedName name="_HE5" localSheetId="7">#REF!</definedName>
    <definedName name="_HE5" localSheetId="47">#REF!</definedName>
    <definedName name="_HE5" localSheetId="1">#REF!</definedName>
    <definedName name="_HE5">#REF!</definedName>
    <definedName name="_HE61" localSheetId="7">#REF!</definedName>
    <definedName name="_HE61" localSheetId="47">#REF!</definedName>
    <definedName name="_HE61" localSheetId="1">#REF!</definedName>
    <definedName name="_HE61">#REF!</definedName>
    <definedName name="_HE71" localSheetId="7">#REF!</definedName>
    <definedName name="_HE71" localSheetId="47">#REF!</definedName>
    <definedName name="_HE71" localSheetId="1">#REF!</definedName>
    <definedName name="_HE71">#REF!</definedName>
    <definedName name="_HE81" localSheetId="7">#REF!</definedName>
    <definedName name="_HE81" localSheetId="47">#REF!</definedName>
    <definedName name="_HE81" localSheetId="1">#REF!</definedName>
    <definedName name="_HE81">#REF!</definedName>
    <definedName name="_HE91" localSheetId="7">#REF!</definedName>
    <definedName name="_HE91" localSheetId="47">#REF!</definedName>
    <definedName name="_HE91" localSheetId="1">#REF!</definedName>
    <definedName name="_HE91">#REF!</definedName>
    <definedName name="_HED1" localSheetId="7">#REF!</definedName>
    <definedName name="_HED1" localSheetId="47">#REF!</definedName>
    <definedName name="_HED1" localSheetId="1">#REF!</definedName>
    <definedName name="_HED1">#REF!</definedName>
    <definedName name="_HED2" localSheetId="7">#REF!</definedName>
    <definedName name="_HED2" localSheetId="47">#REF!</definedName>
    <definedName name="_HED2" localSheetId="1">#REF!</definedName>
    <definedName name="_HED2">#REF!</definedName>
    <definedName name="_hh1">[48]설산1.나!$A$8:$J$53</definedName>
    <definedName name="_hh2">[48]본사S!$B$10:$P$103</definedName>
    <definedName name="_HM1" localSheetId="7">#REF!</definedName>
    <definedName name="_HM1" localSheetId="47">#REF!</definedName>
    <definedName name="_HM1" localSheetId="1">#REF!</definedName>
    <definedName name="_HM1">#REF!</definedName>
    <definedName name="_HM10" localSheetId="7">#REF!</definedName>
    <definedName name="_HM10" localSheetId="47">#REF!</definedName>
    <definedName name="_HM10" localSheetId="1">#REF!</definedName>
    <definedName name="_HM10">#REF!</definedName>
    <definedName name="_HM11" localSheetId="7">#REF!</definedName>
    <definedName name="_HM11" localSheetId="47">#REF!</definedName>
    <definedName name="_HM11" localSheetId="1">#REF!</definedName>
    <definedName name="_HM11">#REF!</definedName>
    <definedName name="_HM12" localSheetId="7">#REF!</definedName>
    <definedName name="_HM12" localSheetId="47">#REF!</definedName>
    <definedName name="_HM12" localSheetId="1">#REF!</definedName>
    <definedName name="_HM12">#REF!</definedName>
    <definedName name="_HM2" localSheetId="7">#REF!</definedName>
    <definedName name="_HM2" localSheetId="47">#REF!</definedName>
    <definedName name="_HM2" localSheetId="1">#REF!</definedName>
    <definedName name="_HM2">#REF!</definedName>
    <definedName name="_HM3" localSheetId="7">#REF!</definedName>
    <definedName name="_HM3" localSheetId="47">#REF!</definedName>
    <definedName name="_HM3" localSheetId="1">#REF!</definedName>
    <definedName name="_HM3">#REF!</definedName>
    <definedName name="_HM4" localSheetId="7">#REF!</definedName>
    <definedName name="_HM4" localSheetId="47">#REF!</definedName>
    <definedName name="_HM4" localSheetId="1">#REF!</definedName>
    <definedName name="_HM4">#REF!</definedName>
    <definedName name="_HM5" localSheetId="7">#REF!</definedName>
    <definedName name="_HM5" localSheetId="47">#REF!</definedName>
    <definedName name="_HM5" localSheetId="1">#REF!</definedName>
    <definedName name="_HM5">#REF!</definedName>
    <definedName name="_HM6" localSheetId="7">#REF!</definedName>
    <definedName name="_HM6" localSheetId="47">#REF!</definedName>
    <definedName name="_HM6" localSheetId="1">#REF!</definedName>
    <definedName name="_HM6">#REF!</definedName>
    <definedName name="_HM7" localSheetId="7">#REF!</definedName>
    <definedName name="_HM7" localSheetId="47">#REF!</definedName>
    <definedName name="_HM7" localSheetId="1">#REF!</definedName>
    <definedName name="_HM7">#REF!</definedName>
    <definedName name="_HM8" localSheetId="7">#REF!</definedName>
    <definedName name="_HM8" localSheetId="47">#REF!</definedName>
    <definedName name="_HM8" localSheetId="1">#REF!</definedName>
    <definedName name="_HM8">#REF!</definedName>
    <definedName name="_HM9" localSheetId="7">#REF!</definedName>
    <definedName name="_HM9" localSheetId="47">#REF!</definedName>
    <definedName name="_HM9" localSheetId="1">#REF!</definedName>
    <definedName name="_HM9">#REF!</definedName>
    <definedName name="_HMP1" localSheetId="7">#REF!</definedName>
    <definedName name="_HMP1" localSheetId="47">#REF!</definedName>
    <definedName name="_HMP1" localSheetId="1">#REF!</definedName>
    <definedName name="_HMP1">#REF!</definedName>
    <definedName name="_HMP2" localSheetId="7">#REF!</definedName>
    <definedName name="_HMP2" localSheetId="47">#REF!</definedName>
    <definedName name="_HMP2" localSheetId="1">#REF!</definedName>
    <definedName name="_HMP2">#REF!</definedName>
    <definedName name="_HMP3" localSheetId="7">#REF!</definedName>
    <definedName name="_HMP3" localSheetId="47">#REF!</definedName>
    <definedName name="_HMP3" localSheetId="1">#REF!</definedName>
    <definedName name="_HMP3">#REF!</definedName>
    <definedName name="_HMP4" localSheetId="7">#REF!</definedName>
    <definedName name="_HMP4" localSheetId="47">#REF!</definedName>
    <definedName name="_HMP4" localSheetId="1">#REF!</definedName>
    <definedName name="_HMP4">#REF!</definedName>
    <definedName name="_HV1" localSheetId="7">#REF!</definedName>
    <definedName name="_HV1" localSheetId="47">#REF!</definedName>
    <definedName name="_HV1" localSheetId="1">#REF!</definedName>
    <definedName name="_HV1">#REF!</definedName>
    <definedName name="_IPB1" localSheetId="7">#REF!</definedName>
    <definedName name="_IPB1" localSheetId="47">#REF!</definedName>
    <definedName name="_IPB1" localSheetId="1">#REF!</definedName>
    <definedName name="_IPB1">#REF!</definedName>
    <definedName name="_K1" localSheetId="7">#REF!</definedName>
    <definedName name="_K1" localSheetId="47">#REF!</definedName>
    <definedName name="_K1" localSheetId="1">#REF!</definedName>
    <definedName name="_K1">#REF!</definedName>
    <definedName name="_K2" localSheetId="7">#REF!</definedName>
    <definedName name="_K2" localSheetId="47">#REF!</definedName>
    <definedName name="_K2" localSheetId="1">#REF!</definedName>
    <definedName name="_K2">#REF!</definedName>
    <definedName name="_K3" localSheetId="7">#REF!</definedName>
    <definedName name="_K3" localSheetId="47">#REF!</definedName>
    <definedName name="_K3" localSheetId="1">#REF!</definedName>
    <definedName name="_K3">#REF!</definedName>
    <definedName name="_K5" localSheetId="7">#REF!</definedName>
    <definedName name="_K5" localSheetId="47">#REF!</definedName>
    <definedName name="_K5" localSheetId="1">#REF!</definedName>
    <definedName name="_K5">#REF!</definedName>
    <definedName name="_K6" localSheetId="7">#REF!</definedName>
    <definedName name="_K6" localSheetId="47">#REF!</definedName>
    <definedName name="_K6" localSheetId="1">#REF!</definedName>
    <definedName name="_K6">#REF!</definedName>
    <definedName name="_Key1" localSheetId="7" hidden="1">#REF!</definedName>
    <definedName name="_Key1" localSheetId="47" hidden="1">#REF!</definedName>
    <definedName name="_Key1" localSheetId="1" hidden="1">#REF!</definedName>
    <definedName name="_Key1" hidden="1">#REF!</definedName>
    <definedName name="_Key2" localSheetId="7" hidden="1">#REF!</definedName>
    <definedName name="_Key2" localSheetId="47" hidden="1">#REF!</definedName>
    <definedName name="_Key2" localSheetId="1" hidden="1">#REF!</definedName>
    <definedName name="_Key2" hidden="1">#REF!</definedName>
    <definedName name="_KH1" localSheetId="7">#REF!</definedName>
    <definedName name="_KH1" localSheetId="47">#REF!</definedName>
    <definedName name="_KH1" localSheetId="1">#REF!</definedName>
    <definedName name="_KH1">#REF!</definedName>
    <definedName name="_Ki1" localSheetId="7">#REF!</definedName>
    <definedName name="_Ki1" localSheetId="47">#REF!</definedName>
    <definedName name="_Ki1" localSheetId="1">#REF!</definedName>
    <definedName name="_Ki1">#REF!</definedName>
    <definedName name="_Ki2" localSheetId="7">#REF!</definedName>
    <definedName name="_Ki2" localSheetId="47">#REF!</definedName>
    <definedName name="_Ki2" localSheetId="1">#REF!</definedName>
    <definedName name="_Ki2">#REF!</definedName>
    <definedName name="_lb1" localSheetId="7">#REF!</definedName>
    <definedName name="_lb1" localSheetId="47">#REF!</definedName>
    <definedName name="_lb1" localSheetId="1">#REF!</definedName>
    <definedName name="_lb1">#REF!</definedName>
    <definedName name="_lb2" localSheetId="7">#REF!</definedName>
    <definedName name="_lb2" localSheetId="47">#REF!</definedName>
    <definedName name="_lb2" localSheetId="1">#REF!</definedName>
    <definedName name="_lb2">#REF!</definedName>
    <definedName name="_LV1" localSheetId="7">#REF!</definedName>
    <definedName name="_LV1" localSheetId="47">#REF!</definedName>
    <definedName name="_LV1" localSheetId="1">#REF!</definedName>
    <definedName name="_LV1">#REF!</definedName>
    <definedName name="_mac2">200</definedName>
    <definedName name="_MAN1" localSheetId="7">#REF!</definedName>
    <definedName name="_MAN1" localSheetId="47">#REF!</definedName>
    <definedName name="_MAN1" localSheetId="1">#REF!</definedName>
    <definedName name="_MAN1">#REF!</definedName>
    <definedName name="_Mat1">[49]PIPING!$AJ$7:$AJ$221</definedName>
    <definedName name="_Mat2">[49]PIPING!$AK$7:$AK$221</definedName>
    <definedName name="_MIX10" localSheetId="7">#REF!</definedName>
    <definedName name="_MIX10" localSheetId="47">#REF!</definedName>
    <definedName name="_MIX10" localSheetId="1">#REF!</definedName>
    <definedName name="_MIX10">#REF!</definedName>
    <definedName name="_MIX15" localSheetId="7">#REF!</definedName>
    <definedName name="_MIX15" localSheetId="47">#REF!</definedName>
    <definedName name="_MIX15" localSheetId="1">#REF!</definedName>
    <definedName name="_MIX15">#REF!</definedName>
    <definedName name="_MIX15150" localSheetId="7">'[4]Mix Design'!#REF!</definedName>
    <definedName name="_MIX15150" localSheetId="47">'[4]Mix Design'!#REF!</definedName>
    <definedName name="_MIX15150" localSheetId="1">'[4]Mix Design'!#REF!</definedName>
    <definedName name="_MIX15150">'[4]Mix Design'!#REF!</definedName>
    <definedName name="_MIX1540">'[4]Mix Design'!$P$11</definedName>
    <definedName name="_MIX1580" localSheetId="7">'[4]Mix Design'!#REF!</definedName>
    <definedName name="_MIX1580" localSheetId="47">'[4]Mix Design'!#REF!</definedName>
    <definedName name="_MIX1580" localSheetId="1">'[4]Mix Design'!#REF!</definedName>
    <definedName name="_MIX1580">'[4]Mix Design'!#REF!</definedName>
    <definedName name="_MIX2">'[5]Mix Design'!$P$12</definedName>
    <definedName name="_MIX20" localSheetId="7">#REF!</definedName>
    <definedName name="_MIX20" localSheetId="47">#REF!</definedName>
    <definedName name="_MIX20" localSheetId="1">#REF!</definedName>
    <definedName name="_MIX20">#REF!</definedName>
    <definedName name="_MIX2020">'[4]Mix Design'!$P$12</definedName>
    <definedName name="_MIX2040">'[4]Mix Design'!$P$13</definedName>
    <definedName name="_MIX25" localSheetId="7">#REF!</definedName>
    <definedName name="_MIX25" localSheetId="47">#REF!</definedName>
    <definedName name="_MIX25" localSheetId="1">#REF!</definedName>
    <definedName name="_MIX25">#REF!</definedName>
    <definedName name="_MIX2540">'[4]Mix Design'!$P$15</definedName>
    <definedName name="_Mix255">'[6]Mix Design'!$P$13</definedName>
    <definedName name="_MIX30" localSheetId="7">#REF!</definedName>
    <definedName name="_MIX30" localSheetId="47">#REF!</definedName>
    <definedName name="_MIX30" localSheetId="1">#REF!</definedName>
    <definedName name="_MIX30">#REF!</definedName>
    <definedName name="_MIX35" localSheetId="7">#REF!</definedName>
    <definedName name="_MIX35" localSheetId="47">#REF!</definedName>
    <definedName name="_MIX35" localSheetId="1">#REF!</definedName>
    <definedName name="_MIX35">#REF!</definedName>
    <definedName name="_MIX40" localSheetId="7">#REF!</definedName>
    <definedName name="_MIX40" localSheetId="47">#REF!</definedName>
    <definedName name="_MIX40" localSheetId="1">#REF!</definedName>
    <definedName name="_MIX40">#REF!</definedName>
    <definedName name="_MIX45" localSheetId="7">'[4]Mix Design'!#REF!</definedName>
    <definedName name="_MIX45" localSheetId="47">'[4]Mix Design'!#REF!</definedName>
    <definedName name="_MIX45" localSheetId="1">'[4]Mix Design'!#REF!</definedName>
    <definedName name="_MIX45">'[4]Mix Design'!#REF!</definedName>
    <definedName name="_mm1" localSheetId="7">#REF!</definedName>
    <definedName name="_mm1" localSheetId="47">#REF!</definedName>
    <definedName name="_mm1" localSheetId="1">#REF!</definedName>
    <definedName name="_mm1">#REF!</definedName>
    <definedName name="_mm2" localSheetId="7">#REF!</definedName>
    <definedName name="_mm2" localSheetId="47">#REF!</definedName>
    <definedName name="_mm2" localSheetId="1">#REF!</definedName>
    <definedName name="_mm2">#REF!</definedName>
    <definedName name="_mm3" localSheetId="7">#REF!</definedName>
    <definedName name="_mm3" localSheetId="47">#REF!</definedName>
    <definedName name="_mm3" localSheetId="1">#REF!</definedName>
    <definedName name="_mm3">#REF!</definedName>
    <definedName name="_MUR5" localSheetId="7">#REF!</definedName>
    <definedName name="_MUR5" localSheetId="47">#REF!</definedName>
    <definedName name="_MUR5" localSheetId="1">#REF!</definedName>
    <definedName name="_MUR5">#REF!</definedName>
    <definedName name="_MUR8" localSheetId="7">#REF!</definedName>
    <definedName name="_MUR8" localSheetId="47">#REF!</definedName>
    <definedName name="_MUR8" localSheetId="1">#REF!</definedName>
    <definedName name="_MUR8">#REF!</definedName>
    <definedName name="_new1">[50]Original!$V$8</definedName>
    <definedName name="_OPC43" localSheetId="7">#REF!</definedName>
    <definedName name="_OPC43" localSheetId="47">#REF!</definedName>
    <definedName name="_OPC43" localSheetId="1">#REF!</definedName>
    <definedName name="_OPC43">#REF!</definedName>
    <definedName name="_Order1" hidden="1">255</definedName>
    <definedName name="_Order2" hidden="1">0</definedName>
    <definedName name="_p1" localSheetId="7">#REF!</definedName>
    <definedName name="_p1" localSheetId="47">#REF!</definedName>
    <definedName name="_p1" localSheetId="1">#REF!</definedName>
    <definedName name="_p1">#REF!</definedName>
    <definedName name="_Parse_In" localSheetId="7" hidden="1">#REF!</definedName>
    <definedName name="_Parse_In" localSheetId="47" hidden="1">#REF!</definedName>
    <definedName name="_Parse_In" localSheetId="1" hidden="1">#REF!</definedName>
    <definedName name="_Parse_In" hidden="1">#REF!</definedName>
    <definedName name="_Parse_Out" localSheetId="7" hidden="1">[51]갑지!#REF!</definedName>
    <definedName name="_Parse_Out" localSheetId="47" hidden="1">[51]갑지!#REF!</definedName>
    <definedName name="_Parse_Out" localSheetId="1" hidden="1">[51]갑지!#REF!</definedName>
    <definedName name="_Parse_Out" hidden="1">[51]갑지!#REF!</definedName>
    <definedName name="_PB1" localSheetId="7">#REF!</definedName>
    <definedName name="_PB1" localSheetId="47">#REF!</definedName>
    <definedName name="_PB1" localSheetId="1">#REF!</definedName>
    <definedName name="_PB1">#REF!</definedName>
    <definedName name="_PIN1" localSheetId="7">#REF!</definedName>
    <definedName name="_PIN1" localSheetId="47">#REF!</definedName>
    <definedName name="_PIN1" localSheetId="1">#REF!</definedName>
    <definedName name="_PIN1">#REF!</definedName>
    <definedName name="_PPC53">'[46]RA Civil'!$E$19</definedName>
    <definedName name="_RE100" localSheetId="7">#REF!</definedName>
    <definedName name="_RE100" localSheetId="47">#REF!</definedName>
    <definedName name="_RE100" localSheetId="1">#REF!</definedName>
    <definedName name="_RE100">#REF!</definedName>
    <definedName name="_RE104" localSheetId="7">#REF!</definedName>
    <definedName name="_RE104" localSheetId="47">#REF!</definedName>
    <definedName name="_RE104" localSheetId="1">#REF!</definedName>
    <definedName name="_RE104">#REF!</definedName>
    <definedName name="_RE112" localSheetId="7">#REF!</definedName>
    <definedName name="_RE112" localSheetId="47">#REF!</definedName>
    <definedName name="_RE112" localSheetId="1">#REF!</definedName>
    <definedName name="_RE112">#REF!</definedName>
    <definedName name="_RE26" localSheetId="7">#REF!</definedName>
    <definedName name="_RE26" localSheetId="47">#REF!</definedName>
    <definedName name="_RE26" localSheetId="1">#REF!</definedName>
    <definedName name="_RE26">#REF!</definedName>
    <definedName name="_RE28" localSheetId="7">#REF!</definedName>
    <definedName name="_RE28" localSheetId="47">#REF!</definedName>
    <definedName name="_RE28" localSheetId="1">#REF!</definedName>
    <definedName name="_RE28">#REF!</definedName>
    <definedName name="_RE30" localSheetId="7">#REF!</definedName>
    <definedName name="_RE30" localSheetId="47">#REF!</definedName>
    <definedName name="_RE30" localSheetId="1">#REF!</definedName>
    <definedName name="_RE30">#REF!</definedName>
    <definedName name="_RE32" localSheetId="7">#REF!</definedName>
    <definedName name="_RE32" localSheetId="47">#REF!</definedName>
    <definedName name="_RE32" localSheetId="1">#REF!</definedName>
    <definedName name="_RE32">#REF!</definedName>
    <definedName name="_RE34" localSheetId="7">#REF!</definedName>
    <definedName name="_RE34" localSheetId="47">#REF!</definedName>
    <definedName name="_RE34" localSheetId="1">#REF!</definedName>
    <definedName name="_RE34">#REF!</definedName>
    <definedName name="_RE36" localSheetId="7">#REF!</definedName>
    <definedName name="_RE36" localSheetId="47">#REF!</definedName>
    <definedName name="_RE36" localSheetId="1">#REF!</definedName>
    <definedName name="_RE36">#REF!</definedName>
    <definedName name="_RE38" localSheetId="7">#REF!</definedName>
    <definedName name="_RE38" localSheetId="47">#REF!</definedName>
    <definedName name="_RE38" localSheetId="1">#REF!</definedName>
    <definedName name="_RE38">#REF!</definedName>
    <definedName name="_RE40" localSheetId="7">#REF!</definedName>
    <definedName name="_RE40" localSheetId="47">#REF!</definedName>
    <definedName name="_RE40" localSheetId="1">#REF!</definedName>
    <definedName name="_RE40">#REF!</definedName>
    <definedName name="_RE42" localSheetId="7">#REF!</definedName>
    <definedName name="_RE42" localSheetId="47">#REF!</definedName>
    <definedName name="_RE42" localSheetId="1">#REF!</definedName>
    <definedName name="_RE42">#REF!</definedName>
    <definedName name="_RE44" localSheetId="7">#REF!</definedName>
    <definedName name="_RE44" localSheetId="47">#REF!</definedName>
    <definedName name="_RE44" localSheetId="1">#REF!</definedName>
    <definedName name="_RE44">#REF!</definedName>
    <definedName name="_RE48" localSheetId="7">#REF!</definedName>
    <definedName name="_RE48" localSheetId="47">#REF!</definedName>
    <definedName name="_RE48" localSheetId="1">#REF!</definedName>
    <definedName name="_RE48">#REF!</definedName>
    <definedName name="_RE52" localSheetId="7">#REF!</definedName>
    <definedName name="_RE52" localSheetId="47">#REF!</definedName>
    <definedName name="_RE52" localSheetId="1">#REF!</definedName>
    <definedName name="_RE52">#REF!</definedName>
    <definedName name="_RE56" localSheetId="7">#REF!</definedName>
    <definedName name="_RE56" localSheetId="47">#REF!</definedName>
    <definedName name="_RE56" localSheetId="1">#REF!</definedName>
    <definedName name="_RE56">#REF!</definedName>
    <definedName name="_RE60" localSheetId="7">#REF!</definedName>
    <definedName name="_RE60" localSheetId="47">#REF!</definedName>
    <definedName name="_RE60" localSheetId="1">#REF!</definedName>
    <definedName name="_RE60">#REF!</definedName>
    <definedName name="_RE64" localSheetId="7">#REF!</definedName>
    <definedName name="_RE64" localSheetId="47">#REF!</definedName>
    <definedName name="_RE64" localSheetId="1">#REF!</definedName>
    <definedName name="_RE64">#REF!</definedName>
    <definedName name="_RE68" localSheetId="7">#REF!</definedName>
    <definedName name="_RE68" localSheetId="47">#REF!</definedName>
    <definedName name="_RE68" localSheetId="1">#REF!</definedName>
    <definedName name="_RE68">#REF!</definedName>
    <definedName name="_RE72" localSheetId="7">#REF!</definedName>
    <definedName name="_RE72" localSheetId="47">#REF!</definedName>
    <definedName name="_RE72" localSheetId="1">#REF!</definedName>
    <definedName name="_RE72">#REF!</definedName>
    <definedName name="_RE76" localSheetId="7">#REF!</definedName>
    <definedName name="_RE76" localSheetId="47">#REF!</definedName>
    <definedName name="_RE76" localSheetId="1">#REF!</definedName>
    <definedName name="_RE76">#REF!</definedName>
    <definedName name="_RE80" localSheetId="7">#REF!</definedName>
    <definedName name="_RE80" localSheetId="47">#REF!</definedName>
    <definedName name="_RE80" localSheetId="1">#REF!</definedName>
    <definedName name="_RE80">#REF!</definedName>
    <definedName name="_RE88" localSheetId="7">#REF!</definedName>
    <definedName name="_RE88" localSheetId="47">#REF!</definedName>
    <definedName name="_RE88" localSheetId="1">#REF!</definedName>
    <definedName name="_RE88">#REF!</definedName>
    <definedName name="_RE92" localSheetId="7">#REF!</definedName>
    <definedName name="_RE92" localSheetId="47">#REF!</definedName>
    <definedName name="_RE92" localSheetId="1">#REF!</definedName>
    <definedName name="_RE92">#REF!</definedName>
    <definedName name="_RE96" localSheetId="7">#REF!</definedName>
    <definedName name="_RE96" localSheetId="47">#REF!</definedName>
    <definedName name="_RE96" localSheetId="1">#REF!</definedName>
    <definedName name="_RE96">#REF!</definedName>
    <definedName name="_Regression_Int" hidden="1">1</definedName>
    <definedName name="_Regression_Out" localSheetId="7" hidden="1">#REF!</definedName>
    <definedName name="_Regression_Out" localSheetId="47" hidden="1">#REF!</definedName>
    <definedName name="_Regression_Out" localSheetId="1" hidden="1">#REF!</definedName>
    <definedName name="_Regression_Out" hidden="1">#REF!</definedName>
    <definedName name="_Regression_X" localSheetId="7" hidden="1">#REF!</definedName>
    <definedName name="_Regression_X" localSheetId="47" hidden="1">#REF!</definedName>
    <definedName name="_Regression_X" localSheetId="1" hidden="1">#REF!</definedName>
    <definedName name="_Regression_X" hidden="1">#REF!</definedName>
    <definedName name="_Regression_Y" localSheetId="7" hidden="1">#REF!</definedName>
    <definedName name="_Regression_Y" localSheetId="47" hidden="1">#REF!</definedName>
    <definedName name="_Regression_Y" localSheetId="1" hidden="1">#REF!</definedName>
    <definedName name="_Regression_Y" hidden="1">#REF!</definedName>
    <definedName name="_RNG150">'[34]Valve Cl'!$A$8:$W$32</definedName>
    <definedName name="_RNG1500">'[34]Valve Cl'!$A$152:$W$176</definedName>
    <definedName name="_RNG2500">'[34]Valve Cl'!$A$181:$W$205</definedName>
    <definedName name="_RNG300">'[34]Valve Cl'!$A$37:$W$61</definedName>
    <definedName name="_RNG400">'[34]Valve Cl'!$A$66:$W$90</definedName>
    <definedName name="_RNG4500">'[34]Valve Cl'!$A$209:$W$233</definedName>
    <definedName name="_RNG600">'[34]Valve Cl'!$A$95:$W$119</definedName>
    <definedName name="_RNG900">'[34]Valve Cl'!$A$124:$W$148</definedName>
    <definedName name="_sh1">90</definedName>
    <definedName name="_SH10">'[35]Executive Summary -Thermal'!$A$4:$G$118</definedName>
    <definedName name="_SH11">'[35]Executive Summary -Thermal'!$A$4:$H$167</definedName>
    <definedName name="_sh2">120</definedName>
    <definedName name="_sh3">150</definedName>
    <definedName name="_sh4">180</definedName>
    <definedName name="_SH5">'[35]Executive Summary -Thermal'!$A$4:$H$96</definedName>
    <definedName name="_SH6">'[35]Executive Summary -Thermal'!$A$4:$H$95</definedName>
    <definedName name="_SH7">'[35]Executive Summary -Thermal'!$A$4:$H$163</definedName>
    <definedName name="_SH8">'[35]Executive Summary -Thermal'!$A$4:$H$133</definedName>
    <definedName name="_SH9">'[35]Executive Summary -Thermal'!$A$4:$H$194</definedName>
    <definedName name="_SLV10025" localSheetId="7">'[52]ANAL-PIPE LINE'!#REF!</definedName>
    <definedName name="_SLV10025" localSheetId="47">'[52]ANAL-PIPE LINE'!#REF!</definedName>
    <definedName name="_SLV10025" localSheetId="1">'[52]ANAL-PIPE LINE'!#REF!</definedName>
    <definedName name="_SLV10025">'[52]ANAL-PIPE LINE'!#REF!</definedName>
    <definedName name="_SMG1">#N/A</definedName>
    <definedName name="_SMG2">#N/A</definedName>
    <definedName name="_Sort" localSheetId="7" hidden="1">#REF!</definedName>
    <definedName name="_Sort" localSheetId="47" hidden="1">#REF!</definedName>
    <definedName name="_Sort" localSheetId="1" hidden="1">#REF!</definedName>
    <definedName name="_Sort" hidden="1">#REF!</definedName>
    <definedName name="_ssr1" localSheetId="7">'[53]scour depth'!#REF!</definedName>
    <definedName name="_ssr1" localSheetId="47">'[53]scour depth'!#REF!</definedName>
    <definedName name="_ssr1" localSheetId="1">'[53]scour depth'!#REF!</definedName>
    <definedName name="_ssr1">'[53]scour depth'!#REF!</definedName>
    <definedName name="_t1" localSheetId="7">#REF!</definedName>
    <definedName name="_t1" localSheetId="47">#REF!</definedName>
    <definedName name="_t1" localSheetId="1">#REF!</definedName>
    <definedName name="_t1">#REF!</definedName>
    <definedName name="_tab1" localSheetId="7">#REF!</definedName>
    <definedName name="_tab1" localSheetId="47">#REF!</definedName>
    <definedName name="_tab1" localSheetId="1">#REF!</definedName>
    <definedName name="_tab1">#REF!</definedName>
    <definedName name="_tab2" localSheetId="7">#REF!</definedName>
    <definedName name="_tab2" localSheetId="47">#REF!</definedName>
    <definedName name="_tab2" localSheetId="1">#REF!</definedName>
    <definedName name="_tab2">#REF!</definedName>
    <definedName name="_TB2" localSheetId="7">#REF!</definedName>
    <definedName name="_TB2" localSheetId="47">#REF!</definedName>
    <definedName name="_TB2" localSheetId="1">#REF!</definedName>
    <definedName name="_TB2">#REF!</definedName>
    <definedName name="_tem1">#N/A</definedName>
    <definedName name="_TIP1" localSheetId="7">#REF!</definedName>
    <definedName name="_TIP1" localSheetId="47">#REF!</definedName>
    <definedName name="_TIP1" localSheetId="1">#REF!</definedName>
    <definedName name="_TIP1">#REF!</definedName>
    <definedName name="_TIP2" localSheetId="7">#REF!</definedName>
    <definedName name="_TIP2" localSheetId="47">#REF!</definedName>
    <definedName name="_TIP2" localSheetId="1">#REF!</definedName>
    <definedName name="_TIP2">#REF!</definedName>
    <definedName name="_TIP3" localSheetId="7">#REF!</definedName>
    <definedName name="_TIP3" localSheetId="47">#REF!</definedName>
    <definedName name="_TIP3" localSheetId="1">#REF!</definedName>
    <definedName name="_TIP3">#REF!</definedName>
    <definedName name="_V1">[54]Voucher!$B$1</definedName>
    <definedName name="_V2">[54]Voucher!$R$1</definedName>
    <definedName name="√">"SQRT"</definedName>
    <definedName name="◈002MONO현황" localSheetId="7">#REF!</definedName>
    <definedName name="◈002MONO현황" localSheetId="47">#REF!</definedName>
    <definedName name="◈002MONO현황" localSheetId="1">#REF!</definedName>
    <definedName name="◈002MONO현황">#REF!</definedName>
    <definedName name="a">[55]Culvert!$H$112</definedName>
    <definedName name="a._Trimmer" localSheetId="7">[44]SOR!#REF!</definedName>
    <definedName name="a._Trimmer" localSheetId="47">[44]SOR!#REF!</definedName>
    <definedName name="a._Trimmer" localSheetId="1">[44]SOR!#REF!</definedName>
    <definedName name="a._Trimmer">[44]SOR!#REF!</definedName>
    <definedName name="a___0" localSheetId="7">#REF!</definedName>
    <definedName name="a___0" localSheetId="47">#REF!</definedName>
    <definedName name="a___0" localSheetId="1">#REF!</definedName>
    <definedName name="a___0">#REF!</definedName>
    <definedName name="a___13" localSheetId="7">#REF!</definedName>
    <definedName name="a___13" localSheetId="47">#REF!</definedName>
    <definedName name="a___13" localSheetId="1">#REF!</definedName>
    <definedName name="a___13">#REF!</definedName>
    <definedName name="a__Labour_charges_for_cutting_bending__welding_including_materials." localSheetId="7">[44]SOR!#REF!</definedName>
    <definedName name="a__Labour_charges_for_cutting_bending__welding_including_materials." localSheetId="47">[44]SOR!#REF!</definedName>
    <definedName name="a__Labour_charges_for_cutting_bending__welding_including_materials." localSheetId="1">[44]SOR!#REF!</definedName>
    <definedName name="a__Labour_charges_for_cutting_bending__welding_including_materials.">[44]SOR!#REF!</definedName>
    <definedName name="a_dash" localSheetId="7">#REF!</definedName>
    <definedName name="a_dash" localSheetId="47">#REF!</definedName>
    <definedName name="a_dash" localSheetId="1">#REF!</definedName>
    <definedName name="a_dash">#REF!</definedName>
    <definedName name="A1_" localSheetId="7">#REF!</definedName>
    <definedName name="A1_" localSheetId="47">#REF!</definedName>
    <definedName name="A1_" localSheetId="1">#REF!</definedName>
    <definedName name="A1_">#REF!</definedName>
    <definedName name="A1____0" localSheetId="7">#REF!</definedName>
    <definedName name="A1____0" localSheetId="47">#REF!</definedName>
    <definedName name="A1____0" localSheetId="1">#REF!</definedName>
    <definedName name="A1____0">#REF!</definedName>
    <definedName name="A1____13" localSheetId="7">#REF!</definedName>
    <definedName name="A1____13" localSheetId="47">#REF!</definedName>
    <definedName name="A1____13" localSheetId="1">#REF!</definedName>
    <definedName name="A1____13">#REF!</definedName>
    <definedName name="A10_" localSheetId="7">#REF!</definedName>
    <definedName name="A10_" localSheetId="47">#REF!</definedName>
    <definedName name="A10_" localSheetId="1">#REF!</definedName>
    <definedName name="A10_">#REF!</definedName>
    <definedName name="A10____0" localSheetId="7">#REF!</definedName>
    <definedName name="A10____0" localSheetId="47">#REF!</definedName>
    <definedName name="A10____0" localSheetId="1">#REF!</definedName>
    <definedName name="A10____0">#REF!</definedName>
    <definedName name="A10____13" localSheetId="7">#REF!</definedName>
    <definedName name="A10____13" localSheetId="47">#REF!</definedName>
    <definedName name="A10____13" localSheetId="1">#REF!</definedName>
    <definedName name="A10____13">#REF!</definedName>
    <definedName name="A13_" localSheetId="7">#REF!</definedName>
    <definedName name="A13_" localSheetId="47">#REF!</definedName>
    <definedName name="A13_" localSheetId="1">#REF!</definedName>
    <definedName name="A13_">#REF!</definedName>
    <definedName name="A13____0" localSheetId="7">#REF!</definedName>
    <definedName name="A13____0" localSheetId="47">#REF!</definedName>
    <definedName name="A13____0" localSheetId="1">#REF!</definedName>
    <definedName name="A13____0">#REF!</definedName>
    <definedName name="A13____13" localSheetId="7">#REF!</definedName>
    <definedName name="A13____13" localSheetId="47">#REF!</definedName>
    <definedName name="A13____13" localSheetId="1">#REF!</definedName>
    <definedName name="A13____13">#REF!</definedName>
    <definedName name="a1o" localSheetId="7">#REF!</definedName>
    <definedName name="a1o" localSheetId="47">#REF!</definedName>
    <definedName name="a1o" localSheetId="1">#REF!</definedName>
    <definedName name="a1o">#REF!</definedName>
    <definedName name="A2_" localSheetId="7">#REF!</definedName>
    <definedName name="A2_" localSheetId="47">#REF!</definedName>
    <definedName name="A2_" localSheetId="1">#REF!</definedName>
    <definedName name="A2_">#REF!</definedName>
    <definedName name="A2____0" localSheetId="7">#REF!</definedName>
    <definedName name="A2____0" localSheetId="47">#REF!</definedName>
    <definedName name="A2____0" localSheetId="1">#REF!</definedName>
    <definedName name="A2____0">#REF!</definedName>
    <definedName name="A2____13" localSheetId="7">#REF!</definedName>
    <definedName name="A2____13" localSheetId="47">#REF!</definedName>
    <definedName name="A2____13" localSheetId="1">#REF!</definedName>
    <definedName name="A2____13">#REF!</definedName>
    <definedName name="A3_" localSheetId="7">#REF!</definedName>
    <definedName name="A3_" localSheetId="47">#REF!</definedName>
    <definedName name="A3_" localSheetId="1">#REF!</definedName>
    <definedName name="A3_">#REF!</definedName>
    <definedName name="A3____0" localSheetId="7">#REF!</definedName>
    <definedName name="A3____0" localSheetId="47">#REF!</definedName>
    <definedName name="A3____0" localSheetId="1">#REF!</definedName>
    <definedName name="A3____0">#REF!</definedName>
    <definedName name="A3____13" localSheetId="7">#REF!</definedName>
    <definedName name="A3____13" localSheetId="47">#REF!</definedName>
    <definedName name="A3____13" localSheetId="1">#REF!</definedName>
    <definedName name="A3____13">#REF!</definedName>
    <definedName name="A4_" localSheetId="7">#REF!</definedName>
    <definedName name="A4_" localSheetId="47">#REF!</definedName>
    <definedName name="A4_" localSheetId="1">#REF!</definedName>
    <definedName name="A4_">#REF!</definedName>
    <definedName name="A4____0" localSheetId="7">#REF!</definedName>
    <definedName name="A4____0" localSheetId="47">#REF!</definedName>
    <definedName name="A4____0" localSheetId="1">#REF!</definedName>
    <definedName name="A4____0">#REF!</definedName>
    <definedName name="A4____13" localSheetId="7">#REF!</definedName>
    <definedName name="A4____13" localSheetId="47">#REF!</definedName>
    <definedName name="A4____13" localSheetId="1">#REF!</definedName>
    <definedName name="A4____13">#REF!</definedName>
    <definedName name="A5_" localSheetId="7">#REF!</definedName>
    <definedName name="A5_" localSheetId="47">#REF!</definedName>
    <definedName name="A5_" localSheetId="1">#REF!</definedName>
    <definedName name="A5_">#REF!</definedName>
    <definedName name="A5____0" localSheetId="7">#REF!</definedName>
    <definedName name="A5____0" localSheetId="47">#REF!</definedName>
    <definedName name="A5____0" localSheetId="1">#REF!</definedName>
    <definedName name="A5____0">#REF!</definedName>
    <definedName name="A5____13" localSheetId="7">#REF!</definedName>
    <definedName name="A5____13" localSheetId="47">#REF!</definedName>
    <definedName name="A5____13" localSheetId="1">#REF!</definedName>
    <definedName name="A5____13">#REF!</definedName>
    <definedName name="A6_" localSheetId="7">#REF!</definedName>
    <definedName name="A6_" localSheetId="47">#REF!</definedName>
    <definedName name="A6_" localSheetId="1">#REF!</definedName>
    <definedName name="A6_">#REF!</definedName>
    <definedName name="A6____0" localSheetId="7">#REF!</definedName>
    <definedName name="A6____0" localSheetId="47">#REF!</definedName>
    <definedName name="A6____0" localSheetId="1">#REF!</definedName>
    <definedName name="A6____0">#REF!</definedName>
    <definedName name="A6____13" localSheetId="7">#REF!</definedName>
    <definedName name="A6____13" localSheetId="47">#REF!</definedName>
    <definedName name="A6____13" localSheetId="1">#REF!</definedName>
    <definedName name="A6____13">#REF!</definedName>
    <definedName name="A7_" localSheetId="7">#REF!</definedName>
    <definedName name="A7_" localSheetId="47">#REF!</definedName>
    <definedName name="A7_" localSheetId="1">#REF!</definedName>
    <definedName name="A7_">#REF!</definedName>
    <definedName name="A7____0" localSheetId="7">#REF!</definedName>
    <definedName name="A7____0" localSheetId="47">#REF!</definedName>
    <definedName name="A7____0" localSheetId="1">#REF!</definedName>
    <definedName name="A7____0">#REF!</definedName>
    <definedName name="A7____13" localSheetId="7">#REF!</definedName>
    <definedName name="A7____13" localSheetId="47">#REF!</definedName>
    <definedName name="A7____13" localSheetId="1">#REF!</definedName>
    <definedName name="A7____13">#REF!</definedName>
    <definedName name="A73.1" localSheetId="7">#REF!</definedName>
    <definedName name="A73.1" localSheetId="47">#REF!</definedName>
    <definedName name="A73.1" localSheetId="1">#REF!</definedName>
    <definedName name="A73.1">#REF!</definedName>
    <definedName name="A8_" localSheetId="7">#REF!</definedName>
    <definedName name="A8_" localSheetId="47">#REF!</definedName>
    <definedName name="A8_" localSheetId="1">#REF!</definedName>
    <definedName name="A8_">#REF!</definedName>
    <definedName name="A8____0" localSheetId="7">#REF!</definedName>
    <definedName name="A8____0" localSheetId="47">#REF!</definedName>
    <definedName name="A8____0" localSheetId="1">#REF!</definedName>
    <definedName name="A8____0">#REF!</definedName>
    <definedName name="A8____13" localSheetId="7">#REF!</definedName>
    <definedName name="A8____13" localSheetId="47">#REF!</definedName>
    <definedName name="A8____13" localSheetId="1">#REF!</definedName>
    <definedName name="A8____13">#REF!</definedName>
    <definedName name="A9_" localSheetId="7">#REF!</definedName>
    <definedName name="A9_" localSheetId="47">#REF!</definedName>
    <definedName name="A9_" localSheetId="1">#REF!</definedName>
    <definedName name="A9_">#REF!</definedName>
    <definedName name="A9____0" localSheetId="7">#REF!</definedName>
    <definedName name="A9____0" localSheetId="47">#REF!</definedName>
    <definedName name="A9____0" localSheetId="1">#REF!</definedName>
    <definedName name="A9____0">#REF!</definedName>
    <definedName name="A9____13" localSheetId="7">#REF!</definedName>
    <definedName name="A9____13" localSheetId="47">#REF!</definedName>
    <definedName name="A9____13" localSheetId="1">#REF!</definedName>
    <definedName name="A9____13">#REF!</definedName>
    <definedName name="aa" localSheetId="7">#REF!</definedName>
    <definedName name="aa" localSheetId="47">#REF!</definedName>
    <definedName name="aa" localSheetId="1">#REF!</definedName>
    <definedName name="aa">#REF!</definedName>
    <definedName name="AAA" localSheetId="7">[56]PROCTOR!#REF!</definedName>
    <definedName name="AAA" localSheetId="47">[56]PROCTOR!#REF!</definedName>
    <definedName name="AAA" localSheetId="1">[56]PROCTOR!#REF!</definedName>
    <definedName name="AAA">[56]PROCTOR!#REF!</definedName>
    <definedName name="AAAA" localSheetId="7" hidden="1">{"form-D1",#N/A,FALSE,"FORM-D1";"form-D1_amt",#N/A,FALSE,"FORM-D1"}</definedName>
    <definedName name="AAAA" localSheetId="47" hidden="1">{"form-D1",#N/A,FALSE,"FORM-D1";"form-D1_amt",#N/A,FALSE,"FORM-D1"}</definedName>
    <definedName name="AAAA" localSheetId="1" hidden="1">{"form-D1",#N/A,FALSE,"FORM-D1";"form-D1_amt",#N/A,FALSE,"FORM-D1"}</definedName>
    <definedName name="AAAA" hidden="1">{"form-D1",#N/A,FALSE,"FORM-D1";"form-D1_amt",#N/A,FALSE,"FORM-D1"}</definedName>
    <definedName name="ab" localSheetId="7">#REF!</definedName>
    <definedName name="ab" localSheetId="47">#REF!</definedName>
    <definedName name="ab" localSheetId="1">#REF!</definedName>
    <definedName name="ab">#REF!</definedName>
    <definedName name="abc" localSheetId="7">#REF!</definedName>
    <definedName name="abc" localSheetId="47">#REF!</definedName>
    <definedName name="abc" localSheetId="1">#REF!</definedName>
    <definedName name="abc">#REF!</definedName>
    <definedName name="abcd" localSheetId="7">#REF!</definedName>
    <definedName name="abcd" localSheetId="47">#REF!</definedName>
    <definedName name="abcd" localSheetId="1">#REF!</definedName>
    <definedName name="abcd">#REF!</definedName>
    <definedName name="abg" localSheetId="7">#REF!</definedName>
    <definedName name="abg" localSheetId="47">#REF!</definedName>
    <definedName name="abg" localSheetId="1">#REF!</definedName>
    <definedName name="abg">#REF!</definedName>
    <definedName name="ABS" localSheetId="7">#REF!</definedName>
    <definedName name="ABS" localSheetId="47">#REF!</definedName>
    <definedName name="ABS" localSheetId="1">#REF!</definedName>
    <definedName name="ABS">#REF!</definedName>
    <definedName name="AbsEst_10000" localSheetId="7">#REF!</definedName>
    <definedName name="AbsEst_10000" localSheetId="47">#REF!</definedName>
    <definedName name="AbsEst_10000" localSheetId="1">#REF!</definedName>
    <definedName name="AbsEst_10000">#REF!</definedName>
    <definedName name="Absest_1LL_12" localSheetId="7">#REF!</definedName>
    <definedName name="Absest_1LL_12" localSheetId="47">#REF!</definedName>
    <definedName name="Absest_1LL_12" localSheetId="1">#REF!</definedName>
    <definedName name="Absest_1LL_12">#REF!</definedName>
    <definedName name="Absest_1LL_7.5" localSheetId="7">#REF!</definedName>
    <definedName name="Absest_1LL_7.5" localSheetId="47">#REF!</definedName>
    <definedName name="Absest_1LL_7.5" localSheetId="1">#REF!</definedName>
    <definedName name="Absest_1LL_7.5">#REF!</definedName>
    <definedName name="Absest_30000" localSheetId="7">#REF!</definedName>
    <definedName name="Absest_30000" localSheetId="47">#REF!</definedName>
    <definedName name="Absest_30000" localSheetId="1">#REF!</definedName>
    <definedName name="Absest_30000">#REF!</definedName>
    <definedName name="Absest_60000" localSheetId="7">#REF!</definedName>
    <definedName name="Absest_60000" localSheetId="47">#REF!</definedName>
    <definedName name="Absest_60000" localSheetId="1">#REF!</definedName>
    <definedName name="Absest_60000">#REF!</definedName>
    <definedName name="ABSTRACT" localSheetId="7">#REF!</definedName>
    <definedName name="ABSTRACT" localSheetId="47">#REF!</definedName>
    <definedName name="ABSTRACT" localSheetId="1">#REF!</definedName>
    <definedName name="ABSTRACT">#REF!</definedName>
    <definedName name="ABSTRACT_ESTIMATE" localSheetId="7">#REF!</definedName>
    <definedName name="ABSTRACT_ESTIMATE" localSheetId="47">#REF!</definedName>
    <definedName name="ABSTRACT_ESTIMATE" localSheetId="1">#REF!</definedName>
    <definedName name="ABSTRACT_ESTIMATE">#REF!</definedName>
    <definedName name="ABUTCAP1" localSheetId="7">#REF!</definedName>
    <definedName name="ABUTCAP1" localSheetId="47">#REF!</definedName>
    <definedName name="ABUTCAP1" localSheetId="1">#REF!</definedName>
    <definedName name="ABUTCAP1">#REF!</definedName>
    <definedName name="ABUTCAP2" localSheetId="7">#REF!</definedName>
    <definedName name="ABUTCAP2" localSheetId="47">#REF!</definedName>
    <definedName name="ABUTCAP2" localSheetId="1">#REF!</definedName>
    <definedName name="ABUTCAP2">#REF!</definedName>
    <definedName name="ac" localSheetId="7">#REF!</definedName>
    <definedName name="ac" localSheetId="47">#REF!</definedName>
    <definedName name="ac" localSheetId="1">#REF!</definedName>
    <definedName name="ac">#REF!</definedName>
    <definedName name="AD" localSheetId="7" hidden="1">{"'Sheet1'!$A$4386:$N$4591"}</definedName>
    <definedName name="AD" localSheetId="47" hidden="1">{"'Sheet1'!$A$4386:$N$4591"}</definedName>
    <definedName name="AD" localSheetId="1" hidden="1">{"'Sheet1'!$A$4386:$N$4591"}</definedName>
    <definedName name="AD" hidden="1">{"'Sheet1'!$A$4386:$N$4591"}</definedName>
    <definedName name="adfsdf" localSheetId="7">#REF!</definedName>
    <definedName name="adfsdf" localSheetId="47">#REF!</definedName>
    <definedName name="adfsdf" localSheetId="1">#REF!</definedName>
    <definedName name="adfsdf">#REF!</definedName>
    <definedName name="ADITION" localSheetId="7" hidden="1">{"'장비'!$A$3:$M$12"}</definedName>
    <definedName name="ADITION" localSheetId="47" hidden="1">{"'장비'!$A$3:$M$12"}</definedName>
    <definedName name="ADITION" localSheetId="1" hidden="1">{"'장비'!$A$3:$M$12"}</definedName>
    <definedName name="ADITION" hidden="1">{"'장비'!$A$3:$M$12"}</definedName>
    <definedName name="Admixture" localSheetId="7">#REF!</definedName>
    <definedName name="Admixture" localSheetId="47">#REF!</definedName>
    <definedName name="Admixture" localSheetId="1">#REF!</definedName>
    <definedName name="Admixture">#REF!</definedName>
    <definedName name="adssss" localSheetId="7">#REF!</definedName>
    <definedName name="adssss" localSheetId="47">#REF!</definedName>
    <definedName name="adssss" localSheetId="1">#REF!</definedName>
    <definedName name="adssss">#REF!</definedName>
    <definedName name="ADUMP">'[57]Cost of O &amp; O'!$F$13</definedName>
    <definedName name="ae" localSheetId="7">#REF!</definedName>
    <definedName name="ae" localSheetId="47">#REF!</definedName>
    <definedName name="ae" localSheetId="1">#REF!</definedName>
    <definedName name="ae">#REF!</definedName>
    <definedName name="AEA">[58]ANALYSIS!$C$18</definedName>
    <definedName name="Ag" localSheetId="7">#REF!</definedName>
    <definedName name="Ag" localSheetId="47">#REF!</definedName>
    <definedName name="Ag" localSheetId="1">#REF!</definedName>
    <definedName name="Ag">#REF!</definedName>
    <definedName name="Ag___0" localSheetId="7">#REF!</definedName>
    <definedName name="Ag___0" localSheetId="47">#REF!</definedName>
    <definedName name="Ag___0" localSheetId="1">#REF!</definedName>
    <definedName name="Ag___0">#REF!</definedName>
    <definedName name="Ag___13" localSheetId="7">#REF!</definedName>
    <definedName name="Ag___13" localSheetId="47">#REF!</definedName>
    <definedName name="Ag___13" localSheetId="1">#REF!</definedName>
    <definedName name="Ag___13">#REF!</definedName>
    <definedName name="agdump" localSheetId="7">#REF!</definedName>
    <definedName name="agdump" localSheetId="47">#REF!</definedName>
    <definedName name="agdump" localSheetId="1">#REF!</definedName>
    <definedName name="agdump">#REF!</definedName>
    <definedName name="agedump" localSheetId="7">#REF!</definedName>
    <definedName name="agedump" localSheetId="47">#REF!</definedName>
    <definedName name="agedump" localSheetId="1">#REF!</definedName>
    <definedName name="agedump">#REF!</definedName>
    <definedName name="agencydump" localSheetId="7">#REF!</definedName>
    <definedName name="agencydump" localSheetId="47">#REF!</definedName>
    <definedName name="agencydump" localSheetId="1">#REF!</definedName>
    <definedName name="agencydump">#REF!</definedName>
    <definedName name="AGENCYLY" localSheetId="7">#REF!</definedName>
    <definedName name="AGENCYLY" localSheetId="47">#REF!</definedName>
    <definedName name="AGENCYLY" localSheetId="1">#REF!</definedName>
    <definedName name="AGENCYLY">#REF!</definedName>
    <definedName name="AGENCYPLAN" localSheetId="7">#REF!</definedName>
    <definedName name="AGENCYPLAN" localSheetId="47">#REF!</definedName>
    <definedName name="AGENCYPLAN" localSheetId="1">#REF!</definedName>
    <definedName name="AGENCYPLAN">#REF!</definedName>
    <definedName name="AGG" localSheetId="7">[59]ANAL!#REF!</definedName>
    <definedName name="AGG" localSheetId="47">[59]ANAL!#REF!</definedName>
    <definedName name="AGG" localSheetId="1">[59]ANAL!#REF!</definedName>
    <definedName name="AGG">[59]ANAL!#REF!</definedName>
    <definedName name="AGGT">[59]ANAL!$E$14</definedName>
    <definedName name="AGGT1012">'[52]ANAL-PIPE LINE'!$E$20</definedName>
    <definedName name="AGGTS" localSheetId="7">#REF!</definedName>
    <definedName name="AGGTS" localSheetId="47">#REF!</definedName>
    <definedName name="AGGTS" localSheetId="1">#REF!</definedName>
    <definedName name="AGGTS">#REF!</definedName>
    <definedName name="Agr12mm" localSheetId="7">#REF!</definedName>
    <definedName name="Agr12mm" localSheetId="47">#REF!</definedName>
    <definedName name="Agr12mm" localSheetId="1">#REF!</definedName>
    <definedName name="Agr12mm">#REF!</definedName>
    <definedName name="Agr20mm" localSheetId="7">#REF!</definedName>
    <definedName name="Agr20mm" localSheetId="47">#REF!</definedName>
    <definedName name="Agr20mm" localSheetId="1">#REF!</definedName>
    <definedName name="Agr20mm">#REF!</definedName>
    <definedName name="Agr40mm" localSheetId="7">#REF!</definedName>
    <definedName name="Agr40mm" localSheetId="47">#REF!</definedName>
    <definedName name="Agr40mm" localSheetId="1">#REF!</definedName>
    <definedName name="Agr40mm">#REF!</definedName>
    <definedName name="Agr53mm" localSheetId="7">#REF!</definedName>
    <definedName name="Agr53mm" localSheetId="47">#REF!</definedName>
    <definedName name="Agr53mm" localSheetId="1">#REF!</definedName>
    <definedName name="Agr53mm">#REF!</definedName>
    <definedName name="Agr6mm" localSheetId="7">#REF!</definedName>
    <definedName name="Agr6mm" localSheetId="47">#REF!</definedName>
    <definedName name="Agr6mm" localSheetId="1">#REF!</definedName>
    <definedName name="Agr6mm">#REF!</definedName>
    <definedName name="agrP" localSheetId="7">#REF!</definedName>
    <definedName name="agrP" localSheetId="47">#REF!</definedName>
    <definedName name="agrP" localSheetId="1">#REF!</definedName>
    <definedName name="agrP">#REF!</definedName>
    <definedName name="AH" localSheetId="7" hidden="1">{#N/A,#N/A,FALSE,"CCTV"}</definedName>
    <definedName name="AH" localSheetId="47" hidden="1">{#N/A,#N/A,FALSE,"CCTV"}</definedName>
    <definedName name="AH" localSheetId="1" hidden="1">{#N/A,#N/A,FALSE,"CCTV"}</definedName>
    <definedName name="AH" hidden="1">{#N/A,#N/A,FALSE,"CCTV"}</definedName>
    <definedName name="ai" localSheetId="7">#REF!</definedName>
    <definedName name="ai" localSheetId="47">#REF!</definedName>
    <definedName name="ai" localSheetId="1">#REF!</definedName>
    <definedName name="ai">#REF!</definedName>
    <definedName name="AIR" localSheetId="7">#REF!</definedName>
    <definedName name="AIR" localSheetId="47">#REF!</definedName>
    <definedName name="AIR" localSheetId="1">#REF!</definedName>
    <definedName name="AIR">#REF!</definedName>
    <definedName name="air_trap" localSheetId="7">#REF!</definedName>
    <definedName name="air_trap" localSheetId="47">#REF!</definedName>
    <definedName name="air_trap" localSheetId="1">#REF!</definedName>
    <definedName name="air_trap">#REF!</definedName>
    <definedName name="AIRC" localSheetId="7">#REF!</definedName>
    <definedName name="AIRC" localSheetId="47">#REF!</definedName>
    <definedName name="AIRC" localSheetId="1">#REF!</definedName>
    <definedName name="AIRC">#REF!</definedName>
    <definedName name="ajartjr" localSheetId="7">#REF!</definedName>
    <definedName name="ajartjr" localSheetId="47">#REF!</definedName>
    <definedName name="ajartjr" localSheetId="1">#REF!</definedName>
    <definedName name="ajartjr">#REF!</definedName>
    <definedName name="ALDENSITY">[60]CABLERET!$B$10</definedName>
    <definedName name="alfa" localSheetId="7">#REF!</definedName>
    <definedName name="alfa" localSheetId="47">#REF!</definedName>
    <definedName name="alfa" localSheetId="1">#REF!</definedName>
    <definedName name="alfa">#REF!</definedName>
    <definedName name="alfa1" localSheetId="7">#REF!</definedName>
    <definedName name="alfa1" localSheetId="47">#REF!</definedName>
    <definedName name="alfa1" localSheetId="1">#REF!</definedName>
    <definedName name="alfa1">#REF!</definedName>
    <definedName name="alload">[60]CABLERET!$D$13:$D$128</definedName>
    <definedName name="ALMARGIN">[60]CABLERET!$D$7</definedName>
    <definedName name="ALPHA" localSheetId="7">#REF!</definedName>
    <definedName name="ALPHA" localSheetId="47">#REF!</definedName>
    <definedName name="ALPHA" localSheetId="1">#REF!</definedName>
    <definedName name="ALPHA">#REF!</definedName>
    <definedName name="Alw" localSheetId="7">#REF!</definedName>
    <definedName name="Alw" localSheetId="47">#REF!</definedName>
    <definedName name="Alw" localSheetId="1">#REF!</definedName>
    <definedName name="Alw">#REF!</definedName>
    <definedName name="alwarsump" localSheetId="7">#REF!</definedName>
    <definedName name="alwarsump" localSheetId="47">#REF!</definedName>
    <definedName name="alwarsump" localSheetId="1">#REF!</definedName>
    <definedName name="alwarsump">#REF!</definedName>
    <definedName name="Analysis" localSheetId="7">#REF!</definedName>
    <definedName name="Analysis" localSheetId="47">#REF!</definedName>
    <definedName name="Analysis" localSheetId="1">#REF!</definedName>
    <definedName name="Analysis">#REF!</definedName>
    <definedName name="anch" localSheetId="7">#REF!</definedName>
    <definedName name="anch" localSheetId="47">#REF!</definedName>
    <definedName name="anch" localSheetId="1">#REF!</definedName>
    <definedName name="anch">#REF!</definedName>
    <definedName name="anchalik" localSheetId="7">#REF!</definedName>
    <definedName name="anchalik" localSheetId="47">#REF!</definedName>
    <definedName name="anchalik" localSheetId="1">#REF!</definedName>
    <definedName name="anchalik">#REF!</definedName>
    <definedName name="anchor" localSheetId="7">#REF!</definedName>
    <definedName name="anchor" localSheetId="47">#REF!</definedName>
    <definedName name="anchor" localSheetId="1">#REF!</definedName>
    <definedName name="anchor">#REF!</definedName>
    <definedName name="angle" localSheetId="7">#REF!</definedName>
    <definedName name="angle" localSheetId="47">#REF!</definedName>
    <definedName name="angle" localSheetId="1">#REF!</definedName>
    <definedName name="angle">#REF!</definedName>
    <definedName name="anj" localSheetId="7">#REF!</definedName>
    <definedName name="anj" localSheetId="47">#REF!</definedName>
    <definedName name="anj" localSheetId="1">#REF!</definedName>
    <definedName name="anj">#REF!</definedName>
    <definedName name="annex7ll" localSheetId="7">#REF!</definedName>
    <definedName name="annex7ll" localSheetId="47">#REF!</definedName>
    <definedName name="annex7ll" localSheetId="1">#REF!</definedName>
    <definedName name="annex7ll">#REF!</definedName>
    <definedName name="annex7llsump" localSheetId="7">#REF!</definedName>
    <definedName name="annex7llsump" localSheetId="47">#REF!</definedName>
    <definedName name="annex7llsump" localSheetId="1">#REF!</definedName>
    <definedName name="annex7llsump">#REF!</definedName>
    <definedName name="annexsump7" localSheetId="7">#REF!</definedName>
    <definedName name="annexsump7" localSheetId="47">#REF!</definedName>
    <definedName name="annexsump7" localSheetId="1">#REF!</definedName>
    <definedName name="annexsump7">#REF!</definedName>
    <definedName name="annexsump7." localSheetId="7">#REF!</definedName>
    <definedName name="annexsump7." localSheetId="47">#REF!</definedName>
    <definedName name="annexsump7." localSheetId="1">#REF!</definedName>
    <definedName name="annexsump7.">#REF!</definedName>
    <definedName name="annexsump7.1" localSheetId="7">#REF!</definedName>
    <definedName name="annexsump7.1" localSheetId="47">#REF!</definedName>
    <definedName name="annexsump7.1" localSheetId="1">#REF!</definedName>
    <definedName name="annexsump7.1">#REF!</definedName>
    <definedName name="ANNX18" localSheetId="7">#REF!</definedName>
    <definedName name="ANNX18" localSheetId="47">#REF!</definedName>
    <definedName name="ANNX18" localSheetId="1">#REF!</definedName>
    <definedName name="ANNX18">#REF!</definedName>
    <definedName name="anscount" hidden="1">1</definedName>
    <definedName name="APLANT" localSheetId="7">#REF!</definedName>
    <definedName name="APLANT" localSheetId="47">#REF!</definedName>
    <definedName name="APLANT" localSheetId="1">#REF!</definedName>
    <definedName name="APLANT">#REF!</definedName>
    <definedName name="APPLI" localSheetId="7">#REF!</definedName>
    <definedName name="APPLI" localSheetId="47">#REF!</definedName>
    <definedName name="APPLI" localSheetId="1">#REF!</definedName>
    <definedName name="APPLI">#REF!</definedName>
    <definedName name="APR" localSheetId="7" hidden="1">{"form-D1",#N/A,FALSE,"FORM-D1";"form-D1_amt",#N/A,FALSE,"FORM-D1"}</definedName>
    <definedName name="APR" localSheetId="47" hidden="1">{"form-D1",#N/A,FALSE,"FORM-D1";"form-D1_amt",#N/A,FALSE,"FORM-D1"}</definedName>
    <definedName name="APR" localSheetId="1" hidden="1">{"form-D1",#N/A,FALSE,"FORM-D1";"form-D1_amt",#N/A,FALSE,"FORM-D1"}</definedName>
    <definedName name="APR" hidden="1">{"form-D1",#N/A,FALSE,"FORM-D1";"form-D1_amt",#N/A,FALSE,"FORM-D1"}</definedName>
    <definedName name="april_qty" localSheetId="7">#REF!</definedName>
    <definedName name="april_qty" localSheetId="47">#REF!</definedName>
    <definedName name="april_qty" localSheetId="1">#REF!</definedName>
    <definedName name="april_qty">#REF!</definedName>
    <definedName name="aq" localSheetId="7">#REF!</definedName>
    <definedName name="aq" localSheetId="47">#REF!</definedName>
    <definedName name="aq" localSheetId="1">#REF!</definedName>
    <definedName name="aq">#REF!</definedName>
    <definedName name="ar" localSheetId="7">[61]ANALYSER!#REF!</definedName>
    <definedName name="ar" localSheetId="47">[61]ANALYSER!#REF!</definedName>
    <definedName name="ar" localSheetId="1">[61]ANALYSER!#REF!</definedName>
    <definedName name="ar">[61]ANALYSER!#REF!</definedName>
    <definedName name="Architect" localSheetId="7">#REF!</definedName>
    <definedName name="Architect" localSheetId="47">#REF!</definedName>
    <definedName name="Architect" localSheetId="1">#REF!</definedName>
    <definedName name="Architect">#REF!</definedName>
    <definedName name="area" localSheetId="7">[62]MixBed!#REF!</definedName>
    <definedName name="area" localSheetId="47">[62]MixBed!#REF!</definedName>
    <definedName name="area" localSheetId="1">[62]MixBed!#REF!</definedName>
    <definedName name="area">[62]MixBed!#REF!</definedName>
    <definedName name="AREA_CODE" localSheetId="7">#REF!</definedName>
    <definedName name="AREA_CODE" localSheetId="47">#REF!</definedName>
    <definedName name="AREA_CODE" localSheetId="1">#REF!</definedName>
    <definedName name="AREA_CODE">#REF!</definedName>
    <definedName name="area1" localSheetId="7">[62]MixBed!#REF!</definedName>
    <definedName name="area1" localSheetId="47">[62]MixBed!#REF!</definedName>
    <definedName name="area1" localSheetId="1">[62]MixBed!#REF!</definedName>
    <definedName name="area1">[62]MixBed!#REF!</definedName>
    <definedName name="ARGON">[49]PIPING!$U$6:$U$105</definedName>
    <definedName name="arunan">#N/A</definedName>
    <definedName name="asd" localSheetId="7">#REF!</definedName>
    <definedName name="asd" localSheetId="47">#REF!</definedName>
    <definedName name="asd" localSheetId="1">#REF!</definedName>
    <definedName name="asd">#REF!</definedName>
    <definedName name="asdf" localSheetId="7">[37]예가표!#REF!</definedName>
    <definedName name="asdf" localSheetId="47">[37]예가표!#REF!</definedName>
    <definedName name="asdf" localSheetId="1">[37]예가표!#REF!</definedName>
    <definedName name="asdf">[37]예가표!#REF!</definedName>
    <definedName name="asdfs" hidden="1">[38]Cash2!$G$16:$G$31</definedName>
    <definedName name="ASH" localSheetId="7">#REF!</definedName>
    <definedName name="ASH" localSheetId="47">#REF!</definedName>
    <definedName name="ASH" localSheetId="1">#REF!</definedName>
    <definedName name="ASH">#REF!</definedName>
    <definedName name="ASHOKA" localSheetId="7">#REF!</definedName>
    <definedName name="ASHOKA" localSheetId="47">#REF!</definedName>
    <definedName name="ASHOKA" localSheetId="1">#REF!</definedName>
    <definedName name="ASHOKA">#REF!</definedName>
    <definedName name="ASPAV" localSheetId="7">#REF!</definedName>
    <definedName name="ASPAV" localSheetId="47">#REF!</definedName>
    <definedName name="ASPAV" localSheetId="1">#REF!</definedName>
    <definedName name="ASPAV">#REF!</definedName>
    <definedName name="assdf" hidden="1">[38]Z!$T$179:$AH$179</definedName>
    <definedName name="At" localSheetId="7">#REF!</definedName>
    <definedName name="At" localSheetId="47">#REF!</definedName>
    <definedName name="At" localSheetId="1">#REF!</definedName>
    <definedName name="At">#REF!</definedName>
    <definedName name="Attachment_C_3" localSheetId="7">#REF!</definedName>
    <definedName name="Attachment_C_3" localSheetId="47">#REF!</definedName>
    <definedName name="Attachment_C_3" localSheetId="1">#REF!</definedName>
    <definedName name="Attachment_C_3">#REF!</definedName>
    <definedName name="autofill_data" localSheetId="7">#REF!</definedName>
    <definedName name="autofill_data" localSheetId="47">#REF!</definedName>
    <definedName name="autofill_data" localSheetId="1">#REF!</definedName>
    <definedName name="autofill_data">#REF!</definedName>
    <definedName name="AVIBRA">'[57]Cost of O &amp; O'!$F$8</definedName>
    <definedName name="aw" localSheetId="7">#REF!</definedName>
    <definedName name="aw" localSheetId="47">#REF!</definedName>
    <definedName name="aw" localSheetId="1">#REF!</definedName>
    <definedName name="aw">#REF!</definedName>
    <definedName name="B" localSheetId="7">#REF!</definedName>
    <definedName name="B" localSheetId="47">#REF!</definedName>
    <definedName name="B" localSheetId="1">#REF!</definedName>
    <definedName name="B">#REF!</definedName>
    <definedName name="B___0" localSheetId="7">#REF!</definedName>
    <definedName name="B___0" localSheetId="47">#REF!</definedName>
    <definedName name="B___0" localSheetId="1">#REF!</definedName>
    <definedName name="B___0">#REF!</definedName>
    <definedName name="B___13" localSheetId="7">#REF!</definedName>
    <definedName name="B___13" localSheetId="47">#REF!</definedName>
    <definedName name="B___13" localSheetId="1">#REF!</definedName>
    <definedName name="B___13">#REF!</definedName>
    <definedName name="b_dash" localSheetId="7">#REF!</definedName>
    <definedName name="b_dash" localSheetId="47">#REF!</definedName>
    <definedName name="b_dash" localSheetId="1">#REF!</definedName>
    <definedName name="b_dash">#REF!</definedName>
    <definedName name="B_FLG" localSheetId="7">#REF!</definedName>
    <definedName name="B_FLG" localSheetId="47">#REF!</definedName>
    <definedName name="B_FLG" localSheetId="1">#REF!</definedName>
    <definedName name="B_FLG">#REF!</definedName>
    <definedName name="back_pressure" localSheetId="7">#REF!</definedName>
    <definedName name="back_pressure" localSheetId="47">#REF!</definedName>
    <definedName name="back_pressure" localSheetId="1">#REF!</definedName>
    <definedName name="back_pressure">#REF!</definedName>
    <definedName name="BADWE" localSheetId="7">{#N/A,#N/A,FALSE,"mpph1";#N/A,#N/A,FALSE,"mpmseb";#N/A,#N/A,FALSE,"mpph2"}</definedName>
    <definedName name="BADWE" localSheetId="47">{#N/A,#N/A,FALSE,"mpph1";#N/A,#N/A,FALSE,"mpmseb";#N/A,#N/A,FALSE,"mpph2"}</definedName>
    <definedName name="BADWE" localSheetId="1">{#N/A,#N/A,FALSE,"mpph1";#N/A,#N/A,FALSE,"mpmseb";#N/A,#N/A,FALSE,"mpph2"}</definedName>
    <definedName name="BADWE">{#N/A,#N/A,FALSE,"mpph1";#N/A,#N/A,FALSE,"mpmseb";#N/A,#N/A,FALSE,"mpph2"}</definedName>
    <definedName name="ball" localSheetId="7">#REF!</definedName>
    <definedName name="ball" localSheetId="47">#REF!</definedName>
    <definedName name="ball" localSheetId="1">#REF!</definedName>
    <definedName name="ball">#REF!</definedName>
    <definedName name="BAS" localSheetId="7">#REF!</definedName>
    <definedName name="BAS" localSheetId="47">#REF!</definedName>
    <definedName name="BAS" localSheetId="1">#REF!</definedName>
    <definedName name="BAS">#REF!</definedName>
    <definedName name="BASE_PLATE" localSheetId="7">#REF!</definedName>
    <definedName name="BASE_PLATE" localSheetId="47">#REF!</definedName>
    <definedName name="BASE_PLATE" localSheetId="1">#REF!</definedName>
    <definedName name="BASE_PLATE">#REF!</definedName>
    <definedName name="baserate">[63]FINOLEX!$W$17</definedName>
    <definedName name="basew" localSheetId="7">#REF!</definedName>
    <definedName name="basew" localSheetId="47">#REF!</definedName>
    <definedName name="basew" localSheetId="1">#REF!</definedName>
    <definedName name="basew">#REF!</definedName>
    <definedName name="BATCH" localSheetId="7">#REF!</definedName>
    <definedName name="BATCH" localSheetId="47">#REF!</definedName>
    <definedName name="BATCH" localSheetId="1">#REF!</definedName>
    <definedName name="BATCH">#REF!</definedName>
    <definedName name="BATCH20" localSheetId="7">#REF!</definedName>
    <definedName name="BATCH20" localSheetId="47">#REF!</definedName>
    <definedName name="BATCH20" localSheetId="1">#REF!</definedName>
    <definedName name="BATCH20">#REF!</definedName>
    <definedName name="BATCH30" localSheetId="7">#REF!</definedName>
    <definedName name="BATCH30" localSheetId="47">#REF!</definedName>
    <definedName name="BATCH30" localSheetId="1">#REF!</definedName>
    <definedName name="BATCH30">#REF!</definedName>
    <definedName name="Batching_hot_mix_plant" localSheetId="7">[44]SOR!#REF!</definedName>
    <definedName name="Batching_hot_mix_plant" localSheetId="47">[44]SOR!#REF!</definedName>
    <definedName name="Batching_hot_mix_plant" localSheetId="1">[44]SOR!#REF!</definedName>
    <definedName name="Batching_hot_mix_plant">[44]SOR!#REF!</definedName>
    <definedName name="BBOF" localSheetId="7">#REF!</definedName>
    <definedName name="BBOF" localSheetId="47">#REF!</definedName>
    <definedName name="BBOF" localSheetId="1">#REF!</definedName>
    <definedName name="BBOF">#REF!</definedName>
    <definedName name="BC" localSheetId="7">#REF!</definedName>
    <definedName name="BC" localSheetId="47">#REF!</definedName>
    <definedName name="BC" localSheetId="1">#REF!</definedName>
    <definedName name="BC">#REF!</definedName>
    <definedName name="bcc" localSheetId="7">[13]ANAL!#REF!</definedName>
    <definedName name="bcc" localSheetId="47">[13]ANAL!#REF!</definedName>
    <definedName name="bcc" localSheetId="1">[13]ANAL!#REF!</definedName>
    <definedName name="bcc">[13]ANAL!#REF!</definedName>
    <definedName name="Bcw">[64]basdat!$D$5</definedName>
    <definedName name="BDCODE">#N/A</definedName>
    <definedName name="beee" localSheetId="7">#REF!</definedName>
    <definedName name="beee" localSheetId="47">#REF!</definedName>
    <definedName name="beee" localSheetId="1">#REF!</definedName>
    <definedName name="beee">#REF!</definedName>
    <definedName name="beegbegge" localSheetId="7">#REF!</definedName>
    <definedName name="beegbegge" localSheetId="47">#REF!</definedName>
    <definedName name="beegbegge" localSheetId="1">#REF!</definedName>
    <definedName name="beegbegge">#REF!</definedName>
    <definedName name="begbeg" localSheetId="7">#REF!</definedName>
    <definedName name="begbeg" localSheetId="47">#REF!</definedName>
    <definedName name="begbeg" localSheetId="1">#REF!</definedName>
    <definedName name="begbeg">#REF!</definedName>
    <definedName name="beta" localSheetId="7">#REF!</definedName>
    <definedName name="beta" localSheetId="47">#REF!</definedName>
    <definedName name="beta" localSheetId="1">#REF!</definedName>
    <definedName name="beta">#REF!</definedName>
    <definedName name="BGrP" localSheetId="7">#REF!</definedName>
    <definedName name="BGrP" localSheetId="47">#REF!</definedName>
    <definedName name="BGrP" localSheetId="1">#REF!</definedName>
    <definedName name="BGrP">#REF!</definedName>
    <definedName name="bheel" localSheetId="7">#REF!</definedName>
    <definedName name="bheel" localSheetId="47">#REF!</definedName>
    <definedName name="bheel" localSheetId="1">#REF!</definedName>
    <definedName name="bheel">#REF!</definedName>
    <definedName name="BHIS" localSheetId="7">#REF!</definedName>
    <definedName name="BHIS" localSheetId="47">#REF!</definedName>
    <definedName name="BHIS" localSheetId="1">#REF!</definedName>
    <definedName name="BHIS">#REF!</definedName>
    <definedName name="BIND" localSheetId="7">#REF!</definedName>
    <definedName name="BIND" localSheetId="47">#REF!</definedName>
    <definedName name="BIND" localSheetId="1">#REF!</definedName>
    <definedName name="BIND">#REF!</definedName>
    <definedName name="Bindingwire" localSheetId="7">#REF!</definedName>
    <definedName name="Bindingwire" localSheetId="47">#REF!</definedName>
    <definedName name="Bindingwire" localSheetId="1">#REF!</definedName>
    <definedName name="Bindingwire">#REF!</definedName>
    <definedName name="BIT" localSheetId="7">#REF!</definedName>
    <definedName name="BIT" localSheetId="47">#REF!</definedName>
    <definedName name="BIT" localSheetId="1">#REF!</definedName>
    <definedName name="BIT">#REF!</definedName>
    <definedName name="BITDIST" localSheetId="7">#REF!</definedName>
    <definedName name="BITDIST" localSheetId="47">#REF!</definedName>
    <definedName name="BITDIST" localSheetId="1">#REF!</definedName>
    <definedName name="BITDIST">#REF!</definedName>
    <definedName name="bkd" localSheetId="7" hidden="1">{"'Sheet1'!$L$16"}</definedName>
    <definedName name="bkd" localSheetId="47" hidden="1">{"'Sheet1'!$L$16"}</definedName>
    <definedName name="bkd" localSheetId="1" hidden="1">{"'Sheet1'!$L$16"}</definedName>
    <definedName name="bkd" hidden="1">{"'Sheet1'!$L$16"}</definedName>
    <definedName name="BLACKH" localSheetId="7">#REF!</definedName>
    <definedName name="BLACKH" localSheetId="47">#REF!</definedName>
    <definedName name="BLACKH" localSheetId="1">#REF!</definedName>
    <definedName name="BLACKH">#REF!</definedName>
    <definedName name="Blank1" localSheetId="7">OR(ISBLANK(#REF!),ISBLANK(#REF!))</definedName>
    <definedName name="Blank1" localSheetId="47">OR(ISBLANK(#REF!),ISBLANK(#REF!))</definedName>
    <definedName name="Blank1" localSheetId="1">OR(ISBLANK(#REF!),ISBLANK(#REF!))</definedName>
    <definedName name="Blank1">OR(ISBLANK(#REF!),ISBLANK(#REF!))</definedName>
    <definedName name="Blank10">OR(ISBLANK([65]Collab!$D1),ISBLANK([65]Collab!$I1))</definedName>
    <definedName name="Blank11">OR(ISBLANK([65]Transport!$D1),ISBLANK([65]Transport!$G1))</definedName>
    <definedName name="Blank12">OR(ISBLANK('[65]Civil 1'!$D1),ISBLANK('[65]Civil 1'!$K1))</definedName>
    <definedName name="Blank13">OR(ISBLANK('[65]Civil 2'!$D1),ISBLANK('[65]Civil 2'!$K1))</definedName>
    <definedName name="Blank14">OR(ISBLANK('[65]Civil 3'!$D1),ISBLANK('[65]Civil 3'!$K1))</definedName>
    <definedName name="Blank15">OR(ISBLANK('[65]Site 1'!$D1),ISBLANK('[65]Site 1'!$K1))</definedName>
    <definedName name="Blank16">OR(ISBLANK('[65]Site 2'!$D1),ISBLANK('[65]Site 2'!$K1))</definedName>
    <definedName name="Blank17">OR(ISBLANK('[65]Site 3'!$D1),ISBLANK('[65]Site 3'!$K1))</definedName>
    <definedName name="Blank18">OR(ISBLANK('[65]Site Faci'!$D1),ISBLANK('[65]Site Faci'!$K1))</definedName>
    <definedName name="Blank19" localSheetId="7">OR(N([65]Cont!#REF!)=0,N([65]Cont!$G1)=0)</definedName>
    <definedName name="Blank19" localSheetId="47">OR(N([65]Cont!#REF!)=0,N([65]Cont!$G1)=0)</definedName>
    <definedName name="Blank19" localSheetId="1">OR(N([65]Cont!#REF!)=0,N([65]Cont!$G1)=0)</definedName>
    <definedName name="Blank19">OR(N([65]Cont!#REF!)=0,N([65]Cont!$G1)=0)</definedName>
    <definedName name="Blank20" localSheetId="7">OR(N([65]Cont!#REF!)=0,N([65]Cont!$M1)=0)</definedName>
    <definedName name="Blank20" localSheetId="47">OR(N([65]Cont!#REF!)=0,N([65]Cont!$M1)=0)</definedName>
    <definedName name="Blank20" localSheetId="1">OR(N([65]Cont!#REF!)=0,N([65]Cont!$M1)=0)</definedName>
    <definedName name="Blank20">OR(N([65]Cont!#REF!)=0,N([65]Cont!$M1)=0)</definedName>
    <definedName name="Blank21">OR(ISBLANK('[65]Engg-Exec-1'!$D1),ISBLANK('[65]Engg-Exec-1'!$H1))</definedName>
    <definedName name="Blank22">OR(ISBLANK('[65]Site-Precom-1'!$D1),ISBLANK('[65]Site-Precom-1'!$H1))</definedName>
    <definedName name="Blank23">OR(ISBLANK('[65]Site-Precom-Vendor'!$D1),ISBLANK('[65]Site-Precom-Vendor'!$I1))</definedName>
    <definedName name="Blank24">OR(ISBLANK('[65]Risk-Anal'!$D1),ISBLANK('[65]Risk-Anal'!$I1),ISBLANK('[65]Risk-Anal'!$J1),ISBLANK('[65]Risk-Anal'!$K1),ISBLANK('[65]Risk-Anal'!$L1))</definedName>
    <definedName name="Blank25" localSheetId="7">OR(N([65]Cont!#REF!)=0,N([65]Cont!$P1)=0)</definedName>
    <definedName name="Blank25" localSheetId="47">OR(N([65]Cont!#REF!)=0,N([65]Cont!$P1)=0)</definedName>
    <definedName name="Blank25" localSheetId="1">OR(N([65]Cont!#REF!)=0,N([65]Cont!$P1)=0)</definedName>
    <definedName name="Blank25">OR(N([65]Cont!#REF!)=0,N([65]Cont!$P1)=0)</definedName>
    <definedName name="Block01_1" localSheetId="7">#REF!</definedName>
    <definedName name="Block01_1" localSheetId="47">#REF!</definedName>
    <definedName name="Block01_1" localSheetId="1">#REF!</definedName>
    <definedName name="Block01_1">#REF!</definedName>
    <definedName name="Block02" localSheetId="7">'[66]form-c4'!#REF!</definedName>
    <definedName name="Block02" localSheetId="47">'[66]form-c4'!#REF!</definedName>
    <definedName name="Block02" localSheetId="1">'[66]form-c4'!#REF!</definedName>
    <definedName name="Block02">'[66]form-c4'!#REF!</definedName>
    <definedName name="Block13">OR(ISBLANK('[65]Civil 2'!$D1),ISBLANK('[65]Civil 2'!$K1))</definedName>
    <definedName name="bm" localSheetId="7" hidden="1">{"'Sheet1'!$L$16"}</definedName>
    <definedName name="bm" localSheetId="47" hidden="1">{"'Sheet1'!$L$16"}</definedName>
    <definedName name="bm" localSheetId="1" hidden="1">{"'Sheet1'!$L$16"}</definedName>
    <definedName name="bm" hidden="1">{"'Sheet1'!$L$16"}</definedName>
    <definedName name="bn" localSheetId="7" hidden="1">{"'Sheet1'!$L$16"}</definedName>
    <definedName name="bn" localSheetId="47" hidden="1">{"'Sheet1'!$L$16"}</definedName>
    <definedName name="bn" localSheetId="1" hidden="1">{"'Sheet1'!$L$16"}</definedName>
    <definedName name="bn" hidden="1">{"'Sheet1'!$L$16"}</definedName>
    <definedName name="bol" localSheetId="7">#REF!</definedName>
    <definedName name="bol" localSheetId="47">#REF!</definedName>
    <definedName name="bol" localSheetId="1">#REF!</definedName>
    <definedName name="bol">#REF!</definedName>
    <definedName name="Bold">'[46]RA Civil'!$E$30</definedName>
    <definedName name="BOLT" localSheetId="7">#REF!</definedName>
    <definedName name="BOLT" localSheetId="47">#REF!</definedName>
    <definedName name="BOLT" localSheetId="1">#REF!</definedName>
    <definedName name="BOLT">#REF!</definedName>
    <definedName name="boml" localSheetId="7">#REF!</definedName>
    <definedName name="boml" localSheetId="47">#REF!</definedName>
    <definedName name="boml" localSheetId="1">#REF!</definedName>
    <definedName name="boml">#REF!</definedName>
    <definedName name="Bonus_E" localSheetId="7">'[67]SITE OVERHEADS'!#REF!</definedName>
    <definedName name="Bonus_E" localSheetId="47">'[67]SITE OVERHEADS'!#REF!</definedName>
    <definedName name="Bonus_E" localSheetId="1">'[67]SITE OVERHEADS'!#REF!</definedName>
    <definedName name="Bonus_E">'[67]SITE OVERHEADS'!#REF!</definedName>
    <definedName name="BOQ" localSheetId="7">#REF!</definedName>
    <definedName name="BOQ" localSheetId="47">#REF!</definedName>
    <definedName name="BOQ" localSheetId="1">#REF!</definedName>
    <definedName name="BOQ">#REF!</definedName>
    <definedName name="BORE_HOLE_DATA" localSheetId="7">#REF!</definedName>
    <definedName name="BORE_HOLE_DATA" localSheetId="47">#REF!</definedName>
    <definedName name="BORE_HOLE_DATA" localSheetId="1">#REF!</definedName>
    <definedName name="BORE_HOLE_DATA">#REF!</definedName>
    <definedName name="BOSS" localSheetId="7">#REF!</definedName>
    <definedName name="BOSS" localSheetId="47">#REF!</definedName>
    <definedName name="BOSS" localSheetId="1">#REF!</definedName>
    <definedName name="BOSS">#REF!</definedName>
    <definedName name="botl" localSheetId="7">#REF!</definedName>
    <definedName name="botl" localSheetId="47">#REF!</definedName>
    <definedName name="botl" localSheetId="1">#REF!</definedName>
    <definedName name="botl">#REF!</definedName>
    <definedName name="botn" localSheetId="7">#REF!</definedName>
    <definedName name="botn" localSheetId="47">#REF!</definedName>
    <definedName name="botn" localSheetId="1">#REF!</definedName>
    <definedName name="botn">#REF!</definedName>
    <definedName name="BOULD" localSheetId="7">#REF!</definedName>
    <definedName name="BOULD" localSheetId="47">#REF!</definedName>
    <definedName name="BOULD" localSheetId="1">#REF!</definedName>
    <definedName name="BOULD">#REF!</definedName>
    <definedName name="BOX" localSheetId="7">#REF!</definedName>
    <definedName name="BOX" localSheetId="47">#REF!</definedName>
    <definedName name="BOX" localSheetId="1">#REF!</definedName>
    <definedName name="BOX">#REF!</definedName>
    <definedName name="bp" localSheetId="7">[68]BP!#REF!</definedName>
    <definedName name="bp" localSheetId="47">[68]BP!#REF!</definedName>
    <definedName name="bp" localSheetId="1">[68]BP!#REF!</definedName>
    <definedName name="bp">[68]BP!#REF!</definedName>
    <definedName name="Breaks" localSheetId="7">#REF!</definedName>
    <definedName name="Breaks" localSheetId="47">#REF!</definedName>
    <definedName name="Breaks" localSheetId="1">#REF!</definedName>
    <definedName name="Breaks">#REF!</definedName>
    <definedName name="BRIBAT">'[46]RA Civil'!$E$38</definedName>
    <definedName name="BRICKS" localSheetId="7">#REF!</definedName>
    <definedName name="BRICKS" localSheetId="47">#REF!</definedName>
    <definedName name="BRICKS" localSheetId="1">#REF!</definedName>
    <definedName name="BRICKS">#REF!</definedName>
    <definedName name="BROM" localSheetId="7">#REF!</definedName>
    <definedName name="BROM" localSheetId="47">#REF!</definedName>
    <definedName name="BROM" localSheetId="1">#REF!</definedName>
    <definedName name="BROM">#REF!</definedName>
    <definedName name="broom" localSheetId="7">#REF!</definedName>
    <definedName name="broom" localSheetId="47">#REF!</definedName>
    <definedName name="broom" localSheetId="1">#REF!</definedName>
    <definedName name="broom">#REF!</definedName>
    <definedName name="btoe" localSheetId="7">#REF!</definedName>
    <definedName name="btoe" localSheetId="47">#REF!</definedName>
    <definedName name="btoe" localSheetId="1">#REF!</definedName>
    <definedName name="btoe">#REF!</definedName>
    <definedName name="bua" localSheetId="7">#REF!</definedName>
    <definedName name="bua" localSheetId="47">#REF!</definedName>
    <definedName name="bua" localSheetId="1">#REF!</definedName>
    <definedName name="bua">#REF!</definedName>
    <definedName name="BUDDHA" localSheetId="7">#REF!</definedName>
    <definedName name="BUDDHA" localSheetId="47">#REF!</definedName>
    <definedName name="BUDDHA" localSheetId="1">#REF!</definedName>
    <definedName name="BUDDHA">#REF!</definedName>
    <definedName name="building">'[69]DETAILED  BOQ'!$A$2</definedName>
    <definedName name="building___0" localSheetId="7">#REF!</definedName>
    <definedName name="building___0" localSheetId="47">#REF!</definedName>
    <definedName name="building___0" localSheetId="1">#REF!</definedName>
    <definedName name="building___0">#REF!</definedName>
    <definedName name="building___11" localSheetId="7">#REF!</definedName>
    <definedName name="building___11" localSheetId="47">#REF!</definedName>
    <definedName name="building___11" localSheetId="1">#REF!</definedName>
    <definedName name="building___11">#REF!</definedName>
    <definedName name="building___12" localSheetId="7">#REF!</definedName>
    <definedName name="building___12" localSheetId="47">#REF!</definedName>
    <definedName name="building___12" localSheetId="1">#REF!</definedName>
    <definedName name="building___12">#REF!</definedName>
    <definedName name="BuiltIn_Print_Area___0" localSheetId="7">#REF!</definedName>
    <definedName name="BuiltIn_Print_Area___0" localSheetId="47">#REF!</definedName>
    <definedName name="BuiltIn_Print_Area___0" localSheetId="1">#REF!</definedName>
    <definedName name="BuiltIn_Print_Area___0">#REF!</definedName>
    <definedName name="BuiltIn_Print_Area___0___0___0___0___0" localSheetId="7">[70]procurement!#REF!</definedName>
    <definedName name="BuiltIn_Print_Area___0___0___0___0___0" localSheetId="47">[70]procurement!#REF!</definedName>
    <definedName name="BuiltIn_Print_Area___0___0___0___0___0" localSheetId="1">[70]procurement!#REF!</definedName>
    <definedName name="BuiltIn_Print_Area___0___0___0___0___0">[70]procurement!#REF!</definedName>
    <definedName name="BuiltIn_Print_Area___0___0___0___0___0___0" localSheetId="7">#REF!</definedName>
    <definedName name="BuiltIn_Print_Area___0___0___0___0___0___0" localSheetId="47">#REF!</definedName>
    <definedName name="BuiltIn_Print_Area___0___0___0___0___0___0" localSheetId="1">#REF!</definedName>
    <definedName name="BuiltIn_Print_Area___0___0___0___0___0___0">#REF!</definedName>
    <definedName name="BuiltIn_Print_Titles___0">#N/A</definedName>
    <definedName name="BuiltIn_Print_Titles___0___0___0___0" localSheetId="7">#REF!</definedName>
    <definedName name="BuiltIn_Print_Titles___0___0___0___0" localSheetId="47">#REF!</definedName>
    <definedName name="BuiltIn_Print_Titles___0___0___0___0" localSheetId="1">#REF!</definedName>
    <definedName name="BuiltIn_Print_Titles___0___0___0___0">#REF!</definedName>
    <definedName name="butterfly" localSheetId="7">#REF!</definedName>
    <definedName name="butterfly" localSheetId="47">#REF!</definedName>
    <definedName name="butterfly" localSheetId="1">#REF!</definedName>
    <definedName name="butterfly">#REF!</definedName>
    <definedName name="bw" localSheetId="7">#REF!</definedName>
    <definedName name="bw" localSheetId="47">#REF!</definedName>
    <definedName name="bw" localSheetId="1">#REF!</definedName>
    <definedName name="bw">#REF!</definedName>
    <definedName name="bwf" localSheetId="7">#REF!</definedName>
    <definedName name="bwf" localSheetId="47">#REF!</definedName>
    <definedName name="bwf" localSheetId="1">#REF!</definedName>
    <definedName name="bwf">#REF!</definedName>
    <definedName name="bwfbfwb" localSheetId="7">#REF!</definedName>
    <definedName name="bwfbfwb" localSheetId="47">#REF!</definedName>
    <definedName name="bwfbfwb" localSheetId="1">#REF!</definedName>
    <definedName name="bwfbfwb">#REF!</definedName>
    <definedName name="BWIRE" localSheetId="7">#REF!</definedName>
    <definedName name="BWIRE" localSheetId="47">#REF!</definedName>
    <definedName name="BWIRE" localSheetId="1">#REF!</definedName>
    <definedName name="BWIRE">#REF!</definedName>
    <definedName name="BWORK" localSheetId="7">#REF!</definedName>
    <definedName name="BWORK" localSheetId="47">#REF!</definedName>
    <definedName name="BWORK" localSheetId="1">#REF!</definedName>
    <definedName name="BWORK">#REF!</definedName>
    <definedName name="Bx" localSheetId="7">#REF!</definedName>
    <definedName name="Bx" localSheetId="47">#REF!</definedName>
    <definedName name="Bx" localSheetId="1">#REF!</definedName>
    <definedName name="Bx">#REF!</definedName>
    <definedName name="Bx___0" localSheetId="7">#REF!</definedName>
    <definedName name="Bx___0" localSheetId="47">#REF!</definedName>
    <definedName name="Bx___0" localSheetId="1">#REF!</definedName>
    <definedName name="Bx___0">#REF!</definedName>
    <definedName name="Bx___13" localSheetId="7">#REF!</definedName>
    <definedName name="Bx___13" localSheetId="47">#REF!</definedName>
    <definedName name="Bx___13" localSheetId="1">#REF!</definedName>
    <definedName name="Bx___13">#REF!</definedName>
    <definedName name="C_">#N/A</definedName>
    <definedName name="c_margin" localSheetId="7">#REF!</definedName>
    <definedName name="c_margin" localSheetId="47">#REF!</definedName>
    <definedName name="c_margin" localSheetId="1">#REF!</definedName>
    <definedName name="c_margin">#REF!</definedName>
    <definedName name="ca">[71]INPUT!$G$127*1.5</definedName>
    <definedName name="ca0" localSheetId="7">#REF!</definedName>
    <definedName name="ca0" localSheetId="47">#REF!</definedName>
    <definedName name="ca0" localSheetId="1">#REF!</definedName>
    <definedName name="ca0">#REF!</definedName>
    <definedName name="ca10.3" localSheetId="7">#REF!</definedName>
    <definedName name="ca10.3" localSheetId="47">#REF!</definedName>
    <definedName name="ca10.3" localSheetId="1">#REF!</definedName>
    <definedName name="ca10.3">#REF!</definedName>
    <definedName name="ca11.3" localSheetId="7">#REF!</definedName>
    <definedName name="ca11.3" localSheetId="47">#REF!</definedName>
    <definedName name="ca11.3" localSheetId="1">#REF!</definedName>
    <definedName name="ca11.3">#REF!</definedName>
    <definedName name="ca12.3" localSheetId="7">#REF!</definedName>
    <definedName name="ca12.3" localSheetId="47">#REF!</definedName>
    <definedName name="ca12.3" localSheetId="1">#REF!</definedName>
    <definedName name="ca12.3">#REF!</definedName>
    <definedName name="ca13.3" localSheetId="7">#REF!</definedName>
    <definedName name="ca13.3" localSheetId="47">#REF!</definedName>
    <definedName name="ca13.3" localSheetId="1">#REF!</definedName>
    <definedName name="ca13.3">#REF!</definedName>
    <definedName name="ca14.3" localSheetId="7">#REF!</definedName>
    <definedName name="ca14.3" localSheetId="47">#REF!</definedName>
    <definedName name="ca14.3" localSheetId="1">#REF!</definedName>
    <definedName name="ca14.3">#REF!</definedName>
    <definedName name="ca15.3" localSheetId="7">#REF!</definedName>
    <definedName name="ca15.3" localSheetId="47">#REF!</definedName>
    <definedName name="ca15.3" localSheetId="1">#REF!</definedName>
    <definedName name="ca15.3">#REF!</definedName>
    <definedName name="ca16.3" localSheetId="7">#REF!</definedName>
    <definedName name="ca16.3" localSheetId="47">#REF!</definedName>
    <definedName name="ca16.3" localSheetId="1">#REF!</definedName>
    <definedName name="ca16.3">#REF!</definedName>
    <definedName name="ca17.3" localSheetId="7">#REF!</definedName>
    <definedName name="ca17.3" localSheetId="47">#REF!</definedName>
    <definedName name="ca17.3" localSheetId="1">#REF!</definedName>
    <definedName name="ca17.3">#REF!</definedName>
    <definedName name="ca18.3" localSheetId="7">#REF!</definedName>
    <definedName name="ca18.3" localSheetId="47">#REF!</definedName>
    <definedName name="ca18.3" localSheetId="1">#REF!</definedName>
    <definedName name="ca18.3">#REF!</definedName>
    <definedName name="ca19.3" localSheetId="7">#REF!</definedName>
    <definedName name="ca19.3" localSheetId="47">#REF!</definedName>
    <definedName name="ca19.3" localSheetId="1">#REF!</definedName>
    <definedName name="ca19.3">#REF!</definedName>
    <definedName name="ca20.3" localSheetId="7">#REF!</definedName>
    <definedName name="ca20.3" localSheetId="47">#REF!</definedName>
    <definedName name="ca20.3" localSheetId="1">#REF!</definedName>
    <definedName name="ca20.3">#REF!</definedName>
    <definedName name="ca3.3" localSheetId="7">#REF!</definedName>
    <definedName name="ca3.3" localSheetId="47">#REF!</definedName>
    <definedName name="ca3.3" localSheetId="1">#REF!</definedName>
    <definedName name="ca3.3">#REF!</definedName>
    <definedName name="ca4.3" localSheetId="7">#REF!</definedName>
    <definedName name="ca4.3" localSheetId="47">#REF!</definedName>
    <definedName name="ca4.3" localSheetId="1">#REF!</definedName>
    <definedName name="ca4.3">#REF!</definedName>
    <definedName name="ca5.3" localSheetId="7">#REF!</definedName>
    <definedName name="ca5.3" localSheetId="47">#REF!</definedName>
    <definedName name="ca5.3" localSheetId="1">#REF!</definedName>
    <definedName name="ca5.3">#REF!</definedName>
    <definedName name="ca6.3" localSheetId="7">#REF!</definedName>
    <definedName name="ca6.3" localSheetId="47">#REF!</definedName>
    <definedName name="ca6.3" localSheetId="1">#REF!</definedName>
    <definedName name="ca6.3">#REF!</definedName>
    <definedName name="ca7.3" localSheetId="7">#REF!</definedName>
    <definedName name="ca7.3" localSheetId="47">#REF!</definedName>
    <definedName name="ca7.3" localSheetId="1">#REF!</definedName>
    <definedName name="ca7.3">#REF!</definedName>
    <definedName name="ca8.3" localSheetId="7">#REF!</definedName>
    <definedName name="ca8.3" localSheetId="47">#REF!</definedName>
    <definedName name="ca8.3" localSheetId="1">#REF!</definedName>
    <definedName name="ca8.3">#REF!</definedName>
    <definedName name="ca9.3" localSheetId="7">#REF!</definedName>
    <definedName name="ca9.3" localSheetId="47">#REF!</definedName>
    <definedName name="ca9.3" localSheetId="1">#REF!</definedName>
    <definedName name="ca9.3">#REF!</definedName>
    <definedName name="cable">[60]CABLERET!$B$13:$B$128</definedName>
    <definedName name="CABLE_A">'[72]LOCAL RATES'!$B$5:$G$19</definedName>
    <definedName name="CABLE_G">'[72]LOCAL RATES'!$A$5:$H$18</definedName>
    <definedName name="CABLE1" localSheetId="7">#REF!</definedName>
    <definedName name="CABLE1" localSheetId="47">#REF!</definedName>
    <definedName name="CABLE1" localSheetId="1">#REF!</definedName>
    <definedName name="CABLE1">#REF!</definedName>
    <definedName name="CalcAgencyPrice" localSheetId="7">#REF!</definedName>
    <definedName name="CalcAgencyPrice" localSheetId="47">#REF!</definedName>
    <definedName name="CalcAgencyPrice" localSheetId="1">#REF!</definedName>
    <definedName name="CalcAgencyPrice">#REF!</definedName>
    <definedName name="cant" localSheetId="7">'[73]Staff Acco.'!#REF!</definedName>
    <definedName name="cant" localSheetId="47">'[73]Staff Acco.'!#REF!</definedName>
    <definedName name="cant" localSheetId="1">'[73]Staff Acco.'!#REF!</definedName>
    <definedName name="cant">'[73]Staff Acco.'!#REF!</definedName>
    <definedName name="CAP" localSheetId="7">#REF!</definedName>
    <definedName name="CAP" localSheetId="47">#REF!</definedName>
    <definedName name="CAP" localSheetId="1">#REF!</definedName>
    <definedName name="CAP">#REF!</definedName>
    <definedName name="CAPAPR" localSheetId="7">#REF!</definedName>
    <definedName name="CAPAPR" localSheetId="47">#REF!</definedName>
    <definedName name="CAPAPR" localSheetId="1">#REF!</definedName>
    <definedName name="CAPAPR">#REF!</definedName>
    <definedName name="CAPAUG" localSheetId="7">#REF!</definedName>
    <definedName name="CAPAUG" localSheetId="47">#REF!</definedName>
    <definedName name="CAPAUG" localSheetId="1">#REF!</definedName>
    <definedName name="CAPAUG">#REF!</definedName>
    <definedName name="CAPDEC" localSheetId="7">#REF!</definedName>
    <definedName name="CAPDEC" localSheetId="47">#REF!</definedName>
    <definedName name="CAPDEC" localSheetId="1">#REF!</definedName>
    <definedName name="CAPDEC">#REF!</definedName>
    <definedName name="CAPFEB" localSheetId="7">#REF!</definedName>
    <definedName name="CAPFEB" localSheetId="47">#REF!</definedName>
    <definedName name="CAPFEB" localSheetId="1">#REF!</definedName>
    <definedName name="CAPFEB">#REF!</definedName>
    <definedName name="capital" localSheetId="7">#REF!</definedName>
    <definedName name="capital" localSheetId="47">#REF!</definedName>
    <definedName name="capital" localSheetId="1">#REF!</definedName>
    <definedName name="capital">#REF!</definedName>
    <definedName name="CAPITALA" localSheetId="7">#REF!</definedName>
    <definedName name="CAPITALA" localSheetId="47">#REF!</definedName>
    <definedName name="CAPITALA" localSheetId="1">#REF!</definedName>
    <definedName name="CAPITALA">#REF!</definedName>
    <definedName name="CAPJAN" localSheetId="7">#REF!</definedName>
    <definedName name="CAPJAN" localSheetId="47">#REF!</definedName>
    <definedName name="CAPJAN" localSheetId="1">#REF!</definedName>
    <definedName name="CAPJAN">#REF!</definedName>
    <definedName name="CAPJUL" localSheetId="7">#REF!</definedName>
    <definedName name="CAPJUL" localSheetId="47">#REF!</definedName>
    <definedName name="CAPJUL" localSheetId="1">#REF!</definedName>
    <definedName name="CAPJUL">#REF!</definedName>
    <definedName name="CAPJUN" localSheetId="7">#REF!</definedName>
    <definedName name="CAPJUN" localSheetId="47">#REF!</definedName>
    <definedName name="CAPJUN" localSheetId="1">#REF!</definedName>
    <definedName name="CAPJUN">#REF!</definedName>
    <definedName name="CAPMAR" localSheetId="7">#REF!</definedName>
    <definedName name="CAPMAR" localSheetId="47">#REF!</definedName>
    <definedName name="CAPMAR" localSheetId="1">#REF!</definedName>
    <definedName name="CAPMAR">#REF!</definedName>
    <definedName name="CAPMAY" localSheetId="7">#REF!</definedName>
    <definedName name="CAPMAY" localSheetId="47">#REF!</definedName>
    <definedName name="CAPMAY" localSheetId="1">#REF!</definedName>
    <definedName name="CAPMAY">#REF!</definedName>
    <definedName name="CAPNOV" localSheetId="7">#REF!</definedName>
    <definedName name="CAPNOV" localSheetId="47">#REF!</definedName>
    <definedName name="CAPNOV" localSheetId="1">#REF!</definedName>
    <definedName name="CAPNOV">#REF!</definedName>
    <definedName name="CAPOCT" localSheetId="7">#REF!</definedName>
    <definedName name="CAPOCT" localSheetId="47">#REF!</definedName>
    <definedName name="CAPOCT" localSheetId="1">#REF!</definedName>
    <definedName name="CAPOCT">#REF!</definedName>
    <definedName name="CAPSEP" localSheetId="7">#REF!</definedName>
    <definedName name="CAPSEP" localSheetId="47">#REF!</definedName>
    <definedName name="CAPSEP" localSheetId="1">#REF!</definedName>
    <definedName name="CAPSEP">#REF!</definedName>
    <definedName name="CAR" localSheetId="7">#REF!</definedName>
    <definedName name="CAR" localSheetId="47">#REF!</definedName>
    <definedName name="CAR" localSheetId="1">#REF!</definedName>
    <definedName name="CAR">#REF!</definedName>
    <definedName name="carpet" localSheetId="7">#REF!</definedName>
    <definedName name="carpet" localSheetId="47">#REF!</definedName>
    <definedName name="carpet" localSheetId="1">#REF!</definedName>
    <definedName name="carpet">#REF!</definedName>
    <definedName name="carpet___0" localSheetId="7">#REF!</definedName>
    <definedName name="carpet___0" localSheetId="47">#REF!</definedName>
    <definedName name="carpet___0" localSheetId="1">#REF!</definedName>
    <definedName name="carpet___0">#REF!</definedName>
    <definedName name="carpet___11" localSheetId="7">#REF!</definedName>
    <definedName name="carpet___11" localSheetId="47">#REF!</definedName>
    <definedName name="carpet___11" localSheetId="1">#REF!</definedName>
    <definedName name="carpet___11">#REF!</definedName>
    <definedName name="carpet___12" localSheetId="7">#REF!</definedName>
    <definedName name="carpet___12" localSheetId="47">#REF!</definedName>
    <definedName name="carpet___12" localSheetId="1">#REF!</definedName>
    <definedName name="carpet___12">#REF!</definedName>
    <definedName name="cash" localSheetId="7" hidden="1">{"'Sheet1'!$A$4386:$N$4591"}</definedName>
    <definedName name="cash" localSheetId="47" hidden="1">{"'Sheet1'!$A$4386:$N$4591"}</definedName>
    <definedName name="cash" localSheetId="1" hidden="1">{"'Sheet1'!$A$4386:$N$4591"}</definedName>
    <definedName name="cash" hidden="1">{"'Sheet1'!$A$4386:$N$4591"}</definedName>
    <definedName name="cc">'[74]purpose&amp;input'!$E$143:'[74]purpose&amp;input'!$F$143</definedName>
    <definedName name="CCBP" localSheetId="7">#REF!</definedName>
    <definedName name="CCBP" localSheetId="47">#REF!</definedName>
    <definedName name="CCBP" localSheetId="1">#REF!</definedName>
    <definedName name="CCBP">#REF!</definedName>
    <definedName name="cccc">'[46]RA Civil'!$E$57</definedName>
    <definedName name="CCRUSH" localSheetId="7">#REF!</definedName>
    <definedName name="CCRUSH" localSheetId="47">#REF!</definedName>
    <definedName name="CCRUSH" localSheetId="1">#REF!</definedName>
    <definedName name="CCRUSH">#REF!</definedName>
    <definedName name="cdds" localSheetId="7">#REF!</definedName>
    <definedName name="cdds" localSheetId="47">#REF!</definedName>
    <definedName name="cdds" localSheetId="1">#REF!</definedName>
    <definedName name="cdds">#REF!</definedName>
    <definedName name="CDOZ" localSheetId="7">#REF!</definedName>
    <definedName name="CDOZ" localSheetId="47">#REF!</definedName>
    <definedName name="CDOZ" localSheetId="1">#REF!</definedName>
    <definedName name="CDOZ">#REF!</definedName>
    <definedName name="cdsdim">[75]csdim!$A$2:$A$1375</definedName>
    <definedName name="cdsloadrange">[75]cdsload!$A$3:$A$70</definedName>
    <definedName name="CDT" localSheetId="7">#REF!</definedName>
    <definedName name="CDT" localSheetId="47">#REF!</definedName>
    <definedName name="CDT" localSheetId="1">#REF!</definedName>
    <definedName name="CDT">#REF!</definedName>
    <definedName name="CDWSSM">[76]R2!$H$21:$H$27</definedName>
    <definedName name="CDWSSP">[76]R2!$I$21:$I$27</definedName>
    <definedName name="CE" localSheetId="7">#REF!</definedName>
    <definedName name="CE" localSheetId="47">#REF!</definedName>
    <definedName name="CE" localSheetId="1">#REF!</definedName>
    <definedName name="CE">#REF!</definedName>
    <definedName name="cem" localSheetId="7">#REF!</definedName>
    <definedName name="cem" localSheetId="47">#REF!</definedName>
    <definedName name="cem" localSheetId="1">#REF!</definedName>
    <definedName name="cem">#REF!</definedName>
    <definedName name="Cement" localSheetId="7">#REF!</definedName>
    <definedName name="Cement" localSheetId="47">#REF!</definedName>
    <definedName name="Cement" localSheetId="1">#REF!</definedName>
    <definedName name="Cement">#REF!</definedName>
    <definedName name="cementpaint" localSheetId="7">#REF!</definedName>
    <definedName name="cementpaint" localSheetId="47">#REF!</definedName>
    <definedName name="cementpaint" localSheetId="1">#REF!</definedName>
    <definedName name="cementpaint">#REF!</definedName>
    <definedName name="CEXC" localSheetId="7">#REF!</definedName>
    <definedName name="CEXC" localSheetId="47">#REF!</definedName>
    <definedName name="CEXC" localSheetId="1">#REF!</definedName>
    <definedName name="CEXC">#REF!</definedName>
    <definedName name="CFTi">'[46]RA Civil'!$E$41</definedName>
    <definedName name="CGRD" localSheetId="7">#REF!</definedName>
    <definedName name="CGRD" localSheetId="47">#REF!</definedName>
    <definedName name="CGRD" localSheetId="1">#REF!</definedName>
    <definedName name="CGRD">#REF!</definedName>
    <definedName name="CGW" localSheetId="7">#REF!</definedName>
    <definedName name="CGW" localSheetId="47">#REF!</definedName>
    <definedName name="CGW" localSheetId="1">#REF!</definedName>
    <definedName name="CGW">#REF!</definedName>
    <definedName name="CHAINAGE" localSheetId="7">#REF!</definedName>
    <definedName name="CHAINAGE" localSheetId="47">#REF!</definedName>
    <definedName name="CHAINAGE" localSheetId="1">#REF!</definedName>
    <definedName name="CHAINAGE">#REF!</definedName>
    <definedName name="CHAINAGEM">[77]HYDRAULICS!$H$2</definedName>
    <definedName name="Chandramauli" localSheetId="7">#REF!</definedName>
    <definedName name="Chandramauli" localSheetId="47">#REF!</definedName>
    <definedName name="Chandramauli" localSheetId="1">#REF!</definedName>
    <definedName name="Chandramauli">#REF!</definedName>
    <definedName name="chandramauli1" localSheetId="7">#REF!</definedName>
    <definedName name="chandramauli1" localSheetId="47">#REF!</definedName>
    <definedName name="chandramauli1" localSheetId="1">#REF!</definedName>
    <definedName name="chandramauli1">#REF!</definedName>
    <definedName name="CHANDRAMAULI2" localSheetId="7">[78]FACE!#REF!</definedName>
    <definedName name="CHANDRAMAULI2" localSheetId="47">[78]FACE!#REF!</definedName>
    <definedName name="CHANDRAMAULI2" localSheetId="1">[78]FACE!#REF!</definedName>
    <definedName name="CHANDRAMAULI2">[78]FACE!#REF!</definedName>
    <definedName name="chandramauli3" localSheetId="7">#REF!</definedName>
    <definedName name="chandramauli3" localSheetId="47">#REF!</definedName>
    <definedName name="chandramauli3" localSheetId="1">#REF!</definedName>
    <definedName name="chandramauli3">#REF!</definedName>
    <definedName name="Charges_of_road_roller" localSheetId="7">[44]SOR!#REF!</definedName>
    <definedName name="Charges_of_road_roller" localSheetId="47">[44]SOR!#REF!</definedName>
    <definedName name="Charges_of_road_roller" localSheetId="1">[44]SOR!#REF!</definedName>
    <definedName name="Charges_of_road_roller">[44]SOR!#REF!</definedName>
    <definedName name="check" localSheetId="7">#REF!</definedName>
    <definedName name="check" localSheetId="47">#REF!</definedName>
    <definedName name="check" localSheetId="1">#REF!</definedName>
    <definedName name="check">#REF!</definedName>
    <definedName name="checked" localSheetId="7">#REF!</definedName>
    <definedName name="checked" localSheetId="47">#REF!</definedName>
    <definedName name="checked" localSheetId="1">#REF!</definedName>
    <definedName name="checked">#REF!</definedName>
    <definedName name="CHMP" localSheetId="7">#REF!</definedName>
    <definedName name="CHMP" localSheetId="47">#REF!</definedName>
    <definedName name="CHMP" localSheetId="1">#REF!</definedName>
    <definedName name="CHMP">#REF!</definedName>
    <definedName name="chsdim">[75]csdim!$A$1376:$A$2509</definedName>
    <definedName name="chsloadrange">[75]chsload!$A$3:$A$62</definedName>
    <definedName name="CHW" localSheetId="7">#REF!</definedName>
    <definedName name="CHW" localSheetId="47">#REF!</definedName>
    <definedName name="CHW" localSheetId="1">#REF!</definedName>
    <definedName name="CHW">#REF!</definedName>
    <definedName name="CJCB" localSheetId="7">#REF!</definedName>
    <definedName name="CJCB" localSheetId="47">#REF!</definedName>
    <definedName name="CJCB" localSheetId="1">#REF!</definedName>
    <definedName name="CJCB">#REF!</definedName>
    <definedName name="ck" localSheetId="7">#REF!</definedName>
    <definedName name="ck" localSheetId="47">#REF!</definedName>
    <definedName name="ck" localSheetId="1">#REF!</definedName>
    <definedName name="ck">#REF!</definedName>
    <definedName name="cl">150</definedName>
    <definedName name="Class_end" localSheetId="7">[65]Ranges!#REF!</definedName>
    <definedName name="Class_end" localSheetId="47">[65]Ranges!#REF!</definedName>
    <definedName name="Class_end" localSheetId="1">[65]Ranges!#REF!</definedName>
    <definedName name="Class_end">[65]Ranges!#REF!</definedName>
    <definedName name="Class_start" localSheetId="7">[65]Ranges!#REF!</definedName>
    <definedName name="Class_start" localSheetId="47">[65]Ranges!#REF!</definedName>
    <definedName name="Class_start" localSheetId="1">[65]Ranges!#REF!</definedName>
    <definedName name="Class_start">[65]Ranges!#REF!</definedName>
    <definedName name="CLAY" localSheetId="7">#REF!</definedName>
    <definedName name="CLAY" localSheetId="47">#REF!</definedName>
    <definedName name="CLAY" localSheetId="1">#REF!</definedName>
    <definedName name="CLAY">#REF!</definedName>
    <definedName name="CLEAR">[79]!CLEAR</definedName>
    <definedName name="clearspan1" localSheetId="7">[78]FACE!#REF!</definedName>
    <definedName name="clearspan1" localSheetId="47">[78]FACE!#REF!</definedName>
    <definedName name="clearspan1" localSheetId="1">[78]FACE!#REF!</definedName>
    <definedName name="clearspan1">[78]FACE!#REF!</definedName>
    <definedName name="clearspan11" localSheetId="7">#REF!</definedName>
    <definedName name="clearspan11" localSheetId="47">#REF!</definedName>
    <definedName name="clearspan11" localSheetId="1">#REF!</definedName>
    <definedName name="clearspan11">#REF!</definedName>
    <definedName name="CLOAD" localSheetId="7">#REF!</definedName>
    <definedName name="CLOAD" localSheetId="47">#REF!</definedName>
    <definedName name="CLOAD" localSheetId="1">#REF!</definedName>
    <definedName name="CLOAD">#REF!</definedName>
    <definedName name="cmain" localSheetId="7">#REF!</definedName>
    <definedName name="cmain" localSheetId="47">#REF!</definedName>
    <definedName name="cmain" localSheetId="1">#REF!</definedName>
    <definedName name="cmain">#REF!</definedName>
    <definedName name="CMIX" localSheetId="7">#REF!</definedName>
    <definedName name="CMIX" localSheetId="47">#REF!</definedName>
    <definedName name="CMIX" localSheetId="1">#REF!</definedName>
    <definedName name="CMIX">#REF!</definedName>
    <definedName name="cmort3">'[22]Rates Basic'!$D$21</definedName>
    <definedName name="CmpJakOpo" localSheetId="7">#REF!</definedName>
    <definedName name="CmpJakOpo" localSheetId="47">#REF!</definedName>
    <definedName name="CmpJakOpo" localSheetId="1">#REF!</definedName>
    <definedName name="CmpJakOpo">#REF!</definedName>
    <definedName name="cn" localSheetId="7" hidden="1">{"'Sheet1'!$L$16"}</definedName>
    <definedName name="cn" localSheetId="47" hidden="1">{"'Sheet1'!$L$16"}</definedName>
    <definedName name="cn" localSheetId="1" hidden="1">{"'Sheet1'!$L$16"}</definedName>
    <definedName name="cn" hidden="1">{"'Sheet1'!$L$16"}</definedName>
    <definedName name="cnvert">#N/A</definedName>
    <definedName name="COARSE" localSheetId="7">#REF!</definedName>
    <definedName name="COARSE" localSheetId="47">#REF!</definedName>
    <definedName name="COARSE" localSheetId="1">#REF!</definedName>
    <definedName name="COARSE">#REF!</definedName>
    <definedName name="Coarsesand" localSheetId="7">#REF!</definedName>
    <definedName name="Coarsesand" localSheetId="47">#REF!</definedName>
    <definedName name="Coarsesand" localSheetId="1">#REF!</definedName>
    <definedName name="Coarsesand">#REF!</definedName>
    <definedName name="coat" localSheetId="7">#REF!</definedName>
    <definedName name="coat" localSheetId="47">#REF!</definedName>
    <definedName name="coat" localSheetId="1">#REF!</definedName>
    <definedName name="coat">#REF!</definedName>
    <definedName name="Code">[49]PIPING!$AI$7:$AI$221</definedName>
    <definedName name="CODES">[76]R2!$C$39:$C$86</definedName>
    <definedName name="col" localSheetId="7">#REF!</definedName>
    <definedName name="col" localSheetId="47">#REF!</definedName>
    <definedName name="col" localSheetId="1">#REF!</definedName>
    <definedName name="col">#REF!</definedName>
    <definedName name="col___0" localSheetId="7">#REF!</definedName>
    <definedName name="col___0" localSheetId="47">#REF!</definedName>
    <definedName name="col___0" localSheetId="1">#REF!</definedName>
    <definedName name="col___0">#REF!</definedName>
    <definedName name="col___11" localSheetId="7">#REF!</definedName>
    <definedName name="col___11" localSheetId="47">#REF!</definedName>
    <definedName name="col___11" localSheetId="1">#REF!</definedName>
    <definedName name="col___11">#REF!</definedName>
    <definedName name="col___12" localSheetId="7">#REF!</definedName>
    <definedName name="col___12" localSheetId="47">#REF!</definedName>
    <definedName name="col___12" localSheetId="1">#REF!</definedName>
    <definedName name="col___12">#REF!</definedName>
    <definedName name="Collaborator" localSheetId="7">[65]User!#REF!</definedName>
    <definedName name="Collaborator" localSheetId="47">[65]User!#REF!</definedName>
    <definedName name="Collaborator" localSheetId="1">[65]User!#REF!</definedName>
    <definedName name="Collaborator">[65]User!#REF!</definedName>
    <definedName name="Columns" localSheetId="7">#REF!</definedName>
    <definedName name="Columns" localSheetId="47">#REF!</definedName>
    <definedName name="Columns" localSheetId="1">#REF!</definedName>
    <definedName name="Columns">#REF!</definedName>
    <definedName name="COM" localSheetId="7">#REF!</definedName>
    <definedName name="COM" localSheetId="47">#REF!</definedName>
    <definedName name="COM" localSheetId="1">#REF!</definedName>
    <definedName name="COM">#REF!</definedName>
    <definedName name="Commission" localSheetId="7">#REF!</definedName>
    <definedName name="Commission" localSheetId="47">#REF!</definedName>
    <definedName name="Commission" localSheetId="1">#REF!</definedName>
    <definedName name="Commission">#REF!</definedName>
    <definedName name="COMMPART">[75]CLAMP!$A$2:$D$605</definedName>
    <definedName name="COMP" localSheetId="7">#REF!</definedName>
    <definedName name="COMP" localSheetId="47">#REF!</definedName>
    <definedName name="COMP" localSheetId="1">#REF!</definedName>
    <definedName name="COMP">#REF!</definedName>
    <definedName name="Company" localSheetId="7">#REF!</definedName>
    <definedName name="Company" localSheetId="47">#REF!</definedName>
    <definedName name="Company" localSheetId="1">#REF!</definedName>
    <definedName name="Company">#REF!</definedName>
    <definedName name="COMPARISON" localSheetId="7">{#N/A,#N/A,FALSE,"mpph1";#N/A,#N/A,FALSE,"mpmseb";#N/A,#N/A,FALSE,"mpph2"}</definedName>
    <definedName name="COMPARISON" localSheetId="47">{#N/A,#N/A,FALSE,"mpph1";#N/A,#N/A,FALSE,"mpmseb";#N/A,#N/A,FALSE,"mpph2"}</definedName>
    <definedName name="COMPARISON" localSheetId="1">{#N/A,#N/A,FALSE,"mpph1";#N/A,#N/A,FALSE,"mpmseb";#N/A,#N/A,FALSE,"mpph2"}</definedName>
    <definedName name="COMPARISON">{#N/A,#N/A,FALSE,"mpph1";#N/A,#N/A,FALSE,"mpmseb";#N/A,#N/A,FALSE,"mpph2"}</definedName>
    <definedName name="ConBlks">'[80]RA Civil'!$E$39</definedName>
    <definedName name="conc_dens" localSheetId="7">#REF!</definedName>
    <definedName name="conc_dens" localSheetId="47">#REF!</definedName>
    <definedName name="conc_dens" localSheetId="1">#REF!</definedName>
    <definedName name="conc_dens">#REF!</definedName>
    <definedName name="conden" localSheetId="7">#REF!</definedName>
    <definedName name="conden" localSheetId="47">#REF!</definedName>
    <definedName name="conden" localSheetId="1">#REF!</definedName>
    <definedName name="conden">#REF!</definedName>
    <definedName name="condition" localSheetId="7" hidden="1">{"'장비'!$A$3:$M$12"}</definedName>
    <definedName name="condition" localSheetId="47" hidden="1">{"'장비'!$A$3:$M$12"}</definedName>
    <definedName name="condition" localSheetId="1" hidden="1">{"'장비'!$A$3:$M$12"}</definedName>
    <definedName name="condition" hidden="1">{"'장비'!$A$3:$M$12"}</definedName>
    <definedName name="CONDUIT" localSheetId="7">#REF!</definedName>
    <definedName name="CONDUIT" localSheetId="47">#REF!</definedName>
    <definedName name="CONDUIT" localSheetId="1">#REF!</definedName>
    <definedName name="CONDUIT">#REF!</definedName>
    <definedName name="CONT" localSheetId="7">#REF!</definedName>
    <definedName name="CONT" localSheetId="47">#REF!</definedName>
    <definedName name="CONT" localSheetId="1">#REF!</definedName>
    <definedName name="CONT">#REF!</definedName>
    <definedName name="CONT1" localSheetId="7">#REF!</definedName>
    <definedName name="CONT1" localSheetId="47">#REF!</definedName>
    <definedName name="CONT1" localSheetId="1">#REF!</definedName>
    <definedName name="CONT1">#REF!</definedName>
    <definedName name="Convent." localSheetId="7">#REF!</definedName>
    <definedName name="Convent." localSheetId="47">#REF!</definedName>
    <definedName name="Convent." localSheetId="1">#REF!</definedName>
    <definedName name="Convent.">#REF!</definedName>
    <definedName name="COS" localSheetId="7">#REF!</definedName>
    <definedName name="COS" localSheetId="47">#REF!</definedName>
    <definedName name="COS" localSheetId="1">#REF!</definedName>
    <definedName name="COS">#REF!</definedName>
    <definedName name="Cost_for_10_Hp_Hr." localSheetId="7">[44]SOR!#REF!</definedName>
    <definedName name="Cost_for_10_Hp_Hr." localSheetId="47">[44]SOR!#REF!</definedName>
    <definedName name="Cost_for_10_Hp_Hr." localSheetId="1">[44]SOR!#REF!</definedName>
    <definedName name="Cost_for_10_Hp_Hr.">[44]SOR!#REF!</definedName>
    <definedName name="Cost_of_water_including_filling_the_tanker" localSheetId="7">[44]SOR!#REF!</definedName>
    <definedName name="Cost_of_water_including_filling_the_tanker" localSheetId="47">[44]SOR!#REF!</definedName>
    <definedName name="Cost_of_water_including_filling_the_tanker" localSheetId="1">[44]SOR!#REF!</definedName>
    <definedName name="Cost_of_water_including_filling_the_tanker">[44]SOR!#REF!</definedName>
    <definedName name="costcod" localSheetId="7">#REF!</definedName>
    <definedName name="costcod" localSheetId="47">#REF!</definedName>
    <definedName name="costcod" localSheetId="1">#REF!</definedName>
    <definedName name="costcod">#REF!</definedName>
    <definedName name="costcode" localSheetId="7">#REF!</definedName>
    <definedName name="costcode" localSheetId="47">#REF!</definedName>
    <definedName name="costcode" localSheetId="1">#REF!</definedName>
    <definedName name="costcode">#REF!</definedName>
    <definedName name="costing" localSheetId="7">#REF!</definedName>
    <definedName name="costing" localSheetId="47">#REF!</definedName>
    <definedName name="costing" localSheetId="1">#REF!</definedName>
    <definedName name="costing">#REF!</definedName>
    <definedName name="COU" localSheetId="7">#REF!</definedName>
    <definedName name="COU" localSheetId="47">#REF!</definedName>
    <definedName name="COU" localSheetId="1">#REF!</definedName>
    <definedName name="COU">#REF!</definedName>
    <definedName name="COU___0" localSheetId="7">#REF!</definedName>
    <definedName name="COU___0" localSheetId="47">#REF!</definedName>
    <definedName name="COU___0" localSheetId="1">#REF!</definedName>
    <definedName name="COU___0">#REF!</definedName>
    <definedName name="COU___13" localSheetId="7">#REF!</definedName>
    <definedName name="COU___13" localSheetId="47">#REF!</definedName>
    <definedName name="COU___13" localSheetId="1">#REF!</definedName>
    <definedName name="COU___13">#REF!</definedName>
    <definedName name="Country">'[81]GM 000'!$I$4</definedName>
    <definedName name="Cover_blocks" localSheetId="7">[44]SOR!#REF!</definedName>
    <definedName name="Cover_blocks" localSheetId="47">[44]SOR!#REF!</definedName>
    <definedName name="Cover_blocks" localSheetId="1">[44]SOR!#REF!</definedName>
    <definedName name="Cover_blocks">[44]SOR!#REF!</definedName>
    <definedName name="CPFM" localSheetId="7">#REF!</definedName>
    <definedName name="CPFM" localSheetId="47">#REF!</definedName>
    <definedName name="CPFM" localSheetId="1">#REF!</definedName>
    <definedName name="CPFM">#REF!</definedName>
    <definedName name="CPFS" localSheetId="7">#REF!</definedName>
    <definedName name="CPFS" localSheetId="47">#REF!</definedName>
    <definedName name="CPFS" localSheetId="1">#REF!</definedName>
    <definedName name="CPFS">#REF!</definedName>
    <definedName name="CPHEEO" localSheetId="7">'[82]boq ht'!#REF!</definedName>
    <definedName name="CPHEEO" localSheetId="47">'[82]boq ht'!#REF!</definedName>
    <definedName name="CPHEEO" localSheetId="1">'[82]boq ht'!#REF!</definedName>
    <definedName name="CPHEEO">'[82]boq ht'!#REF!</definedName>
    <definedName name="CPLG" localSheetId="7">#REF!</definedName>
    <definedName name="CPLG" localSheetId="47">#REF!</definedName>
    <definedName name="CPLG" localSheetId="1">#REF!</definedName>
    <definedName name="CPLG">#REF!</definedName>
    <definedName name="CPM" localSheetId="7">#REF!</definedName>
    <definedName name="CPM" localSheetId="47">#REF!</definedName>
    <definedName name="CPM" localSheetId="1">#REF!</definedName>
    <definedName name="CPM">#REF!</definedName>
    <definedName name="CPUMP" localSheetId="7">#REF!</definedName>
    <definedName name="CPUMP" localSheetId="47">#REF!</definedName>
    <definedName name="CPUMP" localSheetId="1">#REF!</definedName>
    <definedName name="CPUMP">#REF!</definedName>
    <definedName name="CP새단가" localSheetId="7">#REF!</definedName>
    <definedName name="CP새단가" localSheetId="47">#REF!</definedName>
    <definedName name="CP새단가" localSheetId="1">#REF!</definedName>
    <definedName name="CP새단가">#REF!</definedName>
    <definedName name="_xlnm.Criteria">[83]八幡!$L$200</definedName>
    <definedName name="Criteria_MI" localSheetId="7">[84]estm_mech!#REF!</definedName>
    <definedName name="Criteria_MI" localSheetId="47">[84]estm_mech!#REF!</definedName>
    <definedName name="Criteria_MI" localSheetId="1">[84]estm_mech!#REF!</definedName>
    <definedName name="Criteria_MI">[84]estm_mech!#REF!</definedName>
    <definedName name="CRMB60" localSheetId="7">#REF!</definedName>
    <definedName name="CRMB60" localSheetId="47">#REF!</definedName>
    <definedName name="CRMB60" localSheetId="1">#REF!</definedName>
    <definedName name="CRMB60">#REF!</definedName>
    <definedName name="CRUSH" localSheetId="7">#REF!</definedName>
    <definedName name="CRUSH" localSheetId="47">#REF!</definedName>
    <definedName name="CRUSH" localSheetId="1">#REF!</definedName>
    <definedName name="CRUSH">#REF!</definedName>
    <definedName name="crush_s" localSheetId="7">#REF!</definedName>
    <definedName name="crush_s" localSheetId="47">#REF!</definedName>
    <definedName name="crush_s" localSheetId="1">#REF!</definedName>
    <definedName name="crush_s">#REF!</definedName>
    <definedName name="CRUSH1" localSheetId="7">#REF!</definedName>
    <definedName name="CRUSH1" localSheetId="47">#REF!</definedName>
    <definedName name="CRUSH1" localSheetId="1">#REF!</definedName>
    <definedName name="CRUSH1">#REF!</definedName>
    <definedName name="CRUSH2" localSheetId="7">#REF!</definedName>
    <definedName name="CRUSH2" localSheetId="47">#REF!</definedName>
    <definedName name="CRUSH2" localSheetId="1">#REF!</definedName>
    <definedName name="CRUSH2">#REF!</definedName>
    <definedName name="Cs" localSheetId="7">#REF!</definedName>
    <definedName name="Cs" localSheetId="47">#REF!</definedName>
    <definedName name="Cs" localSheetId="1">#REF!</definedName>
    <definedName name="Cs">#REF!</definedName>
    <definedName name="Cs___0" localSheetId="7">#REF!</definedName>
    <definedName name="Cs___0" localSheetId="47">#REF!</definedName>
    <definedName name="Cs___0" localSheetId="1">#REF!</definedName>
    <definedName name="Cs___0">#REF!</definedName>
    <definedName name="Cs___13" localSheetId="7">#REF!</definedName>
    <definedName name="Cs___13" localSheetId="47">#REF!</definedName>
    <definedName name="Cs___13" localSheetId="1">#REF!</definedName>
    <definedName name="Cs___13">#REF!</definedName>
    <definedName name="CSAND" localSheetId="7">#REF!</definedName>
    <definedName name="CSAND" localSheetId="47">#REF!</definedName>
    <definedName name="CSAND" localSheetId="1">#REF!</definedName>
    <definedName name="CSAND">#REF!</definedName>
    <definedName name="CSCP" localSheetId="7">#REF!</definedName>
    <definedName name="CSCP" localSheetId="47">#REF!</definedName>
    <definedName name="CSCP" localSheetId="1">#REF!</definedName>
    <definedName name="CSCP">#REF!</definedName>
    <definedName name="CSFP" localSheetId="7">#REF!</definedName>
    <definedName name="CSFP" localSheetId="47">#REF!</definedName>
    <definedName name="CSFP" localSheetId="1">#REF!</definedName>
    <definedName name="CSFP">#REF!</definedName>
    <definedName name="CSPREAD" localSheetId="7">#REF!</definedName>
    <definedName name="CSPREAD" localSheetId="47">#REF!</definedName>
    <definedName name="CSPREAD" localSheetId="1">#REF!</definedName>
    <definedName name="CSPREAD">#REF!</definedName>
    <definedName name="CSWP" localSheetId="7">#REF!</definedName>
    <definedName name="CSWP" localSheetId="47">#REF!</definedName>
    <definedName name="CSWP" localSheetId="1">#REF!</definedName>
    <definedName name="CSWP">#REF!</definedName>
    <definedName name="CTIP10" localSheetId="7">#REF!</definedName>
    <definedName name="CTIP10" localSheetId="47">#REF!</definedName>
    <definedName name="CTIP10" localSheetId="1">#REF!</definedName>
    <definedName name="CTIP10">#REF!</definedName>
    <definedName name="CTIP20" localSheetId="7">#REF!</definedName>
    <definedName name="CTIP20" localSheetId="47">#REF!</definedName>
    <definedName name="CTIP20" localSheetId="1">#REF!</definedName>
    <definedName name="CTIP20">#REF!</definedName>
    <definedName name="CTM" localSheetId="7">#REF!</definedName>
    <definedName name="CTM" localSheetId="47">#REF!</definedName>
    <definedName name="CTM" localSheetId="1">#REF!</definedName>
    <definedName name="CTM">#REF!</definedName>
    <definedName name="CTROL" localSheetId="7">#REF!</definedName>
    <definedName name="CTROL" localSheetId="47">#REF!</definedName>
    <definedName name="CTROL" localSheetId="1">#REF!</definedName>
    <definedName name="CTROL">#REF!</definedName>
    <definedName name="cu0" localSheetId="7">#REF!</definedName>
    <definedName name="cu0" localSheetId="47">#REF!</definedName>
    <definedName name="cu0" localSheetId="1">#REF!</definedName>
    <definedName name="cu0">#REF!</definedName>
    <definedName name="cu10.3" localSheetId="7">#REF!</definedName>
    <definedName name="cu10.3" localSheetId="47">#REF!</definedName>
    <definedName name="cu10.3" localSheetId="1">#REF!</definedName>
    <definedName name="cu10.3">#REF!</definedName>
    <definedName name="cu11.3" localSheetId="7">#REF!</definedName>
    <definedName name="cu11.3" localSheetId="47">#REF!</definedName>
    <definedName name="cu11.3" localSheetId="1">#REF!</definedName>
    <definedName name="cu11.3">#REF!</definedName>
    <definedName name="cu12.3" localSheetId="7">#REF!</definedName>
    <definedName name="cu12.3" localSheetId="47">#REF!</definedName>
    <definedName name="cu12.3" localSheetId="1">#REF!</definedName>
    <definedName name="cu12.3">#REF!</definedName>
    <definedName name="cu13.3" localSheetId="7">#REF!</definedName>
    <definedName name="cu13.3" localSheetId="47">#REF!</definedName>
    <definedName name="cu13.3" localSheetId="1">#REF!</definedName>
    <definedName name="cu13.3">#REF!</definedName>
    <definedName name="cu14.3" localSheetId="7">#REF!</definedName>
    <definedName name="cu14.3" localSheetId="47">#REF!</definedName>
    <definedName name="cu14.3" localSheetId="1">#REF!</definedName>
    <definedName name="cu14.3">#REF!</definedName>
    <definedName name="cu15.3" localSheetId="7">#REF!</definedName>
    <definedName name="cu15.3" localSheetId="47">#REF!</definedName>
    <definedName name="cu15.3" localSheetId="1">#REF!</definedName>
    <definedName name="cu15.3">#REF!</definedName>
    <definedName name="cu16.3" localSheetId="7">#REF!</definedName>
    <definedName name="cu16.3" localSheetId="47">#REF!</definedName>
    <definedName name="cu16.3" localSheetId="1">#REF!</definedName>
    <definedName name="cu16.3">#REF!</definedName>
    <definedName name="cu17.3" localSheetId="7">#REF!</definedName>
    <definedName name="cu17.3" localSheetId="47">#REF!</definedName>
    <definedName name="cu17.3" localSheetId="1">#REF!</definedName>
    <definedName name="cu17.3">#REF!</definedName>
    <definedName name="cu18.3" localSheetId="7">#REF!</definedName>
    <definedName name="cu18.3" localSheetId="47">#REF!</definedName>
    <definedName name="cu18.3" localSheetId="1">#REF!</definedName>
    <definedName name="cu18.3">#REF!</definedName>
    <definedName name="cu19.3" localSheetId="7">#REF!</definedName>
    <definedName name="cu19.3" localSheetId="47">#REF!</definedName>
    <definedName name="cu19.3" localSheetId="1">#REF!</definedName>
    <definedName name="cu19.3">#REF!</definedName>
    <definedName name="cu20.3" localSheetId="7">#REF!</definedName>
    <definedName name="cu20.3" localSheetId="47">#REF!</definedName>
    <definedName name="cu20.3" localSheetId="1">#REF!</definedName>
    <definedName name="cu20.3">#REF!</definedName>
    <definedName name="cu3.3" localSheetId="7">#REF!</definedName>
    <definedName name="cu3.3" localSheetId="47">#REF!</definedName>
    <definedName name="cu3.3" localSheetId="1">#REF!</definedName>
    <definedName name="cu3.3">#REF!</definedName>
    <definedName name="cu4.3" localSheetId="7">#REF!</definedName>
    <definedName name="cu4.3" localSheetId="47">#REF!</definedName>
    <definedName name="cu4.3" localSheetId="1">#REF!</definedName>
    <definedName name="cu4.3">#REF!</definedName>
    <definedName name="cu5.3" localSheetId="7">#REF!</definedName>
    <definedName name="cu5.3" localSheetId="47">#REF!</definedName>
    <definedName name="cu5.3" localSheetId="1">#REF!</definedName>
    <definedName name="cu5.3">#REF!</definedName>
    <definedName name="cu6.3" localSheetId="7">#REF!</definedName>
    <definedName name="cu6.3" localSheetId="47">#REF!</definedName>
    <definedName name="cu6.3" localSheetId="1">#REF!</definedName>
    <definedName name="cu6.3">#REF!</definedName>
    <definedName name="cu7.3" localSheetId="7">#REF!</definedName>
    <definedName name="cu7.3" localSheetId="47">#REF!</definedName>
    <definedName name="cu7.3" localSheetId="1">#REF!</definedName>
    <definedName name="cu7.3">#REF!</definedName>
    <definedName name="cu8.3" localSheetId="7">#REF!</definedName>
    <definedName name="cu8.3" localSheetId="47">#REF!</definedName>
    <definedName name="cu8.3" localSheetId="1">#REF!</definedName>
    <definedName name="cu8.3">#REF!</definedName>
    <definedName name="cu9.3" localSheetId="7">#REF!</definedName>
    <definedName name="cu9.3" localSheetId="47">#REF!</definedName>
    <definedName name="cu9.3" localSheetId="1">#REF!</definedName>
    <definedName name="cu9.3">#REF!</definedName>
    <definedName name="CUDENSITY">[60]CABLERET!$B$9</definedName>
    <definedName name="cuload">[60]CABLERET!$E$13:$E$128</definedName>
    <definedName name="CUMARGIN">[60]CABLERET!$E$7</definedName>
    <definedName name="cummeas_may1006" localSheetId="7">#REF!</definedName>
    <definedName name="cummeas_may1006" localSheetId="47">#REF!</definedName>
    <definedName name="cummeas_may1006" localSheetId="1">#REF!</definedName>
    <definedName name="cummeas_may1006">#REF!</definedName>
    <definedName name="cummeas_up_to_mar" localSheetId="7">#REF!</definedName>
    <definedName name="cummeas_up_to_mar" localSheetId="47">#REF!</definedName>
    <definedName name="cummeas_up_to_mar" localSheetId="1">#REF!</definedName>
    <definedName name="cummeas_up_to_mar">#REF!</definedName>
    <definedName name="current1" localSheetId="7">#REF!</definedName>
    <definedName name="current1" localSheetId="47">#REF!</definedName>
    <definedName name="current1" localSheetId="1">#REF!</definedName>
    <definedName name="current1">#REF!</definedName>
    <definedName name="current2" localSheetId="7">#REF!</definedName>
    <definedName name="current2" localSheetId="47">#REF!</definedName>
    <definedName name="current2" localSheetId="1">#REF!</definedName>
    <definedName name="current2">#REF!</definedName>
    <definedName name="current3" localSheetId="7">#REF!</definedName>
    <definedName name="current3" localSheetId="47">#REF!</definedName>
    <definedName name="current3" localSheetId="1">#REF!</definedName>
    <definedName name="current3">#REF!</definedName>
    <definedName name="current4" localSheetId="7">#REF!</definedName>
    <definedName name="current4" localSheetId="47">#REF!</definedName>
    <definedName name="current4" localSheetId="1">#REF!</definedName>
    <definedName name="current4">#REF!</definedName>
    <definedName name="current5" localSheetId="7">#REF!</definedName>
    <definedName name="current5" localSheetId="47">#REF!</definedName>
    <definedName name="current5" localSheetId="1">#REF!</definedName>
    <definedName name="current5">#REF!</definedName>
    <definedName name="cutstone" localSheetId="7">#REF!</definedName>
    <definedName name="cutstone" localSheetId="47">#REF!</definedName>
    <definedName name="cutstone" localSheetId="1">#REF!</definedName>
    <definedName name="cutstone">#REF!</definedName>
    <definedName name="cvr" localSheetId="7">#REF!</definedName>
    <definedName name="cvr" localSheetId="47">#REF!</definedName>
    <definedName name="cvr" localSheetId="1">#REF!</definedName>
    <definedName name="cvr">#REF!</definedName>
    <definedName name="cvrheel" localSheetId="7">#REF!</definedName>
    <definedName name="cvrheel" localSheetId="47">#REF!</definedName>
    <definedName name="cvrheel" localSheetId="1">#REF!</definedName>
    <definedName name="cvrheel">#REF!</definedName>
    <definedName name="CVROL" localSheetId="7">#REF!</definedName>
    <definedName name="CVROL" localSheetId="47">#REF!</definedName>
    <definedName name="CVROL" localSheetId="1">#REF!</definedName>
    <definedName name="CVROL">#REF!</definedName>
    <definedName name="cvrtoe" localSheetId="7">#REF!</definedName>
    <definedName name="cvrtoe" localSheetId="47">#REF!</definedName>
    <definedName name="cvrtoe" localSheetId="1">#REF!</definedName>
    <definedName name="cvrtoe">#REF!</definedName>
    <definedName name="cvsdim">[75]csdim!$A$2510:$A$3147</definedName>
    <definedName name="cvsloadrange">[75]cvsload!$A$3:$A$66</definedName>
    <definedName name="cw">20</definedName>
    <definedName name="CWMM" localSheetId="7">#REF!</definedName>
    <definedName name="CWMM" localSheetId="47">#REF!</definedName>
    <definedName name="CWMM" localSheetId="1">#REF!</definedName>
    <definedName name="CWMM">#REF!</definedName>
    <definedName name="CWTi">'[46]RA Civil'!$E$42</definedName>
    <definedName name="czvnzcvnz" localSheetId="7">#REF!</definedName>
    <definedName name="czvnzcvnz" localSheetId="47">#REF!</definedName>
    <definedName name="czvnzcvnz" localSheetId="1">#REF!</definedName>
    <definedName name="czvnzcvnz">#REF!</definedName>
    <definedName name="d" localSheetId="7">#REF!</definedName>
    <definedName name="d" localSheetId="47">#REF!</definedName>
    <definedName name="d" localSheetId="1">#REF!</definedName>
    <definedName name="d">#REF!</definedName>
    <definedName name="d._Staging_to_keep_deflactometer___hire_charges_of_deflectometer" localSheetId="7">[44]SOR!#REF!</definedName>
    <definedName name="d._Staging_to_keep_deflactometer___hire_charges_of_deflectometer" localSheetId="47">[44]SOR!#REF!</definedName>
    <definedName name="d._Staging_to_keep_deflactometer___hire_charges_of_deflectometer" localSheetId="1">[44]SOR!#REF!</definedName>
    <definedName name="d._Staging_to_keep_deflactometer___hire_charges_of_deflectometer">[44]SOR!#REF!</definedName>
    <definedName name="D.L.R.B.___Km.8.395_of_Left_Main_Canal" localSheetId="7">#REF!</definedName>
    <definedName name="D.L.R.B.___Km.8.395_of_Left_Main_Canal" localSheetId="47">#REF!</definedName>
    <definedName name="D.L.R.B.___Km.8.395_of_Left_Main_Canal" localSheetId="1">#REF!</definedName>
    <definedName name="D.L.R.B.___Km.8.395_of_Left_Main_Canal">#REF!</definedName>
    <definedName name="D_" localSheetId="7">#REF!</definedName>
    <definedName name="D_" localSheetId="47">#REF!</definedName>
    <definedName name="D_" localSheetId="1">#REF!</definedName>
    <definedName name="D_">#REF!</definedName>
    <definedName name="d___0" localSheetId="7">#REF!</definedName>
    <definedName name="d___0" localSheetId="47">#REF!</definedName>
    <definedName name="d___0" localSheetId="1">#REF!</definedName>
    <definedName name="d___0">#REF!</definedName>
    <definedName name="d___13" localSheetId="7">#REF!</definedName>
    <definedName name="d___13" localSheetId="47">#REF!</definedName>
    <definedName name="d___13" localSheetId="1">#REF!</definedName>
    <definedName name="d___13">#REF!</definedName>
    <definedName name="d_jp" localSheetId="7" hidden="1">{"'Sheet1'!$A$4386:$N$4591"}</definedName>
    <definedName name="d_jp" localSheetId="47" hidden="1">{"'Sheet1'!$A$4386:$N$4591"}</definedName>
    <definedName name="d_jp" localSheetId="1" hidden="1">{"'Sheet1'!$A$4386:$N$4591"}</definedName>
    <definedName name="d_jp" hidden="1">{"'Sheet1'!$A$4386:$N$4591"}</definedName>
    <definedName name="D_T">'[85]Discom Details'!$F$721</definedName>
    <definedName name="D65536A1" localSheetId="7">#REF!</definedName>
    <definedName name="D65536A1" localSheetId="47">#REF!</definedName>
    <definedName name="D65536A1" localSheetId="1">#REF!</definedName>
    <definedName name="D65536A1">#REF!</definedName>
    <definedName name="DA">[49]PIPING!$W$6:$W$105</definedName>
    <definedName name="DAGG" localSheetId="7">#REF!</definedName>
    <definedName name="DAGG" localSheetId="47">#REF!</definedName>
    <definedName name="DAGG" localSheetId="1">#REF!</definedName>
    <definedName name="DAGG">#REF!</definedName>
    <definedName name="dara" localSheetId="7">#REF!</definedName>
    <definedName name="dara" localSheetId="47">#REF!</definedName>
    <definedName name="dara" localSheetId="1">#REF!</definedName>
    <definedName name="dara">#REF!</definedName>
    <definedName name="DaRWk1" localSheetId="7">#REF!</definedName>
    <definedName name="DaRWk1" localSheetId="47">#REF!</definedName>
    <definedName name="DaRWk1" localSheetId="1">#REF!</definedName>
    <definedName name="DaRWk1">#REF!</definedName>
    <definedName name="DaRWk10" localSheetId="7">#REF!</definedName>
    <definedName name="DaRWk10" localSheetId="47">#REF!</definedName>
    <definedName name="DaRWk10" localSheetId="1">#REF!</definedName>
    <definedName name="DaRWk10">#REF!</definedName>
    <definedName name="DaRWk11" localSheetId="7">#REF!</definedName>
    <definedName name="DaRWk11" localSheetId="47">#REF!</definedName>
    <definedName name="DaRWk11" localSheetId="1">#REF!</definedName>
    <definedName name="DaRWk11">#REF!</definedName>
    <definedName name="DaRWk12" localSheetId="7">#REF!</definedName>
    <definedName name="DaRWk12" localSheetId="47">#REF!</definedName>
    <definedName name="DaRWk12" localSheetId="1">#REF!</definedName>
    <definedName name="DaRWk12">#REF!</definedName>
    <definedName name="DaRWk2" localSheetId="7">#REF!</definedName>
    <definedName name="DaRWk2" localSheetId="47">#REF!</definedName>
    <definedName name="DaRWk2" localSheetId="1">#REF!</definedName>
    <definedName name="DaRWk2">#REF!</definedName>
    <definedName name="DaRWk3" localSheetId="7">#REF!</definedName>
    <definedName name="DaRWk3" localSheetId="47">#REF!</definedName>
    <definedName name="DaRWk3" localSheetId="1">#REF!</definedName>
    <definedName name="DaRWk3">#REF!</definedName>
    <definedName name="DaRWk4" localSheetId="7">#REF!</definedName>
    <definedName name="DaRWk4" localSheetId="47">#REF!</definedName>
    <definedName name="DaRWk4" localSheetId="1">#REF!</definedName>
    <definedName name="DaRWk4">#REF!</definedName>
    <definedName name="DaRWk5" localSheetId="7">#REF!</definedName>
    <definedName name="DaRWk5" localSheetId="47">#REF!</definedName>
    <definedName name="DaRWk5" localSheetId="1">#REF!</definedName>
    <definedName name="DaRWk5">#REF!</definedName>
    <definedName name="DaRWk6" localSheetId="7">#REF!</definedName>
    <definedName name="DaRWk6" localSheetId="47">#REF!</definedName>
    <definedName name="DaRWk6" localSheetId="1">#REF!</definedName>
    <definedName name="DaRWk6">#REF!</definedName>
    <definedName name="DaRWk8" localSheetId="7">#REF!</definedName>
    <definedName name="DaRWk8" localSheetId="47">#REF!</definedName>
    <definedName name="DaRWk8" localSheetId="1">#REF!</definedName>
    <definedName name="DaRWk8">#REF!</definedName>
    <definedName name="DaRwk9" localSheetId="7">#REF!</definedName>
    <definedName name="DaRwk9" localSheetId="47">#REF!</definedName>
    <definedName name="DaRwk9" localSheetId="1">#REF!</definedName>
    <definedName name="DaRwk9">#REF!</definedName>
    <definedName name="dasdfds" localSheetId="7">#REF!</definedName>
    <definedName name="dasdfds" localSheetId="47">#REF!</definedName>
    <definedName name="dasdfds" localSheetId="1">#REF!</definedName>
    <definedName name="dasdfds">#REF!</definedName>
    <definedName name="DASP" localSheetId="7">#REF!</definedName>
    <definedName name="DASP" localSheetId="47">#REF!</definedName>
    <definedName name="DASP" localSheetId="1">#REF!</definedName>
    <definedName name="DASP">#REF!</definedName>
    <definedName name="data" localSheetId="7">#REF!</definedName>
    <definedName name="data" localSheetId="47">#REF!</definedName>
    <definedName name="data" localSheetId="1">#REF!</definedName>
    <definedName name="data">#REF!</definedName>
    <definedName name="DATA_1">'[86]BLR 1'!$S:$S</definedName>
    <definedName name="DATA_10">[86]GEN!$R:$R</definedName>
    <definedName name="DATA_11">[86]GAS!$R:$R</definedName>
    <definedName name="DATA_12">[86]DEAE!$S:$S</definedName>
    <definedName name="DATA_2">[86]BLR2!$S:$S</definedName>
    <definedName name="DATA_3">[86]BLR3!$S:$S</definedName>
    <definedName name="DATA_4">[86]BLR4!$S:$S</definedName>
    <definedName name="DATA_5">[86]BLR5!$S:$S</definedName>
    <definedName name="DATA_6">[86]DEM!$R:$R</definedName>
    <definedName name="DATA_7">[86]SAM!$R:$R</definedName>
    <definedName name="DATA_8">[86]CHEM!$R:$R</definedName>
    <definedName name="DATA_9">[86]COP!$R:$R</definedName>
    <definedName name="DATA_SCH">[87]DATA!$A$4:$AZ$54</definedName>
    <definedName name="DATA1" localSheetId="7">#REF!</definedName>
    <definedName name="DATA1" localSheetId="47">#REF!</definedName>
    <definedName name="DATA1" localSheetId="1">#REF!</definedName>
    <definedName name="DATA1">#REF!</definedName>
    <definedName name="data2" localSheetId="7">#REF!</definedName>
    <definedName name="data2" localSheetId="47">#REF!</definedName>
    <definedName name="data2" localSheetId="1">#REF!</definedName>
    <definedName name="data2">#REF!</definedName>
    <definedName name="_xlnm.Database" localSheetId="7">#REF!</definedName>
    <definedName name="_xlnm.Database" localSheetId="47">#REF!</definedName>
    <definedName name="_xlnm.Database" localSheetId="1">#REF!</definedName>
    <definedName name="_xlnm.Database">#REF!</definedName>
    <definedName name="Database_MI" localSheetId="7">[84]estm_mech!#REF!</definedName>
    <definedName name="Database_MI" localSheetId="47">[84]estm_mech!#REF!</definedName>
    <definedName name="Database_MI" localSheetId="1">[84]estm_mech!#REF!</definedName>
    <definedName name="Database_MI">[84]estm_mech!#REF!</definedName>
    <definedName name="databaseii">[88]대비내역!$A$2:$G$1137</definedName>
    <definedName name="datalist" localSheetId="7">#REF!</definedName>
    <definedName name="datalist" localSheetId="47">#REF!</definedName>
    <definedName name="datalist" localSheetId="1">#REF!</definedName>
    <definedName name="datalist">#REF!</definedName>
    <definedName name="date">[89]Cover!$D$22</definedName>
    <definedName name="dates" localSheetId="7">'[90]ETC Plant Cost'!#REF!</definedName>
    <definedName name="dates" localSheetId="47">'[90]ETC Plant Cost'!#REF!</definedName>
    <definedName name="dates" localSheetId="1">'[90]ETC Plant Cost'!#REF!</definedName>
    <definedName name="dates">'[90]ETC Plant Cost'!#REF!</definedName>
    <definedName name="Datum" localSheetId="7">#REF!</definedName>
    <definedName name="Datum" localSheetId="47">#REF!</definedName>
    <definedName name="Datum" localSheetId="1">#REF!</definedName>
    <definedName name="Datum">#REF!</definedName>
    <definedName name="DaWk7" localSheetId="7">#REF!</definedName>
    <definedName name="DaWk7" localSheetId="47">#REF!</definedName>
    <definedName name="DaWk7" localSheetId="1">#REF!</definedName>
    <definedName name="DaWk7">#REF!</definedName>
    <definedName name="db" localSheetId="7">#REF!</definedName>
    <definedName name="db" localSheetId="47">#REF!</definedName>
    <definedName name="db" localSheetId="1">#REF!</definedName>
    <definedName name="db">#REF!</definedName>
    <definedName name="db___0" localSheetId="7">#REF!</definedName>
    <definedName name="db___0" localSheetId="47">#REF!</definedName>
    <definedName name="db___0" localSheetId="1">#REF!</definedName>
    <definedName name="db___0">#REF!</definedName>
    <definedName name="db___13" localSheetId="7">#REF!</definedName>
    <definedName name="db___13" localSheetId="47">#REF!</definedName>
    <definedName name="db___13" localSheetId="1">#REF!</definedName>
    <definedName name="db___13">#REF!</definedName>
    <definedName name="DBIT" localSheetId="7">#REF!</definedName>
    <definedName name="DBIT" localSheetId="47">#REF!</definedName>
    <definedName name="DBIT" localSheetId="1">#REF!</definedName>
    <definedName name="DBIT">#REF!</definedName>
    <definedName name="dbrwk1" localSheetId="7">#REF!</definedName>
    <definedName name="dbrwk1" localSheetId="47">#REF!</definedName>
    <definedName name="dbrwk1" localSheetId="1">#REF!</definedName>
    <definedName name="dbrwk1">#REF!</definedName>
    <definedName name="dbrwk10" localSheetId="7">#REF!</definedName>
    <definedName name="dbrwk10" localSheetId="47">#REF!</definedName>
    <definedName name="dbrwk10" localSheetId="1">#REF!</definedName>
    <definedName name="dbrwk10">#REF!</definedName>
    <definedName name="dbrwk11" localSheetId="7">#REF!</definedName>
    <definedName name="dbrwk11" localSheetId="47">#REF!</definedName>
    <definedName name="dbrwk11" localSheetId="1">#REF!</definedName>
    <definedName name="dbrwk11">#REF!</definedName>
    <definedName name="dbrwk12" localSheetId="7">#REF!</definedName>
    <definedName name="dbrwk12" localSheetId="47">#REF!</definedName>
    <definedName name="dbrwk12" localSheetId="1">#REF!</definedName>
    <definedName name="dbrwk12">#REF!</definedName>
    <definedName name="dbrwk2" localSheetId="7">#REF!</definedName>
    <definedName name="dbrwk2" localSheetId="47">#REF!</definedName>
    <definedName name="dbrwk2" localSheetId="1">#REF!</definedName>
    <definedName name="dbrwk2">#REF!</definedName>
    <definedName name="dbrwk3" localSheetId="7">#REF!</definedName>
    <definedName name="dbrwk3" localSheetId="47">#REF!</definedName>
    <definedName name="dbrwk3" localSheetId="1">#REF!</definedName>
    <definedName name="dbrwk3">#REF!</definedName>
    <definedName name="dbrwk4" localSheetId="7">#REF!</definedName>
    <definedName name="dbrwk4" localSheetId="47">#REF!</definedName>
    <definedName name="dbrwk4" localSheetId="1">#REF!</definedName>
    <definedName name="dbrwk4">#REF!</definedName>
    <definedName name="dbrwk5" localSheetId="7">#REF!</definedName>
    <definedName name="dbrwk5" localSheetId="47">#REF!</definedName>
    <definedName name="dbrwk5" localSheetId="1">#REF!</definedName>
    <definedName name="dbrwk5">#REF!</definedName>
    <definedName name="dbrwk6" localSheetId="7">#REF!</definedName>
    <definedName name="dbrwk6" localSheetId="47">#REF!</definedName>
    <definedName name="dbrwk6" localSheetId="1">#REF!</definedName>
    <definedName name="dbrwk6">#REF!</definedName>
    <definedName name="dbrwk7" localSheetId="7">#REF!</definedName>
    <definedName name="dbrwk7" localSheetId="47">#REF!</definedName>
    <definedName name="dbrwk7" localSheetId="1">#REF!</definedName>
    <definedName name="dbrwk7">#REF!</definedName>
    <definedName name="dbrwk8" localSheetId="7">#REF!</definedName>
    <definedName name="dbrwk8" localSheetId="47">#REF!</definedName>
    <definedName name="dbrwk8" localSheetId="1">#REF!</definedName>
    <definedName name="dbrwk8">#REF!</definedName>
    <definedName name="dbrwk9" localSheetId="7">#REF!</definedName>
    <definedName name="dbrwk9" localSheetId="47">#REF!</definedName>
    <definedName name="dbrwk9" localSheetId="1">#REF!</definedName>
    <definedName name="dbrwk9">#REF!</definedName>
    <definedName name="dbssb" localSheetId="7">#REF!</definedName>
    <definedName name="dbssb" localSheetId="47">#REF!</definedName>
    <definedName name="dbssb" localSheetId="1">#REF!</definedName>
    <definedName name="dbssb">#REF!</definedName>
    <definedName name="dc">[55]Culvert!$H$112</definedName>
    <definedName name="dceff" localSheetId="7">#REF!</definedName>
    <definedName name="dceff" localSheetId="47">#REF!</definedName>
    <definedName name="dceff" localSheetId="1">#REF!</definedName>
    <definedName name="dceff">#REF!</definedName>
    <definedName name="DCLAY">'[4]Cost of O &amp; O'!$F$14</definedName>
    <definedName name="DCOARSE" localSheetId="7">#REF!</definedName>
    <definedName name="DCOARSE" localSheetId="47">#REF!</definedName>
    <definedName name="DCOARSE" localSheetId="1">#REF!</definedName>
    <definedName name="DCOARSE">#REF!</definedName>
    <definedName name="dcrw" localSheetId="7">#REF!</definedName>
    <definedName name="dcrw" localSheetId="47">#REF!</definedName>
    <definedName name="dcrw" localSheetId="1">#REF!</definedName>
    <definedName name="dcrw">#REF!</definedName>
    <definedName name="dcrwk1" localSheetId="7">#REF!</definedName>
    <definedName name="dcrwk1" localSheetId="47">#REF!</definedName>
    <definedName name="dcrwk1" localSheetId="1">#REF!</definedName>
    <definedName name="dcrwk1">#REF!</definedName>
    <definedName name="dcrwk10" localSheetId="7">#REF!</definedName>
    <definedName name="dcrwk10" localSheetId="47">#REF!</definedName>
    <definedName name="dcrwk10" localSheetId="1">#REF!</definedName>
    <definedName name="dcrwk10">#REF!</definedName>
    <definedName name="dcrwk11" localSheetId="7">#REF!</definedName>
    <definedName name="dcrwk11" localSheetId="47">#REF!</definedName>
    <definedName name="dcrwk11" localSheetId="1">#REF!</definedName>
    <definedName name="dcrwk11">#REF!</definedName>
    <definedName name="dcrwk12" localSheetId="7">#REF!</definedName>
    <definedName name="dcrwk12" localSheetId="47">#REF!</definedName>
    <definedName name="dcrwk12" localSheetId="1">#REF!</definedName>
    <definedName name="dcrwk12">#REF!</definedName>
    <definedName name="dcrwk2" localSheetId="7">#REF!</definedName>
    <definedName name="dcrwk2" localSheetId="47">#REF!</definedName>
    <definedName name="dcrwk2" localSheetId="1">#REF!</definedName>
    <definedName name="dcrwk2">#REF!</definedName>
    <definedName name="dcrwk3" localSheetId="7">#REF!</definedName>
    <definedName name="dcrwk3" localSheetId="47">#REF!</definedName>
    <definedName name="dcrwk3" localSheetId="1">#REF!</definedName>
    <definedName name="dcrwk3">#REF!</definedName>
    <definedName name="dcrwk4" localSheetId="7">#REF!</definedName>
    <definedName name="dcrwk4" localSheetId="47">#REF!</definedName>
    <definedName name="dcrwk4" localSheetId="1">#REF!</definedName>
    <definedName name="dcrwk4">#REF!</definedName>
    <definedName name="dcrwk5" localSheetId="7">#REF!</definedName>
    <definedName name="dcrwk5" localSheetId="47">#REF!</definedName>
    <definedName name="dcrwk5" localSheetId="1">#REF!</definedName>
    <definedName name="dcrwk5">#REF!</definedName>
    <definedName name="dcrwk6" localSheetId="7">#REF!</definedName>
    <definedName name="dcrwk6" localSheetId="47">#REF!</definedName>
    <definedName name="dcrwk6" localSheetId="1">#REF!</definedName>
    <definedName name="dcrwk6">#REF!</definedName>
    <definedName name="dcrwk7" localSheetId="7">#REF!</definedName>
    <definedName name="dcrwk7" localSheetId="47">#REF!</definedName>
    <definedName name="dcrwk7" localSheetId="1">#REF!</definedName>
    <definedName name="dcrwk7">#REF!</definedName>
    <definedName name="dcrwk8" localSheetId="7">#REF!</definedName>
    <definedName name="dcrwk8" localSheetId="47">#REF!</definedName>
    <definedName name="dcrwk8" localSheetId="1">#REF!</definedName>
    <definedName name="dcrwk8">#REF!</definedName>
    <definedName name="dcrwk9" localSheetId="7">#REF!</definedName>
    <definedName name="dcrwk9" localSheetId="47">#REF!</definedName>
    <definedName name="dcrwk9" localSheetId="1">#REF!</definedName>
    <definedName name="dcrwk9">#REF!</definedName>
    <definedName name="DCSAND" localSheetId="7">#REF!</definedName>
    <definedName name="DCSAND" localSheetId="47">#REF!</definedName>
    <definedName name="DCSAND" localSheetId="1">#REF!</definedName>
    <definedName name="DCSAND">#REF!</definedName>
    <definedName name="dd">[91]Analysis!$C$9</definedName>
    <definedName name="DDD" localSheetId="7">#REF!</definedName>
    <definedName name="DDD" localSheetId="47">#REF!</definedName>
    <definedName name="DDD" localSheetId="1">#REF!</definedName>
    <definedName name="DDD">#REF!</definedName>
    <definedName name="DDDD" localSheetId="7" hidden="1">{"form-D1",#N/A,FALSE,"FORM-D1";"form-D1_amt",#N/A,FALSE,"FORM-D1"}</definedName>
    <definedName name="DDDD" localSheetId="47" hidden="1">{"form-D1",#N/A,FALSE,"FORM-D1";"form-D1_amt",#N/A,FALSE,"FORM-D1"}</definedName>
    <definedName name="DDDD" localSheetId="1" hidden="1">{"form-D1",#N/A,FALSE,"FORM-D1";"form-D1_amt",#N/A,FALSE,"FORM-D1"}</definedName>
    <definedName name="DDDD" hidden="1">{"form-D1",#N/A,FALSE,"FORM-D1";"form-D1_amt",#N/A,FALSE,"FORM-D1"}</definedName>
    <definedName name="DDDDDD">[79]!CLEAR</definedName>
    <definedName name="de" localSheetId="7" hidden="1">{"form-D1",#N/A,FALSE,"FORM-D1";"form-D1_amt",#N/A,FALSE,"FORM-D1"}</definedName>
    <definedName name="de" localSheetId="47" hidden="1">{"form-D1",#N/A,FALSE,"FORM-D1";"form-D1_amt",#N/A,FALSE,"FORM-D1"}</definedName>
    <definedName name="de" localSheetId="1" hidden="1">{"form-D1",#N/A,FALSE,"FORM-D1";"form-D1_amt",#N/A,FALSE,"FORM-D1"}</definedName>
    <definedName name="de" hidden="1">{"form-D1",#N/A,FALSE,"FORM-D1";"form-D1_amt",#N/A,FALSE,"FORM-D1"}</definedName>
    <definedName name="Deck_hh" localSheetId="7">#REF!</definedName>
    <definedName name="Deck_hh" localSheetId="47">#REF!</definedName>
    <definedName name="Deck_hh" localSheetId="1">#REF!</definedName>
    <definedName name="Deck_hh">#REF!</definedName>
    <definedName name="Deck_hv" localSheetId="7">#REF!</definedName>
    <definedName name="Deck_hv" localSheetId="47">#REF!</definedName>
    <definedName name="Deck_hv" localSheetId="1">#REF!</definedName>
    <definedName name="Deck_hv">#REF!</definedName>
    <definedName name="DEL" localSheetId="7">#REF!</definedName>
    <definedName name="DEL" localSheetId="47">#REF!</definedName>
    <definedName name="DEL" localSheetId="1">#REF!</definedName>
    <definedName name="DEL">#REF!</definedName>
    <definedName name="DelDC" localSheetId="7">#REF!</definedName>
    <definedName name="DelDC" localSheetId="47">#REF!</definedName>
    <definedName name="DelDC" localSheetId="1">#REF!</definedName>
    <definedName name="DelDC">#REF!</definedName>
    <definedName name="DelDm" localSheetId="7">#REF!</definedName>
    <definedName name="DelDm" localSheetId="47">#REF!</definedName>
    <definedName name="DelDm" localSheetId="1">#REF!</definedName>
    <definedName name="DelDm">#REF!</definedName>
    <definedName name="Delivery" localSheetId="7">#REF!</definedName>
    <definedName name="Delivery" localSheetId="47">#REF!</definedName>
    <definedName name="Delivery" localSheetId="1">#REF!</definedName>
    <definedName name="Delivery">#REF!</definedName>
    <definedName name="delta" localSheetId="7">#REF!</definedName>
    <definedName name="delta" localSheetId="47">#REF!</definedName>
    <definedName name="delta" localSheetId="1">#REF!</definedName>
    <definedName name="delta">#REF!</definedName>
    <definedName name="DELTA20" localSheetId="7">#REF!</definedName>
    <definedName name="DELTA20" localSheetId="47">#REF!</definedName>
    <definedName name="DELTA20" localSheetId="1">#REF!</definedName>
    <definedName name="DELTA20">#REF!</definedName>
    <definedName name="DELTA20___0" localSheetId="7">#REF!</definedName>
    <definedName name="DELTA20___0" localSheetId="47">#REF!</definedName>
    <definedName name="DELTA20___0" localSheetId="1">#REF!</definedName>
    <definedName name="DELTA20___0">#REF!</definedName>
    <definedName name="DELTA20___13" localSheetId="7">#REF!</definedName>
    <definedName name="DELTA20___13" localSheetId="47">#REF!</definedName>
    <definedName name="DELTA20___13" localSheetId="1">#REF!</definedName>
    <definedName name="DELTA20___13">#REF!</definedName>
    <definedName name="DelType" localSheetId="7">#REF!</definedName>
    <definedName name="DelType" localSheetId="47">#REF!</definedName>
    <definedName name="DelType" localSheetId="1">#REF!</definedName>
    <definedName name="DelType">#REF!</definedName>
    <definedName name="Density" localSheetId="7">#REF!</definedName>
    <definedName name="Density" localSheetId="47">#REF!</definedName>
    <definedName name="Density" localSheetId="1">#REF!</definedName>
    <definedName name="Density">#REF!</definedName>
    <definedName name="depth" localSheetId="7">#REF!</definedName>
    <definedName name="depth" localSheetId="47">#REF!</definedName>
    <definedName name="depth" localSheetId="1">#REF!</definedName>
    <definedName name="depth">#REF!</definedName>
    <definedName name="deptLookup" localSheetId="7">#REF!</definedName>
    <definedName name="deptLookup" localSheetId="47">#REF!</definedName>
    <definedName name="deptLookup" localSheetId="1">#REF!</definedName>
    <definedName name="deptLookup">#REF!</definedName>
    <definedName name="des" localSheetId="7">#REF!</definedName>
    <definedName name="des" localSheetId="47">#REF!</definedName>
    <definedName name="des" localSheetId="1">#REF!</definedName>
    <definedName name="des">#REF!</definedName>
    <definedName name="designed" localSheetId="7">#REF!</definedName>
    <definedName name="designed" localSheetId="47">#REF!</definedName>
    <definedName name="designed" localSheetId="1">#REF!</definedName>
    <definedName name="designed">#REF!</definedName>
    <definedName name="Detest_10000" localSheetId="7">#REF!</definedName>
    <definedName name="Detest_10000" localSheetId="47">#REF!</definedName>
    <definedName name="Detest_10000" localSheetId="1">#REF!</definedName>
    <definedName name="Detest_10000">#REF!</definedName>
    <definedName name="Detest_1LL_12" localSheetId="7">#REF!</definedName>
    <definedName name="Detest_1LL_12" localSheetId="47">#REF!</definedName>
    <definedName name="Detest_1LL_12" localSheetId="1">#REF!</definedName>
    <definedName name="Detest_1LL_12">#REF!</definedName>
    <definedName name="Detest_1LL_7.5" localSheetId="7">#REF!</definedName>
    <definedName name="Detest_1LL_7.5" localSheetId="47">#REF!</definedName>
    <definedName name="Detest_1LL_7.5" localSheetId="1">#REF!</definedName>
    <definedName name="Detest_1LL_7.5">#REF!</definedName>
    <definedName name="Detest_30000" localSheetId="7">#REF!</definedName>
    <definedName name="Detest_30000" localSheetId="47">#REF!</definedName>
    <definedName name="Detest_30000" localSheetId="1">#REF!</definedName>
    <definedName name="Detest_30000">#REF!</definedName>
    <definedName name="Detest_60000" localSheetId="7">#REF!</definedName>
    <definedName name="Detest_60000" localSheetId="47">#REF!</definedName>
    <definedName name="Detest_60000" localSheetId="1">#REF!</definedName>
    <definedName name="Detest_60000">#REF!</definedName>
    <definedName name="df" localSheetId="7">#REF!</definedName>
    <definedName name="df" localSheetId="47">#REF!</definedName>
    <definedName name="df" localSheetId="1">#REF!</definedName>
    <definedName name="df">#REF!</definedName>
    <definedName name="dfaf" localSheetId="7" hidden="1">{"'장비'!$A$3:$M$12"}</definedName>
    <definedName name="dfaf" localSheetId="47" hidden="1">{"'장비'!$A$3:$M$12"}</definedName>
    <definedName name="dfaf" localSheetId="1" hidden="1">{"'장비'!$A$3:$M$12"}</definedName>
    <definedName name="dfaf" hidden="1">{"'장비'!$A$3:$M$12"}</definedName>
    <definedName name="dfdfs" localSheetId="7" hidden="1">{"'Sheet1'!$A$4386:$N$4591"}</definedName>
    <definedName name="dfdfs" localSheetId="47" hidden="1">{"'Sheet1'!$A$4386:$N$4591"}</definedName>
    <definedName name="dfdfs" localSheetId="1" hidden="1">{"'Sheet1'!$A$4386:$N$4591"}</definedName>
    <definedName name="dfdfs" hidden="1">{"'Sheet1'!$A$4386:$N$4591"}</definedName>
    <definedName name="DFF">[79]!CLEAR</definedName>
    <definedName name="dfgddz" localSheetId="7">#REF!</definedName>
    <definedName name="dfgddz" localSheetId="47">#REF!</definedName>
    <definedName name="dfgddz" localSheetId="1">#REF!</definedName>
    <definedName name="dfgddz">#REF!</definedName>
    <definedName name="dfghs" localSheetId="7">#REF!</definedName>
    <definedName name="dfghs" localSheetId="47">#REF!</definedName>
    <definedName name="dfghs" localSheetId="1">#REF!</definedName>
    <definedName name="dfghs">#REF!</definedName>
    <definedName name="DFINE">'[4]Cost of O &amp; O'!$F$15</definedName>
    <definedName name="dfsdfafd" localSheetId="7">#REF!</definedName>
    <definedName name="dfsdfafd" localSheetId="47">#REF!</definedName>
    <definedName name="dfsdfafd" localSheetId="1">#REF!</definedName>
    <definedName name="dfsdfafd">#REF!</definedName>
    <definedName name="dg" localSheetId="7" hidden="1">#REF!</definedName>
    <definedName name="dg" localSheetId="47" hidden="1">#REF!</definedName>
    <definedName name="dg" localSheetId="1" hidden="1">#REF!</definedName>
    <definedName name="dg" hidden="1">#REF!</definedName>
    <definedName name="DGSB" localSheetId="7">#REF!</definedName>
    <definedName name="DGSB" localSheetId="47">#REF!</definedName>
    <definedName name="DGSB" localSheetId="1">#REF!</definedName>
    <definedName name="DGSB">#REF!</definedName>
    <definedName name="DHROCK" localSheetId="7">#REF!</definedName>
    <definedName name="DHROCK" localSheetId="47">#REF!</definedName>
    <definedName name="DHROCK" localSheetId="1">#REF!</definedName>
    <definedName name="DHROCK">#REF!</definedName>
    <definedName name="DHTML" localSheetId="7" hidden="1">{"'Sheet1'!$A$4386:$N$4591"}</definedName>
    <definedName name="DHTML" localSheetId="47" hidden="1">{"'Sheet1'!$A$4386:$N$4591"}</definedName>
    <definedName name="DHTML" localSheetId="1" hidden="1">{"'Sheet1'!$A$4386:$N$4591"}</definedName>
    <definedName name="DHTML" hidden="1">{"'Sheet1'!$A$4386:$N$4591"}</definedName>
    <definedName name="Di" localSheetId="7">#REF!</definedName>
    <definedName name="Di" localSheetId="47">#REF!</definedName>
    <definedName name="Di" localSheetId="1">#REF!</definedName>
    <definedName name="Di">#REF!</definedName>
    <definedName name="DIA" localSheetId="7">#REF!</definedName>
    <definedName name="DIA" localSheetId="47">#REF!</definedName>
    <definedName name="DIA" localSheetId="1">#REF!</definedName>
    <definedName name="DIA">#REF!</definedName>
    <definedName name="diameter" localSheetId="7">#REF!</definedName>
    <definedName name="diameter" localSheetId="47">#REF!</definedName>
    <definedName name="diameter" localSheetId="1">#REF!</definedName>
    <definedName name="diameter">#REF!</definedName>
    <definedName name="diaphragm" localSheetId="7">#REF!</definedName>
    <definedName name="diaphragm" localSheetId="47">#REF!</definedName>
    <definedName name="diaphragm" localSheetId="1">#REF!</definedName>
    <definedName name="diaphragm">#REF!</definedName>
    <definedName name="DIns" localSheetId="7">#REF!</definedName>
    <definedName name="DIns" localSheetId="47">#REF!</definedName>
    <definedName name="DIns" localSheetId="1">#REF!</definedName>
    <definedName name="DIns">#REF!</definedName>
    <definedName name="Disclocation_C" localSheetId="7">'[92]SITE OVERHEADS'!#REF!</definedName>
    <definedName name="Disclocation_C" localSheetId="47">'[92]SITE OVERHEADS'!#REF!</definedName>
    <definedName name="Disclocation_C" localSheetId="1">'[92]SITE OVERHEADS'!#REF!</definedName>
    <definedName name="Disclocation_C">'[92]SITE OVERHEADS'!#REF!</definedName>
    <definedName name="DISCOUNTAL">[60]CABLERET!$D$3</definedName>
    <definedName name="DISCOUNTCU">[60]CABLERET!$E$3</definedName>
    <definedName name="djfgjhdh" localSheetId="7">#REF!</definedName>
    <definedName name="djfgjhdh" localSheetId="47">#REF!</definedName>
    <definedName name="djfgjhdh" localSheetId="1">#REF!</definedName>
    <definedName name="djfgjhdh">#REF!</definedName>
    <definedName name="dk" localSheetId="7">#REF!</definedName>
    <definedName name="dk" localSheetId="47">#REF!</definedName>
    <definedName name="dk" localSheetId="1">#REF!</definedName>
    <definedName name="dk">#REF!</definedName>
    <definedName name="dl" localSheetId="7">#REF!</definedName>
    <definedName name="dl" localSheetId="47">#REF!</definedName>
    <definedName name="dl" localSheetId="1">#REF!</definedName>
    <definedName name="dl">#REF!</definedName>
    <definedName name="dl___0" localSheetId="7">#REF!</definedName>
    <definedName name="dl___0" localSheetId="47">#REF!</definedName>
    <definedName name="dl___0" localSheetId="1">#REF!</definedName>
    <definedName name="dl___0">#REF!</definedName>
    <definedName name="dl___13" localSheetId="7">#REF!</definedName>
    <definedName name="dl___13" localSheetId="47">#REF!</definedName>
    <definedName name="dl___13" localSheetId="1">#REF!</definedName>
    <definedName name="dl___13">#REF!</definedName>
    <definedName name="dlq">#N/A</definedName>
    <definedName name="dlqckf2">#N/A</definedName>
    <definedName name="DMUCK">'[4]Cost of O &amp; O'!$F$17</definedName>
    <definedName name="DMUR" localSheetId="7">#REF!</definedName>
    <definedName name="DMUR" localSheetId="47">#REF!</definedName>
    <definedName name="DMUR" localSheetId="1">#REF!</definedName>
    <definedName name="DMUR">#REF!</definedName>
    <definedName name="Do" localSheetId="7">#REF!</definedName>
    <definedName name="Do" localSheetId="47">#REF!</definedName>
    <definedName name="Do" localSheetId="1">#REF!</definedName>
    <definedName name="Do">#REF!</definedName>
    <definedName name="DOC_Title">'[81]GM 000'!$C$1</definedName>
    <definedName name="docu" localSheetId="7">#REF!</definedName>
    <definedName name="docu" localSheetId="47">#REF!</definedName>
    <definedName name="docu" localSheetId="1">#REF!</definedName>
    <definedName name="docu">#REF!</definedName>
    <definedName name="DOW_CORNING_789_SILICONE_SEALANT" localSheetId="7">#REF!</definedName>
    <definedName name="DOW_CORNING_789_SILICONE_SEALANT" localSheetId="47">#REF!</definedName>
    <definedName name="DOW_CORNING_789_SILICONE_SEALANT" localSheetId="1">#REF!</definedName>
    <definedName name="DOW_CORNING_789_SILICONE_SEALANT">#REF!</definedName>
    <definedName name="down" localSheetId="7">'[93]6-2차'!#REF!</definedName>
    <definedName name="down" localSheetId="47">'[93]6-2차'!#REF!</definedName>
    <definedName name="down" localSheetId="1">'[93]6-2차'!#REF!</definedName>
    <definedName name="down">'[93]6-2차'!#REF!</definedName>
    <definedName name="DOZ" localSheetId="7">#REF!</definedName>
    <definedName name="DOZ" localSheetId="47">#REF!</definedName>
    <definedName name="DOZ" localSheetId="1">#REF!</definedName>
    <definedName name="DOZ">#REF!</definedName>
    <definedName name="dozer">'[94]Cost of O &amp; O'!$F$15</definedName>
    <definedName name="dq" localSheetId="7">#REF!</definedName>
    <definedName name="dq" localSheetId="47">#REF!</definedName>
    <definedName name="dq" localSheetId="1">#REF!</definedName>
    <definedName name="dq">#REF!</definedName>
    <definedName name="drain_trap" localSheetId="7">#REF!</definedName>
    <definedName name="drain_trap" localSheetId="47">#REF!</definedName>
    <definedName name="drain_trap" localSheetId="1">#REF!</definedName>
    <definedName name="drain_trap">#REF!</definedName>
    <definedName name="DRES" localSheetId="7">#REF!</definedName>
    <definedName name="DRES" localSheetId="47">#REF!</definedName>
    <definedName name="DRES" localSheetId="1">#REF!</definedName>
    <definedName name="DRES">#REF!</definedName>
    <definedName name="DRILL" localSheetId="7">#REF!</definedName>
    <definedName name="DRILL" localSheetId="47">#REF!</definedName>
    <definedName name="DRILL" localSheetId="1">#REF!</definedName>
    <definedName name="DRILL">#REF!</definedName>
    <definedName name="DRIP">'[4]Cost of O &amp; O'!$F$18</definedName>
    <definedName name="DRIV" localSheetId="7">#REF!</definedName>
    <definedName name="DRIV" localSheetId="47">#REF!</definedName>
    <definedName name="DRIV" localSheetId="1">#REF!</definedName>
    <definedName name="DRIV">#REF!</definedName>
    <definedName name="DROCK" localSheetId="7">#REF!</definedName>
    <definedName name="DROCK" localSheetId="47">#REF!</definedName>
    <definedName name="DROCK" localSheetId="1">#REF!</definedName>
    <definedName name="DROCK">#REF!</definedName>
    <definedName name="ds">#N/A</definedName>
    <definedName name="Ds___0" localSheetId="7">#REF!</definedName>
    <definedName name="Ds___0" localSheetId="47">#REF!</definedName>
    <definedName name="Ds___0" localSheetId="1">#REF!</definedName>
    <definedName name="Ds___0">#REF!</definedName>
    <definedName name="Ds___13" localSheetId="7">#REF!</definedName>
    <definedName name="Ds___13" localSheetId="47">#REF!</definedName>
    <definedName name="Ds___13" localSheetId="1">#REF!</definedName>
    <definedName name="Ds___13">#REF!</definedName>
    <definedName name="DSAND" localSheetId="7">#REF!</definedName>
    <definedName name="DSAND" localSheetId="47">#REF!</definedName>
    <definedName name="DSAND" localSheetId="1">#REF!</definedName>
    <definedName name="DSAND">#REF!</definedName>
    <definedName name="dsgdf" localSheetId="7">#REF!</definedName>
    <definedName name="dsgdf" localSheetId="47">#REF!</definedName>
    <definedName name="dsgdf" localSheetId="1">#REF!</definedName>
    <definedName name="dsgdf">#REF!</definedName>
    <definedName name="DSOIL" localSheetId="7">#REF!</definedName>
    <definedName name="DSOIL" localSheetId="47">#REF!</definedName>
    <definedName name="DSOIL" localSheetId="1">#REF!</definedName>
    <definedName name="DSOIL">#REF!</definedName>
    <definedName name="DSROCK" localSheetId="7">#REF!</definedName>
    <definedName name="DSROCK" localSheetId="47">#REF!</definedName>
    <definedName name="DSROCK" localSheetId="1">#REF!</definedName>
    <definedName name="DSROCK">#REF!</definedName>
    <definedName name="dual_plate_check" localSheetId="7">#REF!</definedName>
    <definedName name="dual_plate_check" localSheetId="47">#REF!</definedName>
    <definedName name="dual_plate_check" localSheetId="1">#REF!</definedName>
    <definedName name="dual_plate_check">#REF!</definedName>
    <definedName name="DUB" localSheetId="7">#REF!</definedName>
    <definedName name="DUB" localSheetId="47">#REF!</definedName>
    <definedName name="DUB" localSheetId="1">#REF!</definedName>
    <definedName name="DUB">#REF!</definedName>
    <definedName name="DUMP" localSheetId="7">#REF!</definedName>
    <definedName name="DUMP" localSheetId="47">#REF!</definedName>
    <definedName name="DUMP" localSheetId="1">#REF!</definedName>
    <definedName name="DUMP">#REF!</definedName>
    <definedName name="dumppr" localSheetId="7">#REF!</definedName>
    <definedName name="dumppr" localSheetId="47">#REF!</definedName>
    <definedName name="dumppr" localSheetId="1">#REF!</definedName>
    <definedName name="dumppr">#REF!</definedName>
    <definedName name="duplex_strainer" localSheetId="7">#REF!</definedName>
    <definedName name="duplex_strainer" localSheetId="47">#REF!</definedName>
    <definedName name="duplex_strainer" localSheetId="1">#REF!</definedName>
    <definedName name="duplex_strainer">#REF!</definedName>
    <definedName name="Dust" localSheetId="7">#REF!</definedName>
    <definedName name="Dust" localSheetId="47">#REF!</definedName>
    <definedName name="Dust" localSheetId="1">#REF!</definedName>
    <definedName name="Dust">#REF!</definedName>
    <definedName name="Dv" localSheetId="7">#REF!</definedName>
    <definedName name="Dv" localSheetId="47">#REF!</definedName>
    <definedName name="Dv" localSheetId="1">#REF!</definedName>
    <definedName name="Dv">#REF!</definedName>
    <definedName name="dvv" localSheetId="7">#REF!</definedName>
    <definedName name="dvv" localSheetId="47">#REF!</definedName>
    <definedName name="dvv" localSheetId="1">#REF!</definedName>
    <definedName name="dvv">#REF!</definedName>
    <definedName name="dw" localSheetId="7" hidden="1">{"'Sheet1'!$L$16"}</definedName>
    <definedName name="dw" localSheetId="47" hidden="1">{"'Sheet1'!$L$16"}</definedName>
    <definedName name="dw" localSheetId="1" hidden="1">{"'Sheet1'!$L$16"}</definedName>
    <definedName name="dw" hidden="1">{"'Sheet1'!$L$16"}</definedName>
    <definedName name="Dx" localSheetId="7">#REF!</definedName>
    <definedName name="Dx" localSheetId="47">#REF!</definedName>
    <definedName name="Dx" localSheetId="1">#REF!</definedName>
    <definedName name="Dx">#REF!</definedName>
    <definedName name="dx_shape" localSheetId="7">#REF!</definedName>
    <definedName name="dx_shape" localSheetId="47">#REF!</definedName>
    <definedName name="dx_shape" localSheetId="1">#REF!</definedName>
    <definedName name="dx_shape">#REF!</definedName>
    <definedName name="Dy" localSheetId="7">#REF!</definedName>
    <definedName name="Dy" localSheetId="47">#REF!</definedName>
    <definedName name="Dy" localSheetId="1">#REF!</definedName>
    <definedName name="Dy">#REF!</definedName>
    <definedName name="E">'[95]PRECAST lightconc-II'!$K$20</definedName>
    <definedName name="e_margin" localSheetId="7">#REF!</definedName>
    <definedName name="e_margin" localSheetId="47">#REF!</definedName>
    <definedName name="e_margin" localSheetId="1">#REF!</definedName>
    <definedName name="e_margin">#REF!</definedName>
    <definedName name="E_span" localSheetId="7">#REF!</definedName>
    <definedName name="E_span" localSheetId="47">#REF!</definedName>
    <definedName name="E_span" localSheetId="1">#REF!</definedName>
    <definedName name="E_span">#REF!</definedName>
    <definedName name="EAGG" localSheetId="7">#REF!</definedName>
    <definedName name="EAGG" localSheetId="47">#REF!</definedName>
    <definedName name="EAGG" localSheetId="1">#REF!</definedName>
    <definedName name="EAGG">#REF!</definedName>
    <definedName name="EAR">'[46]RA Civil'!$E$21</definedName>
    <definedName name="Earth" localSheetId="7">#REF!</definedName>
    <definedName name="Earth" localSheetId="47">#REF!</definedName>
    <definedName name="Earth" localSheetId="1">#REF!</definedName>
    <definedName name="Earth">#REF!</definedName>
    <definedName name="EARTH1" localSheetId="7">#REF!</definedName>
    <definedName name="EARTH1" localSheetId="47">#REF!</definedName>
    <definedName name="EARTH1" localSheetId="1">#REF!</definedName>
    <definedName name="EARTH1">#REF!</definedName>
    <definedName name="ECLAY" localSheetId="7">#REF!</definedName>
    <definedName name="ECLAY" localSheetId="47">#REF!</definedName>
    <definedName name="ECLAY" localSheetId="1">#REF!</definedName>
    <definedName name="ECLAY">#REF!</definedName>
    <definedName name="ECOARSE" localSheetId="7">#REF!</definedName>
    <definedName name="ECOARSE" localSheetId="47">#REF!</definedName>
    <definedName name="ECOARSE" localSheetId="1">#REF!</definedName>
    <definedName name="ECOARSE">#REF!</definedName>
    <definedName name="ECON" localSheetId="7">#REF!</definedName>
    <definedName name="ECON" localSheetId="47">#REF!</definedName>
    <definedName name="ECON" localSheetId="1">#REF!</definedName>
    <definedName name="ECON">#REF!</definedName>
    <definedName name="ECSAND" localSheetId="7">#REF!</definedName>
    <definedName name="ECSAND" localSheetId="47">#REF!</definedName>
    <definedName name="ECSAND" localSheetId="1">#REF!</definedName>
    <definedName name="ECSAND">#REF!</definedName>
    <definedName name="ED" localSheetId="7">#REF!</definedName>
    <definedName name="ED" localSheetId="47">#REF!</definedName>
    <definedName name="ED" localSheetId="1">#REF!</definedName>
    <definedName name="ED">#REF!</definedName>
    <definedName name="EEEE" localSheetId="7" hidden="1">{"form-D1",#N/A,FALSE,"FORM-D1";"form-D1_amt",#N/A,FALSE,"FORM-D1"}</definedName>
    <definedName name="EEEE" localSheetId="47" hidden="1">{"form-D1",#N/A,FALSE,"FORM-D1";"form-D1_amt",#N/A,FALSE,"FORM-D1"}</definedName>
    <definedName name="EEEE" localSheetId="1" hidden="1">{"form-D1",#N/A,FALSE,"FORM-D1";"form-D1_amt",#N/A,FALSE,"FORM-D1"}</definedName>
    <definedName name="EEEE" hidden="1">{"form-D1",#N/A,FALSE,"FORM-D1";"form-D1_amt",#N/A,FALSE,"FORM-D1"}</definedName>
    <definedName name="eehr" localSheetId="7">#REF!</definedName>
    <definedName name="eehr" localSheetId="47">#REF!</definedName>
    <definedName name="eehr" localSheetId="1">#REF!</definedName>
    <definedName name="eehr">#REF!</definedName>
    <definedName name="eehrw" localSheetId="7">#REF!</definedName>
    <definedName name="eehrw" localSheetId="47">#REF!</definedName>
    <definedName name="eehrw" localSheetId="1">#REF!</definedName>
    <definedName name="eehrw">#REF!</definedName>
    <definedName name="effectivespan1" localSheetId="7">[78]FACE!#REF!</definedName>
    <definedName name="effectivespan1" localSheetId="47">[78]FACE!#REF!</definedName>
    <definedName name="effectivespan1" localSheetId="1">[78]FACE!#REF!</definedName>
    <definedName name="effectivespan1">[78]FACE!#REF!</definedName>
    <definedName name="EFINE">'[4]Cost of O &amp; O'!$F$7</definedName>
    <definedName name="eg" localSheetId="7">#REF!</definedName>
    <definedName name="eg" localSheetId="47">#REF!</definedName>
    <definedName name="eg" localSheetId="1">#REF!</definedName>
    <definedName name="eg">#REF!</definedName>
    <definedName name="egbe" localSheetId="7">#REF!</definedName>
    <definedName name="egbe" localSheetId="47">#REF!</definedName>
    <definedName name="egbe" localSheetId="1">#REF!</definedName>
    <definedName name="egbe">#REF!</definedName>
    <definedName name="EGSB" localSheetId="7">#REF!</definedName>
    <definedName name="EGSB" localSheetId="47">#REF!</definedName>
    <definedName name="EGSB" localSheetId="1">#REF!</definedName>
    <definedName name="EGSB">#REF!</definedName>
    <definedName name="EHM" localSheetId="7">#REF!</definedName>
    <definedName name="EHM" localSheetId="47">#REF!</definedName>
    <definedName name="EHM" localSheetId="1">#REF!</definedName>
    <definedName name="EHM">#REF!</definedName>
    <definedName name="EHROCK" localSheetId="7">#REF!</definedName>
    <definedName name="EHROCK" localSheetId="47">#REF!</definedName>
    <definedName name="EHROCK" localSheetId="1">#REF!</definedName>
    <definedName name="EHROCK">#REF!</definedName>
    <definedName name="ELEC_AMT">[49]PIPING!$T$6:$T$105</definedName>
    <definedName name="ELEC_QTY">[49]PIPING!$R$6:$R$105</definedName>
    <definedName name="ELEC_RATE">[49]PIPING!$AU$7:$AV$39</definedName>
    <definedName name="ELEC_SPEC">[49]PIPING!$Q$6:$Q$105</definedName>
    <definedName name="ELEMENT_CODE" localSheetId="7">#REF!</definedName>
    <definedName name="ELEMENT_CODE" localSheetId="47">#REF!</definedName>
    <definedName name="ELEMENT_CODE" localSheetId="1">#REF!</definedName>
    <definedName name="ELEMENT_CODE">#REF!</definedName>
    <definedName name="Em" localSheetId="7">#REF!</definedName>
    <definedName name="Em" localSheetId="47">#REF!</definedName>
    <definedName name="Em" localSheetId="1">#REF!</definedName>
    <definedName name="Em">#REF!</definedName>
    <definedName name="Em___0" localSheetId="7">#REF!</definedName>
    <definedName name="Em___0" localSheetId="47">#REF!</definedName>
    <definedName name="Em___0" localSheetId="1">#REF!</definedName>
    <definedName name="Em___0">#REF!</definedName>
    <definedName name="Em___13" localSheetId="7">#REF!</definedName>
    <definedName name="Em___13" localSheetId="47">#REF!</definedName>
    <definedName name="Em___13" localSheetId="1">#REF!</definedName>
    <definedName name="Em___13">#REF!</definedName>
    <definedName name="EMB" localSheetId="7">#REF!</definedName>
    <definedName name="EMB" localSheetId="47">#REF!</definedName>
    <definedName name="EMB" localSheetId="1">#REF!</definedName>
    <definedName name="EMB">#REF!</definedName>
    <definedName name="EMDIST" localSheetId="7">#REF!</definedName>
    <definedName name="EMDIST" localSheetId="47">#REF!</definedName>
    <definedName name="EMDIST" localSheetId="1">#REF!</definedName>
    <definedName name="EMDIST">#REF!</definedName>
    <definedName name="EMOL">[96]Sheet1!$C$400:$F$409</definedName>
    <definedName name="EMUCK">'[4]Cost of O &amp; O'!$F$9</definedName>
    <definedName name="EMUL" localSheetId="7">#REF!</definedName>
    <definedName name="EMUL" localSheetId="47">#REF!</definedName>
    <definedName name="EMUL" localSheetId="1">#REF!</definedName>
    <definedName name="EMUL">#REF!</definedName>
    <definedName name="EMUR" localSheetId="7">#REF!</definedName>
    <definedName name="EMUR" localSheetId="47">#REF!</definedName>
    <definedName name="EMUR" localSheetId="1">#REF!</definedName>
    <definedName name="EMUR">#REF!</definedName>
    <definedName name="enter" localSheetId="7">#REF!</definedName>
    <definedName name="enter" localSheetId="47">#REF!</definedName>
    <definedName name="enter" localSheetId="1">#REF!</definedName>
    <definedName name="enter">#REF!</definedName>
    <definedName name="EOL" localSheetId="7">#REF!</definedName>
    <definedName name="EOL" localSheetId="47">#REF!</definedName>
    <definedName name="EOL" localSheetId="1">#REF!</definedName>
    <definedName name="EOL">#REF!</definedName>
    <definedName name="eq." localSheetId="7">[97]A!#REF!</definedName>
    <definedName name="eq." localSheetId="47">[97]A!#REF!</definedName>
    <definedName name="eq." localSheetId="1">[97]A!#REF!</definedName>
    <definedName name="eq.">[97]A!#REF!</definedName>
    <definedName name="eq_index" localSheetId="7">#REF!</definedName>
    <definedName name="eq_index" localSheetId="47">#REF!</definedName>
    <definedName name="eq_index" localSheetId="1">#REF!</definedName>
    <definedName name="eq_index">#REF!</definedName>
    <definedName name="EQ_JTS">[49]PIPING!$AA$6:$AA$105</definedName>
    <definedName name="eq_name">[98]eq_data!$C$5:$C$54</definedName>
    <definedName name="EQMOB" localSheetId="7">#REF!</definedName>
    <definedName name="EQMOB" localSheetId="47">#REF!</definedName>
    <definedName name="EQMOB" localSheetId="1">#REF!</definedName>
    <definedName name="EQMOB">#REF!</definedName>
    <definedName name="equip" localSheetId="7">[94]Analysis!#REF!</definedName>
    <definedName name="equip" localSheetId="47">[94]Analysis!#REF!</definedName>
    <definedName name="equip" localSheetId="1">[94]Analysis!#REF!</definedName>
    <definedName name="equip">[94]Analysis!#REF!</definedName>
    <definedName name="equip." localSheetId="7">[97]A!#REF!</definedName>
    <definedName name="equip." localSheetId="47">[97]A!#REF!</definedName>
    <definedName name="equip." localSheetId="1">[97]A!#REF!</definedName>
    <definedName name="equip.">[97]A!#REF!</definedName>
    <definedName name="EQUIPLIST" localSheetId="7">#REF!</definedName>
    <definedName name="EQUIPLIST" localSheetId="47">#REF!</definedName>
    <definedName name="EQUIPLIST" localSheetId="1">#REF!</definedName>
    <definedName name="EQUIPLIST">#REF!</definedName>
    <definedName name="ERECT" localSheetId="7">#REF!</definedName>
    <definedName name="ERECT" localSheetId="47">#REF!</definedName>
    <definedName name="ERECT" localSheetId="1">#REF!</definedName>
    <definedName name="ERECT">#REF!</definedName>
    <definedName name="ERIP">'[4]Cost of O &amp; O'!$F$10</definedName>
    <definedName name="EROCK" localSheetId="7">#REF!</definedName>
    <definedName name="EROCK" localSheetId="47">#REF!</definedName>
    <definedName name="EROCK" localSheetId="1">#REF!</definedName>
    <definedName name="EROCK">#REF!</definedName>
    <definedName name="ErrName162821590" hidden="1">[38]Cash2!$K$16:$K$36</definedName>
    <definedName name="ErrName410073220" localSheetId="7">#REF!</definedName>
    <definedName name="ErrName410073220" localSheetId="47">#REF!</definedName>
    <definedName name="ErrName410073220" localSheetId="1">#REF!</definedName>
    <definedName name="ErrName410073220">#REF!</definedName>
    <definedName name="ErrName646587132">"SQRT"</definedName>
    <definedName name="ERUB" localSheetId="7">#REF!</definedName>
    <definedName name="ERUB" localSheetId="47">#REF!</definedName>
    <definedName name="ERUB" localSheetId="1">#REF!</definedName>
    <definedName name="ERUB">#REF!</definedName>
    <definedName name="es" localSheetId="7" hidden="1">{"'Sheet1'!$L$16"}</definedName>
    <definedName name="es" localSheetId="47" hidden="1">{"'Sheet1'!$L$16"}</definedName>
    <definedName name="es" localSheetId="1" hidden="1">{"'Sheet1'!$L$16"}</definedName>
    <definedName name="es" hidden="1">{"'Sheet1'!$L$16"}</definedName>
    <definedName name="Es___0" localSheetId="7">#REF!</definedName>
    <definedName name="Es___0" localSheetId="47">#REF!</definedName>
    <definedName name="Es___0" localSheetId="1">#REF!</definedName>
    <definedName name="Es___0">#REF!</definedName>
    <definedName name="Es___13" localSheetId="7">#REF!</definedName>
    <definedName name="Es___13" localSheetId="47">#REF!</definedName>
    <definedName name="Es___13" localSheetId="1">#REF!</definedName>
    <definedName name="Es___13">#REF!</definedName>
    <definedName name="ESAND" localSheetId="7">#REF!</definedName>
    <definedName name="ESAND" localSheetId="47">#REF!</definedName>
    <definedName name="ESAND" localSheetId="1">#REF!</definedName>
    <definedName name="ESAND">#REF!</definedName>
    <definedName name="ESC" localSheetId="7">#REF!</definedName>
    <definedName name="ESC" localSheetId="47">#REF!</definedName>
    <definedName name="ESC" localSheetId="1">#REF!</definedName>
    <definedName name="ESC">#REF!</definedName>
    <definedName name="ESOIL" localSheetId="7">#REF!</definedName>
    <definedName name="ESOIL" localSheetId="47">#REF!</definedName>
    <definedName name="ESOIL" localSheetId="1">#REF!</definedName>
    <definedName name="ESOIL">#REF!</definedName>
    <definedName name="ESROCK" localSheetId="7">#REF!</definedName>
    <definedName name="ESROCK" localSheetId="47">#REF!</definedName>
    <definedName name="ESROCK" localSheetId="1">#REF!</definedName>
    <definedName name="ESROCK">#REF!</definedName>
    <definedName name="et" localSheetId="7" hidden="1">{"'Sheet1'!$L$16"}</definedName>
    <definedName name="et" localSheetId="47" hidden="1">{"'Sheet1'!$L$16"}</definedName>
    <definedName name="et" localSheetId="1" hidden="1">{"'Sheet1'!$L$16"}</definedName>
    <definedName name="et" hidden="1">{"'Sheet1'!$L$16"}</definedName>
    <definedName name="Et___0" localSheetId="7">#REF!</definedName>
    <definedName name="Et___0" localSheetId="47">#REF!</definedName>
    <definedName name="Et___0" localSheetId="1">#REF!</definedName>
    <definedName name="Et___0">#REF!</definedName>
    <definedName name="Et___13" localSheetId="7">#REF!</definedName>
    <definedName name="Et___13" localSheetId="47">#REF!</definedName>
    <definedName name="Et___13" localSheetId="1">#REF!</definedName>
    <definedName name="Et___13">#REF!</definedName>
    <definedName name="EVA" localSheetId="7">#REF!</definedName>
    <definedName name="EVA" localSheetId="47">#REF!</definedName>
    <definedName name="EVA" localSheetId="1">#REF!</definedName>
    <definedName name="EVA">#REF!</definedName>
    <definedName name="ex_joint" localSheetId="7">#REF!</definedName>
    <definedName name="ex_joint" localSheetId="47">#REF!</definedName>
    <definedName name="ex_joint" localSheetId="1">#REF!</definedName>
    <definedName name="ex_joint">#REF!</definedName>
    <definedName name="EXC" localSheetId="7">#REF!</definedName>
    <definedName name="EXC" localSheetId="47">#REF!</definedName>
    <definedName name="EXC" localSheetId="1">#REF!</definedName>
    <definedName name="EXC">#REF!</definedName>
    <definedName name="EXC20B">'[46]RA Civil'!$E$51</definedName>
    <definedName name="EXC20BPOL">'[46]RA Civil'!$F$51</definedName>
    <definedName name="EXC20POL">'[46]RA Civil'!$F$50</definedName>
    <definedName name="EXCAVATION">[60]CABLERET!$I$3</definedName>
    <definedName name="excavcl" localSheetId="7">#REF!</definedName>
    <definedName name="excavcl" localSheetId="47">#REF!</definedName>
    <definedName name="excavcl" localSheetId="1">#REF!</definedName>
    <definedName name="excavcl">#REF!</definedName>
    <definedName name="EXICEAL">[60]CABLERET!$D$2</definedName>
    <definedName name="EXICECU">[60]CABLERET!$E$2</definedName>
    <definedName name="_xlnm.Extract" localSheetId="7">#REF!</definedName>
    <definedName name="_xlnm.Extract" localSheetId="47">#REF!</definedName>
    <definedName name="_xlnm.Extract" localSheetId="1">#REF!</definedName>
    <definedName name="_xlnm.Extract">#REF!</definedName>
    <definedName name="Extract_MI" localSheetId="7">[84]estm_mech!#REF!</definedName>
    <definedName name="Extract_MI" localSheetId="47">[84]estm_mech!#REF!</definedName>
    <definedName name="Extract_MI" localSheetId="1">[84]estm_mech!#REF!</definedName>
    <definedName name="Extract_MI">[84]estm_mech!#REF!</definedName>
    <definedName name="EXTRW">[76]R2!$C$20</definedName>
    <definedName name="EXW">[99]SUMMARY!$F$137:$F$140</definedName>
    <definedName name="F" localSheetId="7">#REF!</definedName>
    <definedName name="F" localSheetId="47">#REF!</definedName>
    <definedName name="F" localSheetId="1">#REF!</definedName>
    <definedName name="F">#REF!</definedName>
    <definedName name="F_AREA" localSheetId="7">#REF!</definedName>
    <definedName name="F_AREA" localSheetId="47">#REF!</definedName>
    <definedName name="F_AREA" localSheetId="1">#REF!</definedName>
    <definedName name="F_AREA">#REF!</definedName>
    <definedName name="F_CODE">#N/A</definedName>
    <definedName name="F_DESC">#N/A</definedName>
    <definedName name="F_LVL">#N/A</definedName>
    <definedName name="F_PAGE">#N/A</definedName>
    <definedName name="F_REMK">#N/A</definedName>
    <definedName name="F_SEQ">#N/A</definedName>
    <definedName name="f_shape" localSheetId="7">#REF!</definedName>
    <definedName name="f_shape" localSheetId="47">#REF!</definedName>
    <definedName name="f_shape" localSheetId="1">#REF!</definedName>
    <definedName name="f_shape">#REF!</definedName>
    <definedName name="F_SIZE">#N/A</definedName>
    <definedName name="F_THICK" localSheetId="7">#REF!</definedName>
    <definedName name="F_THICK" localSheetId="47">#REF!</definedName>
    <definedName name="F_THICK" localSheetId="1">#REF!</definedName>
    <definedName name="F_THICK">#REF!</definedName>
    <definedName name="F_UNIT">#N/A</definedName>
    <definedName name="fa">35.31*13</definedName>
    <definedName name="FabricatedTMT" localSheetId="7">#REF!</definedName>
    <definedName name="FabricatedTMT" localSheetId="47">#REF!</definedName>
    <definedName name="FabricatedTMT" localSheetId="1">#REF!</definedName>
    <definedName name="FabricatedTMT">#REF!</definedName>
    <definedName name="Fb" localSheetId="7">#REF!</definedName>
    <definedName name="Fb" localSheetId="47">#REF!</definedName>
    <definedName name="Fb" localSheetId="1">#REF!</definedName>
    <definedName name="Fb">#REF!</definedName>
    <definedName name="FBLbearing14" localSheetId="7">#REF!</definedName>
    <definedName name="FBLbearing14" localSheetId="47">#REF!</definedName>
    <definedName name="FBLbearing14" localSheetId="1">#REF!</definedName>
    <definedName name="FBLbearing14">#REF!</definedName>
    <definedName name="FBLclearspan" localSheetId="7">[78]FACE!#REF!</definedName>
    <definedName name="FBLclearspan" localSheetId="47">[78]FACE!#REF!</definedName>
    <definedName name="FBLclearspan" localSheetId="1">[78]FACE!#REF!</definedName>
    <definedName name="FBLclearspan">[78]FACE!#REF!</definedName>
    <definedName name="FBLclearspan11" localSheetId="7">#REF!</definedName>
    <definedName name="FBLclearspan11" localSheetId="47">#REF!</definedName>
    <definedName name="FBLclearspan11" localSheetId="1">#REF!</definedName>
    <definedName name="FBLclearspan11">#REF!</definedName>
    <definedName name="FBLeffectivespan" localSheetId="7">[78]FACE!#REF!</definedName>
    <definedName name="FBLeffectivespan" localSheetId="47">[78]FACE!#REF!</definedName>
    <definedName name="FBLeffectivespan" localSheetId="1">[78]FACE!#REF!</definedName>
    <definedName name="FBLeffectivespan">[78]FACE!#REF!</definedName>
    <definedName name="FBLeffectivespan12" localSheetId="7">#REF!</definedName>
    <definedName name="FBLeffectivespan12" localSheetId="47">#REF!</definedName>
    <definedName name="FBLeffectivespan12" localSheetId="1">#REF!</definedName>
    <definedName name="FBLeffectivespan12">#REF!</definedName>
    <definedName name="FBLoverallspan" localSheetId="7">[78]FACE!#REF!</definedName>
    <definedName name="FBLoverallspan" localSheetId="47">[78]FACE!#REF!</definedName>
    <definedName name="FBLoverallspan" localSheetId="1">[78]FACE!#REF!</definedName>
    <definedName name="FBLoverallspan">[78]FACE!#REF!</definedName>
    <definedName name="FBLoverallspan13" localSheetId="7">#REF!</definedName>
    <definedName name="FBLoverallspan13" localSheetId="47">#REF!</definedName>
    <definedName name="FBLoverallspan13" localSheetId="1">#REF!</definedName>
    <definedName name="FBLoverallspan13">#REF!</definedName>
    <definedName name="fc" localSheetId="7">#REF!</definedName>
    <definedName name="fc" localSheetId="47">#REF!</definedName>
    <definedName name="fc" localSheetId="1">#REF!</definedName>
    <definedName name="fc">#REF!</definedName>
    <definedName name="FCK">[100]Below_Earth!$H$12</definedName>
    <definedName name="FCON" localSheetId="7">#REF!</definedName>
    <definedName name="FCON" localSheetId="47">#REF!</definedName>
    <definedName name="FCON" localSheetId="1">#REF!</definedName>
    <definedName name="FCON">#REF!</definedName>
    <definedName name="fd" localSheetId="7" hidden="1">{"'Sheet1'!$L$16"}</definedName>
    <definedName name="fd" localSheetId="47" hidden="1">{"'Sheet1'!$L$16"}</definedName>
    <definedName name="fd" localSheetId="1" hidden="1">{"'Sheet1'!$L$16"}</definedName>
    <definedName name="fd" hidden="1">{"'Sheet1'!$L$16"}</definedName>
    <definedName name="fdgk" localSheetId="7" hidden="1">{"'Sheet1'!$L$16"}</definedName>
    <definedName name="fdgk" localSheetId="47" hidden="1">{"'Sheet1'!$L$16"}</definedName>
    <definedName name="fdgk" localSheetId="1" hidden="1">{"'Sheet1'!$L$16"}</definedName>
    <definedName name="fdgk" hidden="1">{"'Sheet1'!$L$16"}</definedName>
    <definedName name="fdn_no" localSheetId="7">#REF!</definedName>
    <definedName name="fdn_no" localSheetId="47">#REF!</definedName>
    <definedName name="fdn_no" localSheetId="1">#REF!</definedName>
    <definedName name="fdn_no">#REF!</definedName>
    <definedName name="FDNDATA" localSheetId="7">#REF!</definedName>
    <definedName name="FDNDATA" localSheetId="47">#REF!</definedName>
    <definedName name="FDNDATA" localSheetId="1">#REF!</definedName>
    <definedName name="FDNDATA">#REF!</definedName>
    <definedName name="FDNKe" localSheetId="7">#REF!</definedName>
    <definedName name="FDNKe" localSheetId="47">#REF!</definedName>
    <definedName name="FDNKe" localSheetId="1">#REF!</definedName>
    <definedName name="FDNKe">#REF!</definedName>
    <definedName name="fe" localSheetId="7" hidden="1">{"'Sheet1'!$L$16"}</definedName>
    <definedName name="fe" localSheetId="47" hidden="1">{"'Sheet1'!$L$16"}</definedName>
    <definedName name="fe" localSheetId="1" hidden="1">{"'Sheet1'!$L$16"}</definedName>
    <definedName name="fe" hidden="1">{"'Sheet1'!$L$16"}</definedName>
    <definedName name="feb_qty_rev_3" localSheetId="7">#REF!</definedName>
    <definedName name="feb_qty_rev_3" localSheetId="47">#REF!</definedName>
    <definedName name="feb_qty_rev_3" localSheetId="1">#REF!</definedName>
    <definedName name="feb_qty_rev_3">#REF!</definedName>
    <definedName name="feb_rev4_qty" localSheetId="7">#REF!</definedName>
    <definedName name="feb_rev4_qty" localSheetId="47">#REF!</definedName>
    <definedName name="feb_rev4_qty" localSheetId="1">#REF!</definedName>
    <definedName name="feb_rev4_qty">#REF!</definedName>
    <definedName name="FF" localSheetId="7">#REF!</definedName>
    <definedName name="FF" localSheetId="47">#REF!</definedName>
    <definedName name="FF" localSheetId="1">#REF!</definedName>
    <definedName name="FF">#REF!</definedName>
    <definedName name="fff" localSheetId="7">'[101]scour depth'!#REF!</definedName>
    <definedName name="fff" localSheetId="47">'[101]scour depth'!#REF!</definedName>
    <definedName name="fff" localSheetId="1">'[101]scour depth'!#REF!</definedName>
    <definedName name="fff">'[101]scour depth'!#REF!</definedName>
    <definedName name="fg" localSheetId="7">#REF!</definedName>
    <definedName name="fg" localSheetId="47">#REF!</definedName>
    <definedName name="fg" localSheetId="1">#REF!</definedName>
    <definedName name="fg">#REF!</definedName>
    <definedName name="Fh" localSheetId="7">#REF!</definedName>
    <definedName name="Fh" localSheetId="47">#REF!</definedName>
    <definedName name="Fh" localSheetId="1">#REF!</definedName>
    <definedName name="Fh">#REF!</definedName>
    <definedName name="FHM" localSheetId="7">#REF!</definedName>
    <definedName name="FHM" localSheetId="47">#REF!</definedName>
    <definedName name="FHM" localSheetId="1">#REF!</definedName>
    <definedName name="FHM">#REF!</definedName>
    <definedName name="Fhwl" localSheetId="7">#REF!</definedName>
    <definedName name="Fhwl" localSheetId="47">#REF!</definedName>
    <definedName name="Fhwl" localSheetId="1">#REF!</definedName>
    <definedName name="Fhwl">#REF!</definedName>
    <definedName name="fi" localSheetId="7">#REF!</definedName>
    <definedName name="fi" localSheetId="47">#REF!</definedName>
    <definedName name="fi" localSheetId="1">#REF!</definedName>
    <definedName name="fi">#REF!</definedName>
    <definedName name="filename1" localSheetId="7">#REF!</definedName>
    <definedName name="filename1" localSheetId="47">#REF!</definedName>
    <definedName name="filename1" localSheetId="1">#REF!</definedName>
    <definedName name="filename1">#REF!</definedName>
    <definedName name="FILM" localSheetId="7">#REF!</definedName>
    <definedName name="FILM" localSheetId="47">#REF!</definedName>
    <definedName name="FILM" localSheetId="1">#REF!</definedName>
    <definedName name="FILM">#REF!</definedName>
    <definedName name="final_report" localSheetId="7">#REF!</definedName>
    <definedName name="final_report" localSheetId="47">#REF!</definedName>
    <definedName name="final_report" localSheetId="1">#REF!</definedName>
    <definedName name="final_report">#REF!</definedName>
    <definedName name="final_report1" localSheetId="7">#REF!</definedName>
    <definedName name="final_report1" localSheetId="47">#REF!</definedName>
    <definedName name="final_report1" localSheetId="1">#REF!</definedName>
    <definedName name="final_report1">#REF!</definedName>
    <definedName name="FINE" localSheetId="7">#REF!</definedName>
    <definedName name="FINE" localSheetId="47">#REF!</definedName>
    <definedName name="FINE" localSheetId="1">#REF!</definedName>
    <definedName name="FINE">#REF!</definedName>
    <definedName name="FIT" localSheetId="7">#REF!</definedName>
    <definedName name="FIT" localSheetId="47">#REF!</definedName>
    <definedName name="FIT" localSheetId="1">#REF!</definedName>
    <definedName name="FIT">#REF!</definedName>
    <definedName name="FIT___0" localSheetId="7">#REF!</definedName>
    <definedName name="FIT___0" localSheetId="47">#REF!</definedName>
    <definedName name="FIT___0" localSheetId="1">#REF!</definedName>
    <definedName name="FIT___0">#REF!</definedName>
    <definedName name="FIT___13" localSheetId="7">#REF!</definedName>
    <definedName name="FIT___13" localSheetId="47">#REF!</definedName>
    <definedName name="FIT___13" localSheetId="1">#REF!</definedName>
    <definedName name="FIT___13">#REF!</definedName>
    <definedName name="FITH" localSheetId="7">#REF!</definedName>
    <definedName name="FITH" localSheetId="47">#REF!</definedName>
    <definedName name="FITH" localSheetId="1">#REF!</definedName>
    <definedName name="FITH">#REF!</definedName>
    <definedName name="fjhgfd" localSheetId="7" hidden="1">{"'Sheet1'!$A$4386:$N$4591"}</definedName>
    <definedName name="fjhgfd" localSheetId="47" hidden="1">{"'Sheet1'!$A$4386:$N$4591"}</definedName>
    <definedName name="fjhgfd" localSheetId="1" hidden="1">{"'Sheet1'!$A$4386:$N$4591"}</definedName>
    <definedName name="fjhgfd" hidden="1">{"'Sheet1'!$A$4386:$N$4591"}</definedName>
    <definedName name="FLG" localSheetId="7">#REF!</definedName>
    <definedName name="FLG" localSheetId="47">#REF!</definedName>
    <definedName name="FLG" localSheetId="1">#REF!</definedName>
    <definedName name="FLG">#REF!</definedName>
    <definedName name="FLG_Orifice" localSheetId="7">#REF!</definedName>
    <definedName name="FLG_Orifice" localSheetId="47">#REF!</definedName>
    <definedName name="FLG_Orifice" localSheetId="1">#REF!</definedName>
    <definedName name="FLG_Orifice">#REF!</definedName>
    <definedName name="FLK" localSheetId="7">#REF!</definedName>
    <definedName name="FLK" localSheetId="47">#REF!</definedName>
    <definedName name="FLK" localSheetId="1">#REF!</definedName>
    <definedName name="FLK">#REF!</definedName>
    <definedName name="Floor" localSheetId="7">#REF!</definedName>
    <definedName name="Floor" localSheetId="47">#REF!</definedName>
    <definedName name="Floor" localSheetId="1">#REF!</definedName>
    <definedName name="Floor">#REF!</definedName>
    <definedName name="FMAZ" localSheetId="7">#REF!</definedName>
    <definedName name="FMAZ" localSheetId="47">#REF!</definedName>
    <definedName name="FMAZ" localSheetId="1">#REF!</definedName>
    <definedName name="FMAZ">#REF!</definedName>
    <definedName name="fme" localSheetId="7">#REF!</definedName>
    <definedName name="fme" localSheetId="47">#REF!</definedName>
    <definedName name="fme" localSheetId="1">#REF!</definedName>
    <definedName name="fme">#REF!</definedName>
    <definedName name="FML">'[46]RA Civil'!$E$9</definedName>
    <definedName name="fmw" localSheetId="7">#REF!</definedName>
    <definedName name="fmw" localSheetId="47">#REF!</definedName>
    <definedName name="fmw" localSheetId="1">#REF!</definedName>
    <definedName name="fmw">#REF!</definedName>
    <definedName name="fo" localSheetId="7">#REF!</definedName>
    <definedName name="fo" localSheetId="47">#REF!</definedName>
    <definedName name="fo" localSheetId="1">#REF!</definedName>
    <definedName name="fo">#REF!</definedName>
    <definedName name="FOOTERLFT" localSheetId="7">#REF!</definedName>
    <definedName name="FOOTERLFT" localSheetId="47">#REF!</definedName>
    <definedName name="FOOTERLFT" localSheetId="1">#REF!</definedName>
    <definedName name="FOOTERLFT">#REF!</definedName>
    <definedName name="FOOTERLFT1" localSheetId="7">#REF!</definedName>
    <definedName name="FOOTERLFT1" localSheetId="47">#REF!</definedName>
    <definedName name="FOOTERLFT1" localSheetId="1">#REF!</definedName>
    <definedName name="FOOTERLFT1">#REF!</definedName>
    <definedName name="FOOTERLFT2" localSheetId="7">#REF!</definedName>
    <definedName name="FOOTERLFT2" localSheetId="47">#REF!</definedName>
    <definedName name="FOOTERLFT2" localSheetId="1">#REF!</definedName>
    <definedName name="FOOTERLFT2">#REF!</definedName>
    <definedName name="FOOTERLFT3" localSheetId="7">#REF!</definedName>
    <definedName name="FOOTERLFT3" localSheetId="47">#REF!</definedName>
    <definedName name="FOOTERLFT3" localSheetId="1">#REF!</definedName>
    <definedName name="FOOTERLFT3">#REF!</definedName>
    <definedName name="FOOTERLFTM" localSheetId="7">#REF!</definedName>
    <definedName name="FOOTERLFTM" localSheetId="47">#REF!</definedName>
    <definedName name="FOOTERLFTM" localSheetId="1">#REF!</definedName>
    <definedName name="FOOTERLFTM">#REF!</definedName>
    <definedName name="FOOTERRGHT" localSheetId="7">#REF!</definedName>
    <definedName name="FOOTERRGHT" localSheetId="47">#REF!</definedName>
    <definedName name="FOOTERRGHT" localSheetId="1">#REF!</definedName>
    <definedName name="FOOTERRGHT">#REF!</definedName>
    <definedName name="FOOTERRGHT1" localSheetId="7">#REF!</definedName>
    <definedName name="FOOTERRGHT1" localSheetId="47">#REF!</definedName>
    <definedName name="FOOTERRGHT1" localSheetId="1">#REF!</definedName>
    <definedName name="FOOTERRGHT1">#REF!</definedName>
    <definedName name="FOOTERRGT" localSheetId="7">#REF!</definedName>
    <definedName name="FOOTERRGT" localSheetId="47">#REF!</definedName>
    <definedName name="FOOTERRGT" localSheetId="1">#REF!</definedName>
    <definedName name="FOOTERRGT">#REF!</definedName>
    <definedName name="FOREX">[99]SUMMARY!$F$73:$F$82</definedName>
    <definedName name="form" localSheetId="7">#REF!</definedName>
    <definedName name="form" localSheetId="47">#REF!</definedName>
    <definedName name="form" localSheetId="1">#REF!</definedName>
    <definedName name="form">#REF!</definedName>
    <definedName name="formu" localSheetId="7">#REF!</definedName>
    <definedName name="formu" localSheetId="47">#REF!</definedName>
    <definedName name="formu" localSheetId="1">#REF!</definedName>
    <definedName name="formu">#REF!</definedName>
    <definedName name="formula" localSheetId="7">#REF!</definedName>
    <definedName name="formula" localSheetId="47">#REF!</definedName>
    <definedName name="formula" localSheetId="1">#REF!</definedName>
    <definedName name="formula">#REF!</definedName>
    <definedName name="FOS" localSheetId="7">#REF!</definedName>
    <definedName name="FOS" localSheetId="47">#REF!</definedName>
    <definedName name="FOS" localSheetId="1">#REF!</definedName>
    <definedName name="FOS">#REF!</definedName>
    <definedName name="fp" localSheetId="7">'[102]Boiler&amp;TG'!#REF!</definedName>
    <definedName name="fp" localSheetId="47">'[102]Boiler&amp;TG'!#REF!</definedName>
    <definedName name="fp" localSheetId="1">'[102]Boiler&amp;TG'!#REF!</definedName>
    <definedName name="fp">'[102]Boiler&amp;TG'!#REF!</definedName>
    <definedName name="francis" localSheetId="7">#REF!</definedName>
    <definedName name="francis" localSheetId="47">#REF!</definedName>
    <definedName name="francis" localSheetId="1">#REF!</definedName>
    <definedName name="francis">#REF!</definedName>
    <definedName name="FROM__BUSAN_KOREA" localSheetId="7">#REF!</definedName>
    <definedName name="FROM__BUSAN_KOREA" localSheetId="47">#REF!</definedName>
    <definedName name="FROM__BUSAN_KOREA" localSheetId="1">#REF!</definedName>
    <definedName name="FROM__BUSAN_KOREA">#REF!</definedName>
    <definedName name="fs" localSheetId="7" hidden="1">{"'Sheet1'!$L$16"}</definedName>
    <definedName name="fs" localSheetId="47" hidden="1">{"'Sheet1'!$L$16"}</definedName>
    <definedName name="fs" localSheetId="1" hidden="1">{"'Sheet1'!$L$16"}</definedName>
    <definedName name="fs" hidden="1">{"'Sheet1'!$L$16"}</definedName>
    <definedName name="FSLbearing14" localSheetId="7">#REF!</definedName>
    <definedName name="FSLbearing14" localSheetId="47">#REF!</definedName>
    <definedName name="FSLbearing14" localSheetId="1">#REF!</definedName>
    <definedName name="FSLbearing14">#REF!</definedName>
    <definedName name="FSLclearspan" localSheetId="7">[78]FACE!#REF!</definedName>
    <definedName name="FSLclearspan" localSheetId="47">[78]FACE!#REF!</definedName>
    <definedName name="FSLclearspan" localSheetId="1">[78]FACE!#REF!</definedName>
    <definedName name="FSLclearspan">[78]FACE!#REF!</definedName>
    <definedName name="FSLclearspan11" localSheetId="7">#REF!</definedName>
    <definedName name="FSLclearspan11" localSheetId="47">#REF!</definedName>
    <definedName name="FSLclearspan11" localSheetId="1">#REF!</definedName>
    <definedName name="FSLclearspan11">#REF!</definedName>
    <definedName name="FSLeffectivespan" localSheetId="7">[78]FACE!#REF!</definedName>
    <definedName name="FSLeffectivespan" localSheetId="47">[78]FACE!#REF!</definedName>
    <definedName name="FSLeffectivespan" localSheetId="1">[78]FACE!#REF!</definedName>
    <definedName name="FSLeffectivespan">[78]FACE!#REF!</definedName>
    <definedName name="FSLeffectivespan12" localSheetId="7">#REF!</definedName>
    <definedName name="FSLeffectivespan12" localSheetId="47">#REF!</definedName>
    <definedName name="FSLeffectivespan12" localSheetId="1">#REF!</definedName>
    <definedName name="FSLeffectivespan12">#REF!</definedName>
    <definedName name="FSLoverallspan" localSheetId="7">[78]FACE!#REF!</definedName>
    <definedName name="FSLoverallspan" localSheetId="47">[78]FACE!#REF!</definedName>
    <definedName name="FSLoverallspan" localSheetId="1">[78]FACE!#REF!</definedName>
    <definedName name="FSLoverallspan">[78]FACE!#REF!</definedName>
    <definedName name="FSLoverallspan13" localSheetId="7">#REF!</definedName>
    <definedName name="FSLoverallspan13" localSheetId="47">#REF!</definedName>
    <definedName name="FSLoverallspan13" localSheetId="1">#REF!</definedName>
    <definedName name="FSLoverallspan13">#REF!</definedName>
    <definedName name="FST." localSheetId="7">#REF!</definedName>
    <definedName name="FST." localSheetId="47">#REF!</definedName>
    <definedName name="FST." localSheetId="1">#REF!</definedName>
    <definedName name="FST.">#REF!</definedName>
    <definedName name="fullview" localSheetId="7">#REF!</definedName>
    <definedName name="fullview" localSheetId="47">#REF!</definedName>
    <definedName name="fullview" localSheetId="1">#REF!</definedName>
    <definedName name="fullview">#REF!</definedName>
    <definedName name="funds" localSheetId="7" hidden="1">{"'Sheet1'!$A$4386:$N$4591"}</definedName>
    <definedName name="funds" localSheetId="47" hidden="1">{"'Sheet1'!$A$4386:$N$4591"}</definedName>
    <definedName name="funds" localSheetId="1" hidden="1">{"'Sheet1'!$A$4386:$N$4591"}</definedName>
    <definedName name="funds" hidden="1">{"'Sheet1'!$A$4386:$N$4591"}</definedName>
    <definedName name="fv" localSheetId="7">#REF!</definedName>
    <definedName name="fv" localSheetId="47">#REF!</definedName>
    <definedName name="fv" localSheetId="1">#REF!</definedName>
    <definedName name="fv">#REF!</definedName>
    <definedName name="FW_AMT">[49]PIPING!$P$6:$P$105</definedName>
    <definedName name="FW_QTY">[49]PIPING!$N$6:$N$105</definedName>
    <definedName name="FW_RATE">[49]PIPING!$AR$7:$AS$30</definedName>
    <definedName name="FW_SPEC">[49]PIPING!$M$6:$M$105</definedName>
    <definedName name="G" localSheetId="7">#REF!</definedName>
    <definedName name="G" localSheetId="47">#REF!</definedName>
    <definedName name="G" localSheetId="1">#REF!</definedName>
    <definedName name="G">#REF!</definedName>
    <definedName name="gama" localSheetId="7">#REF!</definedName>
    <definedName name="gama" localSheetId="47">#REF!</definedName>
    <definedName name="gama" localSheetId="1">#REF!</definedName>
    <definedName name="gama">#REF!</definedName>
    <definedName name="gamah" localSheetId="7">#REF!</definedName>
    <definedName name="gamah" localSheetId="47">#REF!</definedName>
    <definedName name="gamah" localSheetId="1">#REF!</definedName>
    <definedName name="gamah">#REF!</definedName>
    <definedName name="GANESH" localSheetId="7">#REF!</definedName>
    <definedName name="GANESH" localSheetId="47">#REF!</definedName>
    <definedName name="GANESH" localSheetId="1">#REF!</definedName>
    <definedName name="GANESH">#REF!</definedName>
    <definedName name="gate" localSheetId="7">#REF!</definedName>
    <definedName name="gate" localSheetId="47">#REF!</definedName>
    <definedName name="gate" localSheetId="1">#REF!</definedName>
    <definedName name="gate">#REF!</definedName>
    <definedName name="gbegb" localSheetId="7">#REF!</definedName>
    <definedName name="gbegb" localSheetId="47">#REF!</definedName>
    <definedName name="gbegb" localSheetId="1">#REF!</definedName>
    <definedName name="gbegb">#REF!</definedName>
    <definedName name="gbgb" localSheetId="7">#REF!</definedName>
    <definedName name="gbgb" localSheetId="47">#REF!</definedName>
    <definedName name="gbgb" localSheetId="1">#REF!</definedName>
    <definedName name="gbgb">#REF!</definedName>
    <definedName name="gbv" localSheetId="7">#REF!</definedName>
    <definedName name="gbv" localSheetId="47">#REF!</definedName>
    <definedName name="gbv" localSheetId="1">#REF!</definedName>
    <definedName name="gbv">#REF!</definedName>
    <definedName name="GDFAC">[76]R2!$F$21:$F$32</definedName>
    <definedName name="gdfg" hidden="1">[38]Z!$T$180:$AH$180</definedName>
    <definedName name="GEN" localSheetId="7">#REF!</definedName>
    <definedName name="GEN" localSheetId="47">#REF!</definedName>
    <definedName name="GEN" localSheetId="1">#REF!</definedName>
    <definedName name="GEN">#REF!</definedName>
    <definedName name="gg" localSheetId="7">#REF!</definedName>
    <definedName name="gg" localSheetId="47">#REF!</definedName>
    <definedName name="gg" localSheetId="1">#REF!</definedName>
    <definedName name="gg">#REF!</definedName>
    <definedName name="ggbeb" localSheetId="7">#REF!</definedName>
    <definedName name="ggbeb" localSheetId="47">#REF!</definedName>
    <definedName name="ggbeb" localSheetId="1">#REF!</definedName>
    <definedName name="ggbeb">#REF!</definedName>
    <definedName name="GGG" localSheetId="7">#REF!</definedName>
    <definedName name="GGG" localSheetId="47">#REF!</definedName>
    <definedName name="GGG" localSheetId="1">#REF!</definedName>
    <definedName name="GGG">#REF!</definedName>
    <definedName name="ghldg">#N/A</definedName>
    <definedName name="GI" localSheetId="7">#REF!</definedName>
    <definedName name="GI" localSheetId="47">#REF!</definedName>
    <definedName name="GI" localSheetId="1">#REF!</definedName>
    <definedName name="GI">#REF!</definedName>
    <definedName name="gid" localSheetId="7" hidden="1">{"'Sheet1'!$L$16"}</definedName>
    <definedName name="gid" localSheetId="47" hidden="1">{"'Sheet1'!$L$16"}</definedName>
    <definedName name="gid" localSheetId="1" hidden="1">{"'Sheet1'!$L$16"}</definedName>
    <definedName name="gid" hidden="1">{"'Sheet1'!$L$16"}</definedName>
    <definedName name="gj" localSheetId="7" hidden="1">{"'Sheet1'!$L$16"}</definedName>
    <definedName name="gj" localSheetId="47" hidden="1">{"'Sheet1'!$L$16"}</definedName>
    <definedName name="gj" localSheetId="1" hidden="1">{"'Sheet1'!$L$16"}</definedName>
    <definedName name="gj" hidden="1">{"'Sheet1'!$L$16"}</definedName>
    <definedName name="gkd" localSheetId="7" hidden="1">{"'Sheet1'!$L$16"}</definedName>
    <definedName name="gkd" localSheetId="47" hidden="1">{"'Sheet1'!$L$16"}</definedName>
    <definedName name="gkd" localSheetId="1" hidden="1">{"'Sheet1'!$L$16"}</definedName>
    <definedName name="gkd" hidden="1">{"'Sheet1'!$L$16"}</definedName>
    <definedName name="globe" localSheetId="7">#REF!</definedName>
    <definedName name="globe" localSheetId="47">#REF!</definedName>
    <definedName name="globe" localSheetId="1">#REF!</definedName>
    <definedName name="globe">#REF!</definedName>
    <definedName name="gov" localSheetId="7">#REF!</definedName>
    <definedName name="gov" localSheetId="47">#REF!</definedName>
    <definedName name="gov" localSheetId="1">#REF!</definedName>
    <definedName name="gov">#REF!</definedName>
    <definedName name="GRAD" localSheetId="7">#REF!</definedName>
    <definedName name="GRAD" localSheetId="47">#REF!</definedName>
    <definedName name="GRAD" localSheetId="1">#REF!</definedName>
    <definedName name="GRAD">#REF!</definedName>
    <definedName name="GRADE" localSheetId="7">#REF!</definedName>
    <definedName name="GRADE" localSheetId="47">#REF!</definedName>
    <definedName name="GRADE" localSheetId="1">#REF!</definedName>
    <definedName name="GRADE">#REF!</definedName>
    <definedName name="Gravel_incl_transport" localSheetId="7">#REF!</definedName>
    <definedName name="Gravel_incl_transport" localSheetId="47">#REF!</definedName>
    <definedName name="Gravel_incl_transport" localSheetId="1">#REF!</definedName>
    <definedName name="Gravel_incl_transport">#REF!</definedName>
    <definedName name="GRID" localSheetId="7">#REF!</definedName>
    <definedName name="GRID" localSheetId="47">#REF!</definedName>
    <definedName name="GRID" localSheetId="1">#REF!</definedName>
    <definedName name="GRID">#REF!</definedName>
    <definedName name="grit" localSheetId="7">#REF!</definedName>
    <definedName name="grit" localSheetId="47">#REF!</definedName>
    <definedName name="grit" localSheetId="1">#REF!</definedName>
    <definedName name="grit">#REF!</definedName>
    <definedName name="GRLvl" localSheetId="7">#REF!</definedName>
    <definedName name="GRLvl" localSheetId="47">#REF!</definedName>
    <definedName name="GRLvl" localSheetId="1">#REF!</definedName>
    <definedName name="GRLvl">#REF!</definedName>
    <definedName name="Group1" localSheetId="7">#REF!</definedName>
    <definedName name="Group1" localSheetId="47">#REF!</definedName>
    <definedName name="Group1" localSheetId="1">#REF!</definedName>
    <definedName name="Group1">#REF!</definedName>
    <definedName name="Group2" localSheetId="7">#REF!</definedName>
    <definedName name="Group2" localSheetId="47">#REF!</definedName>
    <definedName name="Group2" localSheetId="1">#REF!</definedName>
    <definedName name="Group2">#REF!</definedName>
    <definedName name="GROUT">'[4]Cost of O &amp; O'!$F$34</definedName>
    <definedName name="grout_type" localSheetId="7">#REF!</definedName>
    <definedName name="grout_type" localSheetId="47">#REF!</definedName>
    <definedName name="grout_type" localSheetId="1">#REF!</definedName>
    <definedName name="grout_type">#REF!</definedName>
    <definedName name="GrphActSales" localSheetId="7">#REF!</definedName>
    <definedName name="GrphActSales" localSheetId="47">#REF!</definedName>
    <definedName name="GrphActSales" localSheetId="1">#REF!</definedName>
    <definedName name="GrphActSales">#REF!</definedName>
    <definedName name="GrphActStk" localSheetId="7">#REF!</definedName>
    <definedName name="GrphActStk" localSheetId="47">#REF!</definedName>
    <definedName name="GrphActStk" localSheetId="1">#REF!</definedName>
    <definedName name="GrphActStk">#REF!</definedName>
    <definedName name="GrphPlanSales" localSheetId="7">#REF!</definedName>
    <definedName name="GrphPlanSales" localSheetId="47">#REF!</definedName>
    <definedName name="GrphPlanSales" localSheetId="1">#REF!</definedName>
    <definedName name="GrphPlanSales">#REF!</definedName>
    <definedName name="GrphTgtStk" localSheetId="7">#REF!</definedName>
    <definedName name="GrphTgtStk" localSheetId="47">#REF!</definedName>
    <definedName name="GrphTgtStk" localSheetId="1">#REF!</definedName>
    <definedName name="GrphTgtStk">#REF!</definedName>
    <definedName name="gs" localSheetId="7">#REF!</definedName>
    <definedName name="gs" localSheetId="47">#REF!</definedName>
    <definedName name="gs" localSheetId="1">#REF!</definedName>
    <definedName name="gs">#REF!</definedName>
    <definedName name="GSB" localSheetId="7">#REF!</definedName>
    <definedName name="GSB" localSheetId="47">#REF!</definedName>
    <definedName name="GSB" localSheetId="1">#REF!</definedName>
    <definedName name="GSB">#REF!</definedName>
    <definedName name="GSBP" localSheetId="7">#REF!</definedName>
    <definedName name="GSBP" localSheetId="47">#REF!</definedName>
    <definedName name="GSBP" localSheetId="1">#REF!</definedName>
    <definedName name="GSBP">#REF!</definedName>
    <definedName name="gsg" localSheetId="7">#REF!</definedName>
    <definedName name="gsg" localSheetId="47">#REF!</definedName>
    <definedName name="gsg" localSheetId="1">#REF!</definedName>
    <definedName name="gsg">#REF!</definedName>
    <definedName name="GTTA" localSheetId="7">#REF!</definedName>
    <definedName name="GTTA" localSheetId="47">#REF!</definedName>
    <definedName name="GTTA" localSheetId="1">#REF!</definedName>
    <definedName name="GTTA">#REF!</definedName>
    <definedName name="GTTB" localSheetId="7">#REF!</definedName>
    <definedName name="GTTB" localSheetId="47">#REF!</definedName>
    <definedName name="GTTB" localSheetId="1">#REF!</definedName>
    <definedName name="GTTB">#REF!</definedName>
    <definedName name="GV" localSheetId="7" hidden="1">{#N/A,#N/A,FALSE,"CCTV"}</definedName>
    <definedName name="GV" localSheetId="47" hidden="1">{#N/A,#N/A,FALSE,"CCTV"}</definedName>
    <definedName name="GV" localSheetId="1" hidden="1">{#N/A,#N/A,FALSE,"CCTV"}</definedName>
    <definedName name="GV" hidden="1">{#N/A,#N/A,FALSE,"CCTV"}</definedName>
    <definedName name="H" localSheetId="7">[103]TOEC!#REF!</definedName>
    <definedName name="H" localSheetId="47">[103]TOEC!#REF!</definedName>
    <definedName name="H" localSheetId="1">[103]TOEC!#REF!</definedName>
    <definedName name="H">[103]TOEC!#REF!</definedName>
    <definedName name="H___0" localSheetId="7">#REF!</definedName>
    <definedName name="H___0" localSheetId="47">#REF!</definedName>
    <definedName name="H___0" localSheetId="1">#REF!</definedName>
    <definedName name="H___0">#REF!</definedName>
    <definedName name="H___13" localSheetId="7">#REF!</definedName>
    <definedName name="H___13" localSheetId="47">#REF!</definedName>
    <definedName name="H___13" localSheetId="1">#REF!</definedName>
    <definedName name="H___13">#REF!</definedName>
    <definedName name="h_af" localSheetId="7">#REF!</definedName>
    <definedName name="h_af" localSheetId="47">#REF!</definedName>
    <definedName name="h_af" localSheetId="1">#REF!</definedName>
    <definedName name="h_af">#REF!</definedName>
    <definedName name="h_bf" localSheetId="7">#REF!</definedName>
    <definedName name="h_bf" localSheetId="47">#REF!</definedName>
    <definedName name="h_bf" localSheetId="1">#REF!</definedName>
    <definedName name="h_bf">#REF!</definedName>
    <definedName name="H0" localSheetId="7">#REF!</definedName>
    <definedName name="H0" localSheetId="47">#REF!</definedName>
    <definedName name="H0" localSheetId="1">#REF!</definedName>
    <definedName name="H0">#REF!</definedName>
    <definedName name="H0___0" localSheetId="7">#REF!</definedName>
    <definedName name="H0___0" localSheetId="47">#REF!</definedName>
    <definedName name="H0___0" localSheetId="1">#REF!</definedName>
    <definedName name="H0___0">#REF!</definedName>
    <definedName name="H0___13" localSheetId="7">#REF!</definedName>
    <definedName name="H0___13" localSheetId="47">#REF!</definedName>
    <definedName name="H0___13" localSheetId="1">#REF!</definedName>
    <definedName name="H0___13">#REF!</definedName>
    <definedName name="HAMM" localSheetId="7">#REF!</definedName>
    <definedName name="HAMM" localSheetId="47">#REF!</definedName>
    <definedName name="HAMM" localSheetId="1">#REF!</definedName>
    <definedName name="HAMM">#REF!</definedName>
    <definedName name="HARI" localSheetId="7">#REF!</definedName>
    <definedName name="HARI" localSheetId="47">#REF!</definedName>
    <definedName name="HARI" localSheetId="1">#REF!</definedName>
    <definedName name="HARI">#REF!</definedName>
    <definedName name="HBLACK" localSheetId="7">#REF!</definedName>
    <definedName name="HBLACK" localSheetId="47">#REF!</definedName>
    <definedName name="HBLACK" localSheetId="1">#REF!</definedName>
    <definedName name="HBLACK">#REF!</definedName>
    <definedName name="HCAR" localSheetId="7">#REF!</definedName>
    <definedName name="HCAR" localSheetId="47">#REF!</definedName>
    <definedName name="HCAR" localSheetId="1">#REF!</definedName>
    <definedName name="HCAR">#REF!</definedName>
    <definedName name="Hcbdw" localSheetId="7">'[104]purpose&amp;input'!#REF!</definedName>
    <definedName name="Hcbdw" localSheetId="47">'[104]purpose&amp;input'!#REF!</definedName>
    <definedName name="Hcbdw" localSheetId="1">'[104]purpose&amp;input'!#REF!</definedName>
    <definedName name="Hcbdw">'[104]purpose&amp;input'!#REF!</definedName>
    <definedName name="Hcw" localSheetId="7">'[104]purpose&amp;input'!#REF!</definedName>
    <definedName name="Hcw" localSheetId="47">'[104]purpose&amp;input'!#REF!</definedName>
    <definedName name="Hcw" localSheetId="1">'[104]purpose&amp;input'!#REF!</definedName>
    <definedName name="Hcw">'[104]purpose&amp;input'!#REF!</definedName>
    <definedName name="HE" localSheetId="7">#REF!</definedName>
    <definedName name="HE" localSheetId="47">#REF!</definedName>
    <definedName name="HE" localSheetId="1">#REF!</definedName>
    <definedName name="HE">#REF!</definedName>
    <definedName name="header" localSheetId="7">#REF!</definedName>
    <definedName name="header" localSheetId="47">#REF!</definedName>
    <definedName name="header" localSheetId="1">#REF!</definedName>
    <definedName name="header">#REF!</definedName>
    <definedName name="HEADERGHT" localSheetId="7">#REF!</definedName>
    <definedName name="HEADERGHT" localSheetId="47">#REF!</definedName>
    <definedName name="HEADERGHT" localSheetId="1">#REF!</definedName>
    <definedName name="HEADERGHT">#REF!</definedName>
    <definedName name="HEADERGT" localSheetId="7">#REF!</definedName>
    <definedName name="HEADERGT" localSheetId="47">#REF!</definedName>
    <definedName name="HEADERGT" localSheetId="1">#REF!</definedName>
    <definedName name="HEADERGT">#REF!</definedName>
    <definedName name="HEADERLFT" localSheetId="7">#REF!</definedName>
    <definedName name="HEADERLFT" localSheetId="47">#REF!</definedName>
    <definedName name="HEADERLFT" localSheetId="1">#REF!</definedName>
    <definedName name="HEADERLFT">#REF!</definedName>
    <definedName name="HEADERLFT2" localSheetId="7">#REF!</definedName>
    <definedName name="HEADERLFT2" localSheetId="47">#REF!</definedName>
    <definedName name="HEADERLFT2" localSheetId="1">#REF!</definedName>
    <definedName name="HEADERLFT2">#REF!</definedName>
    <definedName name="HEADERLFT3" localSheetId="7">#REF!</definedName>
    <definedName name="HEADERLFT3" localSheetId="47">#REF!</definedName>
    <definedName name="HEADERLFT3" localSheetId="1">#REF!</definedName>
    <definedName name="HEADERLFT3">#REF!</definedName>
    <definedName name="HEADERRGT" localSheetId="7">#REF!</definedName>
    <definedName name="HEADERRGT" localSheetId="47">#REF!</definedName>
    <definedName name="HEADERRGT" localSheetId="1">#REF!</definedName>
    <definedName name="HEADERRGT">#REF!</definedName>
    <definedName name="HEADERRT2" localSheetId="7">#REF!</definedName>
    <definedName name="HEADERRT2" localSheetId="47">#REF!</definedName>
    <definedName name="HEADERRT2" localSheetId="1">#REF!</definedName>
    <definedName name="HEADERRT2">#REF!</definedName>
    <definedName name="HEADERRT3">[105]ABSTRACT!$G$4</definedName>
    <definedName name="hf" localSheetId="7">#REF!</definedName>
    <definedName name="hf" localSheetId="47">#REF!</definedName>
    <definedName name="hf" localSheetId="1">#REF!</definedName>
    <definedName name="hf">#REF!</definedName>
    <definedName name="HFOHSD">'[35]Executive Summary -Thermal'!$A$4:$H$96</definedName>
    <definedName name="hh" localSheetId="7">#REF!</definedName>
    <definedName name="hh" localSheetId="47">#REF!</definedName>
    <definedName name="hh" localSheetId="1">#REF!</definedName>
    <definedName name="hh">#REF!</definedName>
    <definedName name="hh___0" localSheetId="7">#REF!</definedName>
    <definedName name="hh___0" localSheetId="47">#REF!</definedName>
    <definedName name="hh___0" localSheetId="1">#REF!</definedName>
    <definedName name="hh___0">#REF!</definedName>
    <definedName name="hh___13" localSheetId="7">#REF!</definedName>
    <definedName name="hh___13" localSheetId="47">#REF!</definedName>
    <definedName name="hh___13" localSheetId="1">#REF!</definedName>
    <definedName name="hh___13">#REF!</definedName>
    <definedName name="Hhpc" localSheetId="7">'[104]purpose&amp;input'!#REF!</definedName>
    <definedName name="Hhpc" localSheetId="47">'[104]purpose&amp;input'!#REF!</definedName>
    <definedName name="Hhpc" localSheetId="1">'[104]purpose&amp;input'!#REF!</definedName>
    <definedName name="Hhpc">'[104]purpose&amp;input'!#REF!</definedName>
    <definedName name="hhr" localSheetId="7">'[106]Pier Design(with offset)'!#REF!</definedName>
    <definedName name="hhr" localSheetId="47">'[106]Pier Design(with offset)'!#REF!</definedName>
    <definedName name="hhr" localSheetId="1">'[106]Pier Design(with offset)'!#REF!</definedName>
    <definedName name="hhr">'[106]Pier Design(with offset)'!#REF!</definedName>
    <definedName name="hi" localSheetId="7">#REF!</definedName>
    <definedName name="hi" localSheetId="47">#REF!</definedName>
    <definedName name="hi" localSheetId="1">#REF!</definedName>
    <definedName name="hi">#REF!</definedName>
    <definedName name="HINDHUSTAN" localSheetId="7">#REF!</definedName>
    <definedName name="HINDHUSTAN" localSheetId="47">#REF!</definedName>
    <definedName name="HINDHUSTAN" localSheetId="1">#REF!</definedName>
    <definedName name="HINDHUSTAN">#REF!</definedName>
    <definedName name="HIns" localSheetId="7">#REF!</definedName>
    <definedName name="HIns" localSheetId="47">#REF!</definedName>
    <definedName name="HIns" localSheetId="1">#REF!</definedName>
    <definedName name="HIns">#REF!</definedName>
    <definedName name="Hipc" localSheetId="7">'[104]purpose&amp;input'!#REF!</definedName>
    <definedName name="Hipc" localSheetId="47">'[104]purpose&amp;input'!#REF!</definedName>
    <definedName name="Hipc" localSheetId="1">'[104]purpose&amp;input'!#REF!</definedName>
    <definedName name="Hipc">'[104]purpose&amp;input'!#REF!</definedName>
    <definedName name="Hiway">[54]Voucher!$R$1</definedName>
    <definedName name="hj" localSheetId="7" hidden="1">{"'Sheet1'!$L$16"}</definedName>
    <definedName name="hj" localSheetId="47" hidden="1">{"'Sheet1'!$L$16"}</definedName>
    <definedName name="hj" localSheetId="1" hidden="1">{"'Sheet1'!$L$16"}</definedName>
    <definedName name="hj" hidden="1">{"'Sheet1'!$L$16"}</definedName>
    <definedName name="HJK">[107]DETAILED!$J$6</definedName>
    <definedName name="Hlp" localSheetId="7">'[104]purpose&amp;input'!#REF!</definedName>
    <definedName name="Hlp" localSheetId="47">'[104]purpose&amp;input'!#REF!</definedName>
    <definedName name="Hlp" localSheetId="1">'[104]purpose&amp;input'!#REF!</definedName>
    <definedName name="Hlp">'[104]purpose&amp;input'!#REF!</definedName>
    <definedName name="HM" localSheetId="7">#REF!</definedName>
    <definedName name="HM" localSheetId="47">#REF!</definedName>
    <definedName name="HM" localSheetId="1">#REF!</definedName>
    <definedName name="HM">#REF!</definedName>
    <definedName name="ＨＭ_ＨＥ_合__計" localSheetId="7">#REF!</definedName>
    <definedName name="ＨＭ_ＨＥ_合__計" localSheetId="47">#REF!</definedName>
    <definedName name="ＨＭ_ＨＥ_合__計" localSheetId="1">#REF!</definedName>
    <definedName name="ＨＭ_ＨＥ_合__計">#REF!</definedName>
    <definedName name="HMAS" localSheetId="7">#REF!</definedName>
    <definedName name="HMAS" localSheetId="47">#REF!</definedName>
    <definedName name="HMAS" localSheetId="1">#REF!</definedName>
    <definedName name="HMAS">#REF!</definedName>
    <definedName name="HN" localSheetId="7">#REF!</definedName>
    <definedName name="HN" localSheetId="47">#REF!</definedName>
    <definedName name="HN" localSheetId="1">#REF!</definedName>
    <definedName name="HN">#REF!</definedName>
    <definedName name="ho" localSheetId="7">#REF!</definedName>
    <definedName name="ho" localSheetId="47">#REF!</definedName>
    <definedName name="ho" localSheetId="1">#REF!</definedName>
    <definedName name="ho">#REF!</definedName>
    <definedName name="ho___0" localSheetId="7">#REF!</definedName>
    <definedName name="ho___0" localSheetId="47">#REF!</definedName>
    <definedName name="ho___0" localSheetId="1">#REF!</definedName>
    <definedName name="ho___0">#REF!</definedName>
    <definedName name="ho___13" localSheetId="7">#REF!</definedName>
    <definedName name="ho___13" localSheetId="47">#REF!</definedName>
    <definedName name="ho___13" localSheetId="1">#REF!</definedName>
    <definedName name="ho___13">#REF!</definedName>
    <definedName name="hoi" localSheetId="7">#REF!</definedName>
    <definedName name="hoi" localSheetId="47">#REF!</definedName>
    <definedName name="hoi" localSheetId="1">#REF!</definedName>
    <definedName name="hoi">#REF!</definedName>
    <definedName name="HPC" localSheetId="7">#REF!</definedName>
    <definedName name="HPC" localSheetId="47">#REF!</definedName>
    <definedName name="HPC" localSheetId="1">#REF!</definedName>
    <definedName name="HPC">#REF!</definedName>
    <definedName name="hr" localSheetId="7">'[106]Pier Design(with offset)'!#REF!</definedName>
    <definedName name="hr" localSheetId="47">'[106]Pier Design(with offset)'!#REF!</definedName>
    <definedName name="hr" localSheetId="1">'[106]Pier Design(with offset)'!#REF!</definedName>
    <definedName name="hr">'[106]Pier Design(with offset)'!#REF!</definedName>
    <definedName name="Hs" localSheetId="7">#REF!</definedName>
    <definedName name="Hs" localSheetId="47">#REF!</definedName>
    <definedName name="Hs" localSheetId="1">#REF!</definedName>
    <definedName name="Hs">#REF!</definedName>
    <definedName name="hS___0" localSheetId="7">#REF!</definedName>
    <definedName name="hS___0" localSheetId="47">#REF!</definedName>
    <definedName name="hS___0" localSheetId="1">#REF!</definedName>
    <definedName name="hS___0">#REF!</definedName>
    <definedName name="hS___13" localSheetId="7">#REF!</definedName>
    <definedName name="hS___13" localSheetId="47">#REF!</definedName>
    <definedName name="hS___13" localSheetId="1">#REF!</definedName>
    <definedName name="hS___13">#REF!</definedName>
    <definedName name="Hs_atm" localSheetId="7">'[108]purpose&amp;input'!#REF!</definedName>
    <definedName name="Hs_atm" localSheetId="47">'[108]purpose&amp;input'!#REF!</definedName>
    <definedName name="Hs_atm" localSheetId="1">'[108]purpose&amp;input'!#REF!</definedName>
    <definedName name="Hs_atm">'[108]purpose&amp;input'!#REF!</definedName>
    <definedName name="HSD">'[46]RA Civil'!$E$40</definedName>
    <definedName name="HSPF" localSheetId="7">#REF!</definedName>
    <definedName name="HSPF" localSheetId="47">#REF!</definedName>
    <definedName name="HSPF" localSheetId="1">#REF!</definedName>
    <definedName name="HSPF">#REF!</definedName>
    <definedName name="HT" localSheetId="7">#REF!</definedName>
    <definedName name="HT" localSheetId="47">#REF!</definedName>
    <definedName name="HT" localSheetId="1">#REF!</definedName>
    <definedName name="HT">#REF!</definedName>
    <definedName name="HTA" localSheetId="7">#REF!</definedName>
    <definedName name="HTA" localSheetId="47">#REF!</definedName>
    <definedName name="HTA" localSheetId="1">#REF!</definedName>
    <definedName name="HTA">#REF!</definedName>
    <definedName name="HTML" localSheetId="7" hidden="1">{"'장비'!$A$3:$M$12"}</definedName>
    <definedName name="HTML" localSheetId="47" hidden="1">{"'장비'!$A$3:$M$12"}</definedName>
    <definedName name="HTML" localSheetId="1" hidden="1">{"'장비'!$A$3:$M$12"}</definedName>
    <definedName name="HTML" hidden="1">{"'장비'!$A$3:$M$12"}</definedName>
    <definedName name="HTML_CodePage" hidden="1">1252</definedName>
    <definedName name="HTML_Control" localSheetId="7" hidden="1">{"'Bill No. 7'!$A$1:$G$32"}</definedName>
    <definedName name="HTML_Control" localSheetId="47" hidden="1">{"'Bill No. 7'!$A$1:$G$32"}</definedName>
    <definedName name="HTML_Control" localSheetId="1" hidden="1">{"'Bill No. 7'!$A$1:$G$32"}</definedName>
    <definedName name="HTML_Control" hidden="1">{"'Bill No. 7'!$A$1:$G$32"}</definedName>
    <definedName name="HTML_control2" localSheetId="7" hidden="1">{"'Sheet1'!$A$4386:$N$4591"}</definedName>
    <definedName name="HTML_control2" localSheetId="47" hidden="1">{"'Sheet1'!$A$4386:$N$4591"}</definedName>
    <definedName name="HTML_control2" localSheetId="1" hidden="1">{"'Sheet1'!$A$4386:$N$4591"}</definedName>
    <definedName name="HTML_control2" hidden="1">{"'Sheet1'!$A$4386:$N$4591"}</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4" hidden="1">TRUE</definedName>
    <definedName name="HTML_OS" hidden="1">0</definedName>
    <definedName name="HTML_PathFile" hidden="1">"c:\myHTML.htm"</definedName>
    <definedName name="HTML_Title" hidden="1">"BOQ"</definedName>
    <definedName name="htr" localSheetId="7">'[109]Pier Design(with offset)'!#REF!</definedName>
    <definedName name="htr" localSheetId="47">'[109]Pier Design(with offset)'!#REF!</definedName>
    <definedName name="htr" localSheetId="1">'[109]Pier Design(with offset)'!#REF!</definedName>
    <definedName name="htr">'[109]Pier Design(with offset)'!#REF!</definedName>
    <definedName name="HTS" localSheetId="7">#REF!</definedName>
    <definedName name="HTS" localSheetId="47">#REF!</definedName>
    <definedName name="HTS" localSheetId="1">#REF!</definedName>
    <definedName name="HTS">#REF!</definedName>
    <definedName name="Hu" localSheetId="7">#REF!</definedName>
    <definedName name="Hu" localSheetId="47">#REF!</definedName>
    <definedName name="Hu" localSheetId="1">#REF!</definedName>
    <definedName name="Hu">#REF!</definedName>
    <definedName name="Hu___0" localSheetId="7">#REF!</definedName>
    <definedName name="Hu___0" localSheetId="47">#REF!</definedName>
    <definedName name="Hu___0" localSheetId="1">#REF!</definedName>
    <definedName name="Hu___0">#REF!</definedName>
    <definedName name="Hu___13" localSheetId="7">#REF!</definedName>
    <definedName name="Hu___13" localSheetId="47">#REF!</definedName>
    <definedName name="Hu___13" localSheetId="1">#REF!</definedName>
    <definedName name="Hu___13">#REF!</definedName>
    <definedName name="HV" localSheetId="7">#REF!</definedName>
    <definedName name="HV" localSheetId="47">#REF!</definedName>
    <definedName name="HV" localSheetId="1">#REF!</definedName>
    <definedName name="HV">#REF!</definedName>
    <definedName name="hvacrates" localSheetId="7">#REF!</definedName>
    <definedName name="hvacrates" localSheetId="47">#REF!</definedName>
    <definedName name="hvacrates" localSheetId="1">#REF!</definedName>
    <definedName name="hvacrates">#REF!</definedName>
    <definedName name="Hw" localSheetId="7">#REF!</definedName>
    <definedName name="Hw" localSheetId="47">#REF!</definedName>
    <definedName name="Hw" localSheetId="1">#REF!</definedName>
    <definedName name="Hw">#REF!</definedName>
    <definedName name="Hw_atm" localSheetId="7">'[104]purpose&amp;input'!#REF!</definedName>
    <definedName name="Hw_atm" localSheetId="47">'[104]purpose&amp;input'!#REF!</definedName>
    <definedName name="Hw_atm" localSheetId="1">'[104]purpose&amp;input'!#REF!</definedName>
    <definedName name="Hw_atm">'[104]purpose&amp;input'!#REF!</definedName>
    <definedName name="hxb" localSheetId="7">#REF!</definedName>
    <definedName name="hxb" localSheetId="47">#REF!</definedName>
    <definedName name="hxb" localSheetId="1">#REF!</definedName>
    <definedName name="hxb">#REF!</definedName>
    <definedName name="hxi" localSheetId="7">#REF!</definedName>
    <definedName name="hxi" localSheetId="47">#REF!</definedName>
    <definedName name="hxi" localSheetId="1">#REF!</definedName>
    <definedName name="hxi">#REF!</definedName>
    <definedName name="HYSD">'[110]LOCAL RATES'!$H$14</definedName>
    <definedName name="I">#N/A</definedName>
    <definedName name="I___0" localSheetId="7">#REF!</definedName>
    <definedName name="I___0" localSheetId="47">#REF!</definedName>
    <definedName name="I___0" localSheetId="1">#REF!</definedName>
    <definedName name="I___0">#REF!</definedName>
    <definedName name="I___13" localSheetId="7">#REF!</definedName>
    <definedName name="I___13" localSheetId="47">#REF!</definedName>
    <definedName name="I___13" localSheetId="1">#REF!</definedName>
    <definedName name="I___13">#REF!</definedName>
    <definedName name="I_AREA" localSheetId="7">#REF!</definedName>
    <definedName name="I_AREA" localSheetId="47">#REF!</definedName>
    <definedName name="I_AREA" localSheetId="1">#REF!</definedName>
    <definedName name="I_AREA">#REF!</definedName>
    <definedName name="I_MATERIAL" localSheetId="7">#REF!</definedName>
    <definedName name="I_MATERIAL" localSheetId="47">#REF!</definedName>
    <definedName name="I_MATERIAL" localSheetId="1">#REF!</definedName>
    <definedName name="I_MATERIAL">#REF!</definedName>
    <definedName name="I_THICK" localSheetId="7">#REF!</definedName>
    <definedName name="I_THICK" localSheetId="47">#REF!</definedName>
    <definedName name="I_THICK" localSheetId="1">#REF!</definedName>
    <definedName name="I_THICK">#REF!</definedName>
    <definedName name="IAM" localSheetId="7" hidden="1">{"'Sheet1'!$A$4386:$N$4591"}</definedName>
    <definedName name="IAM" localSheetId="47" hidden="1">{"'Sheet1'!$A$4386:$N$4591"}</definedName>
    <definedName name="IAM" localSheetId="1" hidden="1">{"'Sheet1'!$A$4386:$N$4591"}</definedName>
    <definedName name="IAM" hidden="1">{"'Sheet1'!$A$4386:$N$4591"}</definedName>
    <definedName name="ic">5%</definedName>
    <definedName name="ie" localSheetId="7" hidden="1">{"'Sheet1'!$L$16"}</definedName>
    <definedName name="ie" localSheetId="47" hidden="1">{"'Sheet1'!$L$16"}</definedName>
    <definedName name="ie" localSheetId="1" hidden="1">{"'Sheet1'!$L$16"}</definedName>
    <definedName name="ie" hidden="1">{"'Sheet1'!$L$16"}</definedName>
    <definedName name="IELWSALES" localSheetId="7">#REF!</definedName>
    <definedName name="IELWSALES" localSheetId="47">#REF!</definedName>
    <definedName name="IELWSALES" localSheetId="1">#REF!</definedName>
    <definedName name="IELWSALES">#REF!</definedName>
    <definedName name="IELYSALES" localSheetId="7">#REF!</definedName>
    <definedName name="IELYSALES" localSheetId="47">#REF!</definedName>
    <definedName name="IELYSALES" localSheetId="1">#REF!</definedName>
    <definedName name="IELYSALES">#REF!</definedName>
    <definedName name="IEPLANSALES" localSheetId="7">#REF!</definedName>
    <definedName name="IEPLANSALES" localSheetId="47">#REF!</definedName>
    <definedName name="IEPLANSALES" localSheetId="1">#REF!</definedName>
    <definedName name="IEPLANSALES">#REF!</definedName>
    <definedName name="IESP" localSheetId="7">#REF!</definedName>
    <definedName name="IESP" localSheetId="47">#REF!</definedName>
    <definedName name="IESP" localSheetId="1">#REF!</definedName>
    <definedName name="IESP">#REF!</definedName>
    <definedName name="if" localSheetId="7">#REF!</definedName>
    <definedName name="if" localSheetId="47">#REF!</definedName>
    <definedName name="if" localSheetId="1">#REF!</definedName>
    <definedName name="if">#REF!</definedName>
    <definedName name="Ig" localSheetId="7">#REF!</definedName>
    <definedName name="Ig" localSheetId="47">#REF!</definedName>
    <definedName name="Ig" localSheetId="1">#REF!</definedName>
    <definedName name="Ig">#REF!</definedName>
    <definedName name="Ig___0" localSheetId="7">#REF!</definedName>
    <definedName name="Ig___0" localSheetId="47">#REF!</definedName>
    <definedName name="Ig___0" localSheetId="1">#REF!</definedName>
    <definedName name="Ig___0">#REF!</definedName>
    <definedName name="Ig___13" localSheetId="7">#REF!</definedName>
    <definedName name="Ig___13" localSheetId="47">#REF!</definedName>
    <definedName name="Ig___13" localSheetId="1">#REF!</definedName>
    <definedName name="Ig___13">#REF!</definedName>
    <definedName name="ii" localSheetId="7" hidden="1">{#N/A,#N/A,FALSE,"CCTV"}</definedName>
    <definedName name="ii" localSheetId="47" hidden="1">{#N/A,#N/A,FALSE,"CCTV"}</definedName>
    <definedName name="ii" localSheetId="1" hidden="1">{#N/A,#N/A,FALSE,"CCTV"}</definedName>
    <definedName name="ii" hidden="1">{#N/A,#N/A,FALSE,"CCTV"}</definedName>
    <definedName name="INCH_DIA">[49]PIPING!$I$6:$I$105</definedName>
    <definedName name="Index">[111]FIRST!$H$1</definedName>
    <definedName name="INPUT_VALVE" localSheetId="7">#REF!</definedName>
    <definedName name="INPUT_VALVE" localSheetId="47">#REF!</definedName>
    <definedName name="INPUT_VALVE" localSheetId="1">#REF!</definedName>
    <definedName name="INPUT_VALVE">#REF!</definedName>
    <definedName name="InputData">[112]Testing!$E$8:$E$12,[112]Testing!$E$15:$E$18,[112]Testing!$E$21:$E$23,[112]Testing!$E$26:$E$27,[112]Testing!$E$30:$E$33,[112]Testing!$E$35:$E$37,[112]Testing!$D$43:$F$47</definedName>
    <definedName name="insertplate_and_exp_joint" localSheetId="7">#REF!</definedName>
    <definedName name="insertplate_and_exp_joint" localSheetId="47">#REF!</definedName>
    <definedName name="insertplate_and_exp_joint" localSheetId="1">#REF!</definedName>
    <definedName name="insertplate_and_exp_joint">#REF!</definedName>
    <definedName name="inter" localSheetId="7">#REF!</definedName>
    <definedName name="inter" localSheetId="47">#REF!</definedName>
    <definedName name="inter" localSheetId="1">#REF!</definedName>
    <definedName name="inter">#REF!</definedName>
    <definedName name="IntFreeCred" localSheetId="7">#REF!</definedName>
    <definedName name="IntFreeCred" localSheetId="47">#REF!</definedName>
    <definedName name="IntFreeCred" localSheetId="1">#REF!</definedName>
    <definedName name="IntFreeCred">#REF!</definedName>
    <definedName name="iop" localSheetId="7" hidden="1">{"'Sheet1'!$L$16"}</definedName>
    <definedName name="iop" localSheetId="47" hidden="1">{"'Sheet1'!$L$16"}</definedName>
    <definedName name="iop" localSheetId="1" hidden="1">{"'Sheet1'!$L$16"}</definedName>
    <definedName name="iop" hidden="1">{"'Sheet1'!$L$16"}</definedName>
    <definedName name="IPB" localSheetId="7">#REF!</definedName>
    <definedName name="IPB" localSheetId="47">#REF!</definedName>
    <definedName name="IPB" localSheetId="1">#REF!</definedName>
    <definedName name="IPB">#REF!</definedName>
    <definedName name="ipc" localSheetId="7">#REF!</definedName>
    <definedName name="ipc" localSheetId="47">#REF!</definedName>
    <definedName name="ipc" localSheetId="1">#REF!</definedName>
    <definedName name="ipc">#REF!</definedName>
    <definedName name="ipu" localSheetId="7">#REF!</definedName>
    <definedName name="ipu" localSheetId="47">#REF!</definedName>
    <definedName name="ipu" localSheetId="1">#REF!</definedName>
    <definedName name="ipu">#REF!</definedName>
    <definedName name="ipu___0" localSheetId="7">#REF!</definedName>
    <definedName name="ipu___0" localSheetId="47">#REF!</definedName>
    <definedName name="ipu___0" localSheetId="1">#REF!</definedName>
    <definedName name="ipu___0">#REF!</definedName>
    <definedName name="ipu___13" localSheetId="7">#REF!</definedName>
    <definedName name="ipu___13" localSheetId="47">#REF!</definedName>
    <definedName name="ipu___13" localSheetId="1">#REF!</definedName>
    <definedName name="ipu___13">#REF!</definedName>
    <definedName name="is" localSheetId="7" hidden="1">{"'Sheet1'!$L$16"}</definedName>
    <definedName name="is" localSheetId="47" hidden="1">{"'Sheet1'!$L$16"}</definedName>
    <definedName name="is" localSheetId="1" hidden="1">{"'Sheet1'!$L$16"}</definedName>
    <definedName name="is" hidden="1">{"'Sheet1'!$L$16"}</definedName>
    <definedName name="issue_summ">'[113]water prop.'!$A$1</definedName>
    <definedName name="issue_summary1" localSheetId="7">'[114]purpose&amp;input'!#REF!</definedName>
    <definedName name="issue_summary1" localSheetId="47">'[114]purpose&amp;input'!#REF!</definedName>
    <definedName name="issue_summary1" localSheetId="1">'[114]purpose&amp;input'!#REF!</definedName>
    <definedName name="issue_summary1">'[114]purpose&amp;input'!#REF!</definedName>
    <definedName name="it" localSheetId="7" hidden="1">{"'Sheet1'!$L$16"}</definedName>
    <definedName name="it" localSheetId="47" hidden="1">{"'Sheet1'!$L$16"}</definedName>
    <definedName name="it" localSheetId="1" hidden="1">{"'Sheet1'!$L$16"}</definedName>
    <definedName name="it" hidden="1">{"'Sheet1'!$L$16"}</definedName>
    <definedName name="ITEM" localSheetId="7">#REF!</definedName>
    <definedName name="ITEM" localSheetId="47">#REF!</definedName>
    <definedName name="ITEM" localSheetId="1">#REF!</definedName>
    <definedName name="ITEM">#REF!</definedName>
    <definedName name="iteration">[115]!iteration</definedName>
    <definedName name="ITNUM">#N/A</definedName>
    <definedName name="ITRY" localSheetId="7">#REF!</definedName>
    <definedName name="ITRY" localSheetId="47">#REF!</definedName>
    <definedName name="ITRY" localSheetId="1">#REF!</definedName>
    <definedName name="ITRY">#REF!</definedName>
    <definedName name="ITRY1" localSheetId="7">#REF!</definedName>
    <definedName name="ITRY1" localSheetId="47">#REF!</definedName>
    <definedName name="ITRY1" localSheetId="1">#REF!</definedName>
    <definedName name="ITRY1">#REF!</definedName>
    <definedName name="J" localSheetId="7">#REF!</definedName>
    <definedName name="J" localSheetId="47">#REF!</definedName>
    <definedName name="J" localSheetId="1">#REF!</definedName>
    <definedName name="J">#REF!</definedName>
    <definedName name="j_filler" localSheetId="7">#REF!</definedName>
    <definedName name="j_filler" localSheetId="47">#REF!</definedName>
    <definedName name="j_filler" localSheetId="1">#REF!</definedName>
    <definedName name="j_filler">#REF!</definedName>
    <definedName name="JACK">'[4]Cost of O &amp; O'!$F$32</definedName>
    <definedName name="jartj" localSheetId="7">#REF!</definedName>
    <definedName name="jartj" localSheetId="47">#REF!</definedName>
    <definedName name="jartj" localSheetId="1">#REF!</definedName>
    <definedName name="jartj">#REF!</definedName>
    <definedName name="JCB" localSheetId="7">#REF!</definedName>
    <definedName name="JCB" localSheetId="47">#REF!</definedName>
    <definedName name="JCB" localSheetId="1">#REF!</definedName>
    <definedName name="JCB">#REF!</definedName>
    <definedName name="JCBPOL">'[46]RA Civil'!$F$48</definedName>
    <definedName name="jdrjd" localSheetId="7">#REF!</definedName>
    <definedName name="jdrjd" localSheetId="47">#REF!</definedName>
    <definedName name="jdrjd" localSheetId="1">#REF!</definedName>
    <definedName name="jdrjd">#REF!</definedName>
    <definedName name="JDTRH">[116]DETAILED!$J$6</definedName>
    <definedName name="JEJS" localSheetId="7">#REF!</definedName>
    <definedName name="JEJS" localSheetId="47">#REF!</definedName>
    <definedName name="JEJS" localSheetId="1">#REF!</definedName>
    <definedName name="JEJS">#REF!</definedName>
    <definedName name="JEJS___0" localSheetId="7">#REF!</definedName>
    <definedName name="JEJS___0" localSheetId="47">#REF!</definedName>
    <definedName name="JEJS___0" localSheetId="1">#REF!</definedName>
    <definedName name="JEJS___0">#REF!</definedName>
    <definedName name="JEJS___11" localSheetId="7">#REF!</definedName>
    <definedName name="JEJS___11" localSheetId="47">#REF!</definedName>
    <definedName name="JEJS___11" localSheetId="1">#REF!</definedName>
    <definedName name="JEJS___11">#REF!</definedName>
    <definedName name="JEJS___12" localSheetId="7">#REF!</definedName>
    <definedName name="JEJS___12" localSheetId="47">#REF!</definedName>
    <definedName name="JEJS___12" localSheetId="1">#REF!</definedName>
    <definedName name="JEJS___12">#REF!</definedName>
    <definedName name="JEJS___13" localSheetId="7">#REF!</definedName>
    <definedName name="JEJS___13" localSheetId="47">#REF!</definedName>
    <definedName name="JEJS___13" localSheetId="1">#REF!</definedName>
    <definedName name="JEJS___13">#REF!</definedName>
    <definedName name="JEJS___4" localSheetId="7">#REF!</definedName>
    <definedName name="JEJS___4" localSheetId="47">#REF!</definedName>
    <definedName name="JEJS___4" localSheetId="1">#REF!</definedName>
    <definedName name="JEJS___4">#REF!</definedName>
    <definedName name="jey" localSheetId="7">#REF!</definedName>
    <definedName name="jey" localSheetId="47">#REF!</definedName>
    <definedName name="jey" localSheetId="1">#REF!</definedName>
    <definedName name="jey">#REF!</definedName>
    <definedName name="JK" localSheetId="7">#REF!</definedName>
    <definedName name="JK" localSheetId="47">#REF!</definedName>
    <definedName name="JK" localSheetId="1">#REF!</definedName>
    <definedName name="JK">#REF!</definedName>
    <definedName name="jldl" localSheetId="7">#REF!</definedName>
    <definedName name="jldl" localSheetId="47">#REF!</definedName>
    <definedName name="jldl" localSheetId="1">#REF!</definedName>
    <definedName name="jldl">#REF!</definedName>
    <definedName name="job" localSheetId="7">#REF!</definedName>
    <definedName name="job" localSheetId="47">#REF!</definedName>
    <definedName name="job" localSheetId="1">#REF!</definedName>
    <definedName name="job">#REF!</definedName>
    <definedName name="job___0" localSheetId="7">#REF!</definedName>
    <definedName name="job___0" localSheetId="47">#REF!</definedName>
    <definedName name="job___0" localSheetId="1">#REF!</definedName>
    <definedName name="job___0">#REF!</definedName>
    <definedName name="job___11" localSheetId="7">#REF!</definedName>
    <definedName name="job___11" localSheetId="47">#REF!</definedName>
    <definedName name="job___11" localSheetId="1">#REF!</definedName>
    <definedName name="job___11">#REF!</definedName>
    <definedName name="job___12" localSheetId="7">#REF!</definedName>
    <definedName name="job___12" localSheetId="47">#REF!</definedName>
    <definedName name="job___12" localSheetId="1">#REF!</definedName>
    <definedName name="job___12">#REF!</definedName>
    <definedName name="JobID" localSheetId="7">#REF!</definedName>
    <definedName name="JobID" localSheetId="47">#REF!</definedName>
    <definedName name="JobID" localSheetId="1">#REF!</definedName>
    <definedName name="JobID">#REF!</definedName>
    <definedName name="Jobtypes">[117]FORM7!$R$3:$S$7</definedName>
    <definedName name="JOI_RATE" localSheetId="7">#REF!</definedName>
    <definedName name="JOI_RATE" localSheetId="47">#REF!</definedName>
    <definedName name="JOI_RATE" localSheetId="1">#REF!</definedName>
    <definedName name="JOI_RATE">#REF!</definedName>
    <definedName name="js" localSheetId="7">#REF!</definedName>
    <definedName name="js" localSheetId="47">#REF!</definedName>
    <definedName name="js" localSheetId="1">#REF!</definedName>
    <definedName name="js">#REF!</definedName>
    <definedName name="JUMBO">'[4]Cost of O &amp; O'!$F$39</definedName>
    <definedName name="k" localSheetId="7" hidden="1">{"form-D1",#N/A,FALSE,"FORM-D1";"form-D1_amt",#N/A,FALSE,"FORM-D1"}</definedName>
    <definedName name="k" localSheetId="47" hidden="1">{"form-D1",#N/A,FALSE,"FORM-D1";"form-D1_amt",#N/A,FALSE,"FORM-D1"}</definedName>
    <definedName name="k" localSheetId="1" hidden="1">{"form-D1",#N/A,FALSE,"FORM-D1";"form-D1_amt",#N/A,FALSE,"FORM-D1"}</definedName>
    <definedName name="k" hidden="1">{"form-D1",#N/A,FALSE,"FORM-D1";"form-D1_amt",#N/A,FALSE,"FORM-D1"}</definedName>
    <definedName name="K___0" localSheetId="7">#REF!</definedName>
    <definedName name="K___0" localSheetId="47">#REF!</definedName>
    <definedName name="K___0" localSheetId="1">#REF!</definedName>
    <definedName name="K___0">#REF!</definedName>
    <definedName name="K___13" localSheetId="7">#REF!</definedName>
    <definedName name="K___13" localSheetId="47">#REF!</definedName>
    <definedName name="K___13" localSheetId="1">#REF!</definedName>
    <definedName name="K___13">#REF!</definedName>
    <definedName name="Ka" localSheetId="7">#REF!</definedName>
    <definedName name="Ka" localSheetId="47">#REF!</definedName>
    <definedName name="Ka" localSheetId="1">#REF!</definedName>
    <definedName name="Ka">#REF!</definedName>
    <definedName name="KARNA" localSheetId="7">#REF!</definedName>
    <definedName name="KARNA" localSheetId="47">#REF!</definedName>
    <definedName name="KARNA" localSheetId="1">#REF!</definedName>
    <definedName name="KARNA">#REF!</definedName>
    <definedName name="kb" localSheetId="7">#REF!</definedName>
    <definedName name="kb" localSheetId="47">#REF!</definedName>
    <definedName name="kb" localSheetId="1">#REF!</definedName>
    <definedName name="kb">#REF!</definedName>
    <definedName name="kc" localSheetId="7">#REF!</definedName>
    <definedName name="kc" localSheetId="47">#REF!</definedName>
    <definedName name="kc" localSheetId="1">#REF!</definedName>
    <definedName name="kc">#REF!</definedName>
    <definedName name="KE" localSheetId="7">#REF!</definedName>
    <definedName name="KE" localSheetId="47">#REF!</definedName>
    <definedName name="KE" localSheetId="1">#REF!</definedName>
    <definedName name="KE">#REF!</definedName>
    <definedName name="KEII">'[35]Executive Summary -Thermal'!$H$4:$I$31</definedName>
    <definedName name="KEIIU">'[35]Executive Summary -Thermal'!$A$4:$F$31</definedName>
    <definedName name="KERB" localSheetId="7">#REF!</definedName>
    <definedName name="KERB" localSheetId="47">#REF!</definedName>
    <definedName name="KERB" localSheetId="1">#REF!</definedName>
    <definedName name="KERB">#REF!</definedName>
    <definedName name="KH" localSheetId="7">#REF!</definedName>
    <definedName name="KH" localSheetId="47">#REF!</definedName>
    <definedName name="KH" localSheetId="1">#REF!</definedName>
    <definedName name="KH">#REF!</definedName>
    <definedName name="Kh___0" localSheetId="7">#REF!</definedName>
    <definedName name="Kh___0" localSheetId="47">#REF!</definedName>
    <definedName name="Kh___0" localSheetId="1">#REF!</definedName>
    <definedName name="Kh___0">#REF!</definedName>
    <definedName name="Kh___13" localSheetId="7">#REF!</definedName>
    <definedName name="Kh___13" localSheetId="47">#REF!</definedName>
    <definedName name="Kh___13" localSheetId="1">#REF!</definedName>
    <definedName name="Kh___13">#REF!</definedName>
    <definedName name="KHAL" localSheetId="7">#REF!</definedName>
    <definedName name="KHAL" localSheetId="47">#REF!</definedName>
    <definedName name="KHAL" localSheetId="1">#REF!</definedName>
    <definedName name="KHAL">#REF!</definedName>
    <definedName name="Ki" localSheetId="7">#REF!</definedName>
    <definedName name="Ki" localSheetId="47">#REF!</definedName>
    <definedName name="Ki" localSheetId="1">#REF!</definedName>
    <definedName name="Ki">#REF!</definedName>
    <definedName name="Ki___0" localSheetId="7">#REF!</definedName>
    <definedName name="Ki___0" localSheetId="47">#REF!</definedName>
    <definedName name="Ki___0" localSheetId="1">#REF!</definedName>
    <definedName name="Ki___0">#REF!</definedName>
    <definedName name="Ki___13" localSheetId="7">#REF!</definedName>
    <definedName name="Ki___13" localSheetId="47">#REF!</definedName>
    <definedName name="Ki___13" localSheetId="1">#REF!</definedName>
    <definedName name="Ki___13">#REF!</definedName>
    <definedName name="Ki1___0" localSheetId="7">#REF!</definedName>
    <definedName name="Ki1___0" localSheetId="47">#REF!</definedName>
    <definedName name="Ki1___0" localSheetId="1">#REF!</definedName>
    <definedName name="Ki1___0">#REF!</definedName>
    <definedName name="Ki1___13" localSheetId="7">#REF!</definedName>
    <definedName name="Ki1___13" localSheetId="47">#REF!</definedName>
    <definedName name="Ki1___13" localSheetId="1">#REF!</definedName>
    <definedName name="Ki1___13">#REF!</definedName>
    <definedName name="Ki2___0" localSheetId="7">#REF!</definedName>
    <definedName name="Ki2___0" localSheetId="47">#REF!</definedName>
    <definedName name="Ki2___0" localSheetId="1">#REF!</definedName>
    <definedName name="Ki2___0">#REF!</definedName>
    <definedName name="Ki2___13" localSheetId="7">#REF!</definedName>
    <definedName name="Ki2___13" localSheetId="47">#REF!</definedName>
    <definedName name="Ki2___13" localSheetId="1">#REF!</definedName>
    <definedName name="Ki2___13">#REF!</definedName>
    <definedName name="Kii" localSheetId="7">#REF!</definedName>
    <definedName name="Kii" localSheetId="47">#REF!</definedName>
    <definedName name="Kii" localSheetId="1">#REF!</definedName>
    <definedName name="Kii">#REF!</definedName>
    <definedName name="Kii___0" localSheetId="7">#REF!</definedName>
    <definedName name="Kii___0" localSheetId="47">#REF!</definedName>
    <definedName name="Kii___0" localSheetId="1">#REF!</definedName>
    <definedName name="Kii___0">#REF!</definedName>
    <definedName name="Kii___13" localSheetId="7">#REF!</definedName>
    <definedName name="Kii___13" localSheetId="47">#REF!</definedName>
    <definedName name="Kii___13" localSheetId="1">#REF!</definedName>
    <definedName name="Kii___13">#REF!</definedName>
    <definedName name="kk" localSheetId="7">#REF!</definedName>
    <definedName name="kk" localSheetId="47">#REF!</definedName>
    <definedName name="kk" localSheetId="1">#REF!</definedName>
    <definedName name="kk">#REF!</definedName>
    <definedName name="Km" localSheetId="7">#REF!</definedName>
    <definedName name="Km" localSheetId="47">#REF!</definedName>
    <definedName name="Km" localSheetId="1">#REF!</definedName>
    <definedName name="Km">#REF!</definedName>
    <definedName name="Km___0" localSheetId="7">#REF!</definedName>
    <definedName name="Km___0" localSheetId="47">#REF!</definedName>
    <definedName name="Km___0" localSheetId="1">#REF!</definedName>
    <definedName name="Km___0">#REF!</definedName>
    <definedName name="Km___13" localSheetId="7">#REF!</definedName>
    <definedName name="Km___13" localSheetId="47">#REF!</definedName>
    <definedName name="Km___13" localSheetId="1">#REF!</definedName>
    <definedName name="Km___13">#REF!</definedName>
    <definedName name="KOTASTN">'[46]RA Civil'!$E$43</definedName>
    <definedName name="Kp" localSheetId="7">#REF!</definedName>
    <definedName name="Kp" localSheetId="47">#REF!</definedName>
    <definedName name="Kp" localSheetId="1">#REF!</definedName>
    <definedName name="Kp">#REF!</definedName>
    <definedName name="Ks" localSheetId="7">#REF!</definedName>
    <definedName name="Ks" localSheetId="47">#REF!</definedName>
    <definedName name="Ks" localSheetId="1">#REF!</definedName>
    <definedName name="Ks">#REF!</definedName>
    <definedName name="Ks___0" localSheetId="7">#REF!</definedName>
    <definedName name="Ks___0" localSheetId="47">#REF!</definedName>
    <definedName name="Ks___0" localSheetId="1">#REF!</definedName>
    <definedName name="Ks___0">#REF!</definedName>
    <definedName name="Ks___13" localSheetId="7">#REF!</definedName>
    <definedName name="Ks___13" localSheetId="47">#REF!</definedName>
    <definedName name="Ks___13" localSheetId="1">#REF!</definedName>
    <definedName name="Ks___13">#REF!</definedName>
    <definedName name="KTA" localSheetId="7">#REF!</definedName>
    <definedName name="KTA" localSheetId="47">#REF!</definedName>
    <definedName name="KTA" localSheetId="1">#REF!</definedName>
    <definedName name="KTA">#REF!</definedName>
    <definedName name="KTB" localSheetId="7">#REF!</definedName>
    <definedName name="KTB" localSheetId="47">#REF!</definedName>
    <definedName name="KTB" localSheetId="1">#REF!</definedName>
    <definedName name="KTB">#REF!</definedName>
    <definedName name="KTX" localSheetId="7">#REF!</definedName>
    <definedName name="KTX" localSheetId="47">#REF!</definedName>
    <definedName name="KTX" localSheetId="1">#REF!</definedName>
    <definedName name="KTX">#REF!</definedName>
    <definedName name="KU" localSheetId="7">#REF!</definedName>
    <definedName name="KU" localSheetId="47">#REF!</definedName>
    <definedName name="KU" localSheetId="1">#REF!</definedName>
    <definedName name="KU">#REF!</definedName>
    <definedName name="L" localSheetId="7">#REF!</definedName>
    <definedName name="L" localSheetId="47">#REF!</definedName>
    <definedName name="L" localSheetId="1">#REF!</definedName>
    <definedName name="L">#REF!</definedName>
    <definedName name="L___0" localSheetId="7">#REF!</definedName>
    <definedName name="L___0" localSheetId="47">#REF!</definedName>
    <definedName name="L___0" localSheetId="1">#REF!</definedName>
    <definedName name="L___0">#REF!</definedName>
    <definedName name="L___13" localSheetId="7">#REF!</definedName>
    <definedName name="L___13" localSheetId="47">#REF!</definedName>
    <definedName name="L___13" localSheetId="1">#REF!</definedName>
    <definedName name="L___13">#REF!</definedName>
    <definedName name="LAB_RATE" localSheetId="7">#REF!</definedName>
    <definedName name="LAB_RATE" localSheetId="47">#REF!</definedName>
    <definedName name="LAB_RATE" localSheetId="1">#REF!</definedName>
    <definedName name="LAB_RATE">#REF!</definedName>
    <definedName name="LABM1" localSheetId="7">#REF!</definedName>
    <definedName name="LABM1" localSheetId="47">#REF!</definedName>
    <definedName name="LABM1" localSheetId="1">#REF!</definedName>
    <definedName name="LABM1">#REF!</definedName>
    <definedName name="LABM2" localSheetId="7">#REF!</definedName>
    <definedName name="LABM2" localSheetId="47">#REF!</definedName>
    <definedName name="LABM2" localSheetId="1">#REF!</definedName>
    <definedName name="LABM2">#REF!</definedName>
    <definedName name="LABM3" localSheetId="7">#REF!</definedName>
    <definedName name="LABM3" localSheetId="47">#REF!</definedName>
    <definedName name="LABM3" localSheetId="1">#REF!</definedName>
    <definedName name="LABM3">#REF!</definedName>
    <definedName name="LABM4" localSheetId="7">#REF!</definedName>
    <definedName name="LABM4" localSheetId="47">#REF!</definedName>
    <definedName name="LABM4" localSheetId="1">#REF!</definedName>
    <definedName name="LABM4">#REF!</definedName>
    <definedName name="LABM5" localSheetId="7">#REF!</definedName>
    <definedName name="LABM5" localSheetId="47">#REF!</definedName>
    <definedName name="LABM5" localSheetId="1">#REF!</definedName>
    <definedName name="LABM5">#REF!</definedName>
    <definedName name="LABM6" localSheetId="7">#REF!</definedName>
    <definedName name="LABM6" localSheetId="47">#REF!</definedName>
    <definedName name="LABM6" localSheetId="1">#REF!</definedName>
    <definedName name="LABM6">#REF!</definedName>
    <definedName name="LAC">[118]S2groupcode!$G$2</definedName>
    <definedName name="LACB1" localSheetId="7">#REF!</definedName>
    <definedName name="LACB1" localSheetId="47">#REF!</definedName>
    <definedName name="LACB1" localSheetId="1">#REF!</definedName>
    <definedName name="LACB1">#REF!</definedName>
    <definedName name="LACB2" localSheetId="7">#REF!</definedName>
    <definedName name="LACB2" localSheetId="47">#REF!</definedName>
    <definedName name="LACB2" localSheetId="1">#REF!</definedName>
    <definedName name="LACB2">#REF!</definedName>
    <definedName name="LACB3" localSheetId="7">#REF!</definedName>
    <definedName name="LACB3" localSheetId="47">#REF!</definedName>
    <definedName name="LACB3" localSheetId="1">#REF!</definedName>
    <definedName name="LACB3">#REF!</definedName>
    <definedName name="LACB4" localSheetId="7">#REF!</definedName>
    <definedName name="LACB4" localSheetId="47">#REF!</definedName>
    <definedName name="LACB4" localSheetId="1">#REF!</definedName>
    <definedName name="LACB4">#REF!</definedName>
    <definedName name="LACB5" localSheetId="7">#REF!</definedName>
    <definedName name="LACB5" localSheetId="47">#REF!</definedName>
    <definedName name="LACB5" localSheetId="1">#REF!</definedName>
    <definedName name="LACB5">#REF!</definedName>
    <definedName name="LACB6" localSheetId="7">#REF!</definedName>
    <definedName name="LACB6" localSheetId="47">#REF!</definedName>
    <definedName name="LACB6" localSheetId="1">#REF!</definedName>
    <definedName name="LACB6">#REF!</definedName>
    <definedName name="LACR1" localSheetId="7">#REF!</definedName>
    <definedName name="LACR1" localSheetId="47">#REF!</definedName>
    <definedName name="LACR1" localSheetId="1">#REF!</definedName>
    <definedName name="LACR1">#REF!</definedName>
    <definedName name="LACR2" localSheetId="7">#REF!</definedName>
    <definedName name="LACR2" localSheetId="47">#REF!</definedName>
    <definedName name="LACR2" localSheetId="1">#REF!</definedName>
    <definedName name="LACR2">#REF!</definedName>
    <definedName name="LACR3" localSheetId="7">#REF!</definedName>
    <definedName name="LACR3" localSheetId="47">#REF!</definedName>
    <definedName name="LACR3" localSheetId="1">#REF!</definedName>
    <definedName name="LACR3">#REF!</definedName>
    <definedName name="LACR4" localSheetId="7">#REF!</definedName>
    <definedName name="LACR4" localSheetId="47">#REF!</definedName>
    <definedName name="LACR4" localSheetId="1">#REF!</definedName>
    <definedName name="LACR4">#REF!</definedName>
    <definedName name="LACR5" localSheetId="7">#REF!</definedName>
    <definedName name="LACR5" localSheetId="47">#REF!</definedName>
    <definedName name="LACR5" localSheetId="1">#REF!</definedName>
    <definedName name="LACR5">#REF!</definedName>
    <definedName name="LACR6" localSheetId="7">#REF!</definedName>
    <definedName name="LACR6" localSheetId="47">#REF!</definedName>
    <definedName name="LACR6" localSheetId="1">#REF!</definedName>
    <definedName name="LACR6">#REF!</definedName>
    <definedName name="LACS">[119]PLAN_FEB97!$A$2</definedName>
    <definedName name="LAGG1" localSheetId="7">#REF!</definedName>
    <definedName name="LAGG1" localSheetId="47">#REF!</definedName>
    <definedName name="LAGG1" localSheetId="1">#REF!</definedName>
    <definedName name="LAGG1">#REF!</definedName>
    <definedName name="LAGG2" localSheetId="7">#REF!</definedName>
    <definedName name="LAGG2" localSheetId="47">#REF!</definedName>
    <definedName name="LAGG2" localSheetId="1">#REF!</definedName>
    <definedName name="LAGG2">#REF!</definedName>
    <definedName name="LAGG3" localSheetId="7">#REF!</definedName>
    <definedName name="LAGG3" localSheetId="47">#REF!</definedName>
    <definedName name="LAGG3" localSheetId="1">#REF!</definedName>
    <definedName name="LAGG3">#REF!</definedName>
    <definedName name="LAGG6" localSheetId="7">#REF!</definedName>
    <definedName name="LAGG6" localSheetId="47">#REF!</definedName>
    <definedName name="LAGG6" localSheetId="1">#REF!</definedName>
    <definedName name="LAGG6">#REF!</definedName>
    <definedName name="LAMP" localSheetId="7">#REF!</definedName>
    <definedName name="LAMP" localSheetId="47">#REF!</definedName>
    <definedName name="LAMP" localSheetId="1">#REF!</definedName>
    <definedName name="LAMP">#REF!</definedName>
    <definedName name="LAMP___0" localSheetId="7">#REF!</definedName>
    <definedName name="LAMP___0" localSheetId="47">#REF!</definedName>
    <definedName name="LAMP___0" localSheetId="1">#REF!</definedName>
    <definedName name="LAMP___0">#REF!</definedName>
    <definedName name="LAMP___13" localSheetId="7">#REF!</definedName>
    <definedName name="LAMP___13" localSheetId="47">#REF!</definedName>
    <definedName name="LAMP___13" localSheetId="1">#REF!</definedName>
    <definedName name="LAMP___13">#REF!</definedName>
    <definedName name="latent">'[120]steam table'!$N$5:$Q$102</definedName>
    <definedName name="LATH" localSheetId="7">#REF!</definedName>
    <definedName name="LATH" localSheetId="47">#REF!</definedName>
    <definedName name="LATH" localSheetId="1">#REF!</definedName>
    <definedName name="LATH">#REF!</definedName>
    <definedName name="LAWM1" localSheetId="7">#REF!</definedName>
    <definedName name="LAWM1" localSheetId="47">#REF!</definedName>
    <definedName name="LAWM1" localSheetId="1">#REF!</definedName>
    <definedName name="LAWM1">#REF!</definedName>
    <definedName name="LAWM2" localSheetId="7">#REF!</definedName>
    <definedName name="LAWM2" localSheetId="47">#REF!</definedName>
    <definedName name="LAWM2" localSheetId="1">#REF!</definedName>
    <definedName name="LAWM2">#REF!</definedName>
    <definedName name="LAWM3" localSheetId="7">#REF!</definedName>
    <definedName name="LAWM3" localSheetId="47">#REF!</definedName>
    <definedName name="LAWM3" localSheetId="1">#REF!</definedName>
    <definedName name="LAWM3">#REF!</definedName>
    <definedName name="LAWM4" localSheetId="7">#REF!</definedName>
    <definedName name="LAWM4" localSheetId="47">#REF!</definedName>
    <definedName name="LAWM4" localSheetId="1">#REF!</definedName>
    <definedName name="LAWM4">#REF!</definedName>
    <definedName name="LAWM5" localSheetId="7">#REF!</definedName>
    <definedName name="LAWM5" localSheetId="47">#REF!</definedName>
    <definedName name="LAWM5" localSheetId="1">#REF!</definedName>
    <definedName name="LAWM5">#REF!</definedName>
    <definedName name="LAWM6" localSheetId="7">#REF!</definedName>
    <definedName name="LAWM6" localSheetId="47">#REF!</definedName>
    <definedName name="LAWM6" localSheetId="1">#REF!</definedName>
    <definedName name="LAWM6">#REF!</definedName>
    <definedName name="LBM" localSheetId="7">#REF!</definedName>
    <definedName name="LBM" localSheetId="47">#REF!</definedName>
    <definedName name="LBM" localSheetId="1">#REF!</definedName>
    <definedName name="LBM">#REF!</definedName>
    <definedName name="LBMod" localSheetId="7">#REF!</definedName>
    <definedName name="LBMod" localSheetId="47">#REF!</definedName>
    <definedName name="LBMod" localSheetId="1">#REF!</definedName>
    <definedName name="LBMod">#REF!</definedName>
    <definedName name="LBOULD" localSheetId="7">#REF!</definedName>
    <definedName name="LBOULD" localSheetId="47">#REF!</definedName>
    <definedName name="LBOULD" localSheetId="1">#REF!</definedName>
    <definedName name="LBOULD">#REF!</definedName>
    <definedName name="LC" localSheetId="7">#REF!</definedName>
    <definedName name="LC" localSheetId="47">#REF!</definedName>
    <definedName name="LC" localSheetId="1">#REF!</definedName>
    <definedName name="LC">#REF!</definedName>
    <definedName name="Lc___0" localSheetId="7">#REF!</definedName>
    <definedName name="Lc___0" localSheetId="47">#REF!</definedName>
    <definedName name="Lc___0" localSheetId="1">#REF!</definedName>
    <definedName name="Lc___0">#REF!</definedName>
    <definedName name="Lc___13" localSheetId="7">#REF!</definedName>
    <definedName name="Lc___13" localSheetId="47">#REF!</definedName>
    <definedName name="Lc___13" localSheetId="1">#REF!</definedName>
    <definedName name="Lc___13">#REF!</definedName>
    <definedName name="LCON" localSheetId="7">#REF!</definedName>
    <definedName name="LCON" localSheetId="47">#REF!</definedName>
    <definedName name="LCON" localSheetId="1">#REF!</definedName>
    <definedName name="LCON">#REF!</definedName>
    <definedName name="LCSAND1" localSheetId="7">#REF!</definedName>
    <definedName name="LCSAND1" localSheetId="47">#REF!</definedName>
    <definedName name="LCSAND1" localSheetId="1">#REF!</definedName>
    <definedName name="LCSAND1">#REF!</definedName>
    <definedName name="LCSAND2" localSheetId="7">#REF!</definedName>
    <definedName name="LCSAND2" localSheetId="47">#REF!</definedName>
    <definedName name="LCSAND2" localSheetId="1">#REF!</definedName>
    <definedName name="LCSAND2">#REF!</definedName>
    <definedName name="LCSAND3" localSheetId="7">#REF!</definedName>
    <definedName name="LCSAND3" localSheetId="47">#REF!</definedName>
    <definedName name="LCSAND3" localSheetId="1">#REF!</definedName>
    <definedName name="LCSAND3">#REF!</definedName>
    <definedName name="LCSAND6" localSheetId="7">#REF!</definedName>
    <definedName name="LCSAND6" localSheetId="47">#REF!</definedName>
    <definedName name="LCSAND6" localSheetId="1">#REF!</definedName>
    <definedName name="LCSAND6">#REF!</definedName>
    <definedName name="lean" localSheetId="7">#REF!</definedName>
    <definedName name="lean" localSheetId="47">#REF!</definedName>
    <definedName name="lean" localSheetId="1">#REF!</definedName>
    <definedName name="lean">#REF!</definedName>
    <definedName name="lef" localSheetId="7">#REF!</definedName>
    <definedName name="lef" localSheetId="47">#REF!</definedName>
    <definedName name="lef" localSheetId="1">#REF!</definedName>
    <definedName name="lef">#REF!</definedName>
    <definedName name="Leff">[64]basdat!$D$4</definedName>
    <definedName name="lel" localSheetId="7">#REF!</definedName>
    <definedName name="lel" localSheetId="47">#REF!</definedName>
    <definedName name="lel" localSheetId="1">#REF!</definedName>
    <definedName name="lel">#REF!</definedName>
    <definedName name="len" localSheetId="7">#REF!</definedName>
    <definedName name="len" localSheetId="47">#REF!</definedName>
    <definedName name="len" localSheetId="1">#REF!</definedName>
    <definedName name="len">#REF!</definedName>
    <definedName name="LGSB1" localSheetId="7">#REF!</definedName>
    <definedName name="LGSB1" localSheetId="47">#REF!</definedName>
    <definedName name="LGSB1" localSheetId="1">#REF!</definedName>
    <definedName name="LGSB1">#REF!</definedName>
    <definedName name="LGSB2" localSheetId="7">#REF!</definedName>
    <definedName name="LGSB2" localSheetId="47">#REF!</definedName>
    <definedName name="LGSB2" localSheetId="1">#REF!</definedName>
    <definedName name="LGSB2">#REF!</definedName>
    <definedName name="LGSB3" localSheetId="7">#REF!</definedName>
    <definedName name="LGSB3" localSheetId="47">#REF!</definedName>
    <definedName name="LGSB3" localSheetId="1">#REF!</definedName>
    <definedName name="LGSB3">#REF!</definedName>
    <definedName name="LGSB4" localSheetId="7">#REF!</definedName>
    <definedName name="LGSB4" localSheetId="47">#REF!</definedName>
    <definedName name="LGSB4" localSheetId="1">#REF!</definedName>
    <definedName name="LGSB4">#REF!</definedName>
    <definedName name="LGSB5" localSheetId="7">#REF!</definedName>
    <definedName name="LGSB5" localSheetId="47">#REF!</definedName>
    <definedName name="LGSB5" localSheetId="1">#REF!</definedName>
    <definedName name="LGSB5">#REF!</definedName>
    <definedName name="LGSB6" localSheetId="7">#REF!</definedName>
    <definedName name="LGSB6" localSheetId="47">#REF!</definedName>
    <definedName name="LGSB6" localSheetId="1">#REF!</definedName>
    <definedName name="LGSB6">#REF!</definedName>
    <definedName name="limcount" hidden="1">1</definedName>
    <definedName name="LINE1" localSheetId="7">#REF!</definedName>
    <definedName name="LINE1" localSheetId="47">#REF!</definedName>
    <definedName name="LINE1" localSheetId="1">#REF!</definedName>
    <definedName name="LINE1">#REF!</definedName>
    <definedName name="lk" localSheetId="7" hidden="1">{#N/A,#N/A,FALSE,"CCTV"}</definedName>
    <definedName name="lk" localSheetId="47" hidden="1">{#N/A,#N/A,FALSE,"CCTV"}</definedName>
    <definedName name="lk" localSheetId="1" hidden="1">{#N/A,#N/A,FALSE,"CCTV"}</definedName>
    <definedName name="lk" hidden="1">{#N/A,#N/A,FALSE,"CCTV"}</definedName>
    <definedName name="LL" localSheetId="7">#REF!</definedName>
    <definedName name="LL" localSheetId="47">#REF!</definedName>
    <definedName name="LL" localSheetId="1">#REF!</definedName>
    <definedName name="LL">#REF!</definedName>
    <definedName name="llllllllllllllllllll" localSheetId="7">#REF!</definedName>
    <definedName name="llllllllllllllllllll" localSheetId="47">#REF!</definedName>
    <definedName name="llllllllllllllllllll" localSheetId="1">#REF!</definedName>
    <definedName name="llllllllllllllllllll">#REF!</definedName>
    <definedName name="LMPAMT">[76]R2!$G$39:$G$86</definedName>
    <definedName name="LMPO1">[76]R2!$C$10</definedName>
    <definedName name="LMPRT">[76]R2!$F$39:$F$86</definedName>
    <definedName name="LMPSUM">[76]R2!$G$87</definedName>
    <definedName name="LMPTOT">[76]R2!$C$5</definedName>
    <definedName name="LMUR1" localSheetId="7">#REF!</definedName>
    <definedName name="LMUR1" localSheetId="47">#REF!</definedName>
    <definedName name="LMUR1" localSheetId="1">#REF!</definedName>
    <definedName name="LMUR1">#REF!</definedName>
    <definedName name="LMUR2" localSheetId="7">#REF!</definedName>
    <definedName name="LMUR2" localSheetId="47">#REF!</definedName>
    <definedName name="LMUR2" localSheetId="1">#REF!</definedName>
    <definedName name="LMUR2">#REF!</definedName>
    <definedName name="LMUR3" localSheetId="7">#REF!</definedName>
    <definedName name="LMUR3" localSheetId="47">#REF!</definedName>
    <definedName name="LMUR3" localSheetId="1">#REF!</definedName>
    <definedName name="LMUR3">#REF!</definedName>
    <definedName name="LMUR4" localSheetId="7">#REF!</definedName>
    <definedName name="LMUR4" localSheetId="47">#REF!</definedName>
    <definedName name="LMUR4" localSheetId="1">#REF!</definedName>
    <definedName name="LMUR4">#REF!</definedName>
    <definedName name="LMUR5" localSheetId="7">#REF!</definedName>
    <definedName name="LMUR5" localSheetId="47">#REF!</definedName>
    <definedName name="LMUR5" localSheetId="1">#REF!</definedName>
    <definedName name="LMUR5">#REF!</definedName>
    <definedName name="LMUR6" localSheetId="7">#REF!</definedName>
    <definedName name="LMUR6" localSheetId="47">#REF!</definedName>
    <definedName name="LMUR6" localSheetId="1">#REF!</definedName>
    <definedName name="LMUR6">#REF!</definedName>
    <definedName name="LOAD" localSheetId="7">#REF!</definedName>
    <definedName name="LOAD" localSheetId="47">#REF!</definedName>
    <definedName name="LOAD" localSheetId="1">#REF!</definedName>
    <definedName name="LOAD">#REF!</definedName>
    <definedName name="LOCO">'[4]Cost of O &amp; O'!$F$40</definedName>
    <definedName name="Lr" localSheetId="7">#REF!</definedName>
    <definedName name="Lr" localSheetId="47">#REF!</definedName>
    <definedName name="Lr" localSheetId="1">#REF!</definedName>
    <definedName name="Lr">#REF!</definedName>
    <definedName name="Lr___0" localSheetId="7">#REF!</definedName>
    <definedName name="Lr___0" localSheetId="47">#REF!</definedName>
    <definedName name="Lr___0" localSheetId="1">#REF!</definedName>
    <definedName name="Lr___0">#REF!</definedName>
    <definedName name="Lr___13" localSheetId="7">#REF!</definedName>
    <definedName name="Lr___13" localSheetId="47">#REF!</definedName>
    <definedName name="Lr___13" localSheetId="1">#REF!</definedName>
    <definedName name="Lr___13">#REF!</definedName>
    <definedName name="LRUB1" localSheetId="7">#REF!</definedName>
    <definedName name="LRUB1" localSheetId="47">#REF!</definedName>
    <definedName name="LRUB1" localSheetId="1">#REF!</definedName>
    <definedName name="LRUB1">#REF!</definedName>
    <definedName name="LRUB2" localSheetId="7">#REF!</definedName>
    <definedName name="LRUB2" localSheetId="47">#REF!</definedName>
    <definedName name="LRUB2" localSheetId="1">#REF!</definedName>
    <definedName name="LRUB2">#REF!</definedName>
    <definedName name="LRUB3" localSheetId="7">#REF!</definedName>
    <definedName name="LRUB3" localSheetId="47">#REF!</definedName>
    <definedName name="LRUB3" localSheetId="1">#REF!</definedName>
    <definedName name="LRUB3">#REF!</definedName>
    <definedName name="LRUB4" localSheetId="7">#REF!</definedName>
    <definedName name="LRUB4" localSheetId="47">#REF!</definedName>
    <definedName name="LRUB4" localSheetId="1">#REF!</definedName>
    <definedName name="LRUB4">#REF!</definedName>
    <definedName name="LRUB5" localSheetId="7">#REF!</definedName>
    <definedName name="LRUB5" localSheetId="47">#REF!</definedName>
    <definedName name="LRUB5" localSheetId="1">#REF!</definedName>
    <definedName name="LRUB5">#REF!</definedName>
    <definedName name="LRUB6" localSheetId="7">#REF!</definedName>
    <definedName name="LRUB6" localSheetId="47">#REF!</definedName>
    <definedName name="LRUB6" localSheetId="1">#REF!</definedName>
    <definedName name="LRUB6">#REF!</definedName>
    <definedName name="LSAND1" localSheetId="7">#REF!</definedName>
    <definedName name="LSAND1" localSheetId="47">#REF!</definedName>
    <definedName name="LSAND1" localSheetId="1">#REF!</definedName>
    <definedName name="LSAND1">#REF!</definedName>
    <definedName name="LSAND2" localSheetId="7">#REF!</definedName>
    <definedName name="LSAND2" localSheetId="47">#REF!</definedName>
    <definedName name="LSAND2" localSheetId="1">#REF!</definedName>
    <definedName name="LSAND2">#REF!</definedName>
    <definedName name="LSAND3" localSheetId="7">#REF!</definedName>
    <definedName name="LSAND3" localSheetId="47">#REF!</definedName>
    <definedName name="LSAND3" localSheetId="1">#REF!</definedName>
    <definedName name="LSAND3">#REF!</definedName>
    <definedName name="LSAND6" localSheetId="7">#REF!</definedName>
    <definedName name="LSAND6" localSheetId="47">#REF!</definedName>
    <definedName name="LSAND6" localSheetId="1">#REF!</definedName>
    <definedName name="LSAND6">#REF!</definedName>
    <definedName name="LSANDB1" localSheetId="7">#REF!</definedName>
    <definedName name="LSANDB1" localSheetId="47">#REF!</definedName>
    <definedName name="LSANDB1" localSheetId="1">#REF!</definedName>
    <definedName name="LSANDB1">#REF!</definedName>
    <definedName name="LSANDB2" localSheetId="7">#REF!</definedName>
    <definedName name="LSANDB2" localSheetId="47">#REF!</definedName>
    <definedName name="LSANDB2" localSheetId="1">#REF!</definedName>
    <definedName name="LSANDB2">#REF!</definedName>
    <definedName name="LSANDB3" localSheetId="7">#REF!</definedName>
    <definedName name="LSANDB3" localSheetId="47">#REF!</definedName>
    <definedName name="LSANDB3" localSheetId="1">#REF!</definedName>
    <definedName name="LSANDB3">#REF!</definedName>
    <definedName name="LSANDB4" localSheetId="7">#REF!</definedName>
    <definedName name="LSANDB4" localSheetId="47">#REF!</definedName>
    <definedName name="LSANDB4" localSheetId="1">#REF!</definedName>
    <definedName name="LSANDB4">#REF!</definedName>
    <definedName name="LSANDB5" localSheetId="7">#REF!</definedName>
    <definedName name="LSANDB5" localSheetId="47">#REF!</definedName>
    <definedName name="LSANDB5" localSheetId="1">#REF!</definedName>
    <definedName name="LSANDB5">#REF!</definedName>
    <definedName name="LSANDB6" localSheetId="7">#REF!</definedName>
    <definedName name="LSANDB6" localSheetId="47">#REF!</definedName>
    <definedName name="LSANDB6" localSheetId="1">#REF!</definedName>
    <definedName name="LSANDB6">#REF!</definedName>
    <definedName name="LSANDR1" localSheetId="7">#REF!</definedName>
    <definedName name="LSANDR1" localSheetId="47">#REF!</definedName>
    <definedName name="LSANDR1" localSheetId="1">#REF!</definedName>
    <definedName name="LSANDR1">#REF!</definedName>
    <definedName name="LSANDR2" localSheetId="7">#REF!</definedName>
    <definedName name="LSANDR2" localSheetId="47">#REF!</definedName>
    <definedName name="LSANDR2" localSheetId="1">#REF!</definedName>
    <definedName name="LSANDR2">#REF!</definedName>
    <definedName name="LSANDR3" localSheetId="7">#REF!</definedName>
    <definedName name="LSANDR3" localSheetId="47">#REF!</definedName>
    <definedName name="LSANDR3" localSheetId="1">#REF!</definedName>
    <definedName name="LSANDR3">#REF!</definedName>
    <definedName name="LSANDR4" localSheetId="7">#REF!</definedName>
    <definedName name="LSANDR4" localSheetId="47">#REF!</definedName>
    <definedName name="LSANDR4" localSheetId="1">#REF!</definedName>
    <definedName name="LSANDR4">#REF!</definedName>
    <definedName name="LSANDR5" localSheetId="7">#REF!</definedName>
    <definedName name="LSANDR5" localSheetId="47">#REF!</definedName>
    <definedName name="LSANDR5" localSheetId="1">#REF!</definedName>
    <definedName name="LSANDR5">#REF!</definedName>
    <definedName name="LSANDR6" localSheetId="7">#REF!</definedName>
    <definedName name="LSANDR6" localSheetId="47">#REF!</definedName>
    <definedName name="LSANDR6" localSheetId="1">#REF!</definedName>
    <definedName name="LSANDR6">#REF!</definedName>
    <definedName name="lt" localSheetId="7">'[106]Pier Design(with offset)'!#REF!</definedName>
    <definedName name="lt" localSheetId="47">'[106]Pier Design(with offset)'!#REF!</definedName>
    <definedName name="lt" localSheetId="1">'[106]Pier Design(with offset)'!#REF!</definedName>
    <definedName name="lt">'[106]Pier Design(with offset)'!#REF!</definedName>
    <definedName name="ltr" localSheetId="7">'[109]Pier Design(with offset)'!#REF!</definedName>
    <definedName name="ltr" localSheetId="47">'[109]Pier Design(with offset)'!#REF!</definedName>
    <definedName name="ltr" localSheetId="1">'[109]Pier Design(with offset)'!#REF!</definedName>
    <definedName name="ltr">'[109]Pier Design(with offset)'!#REF!</definedName>
    <definedName name="LUMEN" localSheetId="7">#REF!</definedName>
    <definedName name="LUMEN" localSheetId="47">#REF!</definedName>
    <definedName name="LUMEN" localSheetId="1">#REF!</definedName>
    <definedName name="LUMEN">#REF!</definedName>
    <definedName name="LUMEN___0" localSheetId="7">#REF!</definedName>
    <definedName name="LUMEN___0" localSheetId="47">#REF!</definedName>
    <definedName name="LUMEN___0" localSheetId="1">#REF!</definedName>
    <definedName name="LUMEN___0">#REF!</definedName>
    <definedName name="LUMEN___13" localSheetId="7">#REF!</definedName>
    <definedName name="LUMEN___13" localSheetId="47">#REF!</definedName>
    <definedName name="LUMEN___13" localSheetId="1">#REF!</definedName>
    <definedName name="LUMEN___13">#REF!</definedName>
    <definedName name="LUX" localSheetId="7">#REF!</definedName>
    <definedName name="LUX" localSheetId="47">#REF!</definedName>
    <definedName name="LUX" localSheetId="1">#REF!</definedName>
    <definedName name="LUX">#REF!</definedName>
    <definedName name="LUX___0" localSheetId="7">#REF!</definedName>
    <definedName name="LUX___0" localSheetId="47">#REF!</definedName>
    <definedName name="LUX___0" localSheetId="1">#REF!</definedName>
    <definedName name="LUX___0">#REF!</definedName>
    <definedName name="LUX___13" localSheetId="7">#REF!</definedName>
    <definedName name="LUX___13" localSheetId="47">#REF!</definedName>
    <definedName name="LUX___13" localSheetId="1">#REF!</definedName>
    <definedName name="LUX___13">#REF!</definedName>
    <definedName name="LV" localSheetId="7">#REF!</definedName>
    <definedName name="LV" localSheetId="47">#REF!</definedName>
    <definedName name="LV" localSheetId="1">#REF!</definedName>
    <definedName name="LV">#REF!</definedName>
    <definedName name="LWHの送信">[121]!LWHの送信</definedName>
    <definedName name="LWMM" localSheetId="7">#REF!</definedName>
    <definedName name="LWMM" localSheetId="47">#REF!</definedName>
    <definedName name="LWMM" localSheetId="1">#REF!</definedName>
    <definedName name="LWMM">#REF!</definedName>
    <definedName name="LWSALES" localSheetId="7">#REF!</definedName>
    <definedName name="LWSALES" localSheetId="47">#REF!</definedName>
    <definedName name="LWSALES" localSheetId="1">#REF!</definedName>
    <definedName name="LWSALES">#REF!</definedName>
    <definedName name="lx" localSheetId="7">#REF!</definedName>
    <definedName name="lx" localSheetId="47">#REF!</definedName>
    <definedName name="lx" localSheetId="1">#REF!</definedName>
    <definedName name="lx">#REF!</definedName>
    <definedName name="Lx___0" localSheetId="7">#REF!</definedName>
    <definedName name="Lx___0" localSheetId="47">#REF!</definedName>
    <definedName name="Lx___0" localSheetId="1">#REF!</definedName>
    <definedName name="Lx___0">#REF!</definedName>
    <definedName name="Lx___13" localSheetId="7">#REF!</definedName>
    <definedName name="Lx___13" localSheetId="47">#REF!</definedName>
    <definedName name="Lx___13" localSheetId="1">#REF!</definedName>
    <definedName name="Lx___13">#REF!</definedName>
    <definedName name="ly" localSheetId="7">#REF!</definedName>
    <definedName name="ly" localSheetId="47">#REF!</definedName>
    <definedName name="ly" localSheetId="1">#REF!</definedName>
    <definedName name="ly">#REF!</definedName>
    <definedName name="LYBin" localSheetId="7">#REF!</definedName>
    <definedName name="LYBin" localSheetId="47">#REF!</definedName>
    <definedName name="LYBin" localSheetId="1">#REF!</definedName>
    <definedName name="LYBin">#REF!</definedName>
    <definedName name="LYHolds" localSheetId="7">#REF!</definedName>
    <definedName name="LYHolds" localSheetId="47">#REF!</definedName>
    <definedName name="LYHolds" localSheetId="1">#REF!</definedName>
    <definedName name="LYHolds">#REF!</definedName>
    <definedName name="LYNet" localSheetId="7">#REF!</definedName>
    <definedName name="LYNet" localSheetId="47">#REF!</definedName>
    <definedName name="LYNet" localSheetId="1">#REF!</definedName>
    <definedName name="LYNet">#REF!</definedName>
    <definedName name="LYoos" localSheetId="7">#REF!</definedName>
    <definedName name="LYoos" localSheetId="47">#REF!</definedName>
    <definedName name="LYoos" localSheetId="1">#REF!</definedName>
    <definedName name="LYoos">#REF!</definedName>
    <definedName name="LYReselects" localSheetId="7">#REF!</definedName>
    <definedName name="LYReselects" localSheetId="47">#REF!</definedName>
    <definedName name="LYReselects" localSheetId="1">#REF!</definedName>
    <definedName name="LYReselects">#REF!</definedName>
    <definedName name="LYReturns" localSheetId="7">#REF!</definedName>
    <definedName name="LYReturns" localSheetId="47">#REF!</definedName>
    <definedName name="LYReturns" localSheetId="1">#REF!</definedName>
    <definedName name="LYReturns">#REF!</definedName>
    <definedName name="LYSales" localSheetId="7">#REF!</definedName>
    <definedName name="LYSales" localSheetId="47">#REF!</definedName>
    <definedName name="LYSales" localSheetId="1">#REF!</definedName>
    <definedName name="LYSales">#REF!</definedName>
    <definedName name="LYTotal" localSheetId="7">#REF!</definedName>
    <definedName name="LYTotal" localSheetId="47">#REF!</definedName>
    <definedName name="LYTotal" localSheetId="1">#REF!</definedName>
    <definedName name="LYTotal">#REF!</definedName>
    <definedName name="m" localSheetId="7">#REF!</definedName>
    <definedName name="m" localSheetId="47">#REF!</definedName>
    <definedName name="m" localSheetId="1">#REF!</definedName>
    <definedName name="m">#REF!</definedName>
    <definedName name="m___0" localSheetId="7">#REF!</definedName>
    <definedName name="m___0" localSheetId="47">#REF!</definedName>
    <definedName name="m___0" localSheetId="1">#REF!</definedName>
    <definedName name="m___0">#REF!</definedName>
    <definedName name="m___13" localSheetId="7">#REF!</definedName>
    <definedName name="m___13" localSheetId="47">#REF!</definedName>
    <definedName name="m___13" localSheetId="1">#REF!</definedName>
    <definedName name="m___13">#REF!</definedName>
    <definedName name="m1.5bgl" localSheetId="7">#REF!</definedName>
    <definedName name="m1.5bgl" localSheetId="47">#REF!</definedName>
    <definedName name="m1.5bgl" localSheetId="1">#REF!</definedName>
    <definedName name="m1.5bgl">#REF!</definedName>
    <definedName name="m10.98agl" localSheetId="7">#REF!</definedName>
    <definedName name="m10.98agl" localSheetId="47">#REF!</definedName>
    <definedName name="m10.98agl" localSheetId="1">#REF!</definedName>
    <definedName name="m10.98agl">#REF!</definedName>
    <definedName name="m10.98bgl" localSheetId="7">#REF!</definedName>
    <definedName name="m10.98bgl" localSheetId="47">#REF!</definedName>
    <definedName name="m10.98bgl" localSheetId="1">#REF!</definedName>
    <definedName name="m10.98bgl">#REF!</definedName>
    <definedName name="M10cement" localSheetId="7">#REF!</definedName>
    <definedName name="M10cement" localSheetId="47">#REF!</definedName>
    <definedName name="M10cement" localSheetId="1">#REF!</definedName>
    <definedName name="M10cement">#REF!</definedName>
    <definedName name="m14.64agl" localSheetId="7">#REF!</definedName>
    <definedName name="m14.64agl" localSheetId="47">#REF!</definedName>
    <definedName name="m14.64agl" localSheetId="1">#REF!</definedName>
    <definedName name="m14.64agl">#REF!</definedName>
    <definedName name="m14.64bgl" localSheetId="7">#REF!</definedName>
    <definedName name="m14.64bgl" localSheetId="47">#REF!</definedName>
    <definedName name="m14.64bgl" localSheetId="1">#REF!</definedName>
    <definedName name="m14.64bgl">#REF!</definedName>
    <definedName name="M15cement" localSheetId="7">#REF!</definedName>
    <definedName name="M15cement" localSheetId="47">#REF!</definedName>
    <definedName name="M15cement" localSheetId="1">#REF!</definedName>
    <definedName name="M15cement">#REF!</definedName>
    <definedName name="M15Grd" localSheetId="7">#REF!</definedName>
    <definedName name="M15Grd" localSheetId="47">#REF!</definedName>
    <definedName name="M15Grd" localSheetId="1">#REF!</definedName>
    <definedName name="M15Grd">#REF!</definedName>
    <definedName name="m18.3agl" localSheetId="7">#REF!</definedName>
    <definedName name="m18.3agl" localSheetId="47">#REF!</definedName>
    <definedName name="m18.3agl" localSheetId="1">#REF!</definedName>
    <definedName name="m18.3agl">#REF!</definedName>
    <definedName name="m18.3bgl" localSheetId="7">#REF!</definedName>
    <definedName name="m18.3bgl" localSheetId="47">#REF!</definedName>
    <definedName name="m18.3bgl" localSheetId="1">#REF!</definedName>
    <definedName name="m18.3bgl">#REF!</definedName>
    <definedName name="M20Grd" localSheetId="7">#REF!</definedName>
    <definedName name="M20Grd" localSheetId="47">#REF!</definedName>
    <definedName name="M20Grd" localSheetId="1">#REF!</definedName>
    <definedName name="M20Grd">#REF!</definedName>
    <definedName name="M20PCCcement" localSheetId="7">#REF!</definedName>
    <definedName name="M20PCCcement" localSheetId="47">#REF!</definedName>
    <definedName name="M20PCCcement" localSheetId="1">#REF!</definedName>
    <definedName name="M20PCCcement">#REF!</definedName>
    <definedName name="M20RCCcement" localSheetId="7">#REF!</definedName>
    <definedName name="M20RCCcement" localSheetId="47">#REF!</definedName>
    <definedName name="M20RCCcement" localSheetId="1">#REF!</definedName>
    <definedName name="M20RCCcement">#REF!</definedName>
    <definedName name="m21.96agl" localSheetId="7">#REF!</definedName>
    <definedName name="m21.96agl" localSheetId="47">#REF!</definedName>
    <definedName name="m21.96agl" localSheetId="1">#REF!</definedName>
    <definedName name="m21.96agl">#REF!</definedName>
    <definedName name="m21.96bgl" localSheetId="7">#REF!</definedName>
    <definedName name="m21.96bgl" localSheetId="47">#REF!</definedName>
    <definedName name="m21.96bgl" localSheetId="1">#REF!</definedName>
    <definedName name="m21.96bgl">#REF!</definedName>
    <definedName name="M25Grd" localSheetId="7">#REF!</definedName>
    <definedName name="M25Grd" localSheetId="47">#REF!</definedName>
    <definedName name="M25Grd" localSheetId="1">#REF!</definedName>
    <definedName name="M25Grd">#REF!</definedName>
    <definedName name="M25PCCcement" localSheetId="7">#REF!</definedName>
    <definedName name="M25PCCcement" localSheetId="47">#REF!</definedName>
    <definedName name="M25PCCcement" localSheetId="1">#REF!</definedName>
    <definedName name="M25PCCcement">#REF!</definedName>
    <definedName name="M25RCCcement" localSheetId="7">#REF!</definedName>
    <definedName name="M25RCCcement" localSheetId="47">#REF!</definedName>
    <definedName name="M25RCCcement" localSheetId="1">#REF!</definedName>
    <definedName name="M25RCCcement">#REF!</definedName>
    <definedName name="M30cement" localSheetId="7">#REF!</definedName>
    <definedName name="M30cement" localSheetId="47">#REF!</definedName>
    <definedName name="M30cement" localSheetId="1">#REF!</definedName>
    <definedName name="M30cement">#REF!</definedName>
    <definedName name="M30Grd" localSheetId="7">#REF!</definedName>
    <definedName name="M30Grd" localSheetId="47">#REF!</definedName>
    <definedName name="M30Grd" localSheetId="1">#REF!</definedName>
    <definedName name="M30Grd">#REF!</definedName>
    <definedName name="M35cement" localSheetId="7">#REF!</definedName>
    <definedName name="M35cement" localSheetId="47">#REF!</definedName>
    <definedName name="M35cement" localSheetId="1">#REF!</definedName>
    <definedName name="M35cement">#REF!</definedName>
    <definedName name="M35PILE" localSheetId="7">'[4]Mix Design'!#REF!</definedName>
    <definedName name="M35PILE" localSheetId="47">'[4]Mix Design'!#REF!</definedName>
    <definedName name="M35PILE" localSheetId="1">'[4]Mix Design'!#REF!</definedName>
    <definedName name="M35PILE">'[4]Mix Design'!#REF!</definedName>
    <definedName name="m4.5agl" localSheetId="7">#REF!</definedName>
    <definedName name="m4.5agl" localSheetId="47">#REF!</definedName>
    <definedName name="m4.5agl" localSheetId="1">#REF!</definedName>
    <definedName name="m4.5agl">#REF!</definedName>
    <definedName name="m4.5bgl" localSheetId="7">#REF!</definedName>
    <definedName name="m4.5bgl" localSheetId="47">#REF!</definedName>
    <definedName name="m4.5bgl" localSheetId="1">#REF!</definedName>
    <definedName name="m4.5bgl">#REF!</definedName>
    <definedName name="M40cement" localSheetId="7">#REF!</definedName>
    <definedName name="M40cement" localSheetId="47">#REF!</definedName>
    <definedName name="M40cement" localSheetId="1">#REF!</definedName>
    <definedName name="M40cement">#REF!</definedName>
    <definedName name="M50cement" localSheetId="7">#REF!</definedName>
    <definedName name="M50cement" localSheetId="47">#REF!</definedName>
    <definedName name="M50cement" localSheetId="1">#REF!</definedName>
    <definedName name="M50cement">#REF!</definedName>
    <definedName name="m7.32agl" localSheetId="7">#REF!</definedName>
    <definedName name="m7.32agl" localSheetId="47">#REF!</definedName>
    <definedName name="m7.32agl" localSheetId="1">#REF!</definedName>
    <definedName name="m7.32agl">#REF!</definedName>
    <definedName name="m7.32bgl" localSheetId="7">#REF!</definedName>
    <definedName name="m7.32bgl" localSheetId="47">#REF!</definedName>
    <definedName name="m7.32bgl" localSheetId="1">#REF!</definedName>
    <definedName name="m7.32bgl">#REF!</definedName>
    <definedName name="Ma" localSheetId="7">'[104]purpose&amp;input'!#REF!</definedName>
    <definedName name="Ma" localSheetId="47">'[104]purpose&amp;input'!#REF!</definedName>
    <definedName name="Ma" localSheetId="1">'[104]purpose&amp;input'!#REF!</definedName>
    <definedName name="Ma">'[104]purpose&amp;input'!#REF!</definedName>
    <definedName name="Ma_v" localSheetId="7">'[104]purpose&amp;input'!#REF!</definedName>
    <definedName name="Ma_v" localSheetId="47">'[104]purpose&amp;input'!#REF!</definedName>
    <definedName name="Ma_v" localSheetId="1">'[104]purpose&amp;input'!#REF!</definedName>
    <definedName name="Ma_v">'[104]purpose&amp;input'!#REF!</definedName>
    <definedName name="mac">75</definedName>
    <definedName name="machinery">[91]Analysis!$C$18</definedName>
    <definedName name="man" localSheetId="7">#REF!</definedName>
    <definedName name="man" localSheetId="47">#REF!</definedName>
    <definedName name="man" localSheetId="1">#REF!</definedName>
    <definedName name="man">#REF!</definedName>
    <definedName name="man___0" localSheetId="7">#REF!</definedName>
    <definedName name="man___0" localSheetId="47">#REF!</definedName>
    <definedName name="man___0" localSheetId="1">#REF!</definedName>
    <definedName name="man___0">#REF!</definedName>
    <definedName name="man___11" localSheetId="7">#REF!</definedName>
    <definedName name="man___11" localSheetId="47">#REF!</definedName>
    <definedName name="man___11" localSheetId="1">#REF!</definedName>
    <definedName name="man___11">#REF!</definedName>
    <definedName name="man___12" localSheetId="7">#REF!</definedName>
    <definedName name="man___12" localSheetId="47">#REF!</definedName>
    <definedName name="man___12" localSheetId="1">#REF!</definedName>
    <definedName name="man___12">#REF!</definedName>
    <definedName name="MAN_DAY">[49]PIPING!$L$6:$L$105</definedName>
    <definedName name="manday1" localSheetId="7">#REF!</definedName>
    <definedName name="manday1" localSheetId="47">#REF!</definedName>
    <definedName name="manday1" localSheetId="1">#REF!</definedName>
    <definedName name="manday1">#REF!</definedName>
    <definedName name="manday1___0" localSheetId="7">#REF!</definedName>
    <definedName name="manday1___0" localSheetId="47">#REF!</definedName>
    <definedName name="manday1___0" localSheetId="1">#REF!</definedName>
    <definedName name="manday1___0">#REF!</definedName>
    <definedName name="manday1___11" localSheetId="7">#REF!</definedName>
    <definedName name="manday1___11" localSheetId="47">#REF!</definedName>
    <definedName name="manday1___11" localSheetId="1">#REF!</definedName>
    <definedName name="manday1___11">#REF!</definedName>
    <definedName name="manday1___12" localSheetId="7">#REF!</definedName>
    <definedName name="manday1___12" localSheetId="47">#REF!</definedName>
    <definedName name="manday1___12" localSheetId="1">#REF!</definedName>
    <definedName name="manday1___12">#REF!</definedName>
    <definedName name="manpower_details" localSheetId="7">#REF!</definedName>
    <definedName name="manpower_details" localSheetId="47">#REF!</definedName>
    <definedName name="manpower_details" localSheetId="1">#REF!</definedName>
    <definedName name="manpower_details">#REF!</definedName>
    <definedName name="march_qty" localSheetId="7">#REF!</definedName>
    <definedName name="march_qty" localSheetId="47">#REF!</definedName>
    <definedName name="march_qty" localSheetId="1">#REF!</definedName>
    <definedName name="march_qty">#REF!</definedName>
    <definedName name="MARGINPLAN" localSheetId="7">#REF!</definedName>
    <definedName name="MARGINPLAN" localSheetId="47">#REF!</definedName>
    <definedName name="MARGINPLAN" localSheetId="1">#REF!</definedName>
    <definedName name="MARGINPLAN">#REF!</definedName>
    <definedName name="MARGINPROJ" localSheetId="7">#REF!</definedName>
    <definedName name="MARGINPROJ" localSheetId="47">#REF!</definedName>
    <definedName name="MARGINPROJ" localSheetId="1">#REF!</definedName>
    <definedName name="MARGINPROJ">#REF!</definedName>
    <definedName name="marjin" localSheetId="7">'[82]boq ht'!#REF!</definedName>
    <definedName name="marjin" localSheetId="47">'[82]boq ht'!#REF!</definedName>
    <definedName name="marjin" localSheetId="1">'[82]boq ht'!#REF!</definedName>
    <definedName name="marjin">'[82]boq ht'!#REF!</definedName>
    <definedName name="mason">'[22]Rates Basic'!$D$3</definedName>
    <definedName name="materials" localSheetId="7">#REF!</definedName>
    <definedName name="materials" localSheetId="47">#REF!</definedName>
    <definedName name="materials" localSheetId="1">#REF!</definedName>
    <definedName name="materials">#REF!</definedName>
    <definedName name="MATL">[49]PIPING!$AL$7:$AN$221</definedName>
    <definedName name="MATL_CLASS">[49]PIPING!$AC$6:$AC$105</definedName>
    <definedName name="MATL1">'[34]CODE-STR'!$A$3:$B$40</definedName>
    <definedName name="MaxSNo">[54]Data!$J$3</definedName>
    <definedName name="MAZ" localSheetId="7">#REF!</definedName>
    <definedName name="MAZ" localSheetId="47">#REF!</definedName>
    <definedName name="MAZ" localSheetId="1">#REF!</definedName>
    <definedName name="MAZ">#REF!</definedName>
    <definedName name="Mb" localSheetId="7">'[104]purpose&amp;input'!#REF!</definedName>
    <definedName name="Mb" localSheetId="47">'[104]purpose&amp;input'!#REF!</definedName>
    <definedName name="Mb" localSheetId="1">'[104]purpose&amp;input'!#REF!</definedName>
    <definedName name="Mb">'[104]purpose&amp;input'!#REF!</definedName>
    <definedName name="Mb_v" localSheetId="7">'[104]purpose&amp;input'!#REF!</definedName>
    <definedName name="Mb_v" localSheetId="47">'[104]purpose&amp;input'!#REF!</definedName>
    <definedName name="Mb_v" localSheetId="1">'[104]purpose&amp;input'!#REF!</definedName>
    <definedName name="Mb_v">'[104]purpose&amp;input'!#REF!</definedName>
    <definedName name="MBIT" localSheetId="7">#REF!</definedName>
    <definedName name="MBIT" localSheetId="47">#REF!</definedName>
    <definedName name="MBIT" localSheetId="1">#REF!</definedName>
    <definedName name="MBIT">#REF!</definedName>
    <definedName name="Mc" localSheetId="7">#REF!</definedName>
    <definedName name="Mc" localSheetId="47">#REF!</definedName>
    <definedName name="Mc" localSheetId="1">#REF!</definedName>
    <definedName name="Mc">#REF!</definedName>
    <definedName name="Mc_v" localSheetId="7">#REF!</definedName>
    <definedName name="Mc_v" localSheetId="47">#REF!</definedName>
    <definedName name="Mc_v" localSheetId="1">#REF!</definedName>
    <definedName name="Mc_v">#REF!</definedName>
    <definedName name="MCAR">'[4]Cost of O &amp; O'!$F$41</definedName>
    <definedName name="MCBDB" localSheetId="7">{#N/A,#N/A,FALSE,"mpph1";#N/A,#N/A,FALSE,"mpmseb";#N/A,#N/A,FALSE,"mpph2"}</definedName>
    <definedName name="MCBDB" localSheetId="47">{#N/A,#N/A,FALSE,"mpph1";#N/A,#N/A,FALSE,"mpmseb";#N/A,#N/A,FALSE,"mpph2"}</definedName>
    <definedName name="MCBDB" localSheetId="1">{#N/A,#N/A,FALSE,"mpph1";#N/A,#N/A,FALSE,"mpmseb";#N/A,#N/A,FALSE,"mpph2"}</definedName>
    <definedName name="MCBDB">{#N/A,#N/A,FALSE,"mpph1";#N/A,#N/A,FALSE,"mpmseb";#N/A,#N/A,FALSE,"mpph2"}</definedName>
    <definedName name="Mcbdo" localSheetId="7">#REF!</definedName>
    <definedName name="Mcbdo" localSheetId="47">#REF!</definedName>
    <definedName name="Mcbdo" localSheetId="1">#REF!</definedName>
    <definedName name="Mcbdo">#REF!</definedName>
    <definedName name="MCOOK" localSheetId="7">#REF!</definedName>
    <definedName name="MCOOK" localSheetId="47">#REF!</definedName>
    <definedName name="MCOOK" localSheetId="1">#REF!</definedName>
    <definedName name="MCOOK">#REF!</definedName>
    <definedName name="Mcwc" localSheetId="7">#REF!</definedName>
    <definedName name="Mcwc" localSheetId="47">#REF!</definedName>
    <definedName name="Mcwc" localSheetId="1">#REF!</definedName>
    <definedName name="Mcwc">#REF!</definedName>
    <definedName name="Mcws" localSheetId="7">#REF!</definedName>
    <definedName name="Mcws" localSheetId="47">#REF!</definedName>
    <definedName name="Mcws" localSheetId="1">#REF!</definedName>
    <definedName name="Mcws">#REF!</definedName>
    <definedName name="Md" localSheetId="7">#REF!</definedName>
    <definedName name="Md" localSheetId="47">#REF!</definedName>
    <definedName name="Md" localSheetId="1">#REF!</definedName>
    <definedName name="Md">#REF!</definedName>
    <definedName name="Md_v" localSheetId="7">#REF!</definedName>
    <definedName name="Md_v" localSheetId="47">#REF!</definedName>
    <definedName name="Md_v" localSheetId="1">#REF!</definedName>
    <definedName name="Md_v">#REF!</definedName>
    <definedName name="Me" localSheetId="7">#REF!</definedName>
    <definedName name="Me" localSheetId="47">#REF!</definedName>
    <definedName name="Me" localSheetId="1">#REF!</definedName>
    <definedName name="Me">#REF!</definedName>
    <definedName name="Me_v" localSheetId="7">#REF!</definedName>
    <definedName name="Me_v" localSheetId="47">#REF!</definedName>
    <definedName name="Me_v" localSheetId="1">#REF!</definedName>
    <definedName name="Me_v">#REF!</definedName>
    <definedName name="mech" localSheetId="7">#REF!</definedName>
    <definedName name="mech" localSheetId="47">#REF!</definedName>
    <definedName name="mech" localSheetId="1">#REF!</definedName>
    <definedName name="mech">#REF!</definedName>
    <definedName name="MET">[58]ANALYSIS!$C$9</definedName>
    <definedName name="METAL" localSheetId="7">#REF!</definedName>
    <definedName name="METAL" localSheetId="47">#REF!</definedName>
    <definedName name="METAL" localSheetId="1">#REF!</definedName>
    <definedName name="METAL">#REF!</definedName>
    <definedName name="Metal12mm">'[122]LOCAL RATES'!$H$28</definedName>
    <definedName name="Metal20mm">'[122]LOCAL RATES'!$H$27</definedName>
    <definedName name="Metal40mm">'[122]LOCAL RATES'!$H$26</definedName>
    <definedName name="Metal6mm">'[122]LOCAL RATES'!$H$29</definedName>
    <definedName name="MF" localSheetId="7">'[123]scour depth'!#REF!</definedName>
    <definedName name="MF" localSheetId="47">'[123]scour depth'!#REF!</definedName>
    <definedName name="MF" localSheetId="1">'[123]scour depth'!#REF!</definedName>
    <definedName name="MF">'[123]scour depth'!#REF!</definedName>
    <definedName name="MF___0" localSheetId="7">#REF!</definedName>
    <definedName name="MF___0" localSheetId="47">#REF!</definedName>
    <definedName name="MF___0" localSheetId="1">#REF!</definedName>
    <definedName name="MF___0">#REF!</definedName>
    <definedName name="MF___13" localSheetId="7">#REF!</definedName>
    <definedName name="MF___13" localSheetId="47">#REF!</definedName>
    <definedName name="MF___13" localSheetId="1">#REF!</definedName>
    <definedName name="MF___13">#REF!</definedName>
    <definedName name="Mf_v" localSheetId="7">#REF!</definedName>
    <definedName name="Mf_v" localSheetId="47">#REF!</definedName>
    <definedName name="Mf_v" localSheetId="1">#REF!</definedName>
    <definedName name="Mf_v">#REF!</definedName>
    <definedName name="mfg_process">[124]MFG_TAG!$A$1:$X$27</definedName>
    <definedName name="MFG_TAG">[125]Sheet1!$A$1:$X$27</definedName>
    <definedName name="Mg" localSheetId="7">#REF!</definedName>
    <definedName name="Mg" localSheetId="47">#REF!</definedName>
    <definedName name="Mg" localSheetId="1">#REF!</definedName>
    <definedName name="Mg">#REF!</definedName>
    <definedName name="Mg_v" localSheetId="7">#REF!</definedName>
    <definedName name="Mg_v" localSheetId="47">#REF!</definedName>
    <definedName name="Mg_v" localSheetId="1">#REF!</definedName>
    <definedName name="Mg_v">#REF!</definedName>
    <definedName name="Mh" localSheetId="7">#REF!</definedName>
    <definedName name="Mh" localSheetId="47">#REF!</definedName>
    <definedName name="Mh" localSheetId="1">#REF!</definedName>
    <definedName name="Mh">#REF!</definedName>
    <definedName name="Mh_v" localSheetId="7">#REF!</definedName>
    <definedName name="Mh_v" localSheetId="47">#REF!</definedName>
    <definedName name="Mh_v" localSheetId="1">#REF!</definedName>
    <definedName name="Mh_v">#REF!</definedName>
    <definedName name="Mhpc" localSheetId="7">'[104]purpose&amp;input'!#REF!:'[104]purpose&amp;input'!#REF!</definedName>
    <definedName name="Mhpc" localSheetId="47">'[104]purpose&amp;input'!#REF!:'[104]purpose&amp;input'!#REF!</definedName>
    <definedName name="Mhpc" localSheetId="1">'[104]purpose&amp;input'!#REF!:'[104]purpose&amp;input'!#REF!</definedName>
    <definedName name="Mhpc">'[104]purpose&amp;input'!#REF!:'[104]purpose&amp;input'!#REF!</definedName>
    <definedName name="Mhpipd" localSheetId="7">'[104]purpose&amp;input'!#REF!</definedName>
    <definedName name="Mhpipd" localSheetId="47">'[104]purpose&amp;input'!#REF!</definedName>
    <definedName name="Mhpipd" localSheetId="1">'[104]purpose&amp;input'!#REF!</definedName>
    <definedName name="Mhpipd">'[104]purpose&amp;input'!#REF!</definedName>
    <definedName name="Mhps" localSheetId="7">'[104]purpose&amp;input'!#REF!</definedName>
    <definedName name="Mhps" localSheetId="47">'[104]purpose&amp;input'!#REF!</definedName>
    <definedName name="Mhps" localSheetId="1">'[104]purpose&amp;input'!#REF!</definedName>
    <definedName name="Mhps">'[104]purpose&amp;input'!#REF!</definedName>
    <definedName name="MILD" localSheetId="7">#REF!</definedName>
    <definedName name="MILD" localSheetId="47">#REF!</definedName>
    <definedName name="MILD" localSheetId="1">#REF!</definedName>
    <definedName name="MILD">#REF!</definedName>
    <definedName name="MinSNo">[54]Data!$J$2</definedName>
    <definedName name="Mipc" localSheetId="7">'[104]purpose&amp;input'!#REF!:'[104]purpose&amp;input'!#REF!</definedName>
    <definedName name="Mipc" localSheetId="47">'[104]purpose&amp;input'!#REF!:'[104]purpose&amp;input'!#REF!</definedName>
    <definedName name="Mipc" localSheetId="1">'[104]purpose&amp;input'!#REF!:'[104]purpose&amp;input'!#REF!</definedName>
    <definedName name="Mipc">'[104]purpose&amp;input'!#REF!:'[104]purpose&amp;input'!#REF!</definedName>
    <definedName name="Mips" localSheetId="7">'[104]purpose&amp;input'!#REF!</definedName>
    <definedName name="Mips" localSheetId="47">'[104]purpose&amp;input'!#REF!</definedName>
    <definedName name="Mips" localSheetId="1">'[104]purpose&amp;input'!#REF!</definedName>
    <definedName name="Mips">'[104]purpose&amp;input'!#REF!</definedName>
    <definedName name="MISADN">[76]R2!$C$14</definedName>
    <definedName name="MIST" localSheetId="7">#REF!</definedName>
    <definedName name="MIST" localSheetId="47">#REF!</definedName>
    <definedName name="MIST" localSheetId="1">#REF!</definedName>
    <definedName name="MIST">#REF!</definedName>
    <definedName name="MIX" localSheetId="7">#REF!</definedName>
    <definedName name="MIX" localSheetId="47">#REF!</definedName>
    <definedName name="MIX" localSheetId="1">#REF!</definedName>
    <definedName name="MIX">#REF!</definedName>
    <definedName name="Mix_15">'[6]Mix Design'!$P$11</definedName>
    <definedName name="Mix_30">'[6]Mix Design'!$P$14</definedName>
    <definedName name="MIX10B" localSheetId="7">#REF!</definedName>
    <definedName name="MIX10B" localSheetId="47">#REF!</definedName>
    <definedName name="MIX10B" localSheetId="1">#REF!</definedName>
    <definedName name="MIX10B">#REF!</definedName>
    <definedName name="MIX10R" localSheetId="7">#REF!</definedName>
    <definedName name="MIX10R" localSheetId="47">#REF!</definedName>
    <definedName name="MIX10R" localSheetId="1">#REF!</definedName>
    <definedName name="MIX10R">#REF!</definedName>
    <definedName name="MIX15B" localSheetId="7">#REF!</definedName>
    <definedName name="MIX15B" localSheetId="47">#REF!</definedName>
    <definedName name="MIX15B" localSheetId="1">#REF!</definedName>
    <definedName name="MIX15B">#REF!</definedName>
    <definedName name="MIX15R" localSheetId="7">#REF!</definedName>
    <definedName name="MIX15R" localSheetId="47">#REF!</definedName>
    <definedName name="MIX15R" localSheetId="1">#REF!</definedName>
    <definedName name="MIX15R">#REF!</definedName>
    <definedName name="MIX20B" localSheetId="7">#REF!</definedName>
    <definedName name="MIX20B" localSheetId="47">#REF!</definedName>
    <definedName name="MIX20B" localSheetId="1">#REF!</definedName>
    <definedName name="MIX20B">#REF!</definedName>
    <definedName name="MIX20R" localSheetId="7">#REF!</definedName>
    <definedName name="MIX20R" localSheetId="47">#REF!</definedName>
    <definedName name="MIX20R" localSheetId="1">#REF!</definedName>
    <definedName name="MIX20R">#REF!</definedName>
    <definedName name="MIX25B" localSheetId="7">#REF!</definedName>
    <definedName name="MIX25B" localSheetId="47">#REF!</definedName>
    <definedName name="MIX25B" localSheetId="1">#REF!</definedName>
    <definedName name="MIX25B">#REF!</definedName>
    <definedName name="MIX25R" localSheetId="7">#REF!</definedName>
    <definedName name="MIX25R" localSheetId="47">#REF!</definedName>
    <definedName name="MIX25R" localSheetId="1">#REF!</definedName>
    <definedName name="MIX25R">#REF!</definedName>
    <definedName name="MIX30B" localSheetId="7">#REF!</definedName>
    <definedName name="MIX30B" localSheetId="47">#REF!</definedName>
    <definedName name="MIX30B" localSheetId="1">#REF!</definedName>
    <definedName name="MIX30B">#REF!</definedName>
    <definedName name="MIX30R" localSheetId="7">#REF!</definedName>
    <definedName name="MIX30R" localSheetId="47">#REF!</definedName>
    <definedName name="MIX30R" localSheetId="1">#REF!</definedName>
    <definedName name="MIX30R">#REF!</definedName>
    <definedName name="MIX35B" localSheetId="7">#REF!</definedName>
    <definedName name="MIX35B" localSheetId="47">#REF!</definedName>
    <definedName name="MIX35B" localSheetId="1">#REF!</definedName>
    <definedName name="MIX35B">#REF!</definedName>
    <definedName name="MIX35R" localSheetId="7">#REF!</definedName>
    <definedName name="MIX35R" localSheetId="47">#REF!</definedName>
    <definedName name="MIX35R" localSheetId="1">#REF!</definedName>
    <definedName name="MIX35R">#REF!</definedName>
    <definedName name="MIX40B" localSheetId="7">#REF!</definedName>
    <definedName name="MIX40B" localSheetId="47">#REF!</definedName>
    <definedName name="MIX40B" localSheetId="1">#REF!</definedName>
    <definedName name="MIX40B">#REF!</definedName>
    <definedName name="MIX45B" localSheetId="7">#REF!</definedName>
    <definedName name="MIX45B" localSheetId="47">#REF!</definedName>
    <definedName name="MIX45B" localSheetId="1">#REF!</definedName>
    <definedName name="MIX45B">#REF!</definedName>
    <definedName name="ml" localSheetId="7" hidden="1">{"'장비'!$A$3:$M$12"}</definedName>
    <definedName name="ml" localSheetId="47" hidden="1">{"'장비'!$A$3:$M$12"}</definedName>
    <definedName name="ml" localSheetId="1" hidden="1">{"'장비'!$A$3:$M$12"}</definedName>
    <definedName name="ml" hidden="1">{"'장비'!$A$3:$M$12"}</definedName>
    <definedName name="MLDPLT" localSheetId="7">#REF!</definedName>
    <definedName name="MLDPLT" localSheetId="47">#REF!</definedName>
    <definedName name="MLDPLT" localSheetId="1">#REF!</definedName>
    <definedName name="MLDPLT">#REF!</definedName>
    <definedName name="Mlpc" localSheetId="7">'[104]purpose&amp;input'!#REF!</definedName>
    <definedName name="Mlpc" localSheetId="47">'[104]purpose&amp;input'!#REF!</definedName>
    <definedName name="Mlpc" localSheetId="1">'[104]purpose&amp;input'!#REF!</definedName>
    <definedName name="Mlpc">'[104]purpose&amp;input'!#REF!</definedName>
    <definedName name="Mlpd" localSheetId="7">'[104]purpose&amp;input'!#REF!</definedName>
    <definedName name="Mlpd" localSheetId="47">'[104]purpose&amp;input'!#REF!</definedName>
    <definedName name="Mlpd" localSheetId="1">'[104]purpose&amp;input'!#REF!</definedName>
    <definedName name="Mlpd">'[104]purpose&amp;input'!#REF!</definedName>
    <definedName name="Mlps" localSheetId="7">'[104]purpose&amp;input'!#REF!</definedName>
    <definedName name="Mlps" localSheetId="47">'[104]purpose&amp;input'!#REF!</definedName>
    <definedName name="Mlps" localSheetId="1">'[104]purpose&amp;input'!#REF!</definedName>
    <definedName name="Mlps">'[104]purpose&amp;input'!#REF!</definedName>
    <definedName name="mm">'[22]Rates Basic'!$D$2</definedName>
    <definedName name="MMAZ" localSheetId="7">#REF!</definedName>
    <definedName name="MMAZ" localSheetId="47">#REF!</definedName>
    <definedName name="MMAZ" localSheetId="1">#REF!</definedName>
    <definedName name="MMAZ">#REF!</definedName>
    <definedName name="mn" localSheetId="7" hidden="1">{"'Sheet1'!$L$16"}</definedName>
    <definedName name="mn" localSheetId="47" hidden="1">{"'Sheet1'!$L$16"}</definedName>
    <definedName name="mn" localSheetId="1" hidden="1">{"'Sheet1'!$L$16"}</definedName>
    <definedName name="mn" hidden="1">{"'Sheet1'!$L$16"}</definedName>
    <definedName name="MONTH_CONDITION" localSheetId="7">#REF!</definedName>
    <definedName name="MONTH_CONDITION" localSheetId="47">#REF!</definedName>
    <definedName name="MONTH_CONDITION" localSheetId="1">#REF!</definedName>
    <definedName name="MONTH_CONDITION">#REF!</definedName>
    <definedName name="MONTH_DETAILS" localSheetId="7">#REF!</definedName>
    <definedName name="MONTH_DETAILS" localSheetId="47">#REF!</definedName>
    <definedName name="MONTH_DETAILS" localSheetId="1">#REF!</definedName>
    <definedName name="MONTH_DETAILS">#REF!</definedName>
    <definedName name="MP" localSheetId="7" hidden="1">{#N/A,#N/A,FALSE,"CCTV"}</definedName>
    <definedName name="MP" localSheetId="47" hidden="1">{#N/A,#N/A,FALSE,"CCTV"}</definedName>
    <definedName name="MP" localSheetId="1" hidden="1">{#N/A,#N/A,FALSE,"CCTV"}</definedName>
    <definedName name="MP" hidden="1">{#N/A,#N/A,FALSE,"CCTV"}</definedName>
    <definedName name="MPF" localSheetId="7">#REF!</definedName>
    <definedName name="MPF" localSheetId="47">#REF!</definedName>
    <definedName name="MPF" localSheetId="1">#REF!</definedName>
    <definedName name="MPF">#REF!</definedName>
    <definedName name="MPMOB" localSheetId="7">#REF!</definedName>
    <definedName name="MPMOB" localSheetId="47">#REF!</definedName>
    <definedName name="MPMOB" localSheetId="1">#REF!</definedName>
    <definedName name="MPMOB">#REF!</definedName>
    <definedName name="MRCRLPW" localSheetId="7">#REF!</definedName>
    <definedName name="MRCRLPW" localSheetId="47">#REF!</definedName>
    <definedName name="MRCRLPW" localSheetId="1">#REF!</definedName>
    <definedName name="MRCRLPW">#REF!</definedName>
    <definedName name="MS" localSheetId="7">#REF!</definedName>
    <definedName name="MS" localSheetId="47">#REF!</definedName>
    <definedName name="MS" localSheetId="1">#REF!</definedName>
    <definedName name="MS">#REF!</definedName>
    <definedName name="MS200202rev2" localSheetId="7">#REF!</definedName>
    <definedName name="MS200202rev2" localSheetId="47">#REF!</definedName>
    <definedName name="MS200202rev2" localSheetId="1">#REF!</definedName>
    <definedName name="MS200202rev2">#REF!</definedName>
    <definedName name="ms2002may1706" localSheetId="7">#REF!</definedName>
    <definedName name="ms2002may1706" localSheetId="47">#REF!</definedName>
    <definedName name="ms2002may1706" localSheetId="1">#REF!</definedName>
    <definedName name="ms2002may1706">#REF!</definedName>
    <definedName name="Msbdo" localSheetId="7">#REF!</definedName>
    <definedName name="Msbdo" localSheetId="47">#REF!</definedName>
    <definedName name="Msbdo" localSheetId="1">#REF!</definedName>
    <definedName name="Msbdo">#REF!</definedName>
    <definedName name="msjune1807" localSheetId="7">#REF!</definedName>
    <definedName name="msjune1807" localSheetId="47">#REF!</definedName>
    <definedName name="msjune1807" localSheetId="1">#REF!</definedName>
    <definedName name="msjune1807">#REF!</definedName>
    <definedName name="mu" localSheetId="7">#REF!</definedName>
    <definedName name="mu" localSheetId="47">#REF!</definedName>
    <definedName name="mu" localSheetId="1">#REF!</definedName>
    <definedName name="mu">#REF!</definedName>
    <definedName name="MUCK" localSheetId="7">#REF!</definedName>
    <definedName name="MUCK" localSheetId="47">#REF!</definedName>
    <definedName name="MUCK" localSheetId="1">#REF!</definedName>
    <definedName name="MUCK">#REF!</definedName>
    <definedName name="mui" localSheetId="7">#REF!</definedName>
    <definedName name="mui" localSheetId="47">#REF!</definedName>
    <definedName name="mui" localSheetId="1">#REF!</definedName>
    <definedName name="mui">#REF!</definedName>
    <definedName name="MUL">'[46]RA Civil'!$E$8</definedName>
    <definedName name="MUNION" localSheetId="7">#REF!</definedName>
    <definedName name="MUNION" localSheetId="47">#REF!</definedName>
    <definedName name="MUNION" localSheetId="1">#REF!</definedName>
    <definedName name="MUNION">#REF!</definedName>
    <definedName name="MUNON" localSheetId="7">#REF!</definedName>
    <definedName name="MUNON" localSheetId="47">#REF!</definedName>
    <definedName name="MUNON" localSheetId="1">#REF!</definedName>
    <definedName name="MUNON">#REF!</definedName>
    <definedName name="MUR" localSheetId="7">#REF!</definedName>
    <definedName name="MUR" localSheetId="47">#REF!</definedName>
    <definedName name="MUR" localSheetId="1">#REF!</definedName>
    <definedName name="MUR">#REF!</definedName>
    <definedName name="MUTP" localSheetId="7">#REF!</definedName>
    <definedName name="MUTP" localSheetId="47">#REF!</definedName>
    <definedName name="MUTP" localSheetId="1">#REF!</definedName>
    <definedName name="MUTP">#REF!</definedName>
    <definedName name="N" localSheetId="7">[14]PROCTOR!#REF!</definedName>
    <definedName name="N" localSheetId="47">[14]PROCTOR!#REF!</definedName>
    <definedName name="N" localSheetId="1">[14]PROCTOR!#REF!</definedName>
    <definedName name="N">[14]PROCTOR!#REF!</definedName>
    <definedName name="N___0" localSheetId="7">#REF!</definedName>
    <definedName name="N___0" localSheetId="47">#REF!</definedName>
    <definedName name="N___0" localSheetId="1">#REF!</definedName>
    <definedName name="N___0">#REF!</definedName>
    <definedName name="N___13" localSheetId="7">#REF!</definedName>
    <definedName name="N___13" localSheetId="47">#REF!</definedName>
    <definedName name="N___13" localSheetId="1">#REF!</definedName>
    <definedName name="N___13">#REF!</definedName>
    <definedName name="Name">[118]Index!$C$2</definedName>
    <definedName name="NEED" localSheetId="7">#REF!</definedName>
    <definedName name="NEED" localSheetId="47">#REF!</definedName>
    <definedName name="NEED" localSheetId="1">#REF!</definedName>
    <definedName name="NEED">#REF!</definedName>
    <definedName name="needle" localSheetId="7">#REF!</definedName>
    <definedName name="needle" localSheetId="47">#REF!</definedName>
    <definedName name="needle" localSheetId="1">#REF!</definedName>
    <definedName name="needle">#REF!</definedName>
    <definedName name="NET_TAX">[60]CABLERET!$D$6</definedName>
    <definedName name="new">[50]Original!$T$8</definedName>
    <definedName name="NEWNAME" localSheetId="7" hidden="1">{#N/A,#N/A,FALSE,"CCTV"}</definedName>
    <definedName name="NEWNAME" localSheetId="47" hidden="1">{#N/A,#N/A,FALSE,"CCTV"}</definedName>
    <definedName name="NEWNAME" localSheetId="1" hidden="1">{#N/A,#N/A,FALSE,"CCTV"}</definedName>
    <definedName name="NEWNAME" hidden="1">{#N/A,#N/A,FALSE,"CCTV"}</definedName>
    <definedName name="NIPP" localSheetId="7">#REF!</definedName>
    <definedName name="NIPP" localSheetId="47">#REF!</definedName>
    <definedName name="NIPP" localSheetId="1">#REF!</definedName>
    <definedName name="NIPP">#REF!</definedName>
    <definedName name="NN" localSheetId="7">#REF!</definedName>
    <definedName name="NN" localSheetId="47">#REF!</definedName>
    <definedName name="NN" localSheetId="1">#REF!</definedName>
    <definedName name="NN">#REF!</definedName>
    <definedName name="NN___0" localSheetId="7">#REF!</definedName>
    <definedName name="NN___0" localSheetId="47">#REF!</definedName>
    <definedName name="NN___0" localSheetId="1">#REF!</definedName>
    <definedName name="NN___0">#REF!</definedName>
    <definedName name="NN___13" localSheetId="7">#REF!</definedName>
    <definedName name="NN___13" localSheetId="47">#REF!</definedName>
    <definedName name="NN___13" localSheetId="1">#REF!</definedName>
    <definedName name="NN___13">#REF!</definedName>
    <definedName name="No" localSheetId="7">#REF!</definedName>
    <definedName name="No" localSheetId="47">#REF!</definedName>
    <definedName name="No" localSheetId="1">#REF!</definedName>
    <definedName name="No">#REF!</definedName>
    <definedName name="NO_JTS">[49]PIPING!$G$6:$G$105</definedName>
    <definedName name="NO_OF_MH" localSheetId="7">#REF!</definedName>
    <definedName name="NO_OF_MH" localSheetId="47">#REF!</definedName>
    <definedName name="NO_OF_MH" localSheetId="1">#REF!</definedName>
    <definedName name="NO_OF_MH">#REF!</definedName>
    <definedName name="NO_OF_REQ" localSheetId="7">#REF!</definedName>
    <definedName name="NO_OF_REQ" localSheetId="47">#REF!</definedName>
    <definedName name="NO_OF_REQ" localSheetId="1">#REF!</definedName>
    <definedName name="NO_OF_REQ">#REF!</definedName>
    <definedName name="num" localSheetId="7">#REF!</definedName>
    <definedName name="num" localSheetId="47">#REF!</definedName>
    <definedName name="num" localSheetId="1">#REF!</definedName>
    <definedName name="num">#REF!</definedName>
    <definedName name="Nx" localSheetId="7">#REF!</definedName>
    <definedName name="Nx" localSheetId="47">#REF!</definedName>
    <definedName name="Nx" localSheetId="1">#REF!</definedName>
    <definedName name="Nx">#REF!</definedName>
    <definedName name="Nx___0" localSheetId="7">#REF!</definedName>
    <definedName name="Nx___0" localSheetId="47">#REF!</definedName>
    <definedName name="Nx___0" localSheetId="1">#REF!</definedName>
    <definedName name="Nx___0">#REF!</definedName>
    <definedName name="Nx___13" localSheetId="7">#REF!</definedName>
    <definedName name="Nx___13" localSheetId="47">#REF!</definedName>
    <definedName name="Nx___13" localSheetId="1">#REF!</definedName>
    <definedName name="Nx___13">#REF!</definedName>
    <definedName name="Ny" localSheetId="7">#REF!</definedName>
    <definedName name="Ny" localSheetId="47">#REF!</definedName>
    <definedName name="Ny" localSheetId="1">#REF!</definedName>
    <definedName name="Ny">#REF!</definedName>
    <definedName name="Ny___0" localSheetId="7">#REF!</definedName>
    <definedName name="Ny___0" localSheetId="47">#REF!</definedName>
    <definedName name="Ny___0" localSheetId="1">#REF!</definedName>
    <definedName name="Ny___0">#REF!</definedName>
    <definedName name="Ny___13" localSheetId="7">#REF!</definedName>
    <definedName name="Ny___13" localSheetId="47">#REF!</definedName>
    <definedName name="Ny___13" localSheetId="1">#REF!</definedName>
    <definedName name="Ny___13">#REF!</definedName>
    <definedName name="o" localSheetId="7" hidden="1">{"'Sheet1'!$L$16"}</definedName>
    <definedName name="o" localSheetId="47" hidden="1">{"'Sheet1'!$L$16"}</definedName>
    <definedName name="o" localSheetId="1" hidden="1">{"'Sheet1'!$L$16"}</definedName>
    <definedName name="o" hidden="1">{"'Sheet1'!$L$16"}</definedName>
    <definedName name="O_2">[49]PIPING!$V$6:$V$105</definedName>
    <definedName name="O11FAC">[76]R2!$C$6</definedName>
    <definedName name="O11SUM">[76]R2!$C$7</definedName>
    <definedName name="O12SUM">[76]R2!$C$9</definedName>
    <definedName name="O1SPFAC" localSheetId="7">[76]R2!#REF!</definedName>
    <definedName name="O1SPFAC" localSheetId="47">[76]R2!#REF!</definedName>
    <definedName name="O1SPFAC" localSheetId="1">[76]R2!#REF!</definedName>
    <definedName name="O1SPFAC">[76]R2!#REF!</definedName>
    <definedName name="O1SPMGN">[76]R2!$C$12</definedName>
    <definedName name="O2FAC">[76]R2!$C$11</definedName>
    <definedName name="OBLACK" localSheetId="7">#REF!</definedName>
    <definedName name="OBLACK" localSheetId="47">#REF!</definedName>
    <definedName name="OBLACK" localSheetId="1">#REF!</definedName>
    <definedName name="OBLACK">#REF!</definedName>
    <definedName name="OCCRUSH" localSheetId="7">#REF!</definedName>
    <definedName name="OCCRUSH" localSheetId="47">#REF!</definedName>
    <definedName name="OCCRUSH" localSheetId="1">#REF!</definedName>
    <definedName name="OCCRUSH">#REF!</definedName>
    <definedName name="OCEXC" localSheetId="7">#REF!</definedName>
    <definedName name="OCEXC" localSheetId="47">#REF!</definedName>
    <definedName name="OCEXC" localSheetId="1">#REF!</definedName>
    <definedName name="OCEXC">#REF!</definedName>
    <definedName name="OCLOADA" localSheetId="7">#REF!</definedName>
    <definedName name="OCLOADA" localSheetId="47">#REF!</definedName>
    <definedName name="OCLOADA" localSheetId="1">#REF!</definedName>
    <definedName name="OCLOADA">#REF!</definedName>
    <definedName name="OCLOADS" localSheetId="7">#REF!</definedName>
    <definedName name="OCLOADS" localSheetId="47">#REF!</definedName>
    <definedName name="OCLOADS" localSheetId="1">#REF!</definedName>
    <definedName name="OCLOADS">#REF!</definedName>
    <definedName name="OCTIP1" localSheetId="7">#REF!</definedName>
    <definedName name="OCTIP1" localSheetId="47">#REF!</definedName>
    <definedName name="OCTIP1" localSheetId="1">#REF!</definedName>
    <definedName name="OCTIP1">#REF!</definedName>
    <definedName name="OCTIP5" localSheetId="7">#REF!</definedName>
    <definedName name="OCTIP5" localSheetId="47">#REF!</definedName>
    <definedName name="OCTIP5" localSheetId="1">#REF!</definedName>
    <definedName name="OCTIP5">#REF!</definedName>
    <definedName name="OCTRI">[60]CABLERET!$D$5</definedName>
    <definedName name="ODH" localSheetId="7" hidden="1">#REF!</definedName>
    <definedName name="ODH" localSheetId="47" hidden="1">#REF!</definedName>
    <definedName name="ODH" localSheetId="1" hidden="1">#REF!</definedName>
    <definedName name="ODH" hidden="1">#REF!</definedName>
    <definedName name="OH_PM" localSheetId="7">#REF!</definedName>
    <definedName name="OH_PM" localSheetId="47">#REF!</definedName>
    <definedName name="OH_PM" localSheetId="1">#REF!</definedName>
    <definedName name="OH_PM">#REF!</definedName>
    <definedName name="olct" localSheetId="7">'[109]Pier Design(with offset)'!#REF!</definedName>
    <definedName name="olct" localSheetId="47">'[109]Pier Design(with offset)'!#REF!</definedName>
    <definedName name="olct" localSheetId="1">'[109]Pier Design(with offset)'!#REF!</definedName>
    <definedName name="olct">'[109]Pier Design(with offset)'!#REF!</definedName>
    <definedName name="olt" localSheetId="7">'[106]Pier Design(with offset)'!#REF!</definedName>
    <definedName name="olt" localSheetId="47">'[106]Pier Design(with offset)'!#REF!</definedName>
    <definedName name="olt" localSheetId="1">'[106]Pier Design(with offset)'!#REF!</definedName>
    <definedName name="olt">'[106]Pier Design(with offset)'!#REF!</definedName>
    <definedName name="OMAS" localSheetId="7">#REF!</definedName>
    <definedName name="OMAS" localSheetId="47">#REF!</definedName>
    <definedName name="OMAS" localSheetId="1">#REF!</definedName>
    <definedName name="OMAS">#REF!</definedName>
    <definedName name="OPC">'[126]Rate Analysis '!$E$18</definedName>
    <definedName name="oper" localSheetId="7">#REF!</definedName>
    <definedName name="oper" localSheetId="47">#REF!</definedName>
    <definedName name="oper" localSheetId="1">#REF!</definedName>
    <definedName name="oper">#REF!</definedName>
    <definedName name="oper." localSheetId="7">#REF!</definedName>
    <definedName name="oper." localSheetId="47">#REF!</definedName>
    <definedName name="oper." localSheetId="1">#REF!</definedName>
    <definedName name="oper.">#REF!</definedName>
    <definedName name="opoi" localSheetId="7">#REF!</definedName>
    <definedName name="opoi" localSheetId="47">#REF!</definedName>
    <definedName name="opoi" localSheetId="1">#REF!</definedName>
    <definedName name="opoi">#REF!</definedName>
    <definedName name="ORBEND" localSheetId="7">#REF!</definedName>
    <definedName name="ORBEND" localSheetId="47">#REF!</definedName>
    <definedName name="ORBEND" localSheetId="1">#REF!</definedName>
    <definedName name="ORBEND">#REF!</definedName>
    <definedName name="ORDERING" localSheetId="7">#REF!</definedName>
    <definedName name="ORDERING" localSheetId="47">#REF!</definedName>
    <definedName name="ORDERING" localSheetId="1">#REF!</definedName>
    <definedName name="ORDERING">#REF!</definedName>
    <definedName name="OTRY" localSheetId="7">#REF!</definedName>
    <definedName name="OTRY" localSheetId="47">#REF!</definedName>
    <definedName name="OTRY" localSheetId="1">#REF!</definedName>
    <definedName name="OTRY">#REF!</definedName>
    <definedName name="OTRY1" localSheetId="7">#REF!</definedName>
    <definedName name="OTRY1" localSheetId="47">#REF!</definedName>
    <definedName name="OTRY1" localSheetId="1">#REF!</definedName>
    <definedName name="OTRY1">#REF!</definedName>
    <definedName name="overallspan1" localSheetId="7">[78]FACE!#REF!</definedName>
    <definedName name="overallspan1" localSheetId="47">[78]FACE!#REF!</definedName>
    <definedName name="overallspan1" localSheetId="1">[78]FACE!#REF!</definedName>
    <definedName name="overallspan1">[78]FACE!#REF!</definedName>
    <definedName name="overallspan13">'[127]SLAB DESIGN'!$E$41</definedName>
    <definedName name="OVERHEADS" localSheetId="7">#REF!</definedName>
    <definedName name="OVERHEADS" localSheetId="47">#REF!</definedName>
    <definedName name="OVERHEADS" localSheetId="1">#REF!</definedName>
    <definedName name="OVERHEADS">#REF!</definedName>
    <definedName name="OVRFAC">[76]R2!$C$16</definedName>
    <definedName name="Owner" localSheetId="7">#REF!</definedName>
    <definedName name="Owner" localSheetId="47">#REF!</definedName>
    <definedName name="Owner" localSheetId="1">#REF!</definedName>
    <definedName name="Owner">#REF!</definedName>
    <definedName name="p">[107]DETAILED!$J$6</definedName>
    <definedName name="p___0" localSheetId="7">#REF!</definedName>
    <definedName name="p___0" localSheetId="47">#REF!</definedName>
    <definedName name="p___0" localSheetId="1">#REF!</definedName>
    <definedName name="p___0">#REF!</definedName>
    <definedName name="p___13" localSheetId="7">#REF!</definedName>
    <definedName name="p___13" localSheetId="47">#REF!</definedName>
    <definedName name="p___13" localSheetId="1">#REF!</definedName>
    <definedName name="p___13">#REF!</definedName>
    <definedName name="P_AREA" localSheetId="7">#REF!</definedName>
    <definedName name="P_AREA" localSheetId="47">#REF!</definedName>
    <definedName name="P_AREA" localSheetId="1">#REF!</definedName>
    <definedName name="P_AREA">#REF!</definedName>
    <definedName name="p_shape" localSheetId="7">#REF!</definedName>
    <definedName name="p_shape" localSheetId="47">#REF!</definedName>
    <definedName name="p_shape" localSheetId="1">#REF!</definedName>
    <definedName name="p_shape">#REF!</definedName>
    <definedName name="p_sizes">[34]Tables!$H$10:$H$45</definedName>
    <definedName name="P_SYS" localSheetId="7">#REF!</definedName>
    <definedName name="P_SYS" localSheetId="47">#REF!</definedName>
    <definedName name="P_SYS" localSheetId="1">#REF!</definedName>
    <definedName name="P_SYS">#REF!</definedName>
    <definedName name="p_w_sizes">[34]Tables!$H$10:$J$45</definedName>
    <definedName name="p0" localSheetId="7">#REF!</definedName>
    <definedName name="p0" localSheetId="47">#REF!</definedName>
    <definedName name="p0" localSheetId="1">#REF!</definedName>
    <definedName name="p0">#REF!</definedName>
    <definedName name="p10.3" localSheetId="7">#REF!</definedName>
    <definedName name="p10.3" localSheetId="47">#REF!</definedName>
    <definedName name="p10.3" localSheetId="1">#REF!</definedName>
    <definedName name="p10.3">#REF!</definedName>
    <definedName name="p11.3" localSheetId="7">#REF!</definedName>
    <definedName name="p11.3" localSheetId="47">#REF!</definedName>
    <definedName name="p11.3" localSheetId="1">#REF!</definedName>
    <definedName name="p11.3">#REF!</definedName>
    <definedName name="p12.3" localSheetId="7">#REF!</definedName>
    <definedName name="p12.3" localSheetId="47">#REF!</definedName>
    <definedName name="p12.3" localSheetId="1">#REF!</definedName>
    <definedName name="p12.3">#REF!</definedName>
    <definedName name="p13.3" localSheetId="7">#REF!</definedName>
    <definedName name="p13.3" localSheetId="47">#REF!</definedName>
    <definedName name="p13.3" localSheetId="1">#REF!</definedName>
    <definedName name="p13.3">#REF!</definedName>
    <definedName name="p14.3" localSheetId="7">#REF!</definedName>
    <definedName name="p14.3" localSheetId="47">#REF!</definedName>
    <definedName name="p14.3" localSheetId="1">#REF!</definedName>
    <definedName name="p14.3">#REF!</definedName>
    <definedName name="p15.3" localSheetId="7">#REF!</definedName>
    <definedName name="p15.3" localSheetId="47">#REF!</definedName>
    <definedName name="p15.3" localSheetId="1">#REF!</definedName>
    <definedName name="p15.3">#REF!</definedName>
    <definedName name="p16.3" localSheetId="7">#REF!</definedName>
    <definedName name="p16.3" localSheetId="47">#REF!</definedName>
    <definedName name="p16.3" localSheetId="1">#REF!</definedName>
    <definedName name="p16.3">#REF!</definedName>
    <definedName name="p17.3" localSheetId="7">#REF!</definedName>
    <definedName name="p17.3" localSheetId="47">#REF!</definedName>
    <definedName name="p17.3" localSheetId="1">#REF!</definedName>
    <definedName name="p17.3">#REF!</definedName>
    <definedName name="p18.3" localSheetId="7">#REF!</definedName>
    <definedName name="p18.3" localSheetId="47">#REF!</definedName>
    <definedName name="p18.3" localSheetId="1">#REF!</definedName>
    <definedName name="p18.3">#REF!</definedName>
    <definedName name="p19.3" localSheetId="7">#REF!</definedName>
    <definedName name="p19.3" localSheetId="47">#REF!</definedName>
    <definedName name="p19.3" localSheetId="1">#REF!</definedName>
    <definedName name="p19.3">#REF!</definedName>
    <definedName name="p20.3" localSheetId="7">#REF!</definedName>
    <definedName name="p20.3" localSheetId="47">#REF!</definedName>
    <definedName name="p20.3" localSheetId="1">#REF!</definedName>
    <definedName name="p20.3">#REF!</definedName>
    <definedName name="p3.3" localSheetId="7">#REF!</definedName>
    <definedName name="p3.3" localSheetId="47">#REF!</definedName>
    <definedName name="p3.3" localSheetId="1">#REF!</definedName>
    <definedName name="p3.3">#REF!</definedName>
    <definedName name="p4.3" localSheetId="7">#REF!</definedName>
    <definedName name="p4.3" localSheetId="47">#REF!</definedName>
    <definedName name="p4.3" localSheetId="1">#REF!</definedName>
    <definedName name="p4.3">#REF!</definedName>
    <definedName name="p5.3" localSheetId="7">#REF!</definedName>
    <definedName name="p5.3" localSheetId="47">#REF!</definedName>
    <definedName name="p5.3" localSheetId="1">#REF!</definedName>
    <definedName name="p5.3">#REF!</definedName>
    <definedName name="p6.3" localSheetId="7">#REF!</definedName>
    <definedName name="p6.3" localSheetId="47">#REF!</definedName>
    <definedName name="p6.3" localSheetId="1">#REF!</definedName>
    <definedName name="p6.3">#REF!</definedName>
    <definedName name="p7.3" localSheetId="7">#REF!</definedName>
    <definedName name="p7.3" localSheetId="47">#REF!</definedName>
    <definedName name="p7.3" localSheetId="1">#REF!</definedName>
    <definedName name="p7.3">#REF!</definedName>
    <definedName name="p8.3" localSheetId="7">#REF!</definedName>
    <definedName name="p8.3" localSheetId="47">#REF!</definedName>
    <definedName name="p8.3" localSheetId="1">#REF!</definedName>
    <definedName name="p8.3">#REF!</definedName>
    <definedName name="p9.3" localSheetId="7">#REF!</definedName>
    <definedName name="p9.3" localSheetId="47">#REF!</definedName>
    <definedName name="p9.3" localSheetId="1">#REF!</definedName>
    <definedName name="p9.3">#REF!</definedName>
    <definedName name="pa" localSheetId="7">#REF!</definedName>
    <definedName name="pa" localSheetId="47">#REF!</definedName>
    <definedName name="pa" localSheetId="1">#REF!</definedName>
    <definedName name="pa">#REF!</definedName>
    <definedName name="pa___0" localSheetId="7">#REF!</definedName>
    <definedName name="pa___0" localSheetId="47">#REF!</definedName>
    <definedName name="pa___0" localSheetId="1">#REF!</definedName>
    <definedName name="pa___0">#REF!</definedName>
    <definedName name="pa___13" localSheetId="7">#REF!</definedName>
    <definedName name="pa___13" localSheetId="47">#REF!</definedName>
    <definedName name="pa___13" localSheetId="1">#REF!</definedName>
    <definedName name="pa___13">#REF!</definedName>
    <definedName name="PAGE5" localSheetId="7">#REF!</definedName>
    <definedName name="PAGE5" localSheetId="47">#REF!</definedName>
    <definedName name="PAGE5" localSheetId="1">#REF!</definedName>
    <definedName name="PAGE5">#REF!</definedName>
    <definedName name="PAGE6" localSheetId="7">#REF!</definedName>
    <definedName name="PAGE6" localSheetId="47">#REF!</definedName>
    <definedName name="PAGE6" localSheetId="1">#REF!</definedName>
    <definedName name="PAGE6">#REF!</definedName>
    <definedName name="PAGE7" localSheetId="7">#REF!</definedName>
    <definedName name="PAGE7" localSheetId="47">#REF!</definedName>
    <definedName name="PAGE7" localSheetId="1">#REF!</definedName>
    <definedName name="PAGE7">#REF!</definedName>
    <definedName name="PAINT" localSheetId="7">#REF!</definedName>
    <definedName name="PAINT" localSheetId="47">#REF!</definedName>
    <definedName name="PAINT" localSheetId="1">#REF!</definedName>
    <definedName name="PAINT">#REF!</definedName>
    <definedName name="PAINT_DATA">[49]PAINTING!$B$241:$N$264</definedName>
    <definedName name="Pane2" localSheetId="7">#REF!</definedName>
    <definedName name="Pane2" localSheetId="47">#REF!</definedName>
    <definedName name="Pane2" localSheetId="1">#REF!</definedName>
    <definedName name="Pane2">#REF!</definedName>
    <definedName name="Pane2___0" localSheetId="7">#REF!</definedName>
    <definedName name="Pane2___0" localSheetId="47">#REF!</definedName>
    <definedName name="Pane2___0" localSheetId="1">#REF!</definedName>
    <definedName name="Pane2___0">#REF!</definedName>
    <definedName name="Pane2___13" localSheetId="7">#REF!</definedName>
    <definedName name="Pane2___13" localSheetId="47">#REF!</definedName>
    <definedName name="Pane2___13" localSheetId="1">#REF!</definedName>
    <definedName name="Pane2___13">#REF!</definedName>
    <definedName name="pb" localSheetId="7">#REF!</definedName>
    <definedName name="pb" localSheetId="47">#REF!</definedName>
    <definedName name="pb" localSheetId="1">#REF!</definedName>
    <definedName name="pb">#REF!</definedName>
    <definedName name="pb___0" localSheetId="7">#REF!</definedName>
    <definedName name="pb___0" localSheetId="47">#REF!</definedName>
    <definedName name="pb___0" localSheetId="1">#REF!</definedName>
    <definedName name="pb___0">#REF!</definedName>
    <definedName name="pb___11" localSheetId="7">#REF!</definedName>
    <definedName name="pb___11" localSheetId="47">#REF!</definedName>
    <definedName name="pb___11" localSheetId="1">#REF!</definedName>
    <definedName name="pb___11">#REF!</definedName>
    <definedName name="pb___12" localSheetId="7">#REF!</definedName>
    <definedName name="pb___12" localSheetId="47">#REF!</definedName>
    <definedName name="pb___12" localSheetId="1">#REF!</definedName>
    <definedName name="pb___12">#REF!</definedName>
    <definedName name="pcc1481.5bgl" localSheetId="7">#REF!</definedName>
    <definedName name="pcc1481.5bgl" localSheetId="47">#REF!</definedName>
    <definedName name="pcc1481.5bgl" localSheetId="1">#REF!</definedName>
    <definedName name="pcc1481.5bgl">#REF!</definedName>
    <definedName name="pcc1484.5bgl" localSheetId="7">#REF!</definedName>
    <definedName name="pcc1484.5bgl" localSheetId="47">#REF!</definedName>
    <definedName name="pcc1484.5bgl" localSheetId="1">#REF!</definedName>
    <definedName name="pcc1484.5bgl">#REF!</definedName>
    <definedName name="PCCM15" localSheetId="7">#REF!</definedName>
    <definedName name="PCCM15" localSheetId="47">#REF!</definedName>
    <definedName name="PCCM15" localSheetId="1">#REF!</definedName>
    <definedName name="PCCM15">#REF!</definedName>
    <definedName name="pccp" localSheetId="7">#REF!</definedName>
    <definedName name="pccp" localSheetId="47">#REF!</definedName>
    <definedName name="pccp" localSheetId="1">#REF!</definedName>
    <definedName name="pccp">#REF!</definedName>
    <definedName name="pccproj" localSheetId="7">#REF!</definedName>
    <definedName name="pccproj" localSheetId="47">#REF!</definedName>
    <definedName name="pccproj" localSheetId="1">#REF!</definedName>
    <definedName name="pccproj">#REF!</definedName>
    <definedName name="pcct" localSheetId="7">#REF!</definedName>
    <definedName name="pcct" localSheetId="47">#REF!</definedName>
    <definedName name="pcct" localSheetId="1">#REF!</definedName>
    <definedName name="pcct">#REF!</definedName>
    <definedName name="pccthk" localSheetId="7">#REF!</definedName>
    <definedName name="pccthk" localSheetId="47">#REF!</definedName>
    <definedName name="pccthk" localSheetId="1">#REF!</definedName>
    <definedName name="pccthk">#REF!</definedName>
    <definedName name="Pclass" localSheetId="7">#REF!</definedName>
    <definedName name="Pclass" localSheetId="47">#REF!</definedName>
    <definedName name="Pclass" localSheetId="1">#REF!</definedName>
    <definedName name="Pclass">#REF!</definedName>
    <definedName name="pcount" localSheetId="7">#REF!</definedName>
    <definedName name="pcount" localSheetId="47">#REF!</definedName>
    <definedName name="pcount" localSheetId="1">#REF!</definedName>
    <definedName name="pcount">#REF!</definedName>
    <definedName name="pdata1" localSheetId="7">#REF!</definedName>
    <definedName name="pdata1" localSheetId="47">#REF!</definedName>
    <definedName name="pdata1" localSheetId="1">#REF!</definedName>
    <definedName name="pdata1">#REF!</definedName>
    <definedName name="PDP" localSheetId="7">#REF!</definedName>
    <definedName name="PDP" localSheetId="47">#REF!</definedName>
    <definedName name="PDP" localSheetId="1">#REF!</definedName>
    <definedName name="PDP">#REF!</definedName>
    <definedName name="ped_no" localSheetId="7">#REF!</definedName>
    <definedName name="ped_no" localSheetId="47">#REF!</definedName>
    <definedName name="ped_no" localSheetId="1">#REF!</definedName>
    <definedName name="ped_no">#REF!</definedName>
    <definedName name="PER" localSheetId="7">#REF!</definedName>
    <definedName name="PER" localSheetId="47">#REF!</definedName>
    <definedName name="PER" localSheetId="1">#REF!</definedName>
    <definedName name="PER">#REF!</definedName>
    <definedName name="PERC">'[4]Cost of O &amp; O'!$F$29</definedName>
    <definedName name="pH" localSheetId="7">#REF!</definedName>
    <definedName name="pH" localSheetId="47">#REF!</definedName>
    <definedName name="pH" localSheetId="1">#REF!</definedName>
    <definedName name="pH">#REF!</definedName>
    <definedName name="pH___0" localSheetId="7">#REF!</definedName>
    <definedName name="pH___0" localSheetId="47">#REF!</definedName>
    <definedName name="pH___0" localSheetId="1">#REF!</definedName>
    <definedName name="pH___0">#REF!</definedName>
    <definedName name="pH___13" localSheetId="7">#REF!</definedName>
    <definedName name="pH___13" localSheetId="47">#REF!</definedName>
    <definedName name="pH___13" localSheetId="1">#REF!</definedName>
    <definedName name="pH___13">#REF!</definedName>
    <definedName name="phi" localSheetId="7">#REF!</definedName>
    <definedName name="phi" localSheetId="47">#REF!</definedName>
    <definedName name="phi" localSheetId="1">#REF!</definedName>
    <definedName name="phi">#REF!</definedName>
    <definedName name="Pi" localSheetId="7">#REF!</definedName>
    <definedName name="Pi" localSheetId="47">#REF!</definedName>
    <definedName name="Pi" localSheetId="1">#REF!</definedName>
    <definedName name="Pi">#REF!</definedName>
    <definedName name="PierDataOld" localSheetId="7">#REF!</definedName>
    <definedName name="PierDataOld" localSheetId="47">#REF!</definedName>
    <definedName name="PierDataOld" localSheetId="1">#REF!</definedName>
    <definedName name="PierDataOld">#REF!</definedName>
    <definedName name="pile_no" localSheetId="7">#REF!</definedName>
    <definedName name="pile_no" localSheetId="47">#REF!</definedName>
    <definedName name="pile_no" localSheetId="1">#REF!</definedName>
    <definedName name="pile_no">#REF!</definedName>
    <definedName name="PILEFORCE" localSheetId="7">#REF!</definedName>
    <definedName name="PILEFORCE" localSheetId="47">#REF!</definedName>
    <definedName name="PILEFORCE" localSheetId="1">#REF!</definedName>
    <definedName name="PILEFORCE">#REF!</definedName>
    <definedName name="PIN" localSheetId="7">#REF!</definedName>
    <definedName name="PIN" localSheetId="47">#REF!</definedName>
    <definedName name="PIN" localSheetId="1">#REF!</definedName>
    <definedName name="PIN">#REF!</definedName>
    <definedName name="PIPE" localSheetId="7">#REF!</definedName>
    <definedName name="PIPE" localSheetId="47">#REF!</definedName>
    <definedName name="PIPE" localSheetId="1">#REF!</definedName>
    <definedName name="PIPE">#REF!</definedName>
    <definedName name="PIPE_CONNECTION_MATERIALS" localSheetId="7">#REF!</definedName>
    <definedName name="PIPE_CONNECTION_MATERIALS" localSheetId="47">#REF!</definedName>
    <definedName name="PIPE_CONNECTION_MATERIALS" localSheetId="1">#REF!</definedName>
    <definedName name="PIPE_CONNECTION_MATERIALS">#REF!</definedName>
    <definedName name="pipeclamp">[75]pipe!$A$3:$A$33</definedName>
    <definedName name="Pipeline_diagram" localSheetId="7">#REF!</definedName>
    <definedName name="Pipeline_diagram" localSheetId="47">#REF!</definedName>
    <definedName name="Pipeline_diagram" localSheetId="1">#REF!</definedName>
    <definedName name="Pipeline_diagram">#REF!</definedName>
    <definedName name="Piping2222" localSheetId="7">OR(ISBLANK(#REF!),ISBLANK(#REF!))</definedName>
    <definedName name="Piping2222" localSheetId="47">OR(ISBLANK(#REF!),ISBLANK(#REF!))</definedName>
    <definedName name="Piping2222" localSheetId="1">OR(ISBLANK(#REF!),ISBLANK(#REF!))</definedName>
    <definedName name="Piping2222">OR(ISBLANK(#REF!),ISBLANK(#REF!))</definedName>
    <definedName name="PJACK" localSheetId="7">#REF!</definedName>
    <definedName name="PJACK" localSheetId="47">#REF!</definedName>
    <definedName name="PJACK" localSheetId="1">#REF!</definedName>
    <definedName name="PJACK">#REF!</definedName>
    <definedName name="PLAST" localSheetId="7">#REF!</definedName>
    <definedName name="PLAST" localSheetId="47">#REF!</definedName>
    <definedName name="PLAST" localSheetId="1">#REF!</definedName>
    <definedName name="PLAST">#REF!</definedName>
    <definedName name="PLUG" localSheetId="7">#REF!</definedName>
    <definedName name="PLUG" localSheetId="47">#REF!</definedName>
    <definedName name="PLUG" localSheetId="1">#REF!</definedName>
    <definedName name="PLUG">#REF!</definedName>
    <definedName name="pm_size">[34]Tables!$AE$8:$AE$43</definedName>
    <definedName name="pm_w_size">[34]Tables!$AA$8:$AF$43</definedName>
    <definedName name="po" localSheetId="7" hidden="1">{#N/A,#N/A,FALSE,"CCTV"}</definedName>
    <definedName name="po" localSheetId="47" hidden="1">{#N/A,#N/A,FALSE,"CCTV"}</definedName>
    <definedName name="po" localSheetId="1" hidden="1">{#N/A,#N/A,FALSE,"CCTV"}</definedName>
    <definedName name="po" hidden="1">{#N/A,#N/A,FALSE,"CCTV"}</definedName>
    <definedName name="POC" localSheetId="7">#REF!</definedName>
    <definedName name="POC" localSheetId="47">#REF!</definedName>
    <definedName name="POC" localSheetId="1">#REF!</definedName>
    <definedName name="POC">#REF!</definedName>
    <definedName name="pound" localSheetId="7">#REF!</definedName>
    <definedName name="pound" localSheetId="47">#REF!</definedName>
    <definedName name="pound" localSheetId="1">#REF!</definedName>
    <definedName name="pound">#REF!</definedName>
    <definedName name="pp" localSheetId="7" hidden="1">{#N/A,#N/A,FALSE,"CCTV"}</definedName>
    <definedName name="pp" localSheetId="47" hidden="1">{#N/A,#N/A,FALSE,"CCTV"}</definedName>
    <definedName name="pp" localSheetId="1" hidden="1">{#N/A,#N/A,FALSE,"CCTV"}</definedName>
    <definedName name="pp" hidden="1">{#N/A,#N/A,FALSE,"CCTV"}</definedName>
    <definedName name="ppg" localSheetId="7">#REF!</definedName>
    <definedName name="ppg" localSheetId="47">#REF!</definedName>
    <definedName name="ppg" localSheetId="1">#REF!</definedName>
    <definedName name="ppg">#REF!</definedName>
    <definedName name="PPI" localSheetId="7">#REF!</definedName>
    <definedName name="PPI" localSheetId="47">#REF!</definedName>
    <definedName name="PPI" localSheetId="1">#REF!</definedName>
    <definedName name="PPI">#REF!</definedName>
    <definedName name="PPJ" localSheetId="7">#REF!</definedName>
    <definedName name="PPJ" localSheetId="47">#REF!</definedName>
    <definedName name="PPJ" localSheetId="1">#REF!</definedName>
    <definedName name="PPJ">#REF!</definedName>
    <definedName name="ppp" localSheetId="7">#REF!</definedName>
    <definedName name="ppp" localSheetId="47">#REF!</definedName>
    <definedName name="ppp" localSheetId="1">#REF!</definedName>
    <definedName name="ppp">#REF!</definedName>
    <definedName name="pratap" localSheetId="7" hidden="1">{"'Sheet1'!$A$4386:$N$4591"}</definedName>
    <definedName name="pratap" localSheetId="47" hidden="1">{"'Sheet1'!$A$4386:$N$4591"}</definedName>
    <definedName name="pratap" localSheetId="1" hidden="1">{"'Sheet1'!$A$4386:$N$4591"}</definedName>
    <definedName name="pratap" hidden="1">{"'Sheet1'!$A$4386:$N$4591"}</definedName>
    <definedName name="PRDump" localSheetId="7">#REF!</definedName>
    <definedName name="PRDump" localSheetId="47">#REF!</definedName>
    <definedName name="PRDump" localSheetId="1">#REF!</definedName>
    <definedName name="PRDump">#REF!</definedName>
    <definedName name="PRESTRESSED" localSheetId="7">#REF!</definedName>
    <definedName name="PRESTRESSED" localSheetId="47">#REF!</definedName>
    <definedName name="PRESTRESSED" localSheetId="1">#REF!</definedName>
    <definedName name="PRESTRESSED">#REF!</definedName>
    <definedName name="Price">'[128]RATE-ANAY.'!$A$152:$H$756</definedName>
    <definedName name="PriceCode" localSheetId="7">#REF!</definedName>
    <definedName name="PriceCode" localSheetId="47">#REF!</definedName>
    <definedName name="PriceCode" localSheetId="1">#REF!</definedName>
    <definedName name="PriceCode">#REF!</definedName>
    <definedName name="_xlnm.Print_Area" localSheetId="40">amuwahi1!$C$3:$M$74</definedName>
    <definedName name="_xlnm.Print_Area" localSheetId="29">'ATTARASAND KHAYATHI'!$B$3:$K$143</definedName>
    <definedName name="_xlnm.Print_Area" localSheetId="30">'ATTARASAND PR'!$B$3:$P$143</definedName>
    <definedName name="_xlnm.Print_Area" localSheetId="11">bhaidpur!$B$3:$S$202</definedName>
    <definedName name="_xlnm.Print_Area" localSheetId="7">bhausiya!$B$3:$S$221</definedName>
    <definedName name="_xlnm.Print_Area" localSheetId="10">'CHOUMARI(MAHADEV)'!$C$3:$L$257</definedName>
    <definedName name="_xlnm.Print_Area" localSheetId="18">'Dehri digar (2)'!$D$4:$O$119</definedName>
    <definedName name="_xlnm.Print_Area" localSheetId="24">gehrauli!$E$191:$L$371</definedName>
    <definedName name="_xlnm.Print_Area" localSheetId="23">HARDOI!$A$3:$R$133</definedName>
    <definedName name="_xlnm.Print_Area" localSheetId="14">'Lauli Pokhtakham'!$B$2:$L$298</definedName>
    <definedName name="_xlnm.Print_Area" localSheetId="47">#REF!</definedName>
    <definedName name="_xlnm.Print_Area" localSheetId="37">malaak!$C$3:$M$272</definedName>
    <definedName name="_xlnm.Print_Area" localSheetId="8">'mandah &amp; bhoji'!$A$1:$S$156</definedName>
    <definedName name="_xlnm.Print_Area" localSheetId="19">'PADAMPUR (2)'!$B$3:$O$138</definedName>
    <definedName name="_xlnm.Print_Area" localSheetId="33">'PURBHIKA AND RAIGARH'!$B$3:$J$339</definedName>
    <definedName name="_xlnm.Print_Area" localSheetId="21">SAKRA!$A$1:$V$98</definedName>
    <definedName name="_xlnm.Print_Area" localSheetId="32">'SARAI JAMMUVARI'!$B$1:$M$52</definedName>
    <definedName name="_xlnm.Print_Area" localSheetId="25">'SESHPUR ADHARGANJ'!$A$2:$Q$179</definedName>
    <definedName name="_xlnm.Print_Area" localSheetId="1">'utras 2'!$A$1:$R$191</definedName>
    <definedName name="_xlnm.Print_Area">#REF!</definedName>
    <definedName name="Print_Area_MI" localSheetId="7">#REF!</definedName>
    <definedName name="Print_Area_MI" localSheetId="47">#REF!</definedName>
    <definedName name="Print_Area_MI" localSheetId="1">#REF!</definedName>
    <definedName name="Print_Area_MI">#REF!</definedName>
    <definedName name="PRINT_AREA_MI___0" localSheetId="7">#REF!</definedName>
    <definedName name="PRINT_AREA_MI___0" localSheetId="47">#REF!</definedName>
    <definedName name="PRINT_AREA_MI___0" localSheetId="1">#REF!</definedName>
    <definedName name="PRINT_AREA_MI___0">#REF!</definedName>
    <definedName name="print_title">[129]Cul_detail!$A$2:$IV$5</definedName>
    <definedName name="_xlnm.Print_Titles" localSheetId="11">bhaidpur!$13:$13</definedName>
    <definedName name="_xlnm.Print_Titles" localSheetId="7">bhausiya!$13:$13</definedName>
    <definedName name="_xlnm.Print_Titles">#N/A</definedName>
    <definedName name="PRINT_TITLES_MI" localSheetId="7">#REF!</definedName>
    <definedName name="PRINT_TITLES_MI" localSheetId="47">#REF!</definedName>
    <definedName name="PRINT_TITLES_MI" localSheetId="1">#REF!</definedName>
    <definedName name="PRINT_TITLES_MI">#REF!</definedName>
    <definedName name="PRN" localSheetId="7">#REF!</definedName>
    <definedName name="PRN" localSheetId="47">#REF!</definedName>
    <definedName name="PRN" localSheetId="1">#REF!</definedName>
    <definedName name="PRN">#REF!</definedName>
    <definedName name="proj" localSheetId="7">#REF!</definedName>
    <definedName name="proj" localSheetId="47">#REF!</definedName>
    <definedName name="proj" localSheetId="1">#REF!</definedName>
    <definedName name="proj">#REF!</definedName>
    <definedName name="proj_id">'[130]Project Management Main'!$D$9</definedName>
    <definedName name="proj_mgr">'[130]Project Management Main'!$D$12</definedName>
    <definedName name="proj_nm">'[130]Project Management Main'!$D$10</definedName>
    <definedName name="project" localSheetId="7">#REF!</definedName>
    <definedName name="project" localSheetId="47">#REF!</definedName>
    <definedName name="project" localSheetId="1">#REF!</definedName>
    <definedName name="project">#REF!</definedName>
    <definedName name="Project_Name">'[81]GM 000'!$I$2</definedName>
    <definedName name="projecttitle" localSheetId="7">'[131]CABLE BULK'!#REF!</definedName>
    <definedName name="projecttitle" localSheetId="47">'[131]CABLE BULK'!#REF!</definedName>
    <definedName name="projecttitle" localSheetId="1">'[131]CABLE BULK'!#REF!</definedName>
    <definedName name="projecttitle">'[131]CABLE BULK'!#REF!</definedName>
    <definedName name="PROLL" localSheetId="7">#REF!</definedName>
    <definedName name="PROLL" localSheetId="47">#REF!</definedName>
    <definedName name="PROLL" localSheetId="1">#REF!</definedName>
    <definedName name="PROLL">#REF!</definedName>
    <definedName name="proom" localSheetId="7">#REF!</definedName>
    <definedName name="proom" localSheetId="47">#REF!</definedName>
    <definedName name="proom" localSheetId="1">#REF!</definedName>
    <definedName name="proom">#REF!</definedName>
    <definedName name="proom5x4" localSheetId="7">#REF!</definedName>
    <definedName name="proom5x4" localSheetId="47">#REF!</definedName>
    <definedName name="proom5x4" localSheetId="1">#REF!</definedName>
    <definedName name="proom5x4">#REF!</definedName>
    <definedName name="PS" localSheetId="7">#REF!</definedName>
    <definedName name="PS" localSheetId="47">#REF!</definedName>
    <definedName name="PS" localSheetId="1">#REF!</definedName>
    <definedName name="PS">#REF!</definedName>
    <definedName name="PS___0" localSheetId="7">#REF!</definedName>
    <definedName name="PS___0" localSheetId="47">#REF!</definedName>
    <definedName name="PS___0" localSheetId="1">#REF!</definedName>
    <definedName name="PS___0">#REF!</definedName>
    <definedName name="PS___13" localSheetId="7">#REF!</definedName>
    <definedName name="PS___13" localSheetId="47">#REF!</definedName>
    <definedName name="PS___13" localSheetId="1">#REF!</definedName>
    <definedName name="PS___13">#REF!</definedName>
    <definedName name="PUMP">'[4]Cost of O &amp; O'!$F$27</definedName>
    <definedName name="Q" localSheetId="7">'[132]FORM-W3'!#REF!</definedName>
    <definedName name="Q" localSheetId="47">'[132]FORM-W3'!#REF!</definedName>
    <definedName name="Q" localSheetId="1">'[132]FORM-W3'!#REF!</definedName>
    <definedName name="Q">'[132]FORM-W3'!#REF!</definedName>
    <definedName name="Qc" localSheetId="7">#REF!</definedName>
    <definedName name="Qc" localSheetId="47">#REF!</definedName>
    <definedName name="Qc" localSheetId="1">#REF!</definedName>
    <definedName name="Qc">#REF!</definedName>
    <definedName name="Qc___0" localSheetId="7">#REF!</definedName>
    <definedName name="Qc___0" localSheetId="47">#REF!</definedName>
    <definedName name="Qc___0" localSheetId="1">#REF!</definedName>
    <definedName name="Qc___0">#REF!</definedName>
    <definedName name="Qc___13" localSheetId="7">#REF!</definedName>
    <definedName name="Qc___13" localSheetId="47">#REF!</definedName>
    <definedName name="Qc___13" localSheetId="1">#REF!</definedName>
    <definedName name="Qc___13">#REF!</definedName>
    <definedName name="Qf" localSheetId="7">#REF!</definedName>
    <definedName name="Qf" localSheetId="47">#REF!</definedName>
    <definedName name="Qf" localSheetId="1">#REF!</definedName>
    <definedName name="Qf">#REF!</definedName>
    <definedName name="Qf___0" localSheetId="7">#REF!</definedName>
    <definedName name="Qf___0" localSheetId="47">#REF!</definedName>
    <definedName name="Qf___0" localSheetId="1">#REF!</definedName>
    <definedName name="Qf___0">#REF!</definedName>
    <definedName name="Qf___13" localSheetId="7">#REF!</definedName>
    <definedName name="Qf___13" localSheetId="47">#REF!</definedName>
    <definedName name="Qf___13" localSheetId="1">#REF!</definedName>
    <definedName name="Qf___13">#REF!</definedName>
    <definedName name="Qi" localSheetId="7">#REF!</definedName>
    <definedName name="Qi" localSheetId="47">#REF!</definedName>
    <definedName name="Qi" localSheetId="1">#REF!</definedName>
    <definedName name="Qi">#REF!</definedName>
    <definedName name="Qi___0" localSheetId="7">#REF!</definedName>
    <definedName name="Qi___0" localSheetId="47">#REF!</definedName>
    <definedName name="Qi___0" localSheetId="1">#REF!</definedName>
    <definedName name="Qi___0">#REF!</definedName>
    <definedName name="Qi___13" localSheetId="7">#REF!</definedName>
    <definedName name="Qi___13" localSheetId="47">#REF!</definedName>
    <definedName name="Qi___13" localSheetId="1">#REF!</definedName>
    <definedName name="Qi___13">#REF!</definedName>
    <definedName name="Ql" localSheetId="7">#REF!</definedName>
    <definedName name="Ql" localSheetId="47">#REF!</definedName>
    <definedName name="Ql" localSheetId="1">#REF!</definedName>
    <definedName name="Ql">#REF!</definedName>
    <definedName name="Ql___0" localSheetId="7">#REF!</definedName>
    <definedName name="Ql___0" localSheetId="47">#REF!</definedName>
    <definedName name="Ql___0" localSheetId="1">#REF!</definedName>
    <definedName name="Ql___0">#REF!</definedName>
    <definedName name="Ql___13" localSheetId="7">#REF!</definedName>
    <definedName name="Ql___13" localSheetId="47">#REF!</definedName>
    <definedName name="Ql___13" localSheetId="1">#REF!</definedName>
    <definedName name="Ql___13">#REF!</definedName>
    <definedName name="QQ" localSheetId="7" hidden="1">{"form-D1",#N/A,FALSE,"FORM-D1";"form-D1_amt",#N/A,FALSE,"FORM-D1"}</definedName>
    <definedName name="QQ" localSheetId="47" hidden="1">{"form-D1",#N/A,FALSE,"FORM-D1";"form-D1_amt",#N/A,FALSE,"FORM-D1"}</definedName>
    <definedName name="QQ" localSheetId="1" hidden="1">{"form-D1",#N/A,FALSE,"FORM-D1";"form-D1_amt",#N/A,FALSE,"FORM-D1"}</definedName>
    <definedName name="QQ" hidden="1">{"form-D1",#N/A,FALSE,"FORM-D1";"form-D1_amt",#N/A,FALSE,"FORM-D1"}</definedName>
    <definedName name="qqq">#N/A</definedName>
    <definedName name="QQQQ" localSheetId="7" hidden="1">{"form-D1",#N/A,FALSE,"FORM-D1";"form-D1_amt",#N/A,FALSE,"FORM-D1"}</definedName>
    <definedName name="QQQQ" localSheetId="47" hidden="1">{"form-D1",#N/A,FALSE,"FORM-D1";"form-D1_amt",#N/A,FALSE,"FORM-D1"}</definedName>
    <definedName name="QQQQ" localSheetId="1" hidden="1">{"form-D1",#N/A,FALSE,"FORM-D1";"form-D1_amt",#N/A,FALSE,"FORM-D1"}</definedName>
    <definedName name="QQQQ" hidden="1">{"form-D1",#N/A,FALSE,"FORM-D1";"form-D1_amt",#N/A,FALSE,"FORM-D1"}</definedName>
    <definedName name="Qspan" localSheetId="7">#REF!</definedName>
    <definedName name="Qspan" localSheetId="47">#REF!</definedName>
    <definedName name="Qspan" localSheetId="1">#REF!</definedName>
    <definedName name="Qspan">#REF!</definedName>
    <definedName name="QTY">[76]R2!$D$39:$D$86</definedName>
    <definedName name="Qty_as_on_apr" localSheetId="7">#REF!</definedName>
    <definedName name="Qty_as_on_apr" localSheetId="47">#REF!</definedName>
    <definedName name="Qty_as_on_apr" localSheetId="1">#REF!</definedName>
    <definedName name="Qty_as_on_apr">#REF!</definedName>
    <definedName name="Qv" localSheetId="7">#REF!</definedName>
    <definedName name="Qv" localSheetId="47">#REF!</definedName>
    <definedName name="Qv" localSheetId="1">#REF!</definedName>
    <definedName name="Qv">#REF!</definedName>
    <definedName name="qw" localSheetId="7">#REF!</definedName>
    <definedName name="qw" localSheetId="47">#REF!</definedName>
    <definedName name="qw" localSheetId="1">#REF!</definedName>
    <definedName name="qw">#REF!</definedName>
    <definedName name="R_" localSheetId="7">#REF!</definedName>
    <definedName name="R_" localSheetId="47">#REF!</definedName>
    <definedName name="R_" localSheetId="1">#REF!</definedName>
    <definedName name="R_">#REF!</definedName>
    <definedName name="r_date" localSheetId="7">'[90]ETC Plant Cost'!#REF!</definedName>
    <definedName name="r_date" localSheetId="47">'[90]ETC Plant Cost'!#REF!</definedName>
    <definedName name="r_date" localSheetId="1">'[90]ETC Plant Cost'!#REF!</definedName>
    <definedName name="r_date">'[90]ETC Plant Cost'!#REF!</definedName>
    <definedName name="r0" localSheetId="7">#REF!</definedName>
    <definedName name="r0" localSheetId="47">#REF!</definedName>
    <definedName name="r0" localSheetId="1">#REF!</definedName>
    <definedName name="r0">#REF!</definedName>
    <definedName name="r10.3" localSheetId="7">#REF!</definedName>
    <definedName name="r10.3" localSheetId="47">#REF!</definedName>
    <definedName name="r10.3" localSheetId="1">#REF!</definedName>
    <definedName name="r10.3">#REF!</definedName>
    <definedName name="r11.3" localSheetId="7">#REF!</definedName>
    <definedName name="r11.3" localSheetId="47">#REF!</definedName>
    <definedName name="r11.3" localSheetId="1">#REF!</definedName>
    <definedName name="r11.3">#REF!</definedName>
    <definedName name="r12.3" localSheetId="7">#REF!</definedName>
    <definedName name="r12.3" localSheetId="47">#REF!</definedName>
    <definedName name="r12.3" localSheetId="1">#REF!</definedName>
    <definedName name="r12.3">#REF!</definedName>
    <definedName name="r13.3" localSheetId="7">#REF!</definedName>
    <definedName name="r13.3" localSheetId="47">#REF!</definedName>
    <definedName name="r13.3" localSheetId="1">#REF!</definedName>
    <definedName name="r13.3">#REF!</definedName>
    <definedName name="r14.3" localSheetId="7">#REF!</definedName>
    <definedName name="r14.3" localSheetId="47">#REF!</definedName>
    <definedName name="r14.3" localSheetId="1">#REF!</definedName>
    <definedName name="r14.3">#REF!</definedName>
    <definedName name="r15.3" localSheetId="7">#REF!</definedName>
    <definedName name="r15.3" localSheetId="47">#REF!</definedName>
    <definedName name="r15.3" localSheetId="1">#REF!</definedName>
    <definedName name="r15.3">#REF!</definedName>
    <definedName name="r16.3" localSheetId="7">#REF!</definedName>
    <definedName name="r16.3" localSheetId="47">#REF!</definedName>
    <definedName name="r16.3" localSheetId="1">#REF!</definedName>
    <definedName name="r16.3">#REF!</definedName>
    <definedName name="r17.3" localSheetId="7">#REF!</definedName>
    <definedName name="r17.3" localSheetId="47">#REF!</definedName>
    <definedName name="r17.3" localSheetId="1">#REF!</definedName>
    <definedName name="r17.3">#REF!</definedName>
    <definedName name="r18.3" localSheetId="7">#REF!</definedName>
    <definedName name="r18.3" localSheetId="47">#REF!</definedName>
    <definedName name="r18.3" localSheetId="1">#REF!</definedName>
    <definedName name="r18.3">#REF!</definedName>
    <definedName name="r19.3" localSheetId="7">#REF!</definedName>
    <definedName name="r19.3" localSheetId="47">#REF!</definedName>
    <definedName name="r19.3" localSheetId="1">#REF!</definedName>
    <definedName name="r19.3">#REF!</definedName>
    <definedName name="r20.3" localSheetId="7">#REF!</definedName>
    <definedName name="r20.3" localSheetId="47">#REF!</definedName>
    <definedName name="r20.3" localSheetId="1">#REF!</definedName>
    <definedName name="r20.3">#REF!</definedName>
    <definedName name="r3.3" localSheetId="7">#REF!</definedName>
    <definedName name="r3.3" localSheetId="47">#REF!</definedName>
    <definedName name="r3.3" localSheetId="1">#REF!</definedName>
    <definedName name="r3.3">#REF!</definedName>
    <definedName name="r4.3" localSheetId="7">#REF!</definedName>
    <definedName name="r4.3" localSheetId="47">#REF!</definedName>
    <definedName name="r4.3" localSheetId="1">#REF!</definedName>
    <definedName name="r4.3">#REF!</definedName>
    <definedName name="r5.3" localSheetId="7">#REF!</definedName>
    <definedName name="r5.3" localSheetId="47">#REF!</definedName>
    <definedName name="r5.3" localSheetId="1">#REF!</definedName>
    <definedName name="r5.3">#REF!</definedName>
    <definedName name="r6.3" localSheetId="7">#REF!</definedName>
    <definedName name="r6.3" localSheetId="47">#REF!</definedName>
    <definedName name="r6.3" localSheetId="1">#REF!</definedName>
    <definedName name="r6.3">#REF!</definedName>
    <definedName name="r7.3" localSheetId="7">#REF!</definedName>
    <definedName name="r7.3" localSheetId="47">#REF!</definedName>
    <definedName name="r7.3" localSheetId="1">#REF!</definedName>
    <definedName name="r7.3">#REF!</definedName>
    <definedName name="r8.3" localSheetId="7">#REF!</definedName>
    <definedName name="r8.3" localSheetId="47">#REF!</definedName>
    <definedName name="r8.3" localSheetId="1">#REF!</definedName>
    <definedName name="r8.3">#REF!</definedName>
    <definedName name="r9.3" localSheetId="7">#REF!</definedName>
    <definedName name="r9.3" localSheetId="47">#REF!</definedName>
    <definedName name="r9.3" localSheetId="1">#REF!</definedName>
    <definedName name="r9.3">#REF!</definedName>
    <definedName name="raaa" localSheetId="7" hidden="1">{"'Sheet1'!$A$4386:$N$4591"}</definedName>
    <definedName name="raaa" localSheetId="47" hidden="1">{"'Sheet1'!$A$4386:$N$4591"}</definedName>
    <definedName name="raaa" localSheetId="1" hidden="1">{"'Sheet1'!$A$4386:$N$4591"}</definedName>
    <definedName name="raaa" hidden="1">{"'Sheet1'!$A$4386:$N$4591"}</definedName>
    <definedName name="RaftD" localSheetId="7">#REF!</definedName>
    <definedName name="RaftD" localSheetId="47">#REF!</definedName>
    <definedName name="RaftD" localSheetId="1">#REF!</definedName>
    <definedName name="RaftD">#REF!</definedName>
    <definedName name="RaftSlbThk" localSheetId="7">#REF!</definedName>
    <definedName name="RaftSlbThk" localSheetId="47">#REF!</definedName>
    <definedName name="RaftSlbThk" localSheetId="1">#REF!</definedName>
    <definedName name="RaftSlbThk">#REF!</definedName>
    <definedName name="RATE">'[133]Rate Ana'!$A$6:$D$392</definedName>
    <definedName name="rate0">[134]SUMMARY!$A$3:$E$1159</definedName>
    <definedName name="rating150" localSheetId="7">#REF!</definedName>
    <definedName name="rating150" localSheetId="47">#REF!</definedName>
    <definedName name="rating150" localSheetId="1">#REF!</definedName>
    <definedName name="rating150">#REF!</definedName>
    <definedName name="rating300" localSheetId="7">#REF!</definedName>
    <definedName name="rating300" localSheetId="47">#REF!</definedName>
    <definedName name="rating300" localSheetId="1">#REF!</definedName>
    <definedName name="rating300">#REF!</definedName>
    <definedName name="rating600" localSheetId="7">#REF!</definedName>
    <definedName name="rating600" localSheetId="47">#REF!</definedName>
    <definedName name="rating600" localSheetId="1">#REF!</definedName>
    <definedName name="rating600">#REF!</definedName>
    <definedName name="rating800" localSheetId="7">#REF!</definedName>
    <definedName name="rating800" localSheetId="47">#REF!</definedName>
    <definedName name="rating800" localSheetId="1">#REF!</definedName>
    <definedName name="rating800">#REF!</definedName>
    <definedName name="RATING계산">#N/A</definedName>
    <definedName name="RawAgencyPrice" localSheetId="7">#REF!</definedName>
    <definedName name="RawAgencyPrice" localSheetId="47">#REF!</definedName>
    <definedName name="RawAgencyPrice" localSheetId="1">#REF!</definedName>
    <definedName name="RawAgencyPrice">#REF!</definedName>
    <definedName name="RBData" localSheetId="7">#REF!</definedName>
    <definedName name="RBData" localSheetId="47">#REF!</definedName>
    <definedName name="RBData" localSheetId="1">#REF!</definedName>
    <definedName name="RBData">#REF!</definedName>
    <definedName name="RCCM35" localSheetId="7">#REF!</definedName>
    <definedName name="RCCM35" localSheetId="47">#REF!</definedName>
    <definedName name="RCCM35" localSheetId="1">#REF!</definedName>
    <definedName name="RCCM35">#REF!</definedName>
    <definedName name="RCCpipe300" localSheetId="7">'[135]LOCAL RATES'!#REF!</definedName>
    <definedName name="RCCpipe300" localSheetId="47">'[135]LOCAL RATES'!#REF!</definedName>
    <definedName name="RCCpipe300" localSheetId="1">'[135]LOCAL RATES'!#REF!</definedName>
    <definedName name="RCCpipe300">'[135]LOCAL RATES'!#REF!</definedName>
    <definedName name="RCCpipe600" localSheetId="7">'[135]LOCAL RATES'!#REF!</definedName>
    <definedName name="RCCpipe600" localSheetId="47">'[135]LOCAL RATES'!#REF!</definedName>
    <definedName name="RCCpipe600" localSheetId="1">'[135]LOCAL RATES'!#REF!</definedName>
    <definedName name="RCCpipe600">'[135]LOCAL RATES'!#REF!</definedName>
    <definedName name="rdc" localSheetId="7">#REF!</definedName>
    <definedName name="rdc" localSheetId="47">#REF!</definedName>
    <definedName name="rdc" localSheetId="1">#REF!</definedName>
    <definedName name="rdc">#REF!</definedName>
    <definedName name="Re" localSheetId="7">#REF!</definedName>
    <definedName name="Re" localSheetId="47">#REF!</definedName>
    <definedName name="Re" localSheetId="1">#REF!</definedName>
    <definedName name="Re">#REF!</definedName>
    <definedName name="Re___0" localSheetId="7">#REF!</definedName>
    <definedName name="Re___0" localSheetId="47">#REF!</definedName>
    <definedName name="Re___0" localSheetId="1">#REF!</definedName>
    <definedName name="Re___0">#REF!</definedName>
    <definedName name="Re___13" localSheetId="7">#REF!</definedName>
    <definedName name="Re___13" localSheetId="47">#REF!</definedName>
    <definedName name="Re___13" localSheetId="1">#REF!</definedName>
    <definedName name="Re___13">#REF!</definedName>
    <definedName name="re_bar" localSheetId="7">#REF!</definedName>
    <definedName name="re_bar" localSheetId="47">#REF!</definedName>
    <definedName name="re_bar" localSheetId="1">#REF!</definedName>
    <definedName name="re_bar">#REF!</definedName>
    <definedName name="RE_SIZE" localSheetId="7">#REF!</definedName>
    <definedName name="RE_SIZE" localSheetId="47">#REF!</definedName>
    <definedName name="RE_SIZE" localSheetId="1">#REF!</definedName>
    <definedName name="RE_SIZE">#REF!</definedName>
    <definedName name="REC6RD" localSheetId="7">#REF!</definedName>
    <definedName name="REC6RD" localSheetId="47">#REF!</definedName>
    <definedName name="REC6RD" localSheetId="1">#REF!</definedName>
    <definedName name="REC6RD">#REF!</definedName>
    <definedName name="RECORD" localSheetId="7">#REF!</definedName>
    <definedName name="RECORD" localSheetId="47">#REF!</definedName>
    <definedName name="RECORD" localSheetId="1">#REF!</definedName>
    <definedName name="RECORD">#REF!</definedName>
    <definedName name="_xlnm.Recorder" localSheetId="7">#REF!</definedName>
    <definedName name="_xlnm.Recorder" localSheetId="47">#REF!</definedName>
    <definedName name="_xlnm.Recorder" localSheetId="1">#REF!</definedName>
    <definedName name="_xlnm.Recorder">#REF!</definedName>
    <definedName name="RED" localSheetId="7">#REF!</definedName>
    <definedName name="RED" localSheetId="47">#REF!</definedName>
    <definedName name="RED" localSheetId="1">#REF!</definedName>
    <definedName name="RED">#REF!</definedName>
    <definedName name="REDDY" localSheetId="7">#REF!</definedName>
    <definedName name="REDDY" localSheetId="47">#REF!</definedName>
    <definedName name="REDDY" localSheetId="1">#REF!</definedName>
    <definedName name="REDDY">#REF!</definedName>
    <definedName name="refill" localSheetId="7">#REF!</definedName>
    <definedName name="refill" localSheetId="47">#REF!</definedName>
    <definedName name="refill" localSheetId="1">#REF!</definedName>
    <definedName name="refill">#REF!</definedName>
    <definedName name="rel" localSheetId="7">#REF!</definedName>
    <definedName name="rel" localSheetId="47">#REF!</definedName>
    <definedName name="rel" localSheetId="1">#REF!</definedName>
    <definedName name="rel">#REF!</definedName>
    <definedName name="RentSubsidy_B" localSheetId="7">'[67]SITE OVERHEADS'!#REF!</definedName>
    <definedName name="RentSubsidy_B" localSheetId="47">'[67]SITE OVERHEADS'!#REF!</definedName>
    <definedName name="RentSubsidy_B" localSheetId="1">'[67]SITE OVERHEADS'!#REF!</definedName>
    <definedName name="RentSubsidy_B">'[67]SITE OVERHEADS'!#REF!</definedName>
    <definedName name="Reselects" localSheetId="7">#REF!</definedName>
    <definedName name="Reselects" localSheetId="47">#REF!</definedName>
    <definedName name="Reselects" localSheetId="1">#REF!</definedName>
    <definedName name="Reselects">#REF!</definedName>
    <definedName name="Rev" localSheetId="7">#REF!</definedName>
    <definedName name="Rev" localSheetId="47">#REF!</definedName>
    <definedName name="Rev" localSheetId="1">#REF!</definedName>
    <definedName name="Rev">#REF!</definedName>
    <definedName name="Revision" localSheetId="7">#REF!</definedName>
    <definedName name="Revision" localSheetId="47">#REF!</definedName>
    <definedName name="Revision" localSheetId="1">#REF!</definedName>
    <definedName name="Revision">#REF!</definedName>
    <definedName name="RF" localSheetId="7" hidden="1">{#N/A,#N/A,FALSE,"CCTV"}</definedName>
    <definedName name="RF" localSheetId="47" hidden="1">{#N/A,#N/A,FALSE,"CCTV"}</definedName>
    <definedName name="RF" localSheetId="1" hidden="1">{#N/A,#N/A,FALSE,"CCTV"}</definedName>
    <definedName name="RF" hidden="1">{#N/A,#N/A,FALSE,"CCTV"}</definedName>
    <definedName name="ric" localSheetId="7">#REF!</definedName>
    <definedName name="ric" localSheetId="47">#REF!</definedName>
    <definedName name="ric" localSheetId="1">#REF!</definedName>
    <definedName name="ric">#REF!</definedName>
    <definedName name="rid" localSheetId="7" hidden="1">{"'Sheet1'!$L$16"}</definedName>
    <definedName name="rid" localSheetId="47" hidden="1">{"'Sheet1'!$L$16"}</definedName>
    <definedName name="rid" localSheetId="1" hidden="1">{"'Sheet1'!$L$16"}</definedName>
    <definedName name="rid" hidden="1">{"'Sheet1'!$L$16"}</definedName>
    <definedName name="rig" localSheetId="7">#REF!</definedName>
    <definedName name="rig" localSheetId="47">#REF!</definedName>
    <definedName name="rig" localSheetId="1">#REF!</definedName>
    <definedName name="rig">#REF!</definedName>
    <definedName name="RIP" localSheetId="7">#REF!</definedName>
    <definedName name="RIP" localSheetId="47">#REF!</definedName>
    <definedName name="RIP" localSheetId="1">#REF!</definedName>
    <definedName name="RIP">#REF!</definedName>
    <definedName name="RIVER" localSheetId="7">#REF!</definedName>
    <definedName name="RIVER" localSheetId="47">#REF!</definedName>
    <definedName name="RIVER" localSheetId="1">#REF!</definedName>
    <definedName name="RIVER">#REF!</definedName>
    <definedName name="Rl" localSheetId="7">#REF!</definedName>
    <definedName name="Rl" localSheetId="47">#REF!</definedName>
    <definedName name="Rl" localSheetId="1">#REF!</definedName>
    <definedName name="Rl">#REF!</definedName>
    <definedName name="Rl___0" localSheetId="7">#REF!</definedName>
    <definedName name="Rl___0" localSheetId="47">#REF!</definedName>
    <definedName name="Rl___0" localSheetId="1">#REF!</definedName>
    <definedName name="Rl___0">#REF!</definedName>
    <definedName name="Rl___13" localSheetId="7">#REF!</definedName>
    <definedName name="Rl___13" localSheetId="47">#REF!</definedName>
    <definedName name="Rl___13" localSheetId="1">#REF!</definedName>
    <definedName name="Rl___13">#REF!</definedName>
    <definedName name="RMARK" localSheetId="7">#REF!</definedName>
    <definedName name="RMARK" localSheetId="47">#REF!</definedName>
    <definedName name="RMARK" localSheetId="1">#REF!</definedName>
    <definedName name="RMARK">#REF!</definedName>
    <definedName name="RNG1500S">'[34]Valve Cl'!$A$381:$W$405</definedName>
    <definedName name="RNG150S">'[34]Valve Cl'!$A$238:$W$262</definedName>
    <definedName name="RNG2500S">'[34]Valve Cl'!$A$409:$W$433</definedName>
    <definedName name="RNG300S">'[34]Valve Cl'!$A$266:$W$290</definedName>
    <definedName name="RNG400S">'[34]Valve Cl'!$A$294:$W$318</definedName>
    <definedName name="RNG4500S">'[34]Valve Cl'!$A$438:$W$462</definedName>
    <definedName name="RNG600S">'[34]Valve Cl'!$A$323:$W$347</definedName>
    <definedName name="RNG900S">'[34]Valve Cl'!$A$352:$W$376</definedName>
    <definedName name="robot" localSheetId="7">#REF!</definedName>
    <definedName name="robot" localSheetId="47">#REF!</definedName>
    <definedName name="robot" localSheetId="1">#REF!</definedName>
    <definedName name="robot">#REF!</definedName>
    <definedName name="ROCE" localSheetId="7">#REF!</definedName>
    <definedName name="ROCE" localSheetId="47">#REF!</definedName>
    <definedName name="ROCE" localSheetId="1">#REF!</definedName>
    <definedName name="ROCE">#REF!</definedName>
    <definedName name="ROCK" localSheetId="7">#REF!</definedName>
    <definedName name="ROCK" localSheetId="47">#REF!</definedName>
    <definedName name="ROCK" localSheetId="1">#REF!</definedName>
    <definedName name="ROCK">#REF!</definedName>
    <definedName name="rockk" localSheetId="7">[94]Analysis!#REF!</definedName>
    <definedName name="rockk" localSheetId="47">[94]Analysis!#REF!</definedName>
    <definedName name="rockk" localSheetId="1">[94]Analysis!#REF!</definedName>
    <definedName name="rockk">[94]Analysis!#REF!</definedName>
    <definedName name="RokSpl" localSheetId="7">#REF!</definedName>
    <definedName name="RokSpl" localSheetId="47">#REF!</definedName>
    <definedName name="RokSpl" localSheetId="1">#REF!</definedName>
    <definedName name="RokSpl">#REF!</definedName>
    <definedName name="ROLL" localSheetId="7">#REF!</definedName>
    <definedName name="ROLL" localSheetId="47">#REF!</definedName>
    <definedName name="ROLL" localSheetId="1">#REF!</definedName>
    <definedName name="ROLL">#REF!</definedName>
    <definedName name="Rooms" localSheetId="7">#REF!</definedName>
    <definedName name="Rooms" localSheetId="47">#REF!</definedName>
    <definedName name="Rooms" localSheetId="1">#REF!</definedName>
    <definedName name="Rooms">#REF!</definedName>
    <definedName name="rosid" localSheetId="7">#REF!</definedName>
    <definedName name="rosid" localSheetId="47">#REF!</definedName>
    <definedName name="rosid" localSheetId="1">#REF!</definedName>
    <definedName name="rosid">#REF!</definedName>
    <definedName name="ROTA" localSheetId="7">#REF!</definedName>
    <definedName name="ROTA" localSheetId="47">#REF!</definedName>
    <definedName name="ROTA" localSheetId="1">#REF!</definedName>
    <definedName name="ROTA">#REF!</definedName>
    <definedName name="ROTARY">'[4]Cost of O &amp; O'!$F$28</definedName>
    <definedName name="rout_t" localSheetId="7">#REF!</definedName>
    <definedName name="rout_t" localSheetId="47">#REF!</definedName>
    <definedName name="rout_t" localSheetId="1">#REF!</definedName>
    <definedName name="rout_t">#REF!</definedName>
    <definedName name="row">'[34]Valve Cl'!$AC$8:$AC$32</definedName>
    <definedName name="ROW_STRESS">'[34]CODE-STR'!$Z$3:$Z$21</definedName>
    <definedName name="RRstones" localSheetId="7">#REF!</definedName>
    <definedName name="RRstones" localSheetId="47">#REF!</definedName>
    <definedName name="RRstones" localSheetId="1">#REF!</definedName>
    <definedName name="RRstones">#REF!</definedName>
    <definedName name="Rs" localSheetId="7">#REF!</definedName>
    <definedName name="Rs" localSheetId="47">#REF!</definedName>
    <definedName name="Rs" localSheetId="1">#REF!</definedName>
    <definedName name="Rs">#REF!</definedName>
    <definedName name="Rs___0" localSheetId="7">#REF!</definedName>
    <definedName name="Rs___0" localSheetId="47">#REF!</definedName>
    <definedName name="Rs___0" localSheetId="1">#REF!</definedName>
    <definedName name="Rs___0">#REF!</definedName>
    <definedName name="Rs___13" localSheetId="7">#REF!</definedName>
    <definedName name="Rs___13" localSheetId="47">#REF!</definedName>
    <definedName name="Rs___13" localSheetId="1">#REF!</definedName>
    <definedName name="Rs___13">#REF!</definedName>
    <definedName name="RSAND" localSheetId="7">#REF!</definedName>
    <definedName name="RSAND" localSheetId="47">#REF!</definedName>
    <definedName name="RSAND" localSheetId="1">#REF!</definedName>
    <definedName name="RSAND">#REF!</definedName>
    <definedName name="Rse" localSheetId="7">#REF!</definedName>
    <definedName name="Rse" localSheetId="47">#REF!</definedName>
    <definedName name="Rse" localSheetId="1">#REF!</definedName>
    <definedName name="Rse">#REF!</definedName>
    <definedName name="Rse___0" localSheetId="7">#REF!</definedName>
    <definedName name="Rse___0" localSheetId="47">#REF!</definedName>
    <definedName name="Rse___0" localSheetId="1">#REF!</definedName>
    <definedName name="Rse___0">#REF!</definedName>
    <definedName name="Rse___13" localSheetId="7">#REF!</definedName>
    <definedName name="Rse___13" localSheetId="47">#REF!</definedName>
    <definedName name="Rse___13" localSheetId="1">#REF!</definedName>
    <definedName name="Rse___13">#REF!</definedName>
    <definedName name="RTR" localSheetId="7">#REF!</definedName>
    <definedName name="RTR" localSheetId="47">#REF!</definedName>
    <definedName name="RTR" localSheetId="1">#REF!</definedName>
    <definedName name="RTR">#REF!</definedName>
    <definedName name="RUB" localSheetId="7">#REF!</definedName>
    <definedName name="RUB" localSheetId="47">#REF!</definedName>
    <definedName name="RUB" localSheetId="1">#REF!</definedName>
    <definedName name="RUB">#REF!</definedName>
    <definedName name="RUBBLE" localSheetId="7">#REF!</definedName>
    <definedName name="RUBBLE" localSheetId="47">#REF!</definedName>
    <definedName name="RUBBLE" localSheetId="1">#REF!</definedName>
    <definedName name="RUBBLE">#REF!</definedName>
    <definedName name="RUBLE" localSheetId="7">#REF!</definedName>
    <definedName name="RUBLE" localSheetId="47">#REF!</definedName>
    <definedName name="RUBLE" localSheetId="1">#REF!</definedName>
    <definedName name="RUBLE">#REF!</definedName>
    <definedName name="RY" localSheetId="7">#REF!</definedName>
    <definedName name="RY" localSheetId="47">#REF!</definedName>
    <definedName name="RY" localSheetId="1">#REF!</definedName>
    <definedName name="RY">#REF!</definedName>
    <definedName name="S" localSheetId="7">#REF!</definedName>
    <definedName name="S" localSheetId="47">#REF!</definedName>
    <definedName name="S" localSheetId="1">#REF!</definedName>
    <definedName name="S">#REF!</definedName>
    <definedName name="s0" localSheetId="7">#REF!</definedName>
    <definedName name="s0" localSheetId="47">#REF!</definedName>
    <definedName name="s0" localSheetId="1">#REF!</definedName>
    <definedName name="s0">#REF!</definedName>
    <definedName name="s10.3" localSheetId="7">#REF!</definedName>
    <definedName name="s10.3" localSheetId="47">#REF!</definedName>
    <definedName name="s10.3" localSheetId="1">#REF!</definedName>
    <definedName name="s10.3">#REF!</definedName>
    <definedName name="s11.3" localSheetId="7">#REF!</definedName>
    <definedName name="s11.3" localSheetId="47">#REF!</definedName>
    <definedName name="s11.3" localSheetId="1">#REF!</definedName>
    <definedName name="s11.3">#REF!</definedName>
    <definedName name="s12.3" localSheetId="7">#REF!</definedName>
    <definedName name="s12.3" localSheetId="47">#REF!</definedName>
    <definedName name="s12.3" localSheetId="1">#REF!</definedName>
    <definedName name="s12.3">#REF!</definedName>
    <definedName name="S12T13" localSheetId="7">#REF!</definedName>
    <definedName name="S12T13" localSheetId="47">#REF!</definedName>
    <definedName name="S12T13" localSheetId="1">#REF!</definedName>
    <definedName name="S12T13">#REF!</definedName>
    <definedName name="s13.3" localSheetId="7">#REF!</definedName>
    <definedName name="s13.3" localSheetId="47">#REF!</definedName>
    <definedName name="s13.3" localSheetId="1">#REF!</definedName>
    <definedName name="s13.3">#REF!</definedName>
    <definedName name="s14.3" localSheetId="7">#REF!</definedName>
    <definedName name="s14.3" localSheetId="47">#REF!</definedName>
    <definedName name="s14.3" localSheetId="1">#REF!</definedName>
    <definedName name="s14.3">#REF!</definedName>
    <definedName name="s15.3" localSheetId="7">#REF!</definedName>
    <definedName name="s15.3" localSheetId="47">#REF!</definedName>
    <definedName name="s15.3" localSheetId="1">#REF!</definedName>
    <definedName name="s15.3">#REF!</definedName>
    <definedName name="s16.3" localSheetId="7">#REF!</definedName>
    <definedName name="s16.3" localSheetId="47">#REF!</definedName>
    <definedName name="s16.3" localSheetId="1">#REF!</definedName>
    <definedName name="s16.3">#REF!</definedName>
    <definedName name="s17.3" localSheetId="7">#REF!</definedName>
    <definedName name="s17.3" localSheetId="47">#REF!</definedName>
    <definedName name="s17.3" localSheetId="1">#REF!</definedName>
    <definedName name="s17.3">#REF!</definedName>
    <definedName name="s18.3" localSheetId="7">#REF!</definedName>
    <definedName name="s18.3" localSheetId="47">#REF!</definedName>
    <definedName name="s18.3" localSheetId="1">#REF!</definedName>
    <definedName name="s18.3">#REF!</definedName>
    <definedName name="s19.3" localSheetId="7">#REF!</definedName>
    <definedName name="s19.3" localSheetId="47">#REF!</definedName>
    <definedName name="s19.3" localSheetId="1">#REF!</definedName>
    <definedName name="s19.3">#REF!</definedName>
    <definedName name="S19T13" localSheetId="7">#REF!</definedName>
    <definedName name="S19T13" localSheetId="47">#REF!</definedName>
    <definedName name="S19T13" localSheetId="1">#REF!</definedName>
    <definedName name="S19T13">#REF!</definedName>
    <definedName name="s20.3" localSheetId="7">#REF!</definedName>
    <definedName name="s20.3" localSheetId="47">#REF!</definedName>
    <definedName name="s20.3" localSheetId="1">#REF!</definedName>
    <definedName name="s20.3">#REF!</definedName>
    <definedName name="s3.3" localSheetId="7">#REF!</definedName>
    <definedName name="s3.3" localSheetId="47">#REF!</definedName>
    <definedName name="s3.3" localSheetId="1">#REF!</definedName>
    <definedName name="s3.3">#REF!</definedName>
    <definedName name="s4.3" localSheetId="7">#REF!</definedName>
    <definedName name="s4.3" localSheetId="47">#REF!</definedName>
    <definedName name="s4.3" localSheetId="1">#REF!</definedName>
    <definedName name="s4.3">#REF!</definedName>
    <definedName name="s5.3" localSheetId="7">#REF!</definedName>
    <definedName name="s5.3" localSheetId="47">#REF!</definedName>
    <definedName name="s5.3" localSheetId="1">#REF!</definedName>
    <definedName name="s5.3">#REF!</definedName>
    <definedName name="s6.3" localSheetId="7">#REF!</definedName>
    <definedName name="s6.3" localSheetId="47">#REF!</definedName>
    <definedName name="s6.3" localSheetId="1">#REF!</definedName>
    <definedName name="s6.3">#REF!</definedName>
    <definedName name="s7.3" localSheetId="7">#REF!</definedName>
    <definedName name="s7.3" localSheetId="47">#REF!</definedName>
    <definedName name="s7.3" localSheetId="1">#REF!</definedName>
    <definedName name="s7.3">#REF!</definedName>
    <definedName name="s8.3" localSheetId="7">#REF!</definedName>
    <definedName name="s8.3" localSheetId="47">#REF!</definedName>
    <definedName name="s8.3" localSheetId="1">#REF!</definedName>
    <definedName name="s8.3">#REF!</definedName>
    <definedName name="s9.3" localSheetId="7">#REF!</definedName>
    <definedName name="s9.3" localSheetId="47">#REF!</definedName>
    <definedName name="s9.3" localSheetId="1">#REF!</definedName>
    <definedName name="s9.3">#REF!</definedName>
    <definedName name="sa">[136]dummy!$A$2:$I$48</definedName>
    <definedName name="saf" localSheetId="7">[37]예가표!#REF!</definedName>
    <definedName name="saf" localSheetId="47">[37]예가표!#REF!</definedName>
    <definedName name="saf" localSheetId="1">[37]예가표!#REF!</definedName>
    <definedName name="saf">[37]예가표!#REF!</definedName>
    <definedName name="Salaries1010" localSheetId="7">'[67]SITE OVERHEADS'!#REF!</definedName>
    <definedName name="Salaries1010" localSheetId="47">'[67]SITE OVERHEADS'!#REF!</definedName>
    <definedName name="Salaries1010" localSheetId="1">'[67]SITE OVERHEADS'!#REF!</definedName>
    <definedName name="Salaries1010">'[67]SITE OVERHEADS'!#REF!</definedName>
    <definedName name="Salaries1010_A" localSheetId="7">'[67]SITE OVERHEADS'!#REF!</definedName>
    <definedName name="Salaries1010_A" localSheetId="47">'[67]SITE OVERHEADS'!#REF!</definedName>
    <definedName name="Salaries1010_A" localSheetId="1">'[67]SITE OVERHEADS'!#REF!</definedName>
    <definedName name="Salaries1010_A">'[67]SITE OVERHEADS'!#REF!</definedName>
    <definedName name="SALESPLAN" localSheetId="7">#REF!</definedName>
    <definedName name="SALESPLAN" localSheetId="47">#REF!</definedName>
    <definedName name="SALESPLAN" localSheetId="1">#REF!</definedName>
    <definedName name="SALESPLAN">#REF!</definedName>
    <definedName name="SAND" localSheetId="7">#REF!</definedName>
    <definedName name="SAND" localSheetId="47">#REF!</definedName>
    <definedName name="SAND" localSheetId="1">#REF!</definedName>
    <definedName name="SAND">#REF!</definedName>
    <definedName name="sand1" localSheetId="7">#REF!</definedName>
    <definedName name="sand1" localSheetId="47">#REF!</definedName>
    <definedName name="sand1" localSheetId="1">#REF!</definedName>
    <definedName name="sand1">#REF!</definedName>
    <definedName name="SANDA">[59]ANAL!$E$17</definedName>
    <definedName name="SANDB" localSheetId="7">#REF!</definedName>
    <definedName name="SANDB" localSheetId="47">#REF!</definedName>
    <definedName name="SANDB" localSheetId="1">#REF!</definedName>
    <definedName name="SANDB">#REF!</definedName>
    <definedName name="sandd" localSheetId="7">#REF!</definedName>
    <definedName name="sandd" localSheetId="47">#REF!</definedName>
    <definedName name="sandd" localSheetId="1">#REF!</definedName>
    <definedName name="sandd">#REF!</definedName>
    <definedName name="sandfill" localSheetId="7">#REF!</definedName>
    <definedName name="sandfill" localSheetId="47">#REF!</definedName>
    <definedName name="sandfill" localSheetId="1">#REF!</definedName>
    <definedName name="sandfill">#REF!</definedName>
    <definedName name="SANDR" localSheetId="7">#REF!</definedName>
    <definedName name="SANDR" localSheetId="47">#REF!</definedName>
    <definedName name="SANDR" localSheetId="1">#REF!</definedName>
    <definedName name="SANDR">#REF!</definedName>
    <definedName name="SBC" localSheetId="7">#REF!</definedName>
    <definedName name="SBC" localSheetId="47">#REF!</definedName>
    <definedName name="SBC" localSheetId="1">#REF!</definedName>
    <definedName name="SBC">#REF!</definedName>
    <definedName name="SC" localSheetId="7">#REF!</definedName>
    <definedName name="SC" localSheetId="47">#REF!</definedName>
    <definedName name="SC" localSheetId="1">#REF!</definedName>
    <definedName name="SC">#REF!</definedName>
    <definedName name="scaffolding">[137]!scaffolding</definedName>
    <definedName name="scale" localSheetId="7">#REF!</definedName>
    <definedName name="scale" localSheetId="47">#REF!</definedName>
    <definedName name="scale" localSheetId="1">#REF!</definedName>
    <definedName name="scale">#REF!</definedName>
    <definedName name="scbc" localSheetId="7">#REF!</definedName>
    <definedName name="scbc" localSheetId="47">#REF!</definedName>
    <definedName name="scbc" localSheetId="1">#REF!</definedName>
    <definedName name="scbc">#REF!</definedName>
    <definedName name="SCH">[34]Tables!$A$10:$D$377</definedName>
    <definedName name="SCH_CON" localSheetId="7">#REF!</definedName>
    <definedName name="SCH_CON" localSheetId="47">#REF!</definedName>
    <definedName name="SCH_CON" localSheetId="1">#REF!</definedName>
    <definedName name="SCH_CON">#REF!</definedName>
    <definedName name="SCH_CSH_OF" localSheetId="7">#REF!</definedName>
    <definedName name="SCH_CSH_OF" localSheetId="47">#REF!</definedName>
    <definedName name="SCH_CSH_OF" localSheetId="1">#REF!</definedName>
    <definedName name="SCH_CSH_OF">#REF!</definedName>
    <definedName name="SCH_DIRSTAF" localSheetId="7">#REF!</definedName>
    <definedName name="SCH_DIRSTAF" localSheetId="47">#REF!</definedName>
    <definedName name="SCH_DIRSTAF" localSheetId="1">#REF!</definedName>
    <definedName name="SCH_DIRSTAF">#REF!</definedName>
    <definedName name="SCH_INDIRSTAF" localSheetId="7">#REF!</definedName>
    <definedName name="SCH_INDIRSTAF" localSheetId="47">#REF!</definedName>
    <definedName name="SCH_INDIRSTAF" localSheetId="1">#REF!</definedName>
    <definedName name="SCH_INDIRSTAF">#REF!</definedName>
    <definedName name="SCH_PM" localSheetId="7">#REF!</definedName>
    <definedName name="SCH_PM" localSheetId="47">#REF!</definedName>
    <definedName name="SCH_PM" localSheetId="1">#REF!</definedName>
    <definedName name="SCH_PM">#REF!</definedName>
    <definedName name="SCH_WC_CF" localSheetId="7">#REF!</definedName>
    <definedName name="SCH_WC_CF" localSheetId="47">#REF!</definedName>
    <definedName name="SCH_WC_CF" localSheetId="1">#REF!</definedName>
    <definedName name="SCH_WC_CF">#REF!</definedName>
    <definedName name="SCHEDULE" localSheetId="7">[103]TOEC!#REF!</definedName>
    <definedName name="SCHEDULE" localSheetId="47">[103]TOEC!#REF!</definedName>
    <definedName name="SCHEDULE" localSheetId="1">[103]TOEC!#REF!</definedName>
    <definedName name="SCHEDULE">[103]TOEC!#REF!</definedName>
    <definedName name="schedules">[34]Tables!$H$51:$I$66</definedName>
    <definedName name="schools" localSheetId="7">#REF!</definedName>
    <definedName name="schools" localSheetId="47">#REF!</definedName>
    <definedName name="schools" localSheetId="1">#REF!</definedName>
    <definedName name="schools">#REF!</definedName>
    <definedName name="SCON" localSheetId="7">#REF!</definedName>
    <definedName name="SCON" localSheetId="47">#REF!</definedName>
    <definedName name="SCON" localSheetId="1">#REF!</definedName>
    <definedName name="SCON">#REF!</definedName>
    <definedName name="SCRAP" localSheetId="7">#REF!</definedName>
    <definedName name="SCRAP" localSheetId="47">#REF!</definedName>
    <definedName name="SCRAP" localSheetId="1">#REF!</definedName>
    <definedName name="SCRAP">#REF!</definedName>
    <definedName name="SD">'[46]RA Civil'!$E$12</definedName>
    <definedName name="Sdate" localSheetId="7">#REF!</definedName>
    <definedName name="Sdate" localSheetId="47">#REF!</definedName>
    <definedName name="Sdate" localSheetId="1">#REF!</definedName>
    <definedName name="Sdate">#REF!</definedName>
    <definedName name="SDEPTH" localSheetId="7">#REF!</definedName>
    <definedName name="SDEPTH" localSheetId="47">#REF!</definedName>
    <definedName name="SDEPTH" localSheetId="1">#REF!</definedName>
    <definedName name="SDEPTH">#REF!</definedName>
    <definedName name="sdfg" hidden="1">[38]Cash2!$J$16:$J$36</definedName>
    <definedName name="sdfwdd" localSheetId="7">'[114]purpose&amp;input'!#REF!</definedName>
    <definedName name="sdfwdd" localSheetId="47">'[114]purpose&amp;input'!#REF!</definedName>
    <definedName name="sdfwdd" localSheetId="1">'[114]purpose&amp;input'!#REF!</definedName>
    <definedName name="sdfwdd">'[114]purpose&amp;input'!#REF!</definedName>
    <definedName name="SDMLPW" localSheetId="7">#REF!</definedName>
    <definedName name="SDMLPW" localSheetId="47">#REF!</definedName>
    <definedName name="SDMLPW" localSheetId="1">#REF!</definedName>
    <definedName name="SDMLPW">#REF!</definedName>
    <definedName name="SDXAS" localSheetId="7">'[138]scour depth'!#REF!</definedName>
    <definedName name="SDXAS" localSheetId="47">'[138]scour depth'!#REF!</definedName>
    <definedName name="SDXAS" localSheetId="1">'[138]scour depth'!#REF!</definedName>
    <definedName name="SDXAS">'[138]scour depth'!#REF!</definedName>
    <definedName name="se" localSheetId="7">#REF!</definedName>
    <definedName name="se" localSheetId="47">#REF!</definedName>
    <definedName name="se" localSheetId="1">#REF!</definedName>
    <definedName name="se">#REF!</definedName>
    <definedName name="SEAL" localSheetId="7">#REF!</definedName>
    <definedName name="SEAL" localSheetId="47">#REF!</definedName>
    <definedName name="SEAL" localSheetId="1">#REF!</definedName>
    <definedName name="SEAL">#REF!</definedName>
    <definedName name="SEAL1" localSheetId="7">#REF!</definedName>
    <definedName name="SEAL1" localSheetId="47">#REF!</definedName>
    <definedName name="SEAL1" localSheetId="1">#REF!</definedName>
    <definedName name="SEAL1">#REF!</definedName>
    <definedName name="SECTION" localSheetId="7">#REF!</definedName>
    <definedName name="SECTION" localSheetId="47">#REF!</definedName>
    <definedName name="SECTION" localSheetId="1">#REF!</definedName>
    <definedName name="SECTION">#REF!</definedName>
    <definedName name="sencount" hidden="1">1</definedName>
    <definedName name="SepRRFinal">[50]Original!$T$8</definedName>
    <definedName name="sertert" localSheetId="7">#REF!</definedName>
    <definedName name="sertert" localSheetId="47">#REF!</definedName>
    <definedName name="sertert" localSheetId="1">#REF!</definedName>
    <definedName name="sertert">#REF!</definedName>
    <definedName name="SERVICE" localSheetId="7">#REF!</definedName>
    <definedName name="SERVICE" localSheetId="47">#REF!</definedName>
    <definedName name="SERVICE" localSheetId="1">#REF!</definedName>
    <definedName name="SERVICE">#REF!</definedName>
    <definedName name="SF" localSheetId="7">#REF!</definedName>
    <definedName name="SF" localSheetId="47">#REF!</definedName>
    <definedName name="SF" localSheetId="1">#REF!</definedName>
    <definedName name="SF">#REF!</definedName>
    <definedName name="SFDASDASFD" localSheetId="7">[103]TOEC!#REF!</definedName>
    <definedName name="SFDASDASFD" localSheetId="47">[103]TOEC!#REF!</definedName>
    <definedName name="SFDASDASFD" localSheetId="1">[103]TOEC!#REF!</definedName>
    <definedName name="SFDASDASFD">[103]TOEC!#REF!</definedName>
    <definedName name="sgsgbsbgg" localSheetId="7">#REF!</definedName>
    <definedName name="sgsgbsbgg" localSheetId="47">#REF!</definedName>
    <definedName name="sgsgbsbgg" localSheetId="1">#REF!</definedName>
    <definedName name="sgsgbsbgg">#REF!</definedName>
    <definedName name="SH" localSheetId="7">#REF!</definedName>
    <definedName name="SH" localSheetId="47">#REF!</definedName>
    <definedName name="SH" localSheetId="1">#REF!</definedName>
    <definedName name="SH">#REF!</definedName>
    <definedName name="shaeff">'[4]Cost of O &amp; O'!$F$42</definedName>
    <definedName name="Sheet_names" localSheetId="7">#REF!</definedName>
    <definedName name="Sheet_names" localSheetId="47">#REF!</definedName>
    <definedName name="Sheet_names" localSheetId="1">#REF!</definedName>
    <definedName name="Sheet_names">#REF!</definedName>
    <definedName name="sheet1" localSheetId="7">#REF!</definedName>
    <definedName name="sheet1" localSheetId="47">#REF!</definedName>
    <definedName name="sheet1" localSheetId="1">#REF!</definedName>
    <definedName name="sheet1">#REF!</definedName>
    <definedName name="sheet1___0" localSheetId="7">#REF!</definedName>
    <definedName name="sheet1___0" localSheetId="47">#REF!</definedName>
    <definedName name="sheet1___0" localSheetId="1">#REF!</definedName>
    <definedName name="sheet1___0">#REF!</definedName>
    <definedName name="sheet1___13" localSheetId="7">#REF!</definedName>
    <definedName name="sheet1___13" localSheetId="47">#REF!</definedName>
    <definedName name="sheet1___13" localSheetId="1">#REF!</definedName>
    <definedName name="sheet1___13">#REF!</definedName>
    <definedName name="shis">[136]dummy!$A$51:$G$74</definedName>
    <definedName name="SHM" localSheetId="7">#REF!</definedName>
    <definedName name="SHM" localSheetId="47">#REF!</definedName>
    <definedName name="SHM" localSheetId="1">#REF!</definedName>
    <definedName name="SHM">#REF!</definedName>
    <definedName name="SHOT">'[4]Cost of O &amp; O'!$F$35</definedName>
    <definedName name="SHOV" localSheetId="7">#REF!</definedName>
    <definedName name="SHOV" localSheetId="47">#REF!</definedName>
    <definedName name="SHOV" localSheetId="1">#REF!</definedName>
    <definedName name="SHOV">#REF!</definedName>
    <definedName name="shpe" localSheetId="7">#REF!</definedName>
    <definedName name="shpe" localSheetId="47">#REF!</definedName>
    <definedName name="shpe" localSheetId="1">#REF!</definedName>
    <definedName name="shpe">#REF!</definedName>
    <definedName name="Shuttering" localSheetId="7">#REF!</definedName>
    <definedName name="Shuttering" localSheetId="47">#REF!</definedName>
    <definedName name="Shuttering" localSheetId="1">#REF!</definedName>
    <definedName name="Shuttering">#REF!</definedName>
    <definedName name="SHV" localSheetId="7">#REF!</definedName>
    <definedName name="SHV" localSheetId="47">#REF!</definedName>
    <definedName name="SHV" localSheetId="1">#REF!</definedName>
    <definedName name="SHV">#REF!</definedName>
    <definedName name="si" localSheetId="7">#REF!</definedName>
    <definedName name="si" localSheetId="47">#REF!</definedName>
    <definedName name="si" localSheetId="1">#REF!</definedName>
    <definedName name="si">#REF!</definedName>
    <definedName name="sigma0.2" localSheetId="7">#REF!</definedName>
    <definedName name="sigma0.2" localSheetId="47">#REF!</definedName>
    <definedName name="sigma0.2" localSheetId="1">#REF!</definedName>
    <definedName name="sigma0.2">#REF!</definedName>
    <definedName name="sigma0_2" localSheetId="7">#REF!</definedName>
    <definedName name="sigma0_2" localSheetId="47">#REF!</definedName>
    <definedName name="sigma0_2" localSheetId="1">#REF!</definedName>
    <definedName name="sigma0_2">#REF!</definedName>
    <definedName name="sigmab" localSheetId="7">#REF!</definedName>
    <definedName name="sigmab" localSheetId="47">#REF!</definedName>
    <definedName name="sigmab" localSheetId="1">#REF!</definedName>
    <definedName name="sigmab">#REF!</definedName>
    <definedName name="sigmah" localSheetId="7">#REF!</definedName>
    <definedName name="sigmah" localSheetId="47">#REF!</definedName>
    <definedName name="sigmah" localSheetId="1">#REF!</definedName>
    <definedName name="sigmah">#REF!</definedName>
    <definedName name="sigmat" localSheetId="7">#REF!</definedName>
    <definedName name="sigmat" localSheetId="47">#REF!</definedName>
    <definedName name="sigmat" localSheetId="1">#REF!</definedName>
    <definedName name="sigmat">#REF!</definedName>
    <definedName name="SINKP" localSheetId="7">#REF!</definedName>
    <definedName name="SINKP" localSheetId="47">#REF!</definedName>
    <definedName name="SINKP" localSheetId="1">#REF!</definedName>
    <definedName name="SINKP">#REF!</definedName>
    <definedName name="SIZE" localSheetId="7">#REF!</definedName>
    <definedName name="SIZE" localSheetId="47">#REF!</definedName>
    <definedName name="SIZE" localSheetId="1">#REF!</definedName>
    <definedName name="SIZE">#REF!</definedName>
    <definedName name="size0125">[34]Tables!$C$10:$F$18</definedName>
    <definedName name="size025">[34]Tables!$C$19:$F$27</definedName>
    <definedName name="size0375">[34]Tables!$C$28:$F$36</definedName>
    <definedName name="size05">[34]Tables!$C$37:$F$48</definedName>
    <definedName name="size075">[34]Tables!$C$49:$F$60</definedName>
    <definedName name="size1">[34]Tables!$C$61:$F$72</definedName>
    <definedName name="size10">[34]Tables!$C$197:$F$213</definedName>
    <definedName name="size12">[34]Tables!$C$214:$F$230</definedName>
    <definedName name="size125">[34]Tables!$C$74:$F$84</definedName>
    <definedName name="size14">[34]Tables!$C$231:$F$245</definedName>
    <definedName name="size15">[34]Tables!$C$85:$F$96</definedName>
    <definedName name="size16">[34]Tables!$C$246:$F$260</definedName>
    <definedName name="size18">[34]Tables!$C$261:$F$275</definedName>
    <definedName name="size2">[34]Tables!$C$97:$F$108</definedName>
    <definedName name="size20">[34]Tables!$C$276:$F$290</definedName>
    <definedName name="size22">[34]Tables!$C$291:$F$304</definedName>
    <definedName name="size24">[34]Tables!$C$305:$F$319</definedName>
    <definedName name="size25">[34]Tables!$C$109:$F$120</definedName>
    <definedName name="size26">[34]Tables!$C$320:$F$324</definedName>
    <definedName name="size28">[34]Tables!$C$325:$F$330</definedName>
    <definedName name="size3">[34]Tables!$C$121:$F$132</definedName>
    <definedName name="size30">[34]Tables!$C$331:$F$338</definedName>
    <definedName name="size32">[34]Tables!$C$339:$F$345</definedName>
    <definedName name="size34">[34]Tables!$C$346:$F$352</definedName>
    <definedName name="size35">[34]Tables!$C$133:$F$142</definedName>
    <definedName name="size36">[34]Tables!$C$353:$F$359</definedName>
    <definedName name="size38">[34]Tables!$C$360:$F$362</definedName>
    <definedName name="size4">[34]Tables!$C$143:$F$155</definedName>
    <definedName name="size40">[34]Tables!$C$363:$F$365</definedName>
    <definedName name="size42">[34]Tables!$C$366:$F$368</definedName>
    <definedName name="size44">[34]Tables!$C$369:$F$371</definedName>
    <definedName name="size46">[34]Tables!$C$372:$F$374</definedName>
    <definedName name="size48">[34]Tables!$C$375:$F$377</definedName>
    <definedName name="size5">[34]Tables!$C$156:$F$167</definedName>
    <definedName name="size6">[34]Tables!$C$168:$F$179</definedName>
    <definedName name="size8">[34]Tables!$C$180:$F$196</definedName>
    <definedName name="SIZEC" localSheetId="7">#REF!</definedName>
    <definedName name="SIZEC" localSheetId="47">#REF!</definedName>
    <definedName name="SIZEC" localSheetId="1">#REF!</definedName>
    <definedName name="SIZEC">#REF!</definedName>
    <definedName name="skilled" localSheetId="7">#REF!</definedName>
    <definedName name="skilled" localSheetId="47">#REF!</definedName>
    <definedName name="skilled" localSheetId="1">#REF!</definedName>
    <definedName name="skilled">#REF!</definedName>
    <definedName name="slab_p" localSheetId="7" hidden="1">{"form-D1",#N/A,FALSE,"FORM-D1";"form-D1_amt",#N/A,FALSE,"FORM-D1"}</definedName>
    <definedName name="slab_p" localSheetId="47" hidden="1">{"form-D1",#N/A,FALSE,"FORM-D1";"form-D1_amt",#N/A,FALSE,"FORM-D1"}</definedName>
    <definedName name="slab_p" localSheetId="1" hidden="1">{"form-D1",#N/A,FALSE,"FORM-D1";"form-D1_amt",#N/A,FALSE,"FORM-D1"}</definedName>
    <definedName name="slab_p" hidden="1">{"form-D1",#N/A,FALSE,"FORM-D1";"form-D1_amt",#N/A,FALSE,"FORM-D1"}</definedName>
    <definedName name="SlabD" localSheetId="7">#REF!</definedName>
    <definedName name="SlabD" localSheetId="47">#REF!</definedName>
    <definedName name="SlabD" localSheetId="1">#REF!</definedName>
    <definedName name="SlabD">#REF!</definedName>
    <definedName name="SLAYER" localSheetId="7">#REF!</definedName>
    <definedName name="SLAYER" localSheetId="47">#REF!</definedName>
    <definedName name="SLAYER" localSheetId="1">#REF!</definedName>
    <definedName name="SLAYER">#REF!</definedName>
    <definedName name="SLC" localSheetId="7">#REF!</definedName>
    <definedName name="SLC" localSheetId="47">#REF!</definedName>
    <definedName name="SLC" localSheetId="1">#REF!</definedName>
    <definedName name="SLC">#REF!</definedName>
    <definedName name="SLIPFORM" localSheetId="7">'[94]Cost of O &amp; O'!#REF!</definedName>
    <definedName name="SLIPFORM" localSheetId="47">'[94]Cost of O &amp; O'!#REF!</definedName>
    <definedName name="SLIPFORM" localSheetId="1">'[94]Cost of O &amp; O'!#REF!</definedName>
    <definedName name="SLIPFORM">'[94]Cost of O &amp; O'!#REF!</definedName>
    <definedName name="slope" localSheetId="7">#REF!</definedName>
    <definedName name="slope" localSheetId="47">#REF!</definedName>
    <definedName name="slope" localSheetId="1">#REF!</definedName>
    <definedName name="slope">#REF!</definedName>
    <definedName name="SLSAMT">[76]R2!$I$39:$I$86</definedName>
    <definedName name="SLSRT">[76]R2!$H$39:$H$86</definedName>
    <definedName name="SLURRY" localSheetId="7">#REF!</definedName>
    <definedName name="SLURRY" localSheetId="47">#REF!</definedName>
    <definedName name="SLURRY" localSheetId="1">#REF!</definedName>
    <definedName name="SLURRY">#REF!</definedName>
    <definedName name="SMAZ" localSheetId="7">#REF!</definedName>
    <definedName name="SMAZ" localSheetId="47">#REF!</definedName>
    <definedName name="SMAZ" localSheetId="1">#REF!</definedName>
    <definedName name="SMAZ">#REF!</definedName>
    <definedName name="SMIST" localSheetId="7">#REF!</definedName>
    <definedName name="SMIST" localSheetId="47">#REF!</definedName>
    <definedName name="SMIST" localSheetId="1">#REF!</definedName>
    <definedName name="SMIST">#REF!</definedName>
    <definedName name="smoot" localSheetId="7">#REF!</definedName>
    <definedName name="smoot" localSheetId="47">#REF!</definedName>
    <definedName name="smoot" localSheetId="1">#REF!</definedName>
    <definedName name="smoot">#REF!</definedName>
    <definedName name="SMOOTH" localSheetId="7">#REF!</definedName>
    <definedName name="SMOOTH" localSheetId="47">#REF!</definedName>
    <definedName name="SMOOTH" localSheetId="1">#REF!</definedName>
    <definedName name="SMOOTH">#REF!</definedName>
    <definedName name="soh">0%</definedName>
    <definedName name="soil_dens" localSheetId="7">#REF!</definedName>
    <definedName name="soil_dens" localSheetId="47">#REF!</definedName>
    <definedName name="soil_dens" localSheetId="1">#REF!</definedName>
    <definedName name="soil_dens">#REF!</definedName>
    <definedName name="soil_sub" localSheetId="7">#REF!</definedName>
    <definedName name="soil_sub" localSheetId="47">#REF!</definedName>
    <definedName name="soil_sub" localSheetId="1">#REF!</definedName>
    <definedName name="soil_sub">#REF!</definedName>
    <definedName name="soilden" localSheetId="7">#REF!</definedName>
    <definedName name="soilden" localSheetId="47">#REF!</definedName>
    <definedName name="soilden" localSheetId="1">#REF!</definedName>
    <definedName name="soilden">#REF!</definedName>
    <definedName name="SOL" localSheetId="7">#REF!</definedName>
    <definedName name="SOL" localSheetId="47">#REF!</definedName>
    <definedName name="SOL" localSheetId="1">#REF!</definedName>
    <definedName name="SOL">#REF!</definedName>
    <definedName name="SORTCODE">#N/A</definedName>
    <definedName name="sp">4%</definedName>
    <definedName name="SP_AREA" localSheetId="7">#REF!</definedName>
    <definedName name="SP_AREA" localSheetId="47">#REF!</definedName>
    <definedName name="SP_AREA" localSheetId="1">#REF!</definedName>
    <definedName name="SP_AREA">#REF!</definedName>
    <definedName name="Spalls" localSheetId="7">#REF!</definedName>
    <definedName name="Spalls" localSheetId="47">#REF!</definedName>
    <definedName name="Spalls" localSheetId="1">#REF!</definedName>
    <definedName name="Spalls">#REF!</definedName>
    <definedName name="span" localSheetId="7">#REF!</definedName>
    <definedName name="span" localSheetId="47">#REF!</definedName>
    <definedName name="span" localSheetId="1">#REF!</definedName>
    <definedName name="span">#REF!</definedName>
    <definedName name="SPANbearing1">'[127]SLAB DESIGN'!$E$40</definedName>
    <definedName name="SPAVER">'[57]Cost of O &amp; O'!$F$21</definedName>
    <definedName name="SPEC_1">'[86]BLR 1'!$L:$L</definedName>
    <definedName name="SPEC_10">[86]GEN!$K:$K</definedName>
    <definedName name="SPEC_11">[86]GAS!$K:$K</definedName>
    <definedName name="SPEC_12">[86]DEAE!$L:$L</definedName>
    <definedName name="SPEC_2">[86]BLR2!$L:$L</definedName>
    <definedName name="SPEC_3">[86]BLR3!$L:$L</definedName>
    <definedName name="SPEC_4">[86]BLR4!$L:$L</definedName>
    <definedName name="SPEC_5">[86]BLR5!$L:$L</definedName>
    <definedName name="SPEC_6">[86]DEM!$K:$K</definedName>
    <definedName name="SPEC_7">[86]SAM!$K:$K</definedName>
    <definedName name="SPEC_8">[86]CHEM!$K:$K</definedName>
    <definedName name="SPEC_9">[86]COP!$K:$K</definedName>
    <definedName name="SPEC12">'[139]DB_ET200(R. A)'!$S:$S</definedName>
    <definedName name="SPEC2" localSheetId="7">#REF!</definedName>
    <definedName name="SPEC2" localSheetId="47">#REF!</definedName>
    <definedName name="SPEC2" localSheetId="1">#REF!</definedName>
    <definedName name="SPEC2">#REF!</definedName>
    <definedName name="SPECI" localSheetId="7">#REF!</definedName>
    <definedName name="SPECI" localSheetId="47">#REF!</definedName>
    <definedName name="SPECI" localSheetId="1">#REF!</definedName>
    <definedName name="SPECI">#REF!</definedName>
    <definedName name="SPFAC">[76]R2!$G$21:$G$32</definedName>
    <definedName name="SPFIN">[76]R2!$C$15</definedName>
    <definedName name="SPINK" localSheetId="7">#REF!</definedName>
    <definedName name="SPINK" localSheetId="47">#REF!</definedName>
    <definedName name="SPINK" localSheetId="1">#REF!</definedName>
    <definedName name="SPINK">#REF!</definedName>
    <definedName name="SPRINK">'[4]Cost of O &amp; O'!$F$23</definedName>
    <definedName name="SPSUM">[76]R2!$C$13</definedName>
    <definedName name="SQRT__1___0.6___1.0" localSheetId="7">#REF!</definedName>
    <definedName name="SQRT__1___0.6___1.0" localSheetId="47">#REF!</definedName>
    <definedName name="SQRT__1___0.6___1.0" localSheetId="1">#REF!</definedName>
    <definedName name="SQRT__1___0.6___1.0">#REF!</definedName>
    <definedName name="SQRT__1___0_6___1_0" localSheetId="7">#REF!</definedName>
    <definedName name="SQRT__1___0_6___1_0" localSheetId="47">#REF!</definedName>
    <definedName name="SQRT__1___0_6___1_0" localSheetId="1">#REF!</definedName>
    <definedName name="SQRT__1___0_6___1_0">#REF!</definedName>
    <definedName name="SQRT__1___0_6___1_0___0" localSheetId="7">#REF!</definedName>
    <definedName name="SQRT__1___0_6___1_0___0" localSheetId="47">#REF!</definedName>
    <definedName name="SQRT__1___0_6___1_0___0" localSheetId="1">#REF!</definedName>
    <definedName name="SQRT__1___0_6___1_0___0">#REF!</definedName>
    <definedName name="SQRT__1___0_6___1_0___13" localSheetId="7">#REF!</definedName>
    <definedName name="SQRT__1___0_6___1_0___13" localSheetId="47">#REF!</definedName>
    <definedName name="SQRT__1___0_6___1_0___13" localSheetId="1">#REF!</definedName>
    <definedName name="SQRT__1___0_6___1_0___13">#REF!</definedName>
    <definedName name="srj" localSheetId="7">#REF!</definedName>
    <definedName name="srj" localSheetId="47">#REF!</definedName>
    <definedName name="srj" localSheetId="1">#REF!</definedName>
    <definedName name="srj">#REF!</definedName>
    <definedName name="SROLL" localSheetId="7">#REF!</definedName>
    <definedName name="SROLL" localSheetId="47">#REF!</definedName>
    <definedName name="SROLL" localSheetId="1">#REF!</definedName>
    <definedName name="SROLL">#REF!</definedName>
    <definedName name="ss" localSheetId="7">#REF!</definedName>
    <definedName name="ss" localSheetId="47">#REF!</definedName>
    <definedName name="ss" localSheetId="1">#REF!</definedName>
    <definedName name="ss">#REF!</definedName>
    <definedName name="ssa">#N/A</definedName>
    <definedName name="SSLCH" localSheetId="7">#REF!</definedName>
    <definedName name="SSLCH" localSheetId="47">#REF!</definedName>
    <definedName name="SSLCH" localSheetId="1">#REF!</definedName>
    <definedName name="SSLCH">#REF!</definedName>
    <definedName name="Ssm">'[110]LOCAL RATES'!$H$38</definedName>
    <definedName name="SSR" localSheetId="7">'[140]scour depth'!#REF!</definedName>
    <definedName name="SSR" localSheetId="47">'[140]scour depth'!#REF!</definedName>
    <definedName name="SSR" localSheetId="1">'[140]scour depth'!#REF!</definedName>
    <definedName name="SSR">'[140]scour depth'!#REF!</definedName>
    <definedName name="SSSS" localSheetId="7">[56]PROCTOR!#REF!</definedName>
    <definedName name="SSSS" localSheetId="47">[56]PROCTOR!#REF!</definedName>
    <definedName name="SSSS" localSheetId="1">[56]PROCTOR!#REF!</definedName>
    <definedName name="SSSS">[56]PROCTOR!#REF!</definedName>
    <definedName name="SSSSSS" localSheetId="7">[56]PROCTOR!#REF!</definedName>
    <definedName name="SSSSSS" localSheetId="47">[56]PROCTOR!#REF!</definedName>
    <definedName name="SSSSSS" localSheetId="1">[56]PROCTOR!#REF!</definedName>
    <definedName name="SSSSSS">[56]PROCTOR!#REF!</definedName>
    <definedName name="sst" localSheetId="7">#REF!</definedName>
    <definedName name="sst" localSheetId="47">#REF!</definedName>
    <definedName name="sst" localSheetId="1">#REF!</definedName>
    <definedName name="sst">#REF!</definedName>
    <definedName name="STAADappslabthk">'[141]ABUT MASTER'!$K$57</definedName>
    <definedName name="StaffApr_D" localSheetId="7">'[92]SITE OVERHEADS'!#REF!</definedName>
    <definedName name="StaffApr_D" localSheetId="47">'[92]SITE OVERHEADS'!#REF!</definedName>
    <definedName name="StaffApr_D" localSheetId="1">'[92]SITE OVERHEADS'!#REF!</definedName>
    <definedName name="StaffApr_D">'[92]SITE OVERHEADS'!#REF!</definedName>
    <definedName name="Staircase" localSheetId="7">#REF!</definedName>
    <definedName name="Staircase" localSheetId="47">#REF!</definedName>
    <definedName name="Staircase" localSheetId="1">#REF!</definedName>
    <definedName name="Staircase">#REF!</definedName>
    <definedName name="Start1" localSheetId="7">#REF!</definedName>
    <definedName name="Start1" localSheetId="47">#REF!</definedName>
    <definedName name="Start1" localSheetId="1">#REF!</definedName>
    <definedName name="Start1">#REF!</definedName>
    <definedName name="Start10" localSheetId="7">#REF!</definedName>
    <definedName name="Start10" localSheetId="47">#REF!</definedName>
    <definedName name="Start10" localSheetId="1">#REF!</definedName>
    <definedName name="Start10">#REF!</definedName>
    <definedName name="Start11">'[111]Side walls (earth)'!$H$1</definedName>
    <definedName name="Start12">'[111]AFFLUX CALC'!$H$1</definedName>
    <definedName name="Start13">[111]PROTECTION!$H$1</definedName>
    <definedName name="Start14">'[111]AFF DRAW'!$H$1</definedName>
    <definedName name="Start15">'[111]TEL CALC'!$H$1</definedName>
    <definedName name="Start16">'[111]NALA-LS'!$H$1</definedName>
    <definedName name="Start17">'[111]X-BOX HYD'!$H$1</definedName>
    <definedName name="Start18">'[111]X-TRAIL PIT DETAILS'!$H$1</definedName>
    <definedName name="Start19">'[111]X-BLOCK LEVELS'!$H$1</definedName>
    <definedName name="Start2">[111]INSTRUCT!$H$1</definedName>
    <definedName name="Start20">'[111]MACRO-BACK UP'!$H$1</definedName>
    <definedName name="Start21">'[111]Side walls (earth)'!$H$1</definedName>
    <definedName name="Start27" localSheetId="7">#REF!</definedName>
    <definedName name="Start27" localSheetId="47">#REF!</definedName>
    <definedName name="Start27" localSheetId="1">#REF!</definedName>
    <definedName name="Start27">#REF!</definedName>
    <definedName name="Start28" localSheetId="7">#REF!</definedName>
    <definedName name="Start28" localSheetId="47">#REF!</definedName>
    <definedName name="Start28" localSheetId="1">#REF!</definedName>
    <definedName name="Start28">#REF!</definedName>
    <definedName name="Start29" localSheetId="7">[142]Sheet11!#REF!</definedName>
    <definedName name="Start29" localSheetId="47">[142]Sheet11!#REF!</definedName>
    <definedName name="Start29" localSheetId="1">[142]Sheet11!#REF!</definedName>
    <definedName name="Start29">[142]Sheet11!#REF!</definedName>
    <definedName name="Start3" localSheetId="7">'[143]0+655'!#REF!</definedName>
    <definedName name="Start3" localSheetId="47">'[143]0+655'!#REF!</definedName>
    <definedName name="Start3" localSheetId="1">'[143]0+655'!#REF!</definedName>
    <definedName name="Start3">'[143]0+655'!#REF!</definedName>
    <definedName name="Start6">'[111]DS HFL '!$H$1</definedName>
    <definedName name="Start7">'[111]VENT DESIGN '!$H$1</definedName>
    <definedName name="Start8">'[111]Side walls-Slab'!$H$1</definedName>
    <definedName name="Start9">[111]TRANSITIONS!$H$1</definedName>
    <definedName name="StartDate">[144]Menu!$E$7</definedName>
    <definedName name="steam_props" localSheetId="7">#REF!</definedName>
    <definedName name="steam_props" localSheetId="47">#REF!</definedName>
    <definedName name="steam_props" localSheetId="1">#REF!</definedName>
    <definedName name="steam_props">#REF!</definedName>
    <definedName name="steam_trap" localSheetId="7">#REF!</definedName>
    <definedName name="steam_trap" localSheetId="47">#REF!</definedName>
    <definedName name="steam_trap" localSheetId="1">#REF!</definedName>
    <definedName name="steam_trap">#REF!</definedName>
    <definedName name="STEEL" localSheetId="7">#REF!</definedName>
    <definedName name="STEEL" localSheetId="47">#REF!</definedName>
    <definedName name="STEEL" localSheetId="1">#REF!</definedName>
    <definedName name="STEEL">#REF!</definedName>
    <definedName name="Stg_Sub" localSheetId="7">#REF!</definedName>
    <definedName name="Stg_Sub" localSheetId="47">#REF!</definedName>
    <definedName name="Stg_Sub" localSheetId="1">#REF!</definedName>
    <definedName name="Stg_Sub">#REF!</definedName>
    <definedName name="Stg_Super" localSheetId="7">#REF!</definedName>
    <definedName name="Stg_Super" localSheetId="47">#REF!</definedName>
    <definedName name="Stg_Super" localSheetId="1">#REF!</definedName>
    <definedName name="Stg_Super">#REF!</definedName>
    <definedName name="STRESS">'[34]CODE-STR'!$A$3:$V$40</definedName>
    <definedName name="StrID" localSheetId="7">#REF!</definedName>
    <definedName name="StrID" localSheetId="47">#REF!</definedName>
    <definedName name="StrID" localSheetId="1">#REF!</definedName>
    <definedName name="StrID">#REF!</definedName>
    <definedName name="structure" localSheetId="7">#REF!</definedName>
    <definedName name="structure" localSheetId="47">#REF!</definedName>
    <definedName name="structure" localSheetId="1">#REF!</definedName>
    <definedName name="structure">#REF!</definedName>
    <definedName name="STS" localSheetId="7">#REF!</definedName>
    <definedName name="STS" localSheetId="47">#REF!</definedName>
    <definedName name="STS" localSheetId="1">#REF!</definedName>
    <definedName name="STS">#REF!</definedName>
    <definedName name="STSJ" localSheetId="7">#REF!</definedName>
    <definedName name="STSJ" localSheetId="47">#REF!</definedName>
    <definedName name="STSJ" localSheetId="1">#REF!</definedName>
    <definedName name="STSJ">#REF!</definedName>
    <definedName name="SUB" localSheetId="7">#REF!</definedName>
    <definedName name="SUB" localSheetId="47">#REF!</definedName>
    <definedName name="SUB" localSheetId="1">#REF!</definedName>
    <definedName name="SUB">#REF!</definedName>
    <definedName name="Sub_class1">[65]User!$D$9:$R$9</definedName>
    <definedName name="Sub_class10">[65]User!$D$18:$R$18</definedName>
    <definedName name="Sub_class11">[65]User!$D$19:$R$19</definedName>
    <definedName name="Sub_class12">[65]User!$D$20:$R$20</definedName>
    <definedName name="Sub_class13">[65]User!$D$21:$R$21</definedName>
    <definedName name="Sub_class14">[65]User!$D$22:$R$22</definedName>
    <definedName name="Sub_class15">[65]User!$D$23:$R$23</definedName>
    <definedName name="Sub_class2">[65]User!$D$10:$R$10</definedName>
    <definedName name="Sub_class3">[65]User!$D$11:$R$11</definedName>
    <definedName name="Sub_class4">[65]User!$D$12:$R$12</definedName>
    <definedName name="Sub_class5">[65]User!$D$13:$R$13</definedName>
    <definedName name="Sub_class6">[65]User!$D$14:$R$14</definedName>
    <definedName name="Sub_class7">[65]User!$D$15:$R$15</definedName>
    <definedName name="Sub_class8">[65]User!$D$16:$R$16</definedName>
    <definedName name="Sub_class9">[65]User!$D$17:$R$17</definedName>
    <definedName name="Sub_classes" localSheetId="7">Sub_class1,Sub_class2,Sub_class3,Sub_class4,Sub_class5,Sub_class6,Sub_class7,Sub_class8,Sub_class9,Sub_class10,Sub_class11,Sub_class12,Sub_class13,Sub_class14,Sub_class15</definedName>
    <definedName name="Sub_classes" localSheetId="47">Sub_class1,Sub_class2,Sub_class3,Sub_class4,Sub_class5,Sub_class6,Sub_class7,Sub_class8,Sub_class9,Sub_class10,Sub_class11,Sub_class12,Sub_class13,Sub_class14,Sub_class15</definedName>
    <definedName name="Sub_classes" localSheetId="1">Sub_class1,Sub_class2,Sub_class3,Sub_class4,Sub_class5,Sub_class6,Sub_class7,Sub_class8,Sub_class9,Sub_class10,Sub_class11,Sub_class12,Sub_class13,Sub_class14,Sub_class15</definedName>
    <definedName name="Sub_classes">Sub_class1,Sub_class2,Sub_class3,Sub_class4,Sub_class5,Sub_class6,Sub_class7,Sub_class8,Sub_class9,Sub_class10,Sub_class11,Sub_class12,Sub_class13,Sub_class14,Sub_class15</definedName>
    <definedName name="Subject" localSheetId="7">#REF!</definedName>
    <definedName name="Subject" localSheetId="47">#REF!</definedName>
    <definedName name="Subject" localSheetId="1">#REF!</definedName>
    <definedName name="Subject">#REF!</definedName>
    <definedName name="subjectname" localSheetId="7">'[131]CABLE BULK'!#REF!</definedName>
    <definedName name="subjectname" localSheetId="47">'[131]CABLE BULK'!#REF!</definedName>
    <definedName name="subjectname" localSheetId="1">'[131]CABLE BULK'!#REF!</definedName>
    <definedName name="subjectname">'[131]CABLE BULK'!#REF!</definedName>
    <definedName name="sumana" localSheetId="7">#REF!</definedName>
    <definedName name="sumana" localSheetId="47">#REF!</definedName>
    <definedName name="sumana" localSheetId="1">#REF!</definedName>
    <definedName name="sumana">#REF!</definedName>
    <definedName name="summary" localSheetId="7">#REF!</definedName>
    <definedName name="summary" localSheetId="47">#REF!</definedName>
    <definedName name="summary" localSheetId="1">#REF!</definedName>
    <definedName name="summary">#REF!</definedName>
    <definedName name="sump" localSheetId="7">#REF!</definedName>
    <definedName name="sump" localSheetId="47">#REF!</definedName>
    <definedName name="sump" localSheetId="1">#REF!</definedName>
    <definedName name="sump">#REF!</definedName>
    <definedName name="SUPER" localSheetId="7">#REF!</definedName>
    <definedName name="SUPER" localSheetId="47">#REF!</definedName>
    <definedName name="SUPER" localSheetId="1">#REF!</definedName>
    <definedName name="SUPER">#REF!</definedName>
    <definedName name="SURCH" localSheetId="7">#REF!</definedName>
    <definedName name="SURCH" localSheetId="47">#REF!</definedName>
    <definedName name="SURCH" localSheetId="1">#REF!</definedName>
    <definedName name="SURCH">#REF!</definedName>
    <definedName name="SURF_AREA" localSheetId="7">#REF!</definedName>
    <definedName name="SURF_AREA" localSheetId="47">#REF!</definedName>
    <definedName name="SURF_AREA" localSheetId="1">#REF!</definedName>
    <definedName name="SURF_AREA">#REF!</definedName>
    <definedName name="surge" localSheetId="7">#REF!</definedName>
    <definedName name="surge" localSheetId="47">#REF!</definedName>
    <definedName name="surge" localSheetId="1">#REF!</definedName>
    <definedName name="surge">#REF!</definedName>
    <definedName name="SWGR12" localSheetId="7">#REF!</definedName>
    <definedName name="SWGR12" localSheetId="47">#REF!</definedName>
    <definedName name="SWGR12" localSheetId="1">#REF!</definedName>
    <definedName name="SWGR12">#REF!</definedName>
    <definedName name="SWGR345" localSheetId="7">#REF!</definedName>
    <definedName name="SWGR345" localSheetId="47">#REF!</definedName>
    <definedName name="SWGR345" localSheetId="1">#REF!</definedName>
    <definedName name="SWGR345">#REF!</definedName>
    <definedName name="T" localSheetId="7">#REF!</definedName>
    <definedName name="T" localSheetId="47">#REF!</definedName>
    <definedName name="T" localSheetId="1">#REF!</definedName>
    <definedName name="T">#REF!</definedName>
    <definedName name="t___0" localSheetId="7">#REF!</definedName>
    <definedName name="t___0" localSheetId="47">#REF!</definedName>
    <definedName name="t___0" localSheetId="1">#REF!</definedName>
    <definedName name="t___0">#REF!</definedName>
    <definedName name="t___13" localSheetId="7">#REF!</definedName>
    <definedName name="t___13" localSheetId="47">#REF!</definedName>
    <definedName name="t___13" localSheetId="1">#REF!</definedName>
    <definedName name="t___13">#REF!</definedName>
    <definedName name="T_AMOUNT">#N/A</definedName>
    <definedName name="T_UPRICE">#N/A</definedName>
    <definedName name="T0" localSheetId="7">#REF!</definedName>
    <definedName name="T0" localSheetId="47">#REF!</definedName>
    <definedName name="T0" localSheetId="1">#REF!</definedName>
    <definedName name="T0">#REF!</definedName>
    <definedName name="T19C" localSheetId="7">#REF!</definedName>
    <definedName name="T19C" localSheetId="47">#REF!</definedName>
    <definedName name="T19C" localSheetId="1">#REF!</definedName>
    <definedName name="T19C">#REF!</definedName>
    <definedName name="TAB" localSheetId="7">#REF!</definedName>
    <definedName name="TAB" localSheetId="47">#REF!</definedName>
    <definedName name="TAB" localSheetId="1">#REF!</definedName>
    <definedName name="TAB">#REF!</definedName>
    <definedName name="Tabela">'[145]ASME B 36.10 M'!$D$3:$W$48</definedName>
    <definedName name="Table">[54]Cal!$P$2:$Q$28</definedName>
    <definedName name="TABLE_4" localSheetId="7">#REF!</definedName>
    <definedName name="TABLE_4" localSheetId="47">#REF!</definedName>
    <definedName name="TABLE_4" localSheetId="1">#REF!</definedName>
    <definedName name="TABLE_4">#REF!</definedName>
    <definedName name="table1" localSheetId="7">#REF!</definedName>
    <definedName name="table1" localSheetId="47">#REF!</definedName>
    <definedName name="table1" localSheetId="1">#REF!</definedName>
    <definedName name="table1">#REF!</definedName>
    <definedName name="TABLE2" localSheetId="7">#REF!</definedName>
    <definedName name="TABLE2" localSheetId="47">#REF!</definedName>
    <definedName name="TABLE2" localSheetId="1">#REF!</definedName>
    <definedName name="TABLE2">#REF!</definedName>
    <definedName name="TABLE3">[146]Calc1!$B$63:$G$97</definedName>
    <definedName name="TABLE4">[146]Calc1!$C$103:$E$139</definedName>
    <definedName name="TableName">"Dummy"</definedName>
    <definedName name="TableRange" localSheetId="7">#REF!</definedName>
    <definedName name="TableRange" localSheetId="47">#REF!</definedName>
    <definedName name="TableRange" localSheetId="1">#REF!</definedName>
    <definedName name="TableRange">#REF!</definedName>
    <definedName name="tabu" localSheetId="7">#REF!</definedName>
    <definedName name="tabu" localSheetId="47">#REF!</definedName>
    <definedName name="tabu" localSheetId="1">#REF!</definedName>
    <definedName name="tabu">#REF!</definedName>
    <definedName name="TAGG" localSheetId="7">#REF!</definedName>
    <definedName name="TAGG" localSheetId="47">#REF!</definedName>
    <definedName name="TAGG" localSheetId="1">#REF!</definedName>
    <definedName name="TAGG">#REF!</definedName>
    <definedName name="tam">#N/A</definedName>
    <definedName name="TARN" localSheetId="7">#REF!</definedName>
    <definedName name="TARN" localSheetId="47">#REF!</definedName>
    <definedName name="TARN" localSheetId="1">#REF!</definedName>
    <definedName name="TARN">#REF!</definedName>
    <definedName name="TaxTV">10%</definedName>
    <definedName name="TaxXL">5%</definedName>
    <definedName name="tb" localSheetId="7">#REF!</definedName>
    <definedName name="tb" localSheetId="47">#REF!</definedName>
    <definedName name="tb" localSheetId="1">#REF!</definedName>
    <definedName name="tb">#REF!</definedName>
    <definedName name="TBM" localSheetId="7">#REF!</definedName>
    <definedName name="TBM" localSheetId="47">#REF!</definedName>
    <definedName name="TBM" localSheetId="1">#REF!</definedName>
    <definedName name="TBM">#REF!</definedName>
    <definedName name="TBOULD" localSheetId="7">#REF!</definedName>
    <definedName name="TBOULD" localSheetId="47">#REF!</definedName>
    <definedName name="TBOULD" localSheetId="1">#REF!</definedName>
    <definedName name="TBOULD">#REF!</definedName>
    <definedName name="tc" localSheetId="7">'[106]Pier Design(with offset)'!#REF!</definedName>
    <definedName name="tc" localSheetId="47">'[106]Pier Design(with offset)'!#REF!</definedName>
    <definedName name="tc" localSheetId="1">'[106]Pier Design(with offset)'!#REF!</definedName>
    <definedName name="tc">'[106]Pier Design(with offset)'!#REF!</definedName>
    <definedName name="TCJH">'[46]RA Civil'!$E$56</definedName>
    <definedName name="TCJHPOL">'[46]RA Civil'!$F$56</definedName>
    <definedName name="TCON" localSheetId="7">#REF!</definedName>
    <definedName name="TCON" localSheetId="47">#REF!</definedName>
    <definedName name="TCON" localSheetId="1">#REF!</definedName>
    <definedName name="TCON">#REF!</definedName>
    <definedName name="tcr" localSheetId="7">#REF!</definedName>
    <definedName name="tcr" localSheetId="47">#REF!</definedName>
    <definedName name="tcr" localSheetId="1">#REF!</definedName>
    <definedName name="tcr">#REF!</definedName>
    <definedName name="tct" localSheetId="7">'[109]Pier Design(with offset)'!#REF!</definedName>
    <definedName name="tct" localSheetId="47">'[109]Pier Design(with offset)'!#REF!</definedName>
    <definedName name="tct" localSheetId="1">'[109]Pier Design(with offset)'!#REF!</definedName>
    <definedName name="tct">'[109]Pier Design(with offset)'!#REF!</definedName>
    <definedName name="TEARTH" localSheetId="7">#REF!</definedName>
    <definedName name="TEARTH" localSheetId="47">#REF!</definedName>
    <definedName name="TEARTH" localSheetId="1">#REF!</definedName>
    <definedName name="TEARTH">#REF!</definedName>
    <definedName name="TEE" localSheetId="7">#REF!</definedName>
    <definedName name="TEE" localSheetId="47">#REF!</definedName>
    <definedName name="TEE" localSheetId="1">#REF!</definedName>
    <definedName name="TEE">#REF!</definedName>
    <definedName name="TEE_TAPER_WT" localSheetId="7">#REF!</definedName>
    <definedName name="TEE_TAPER_WT" localSheetId="47">#REF!</definedName>
    <definedName name="TEE_TAPER_WT" localSheetId="1">#REF!</definedName>
    <definedName name="TEE_TAPER_WT">#REF!</definedName>
    <definedName name="tem" localSheetId="7">#REF!</definedName>
    <definedName name="tem" localSheetId="47">#REF!</definedName>
    <definedName name="tem" localSheetId="1">#REF!</definedName>
    <definedName name="tem">#REF!</definedName>
    <definedName name="temp" localSheetId="7">#REF!</definedName>
    <definedName name="temp" localSheetId="47">#REF!</definedName>
    <definedName name="temp" localSheetId="1">#REF!</definedName>
    <definedName name="temp">#REF!</definedName>
    <definedName name="temp_strainer" localSheetId="7">#REF!</definedName>
    <definedName name="temp_strainer" localSheetId="47">#REF!</definedName>
    <definedName name="temp_strainer" localSheetId="1">#REF!</definedName>
    <definedName name="temp_strainer">#REF!</definedName>
    <definedName name="TEMP_STRESS">'[34]CODE-STR'!$AA$3:$AA$21</definedName>
    <definedName name="temp1" localSheetId="7">#REF!</definedName>
    <definedName name="temp1" localSheetId="47">#REF!</definedName>
    <definedName name="temp1" localSheetId="1">#REF!</definedName>
    <definedName name="temp1">#REF!</definedName>
    <definedName name="Ten" localSheetId="7">#REF!</definedName>
    <definedName name="Ten" localSheetId="47">#REF!</definedName>
    <definedName name="Ten" localSheetId="1">#REF!</definedName>
    <definedName name="Ten">#REF!</definedName>
    <definedName name="TENDERING">[125]Sheet1!$A$9:$L$32</definedName>
    <definedName name="TEs" localSheetId="7">#REF!</definedName>
    <definedName name="TEs" localSheetId="47">#REF!</definedName>
    <definedName name="TEs" localSheetId="1">#REF!</definedName>
    <definedName name="TEs">#REF!</definedName>
    <definedName name="TEs___0" localSheetId="7">#REF!</definedName>
    <definedName name="TEs___0" localSheetId="47">#REF!</definedName>
    <definedName name="TEs___0" localSheetId="1">#REF!</definedName>
    <definedName name="TEs___0">#REF!</definedName>
    <definedName name="TEs___13" localSheetId="7">#REF!</definedName>
    <definedName name="TEs___13" localSheetId="47">#REF!</definedName>
    <definedName name="TEs___13" localSheetId="1">#REF!</definedName>
    <definedName name="TEs___13">#REF!</definedName>
    <definedName name="test" localSheetId="7">#REF!</definedName>
    <definedName name="test" localSheetId="47">#REF!</definedName>
    <definedName name="test" localSheetId="1">#REF!</definedName>
    <definedName name="test">#REF!</definedName>
    <definedName name="test1" localSheetId="7">#REF!</definedName>
    <definedName name="test1" localSheetId="47">#REF!</definedName>
    <definedName name="test1" localSheetId="1">#REF!</definedName>
    <definedName name="test1">#REF!</definedName>
    <definedName name="TEt" localSheetId="7">#REF!</definedName>
    <definedName name="TEt" localSheetId="47">#REF!</definedName>
    <definedName name="TEt" localSheetId="1">#REF!</definedName>
    <definedName name="TEt">#REF!</definedName>
    <definedName name="TEt___0" localSheetId="7">#REF!</definedName>
    <definedName name="TEt___0" localSheetId="47">#REF!</definedName>
    <definedName name="TEt___0" localSheetId="1">#REF!</definedName>
    <definedName name="TEt___0">#REF!</definedName>
    <definedName name="TEt___13" localSheetId="7">#REF!</definedName>
    <definedName name="TEt___13" localSheetId="47">#REF!</definedName>
    <definedName name="TEt___13" localSheetId="1">#REF!</definedName>
    <definedName name="TEt___13">#REF!</definedName>
    <definedName name="teta" localSheetId="7">#REF!</definedName>
    <definedName name="teta" localSheetId="47">#REF!</definedName>
    <definedName name="teta" localSheetId="1">#REF!</definedName>
    <definedName name="teta">#REF!</definedName>
    <definedName name="TF" localSheetId="7">#REF!</definedName>
    <definedName name="TF" localSheetId="47">#REF!</definedName>
    <definedName name="TF" localSheetId="1">#REF!</definedName>
    <definedName name="TF">#REF!</definedName>
    <definedName name="TG" localSheetId="7">#REF!</definedName>
    <definedName name="TG" localSheetId="47">#REF!</definedName>
    <definedName name="TG" localSheetId="1">#REF!</definedName>
    <definedName name="TG">#REF!</definedName>
    <definedName name="TGSB" localSheetId="7">#REF!</definedName>
    <definedName name="TGSB" localSheetId="47">#REF!</definedName>
    <definedName name="TGSB" localSheetId="1">#REF!</definedName>
    <definedName name="TGSB">#REF!</definedName>
    <definedName name="TGSBM" localSheetId="7">#REF!</definedName>
    <definedName name="TGSBM" localSheetId="47">#REF!</definedName>
    <definedName name="TGSBM" localSheetId="1">#REF!</definedName>
    <definedName name="TGSBM">#REF!</definedName>
    <definedName name="tgvs" localSheetId="7">#REF!</definedName>
    <definedName name="tgvs" localSheetId="47">#REF!</definedName>
    <definedName name="tgvs" localSheetId="1">#REF!</definedName>
    <definedName name="tgvs">#REF!</definedName>
    <definedName name="tgvs1973" localSheetId="7">#REF!</definedName>
    <definedName name="tgvs1973" localSheetId="47">#REF!</definedName>
    <definedName name="tgvs1973" localSheetId="1">#REF!</definedName>
    <definedName name="tgvs1973">#REF!</definedName>
    <definedName name="THK" localSheetId="7">#REF!</definedName>
    <definedName name="THK" localSheetId="47">#REF!</definedName>
    <definedName name="THK" localSheetId="1">#REF!</definedName>
    <definedName name="THK">#REF!</definedName>
    <definedName name="tidf" localSheetId="7" hidden="1">{"'Sheet1'!$L$16"}</definedName>
    <definedName name="tidf" localSheetId="47" hidden="1">{"'Sheet1'!$L$16"}</definedName>
    <definedName name="tidf" localSheetId="1" hidden="1">{"'Sheet1'!$L$16"}</definedName>
    <definedName name="tidf" hidden="1">{"'Sheet1'!$L$16"}</definedName>
    <definedName name="TIP">'[46]RA Civil'!$E$54</definedName>
    <definedName name="TIPPOL">'[46]RA Civil'!$F$54</definedName>
    <definedName name="Title" localSheetId="7">#REF!</definedName>
    <definedName name="Title" localSheetId="47">#REF!</definedName>
    <definedName name="Title" localSheetId="1">#REF!</definedName>
    <definedName name="Title">#REF!</definedName>
    <definedName name="Title1" localSheetId="7">#REF!</definedName>
    <definedName name="Title1" localSheetId="47">#REF!</definedName>
    <definedName name="Title1" localSheetId="1">#REF!</definedName>
    <definedName name="Title1">#REF!</definedName>
    <definedName name="Title2" localSheetId="7">#REF!</definedName>
    <definedName name="Title2" localSheetId="47">#REF!</definedName>
    <definedName name="Title2" localSheetId="1">#REF!</definedName>
    <definedName name="Title2">#REF!</definedName>
    <definedName name="TLLPW" localSheetId="7">#REF!</definedName>
    <definedName name="TLLPW" localSheetId="47">#REF!</definedName>
    <definedName name="TLLPW" localSheetId="1">#REF!</definedName>
    <definedName name="TLLPW">#REF!</definedName>
    <definedName name="TMIX" localSheetId="7">#REF!</definedName>
    <definedName name="TMIX" localSheetId="47">#REF!</definedName>
    <definedName name="TMIX" localSheetId="1">#REF!</definedName>
    <definedName name="TMIX">#REF!</definedName>
    <definedName name="TMIX45" localSheetId="7">#REF!</definedName>
    <definedName name="TMIX45" localSheetId="47">#REF!</definedName>
    <definedName name="TMIX45" localSheetId="1">#REF!</definedName>
    <definedName name="TMIX45">#REF!</definedName>
    <definedName name="TMIX6" localSheetId="7">#REF!</definedName>
    <definedName name="TMIX6" localSheetId="47">#REF!</definedName>
    <definedName name="TMIX6" localSheetId="1">#REF!</definedName>
    <definedName name="TMIX6">#REF!</definedName>
    <definedName name="TMT" localSheetId="7">#REF!</definedName>
    <definedName name="TMT" localSheetId="47">#REF!</definedName>
    <definedName name="TMT" localSheetId="1">#REF!</definedName>
    <definedName name="TMT">#REF!</definedName>
    <definedName name="TMTbars" localSheetId="7">#REF!</definedName>
    <definedName name="TMTbars" localSheetId="47">#REF!</definedName>
    <definedName name="TMTbars" localSheetId="1">#REF!</definedName>
    <definedName name="TMTbars">#REF!</definedName>
    <definedName name="tnr" localSheetId="7">#REF!</definedName>
    <definedName name="tnr" localSheetId="47">#REF!</definedName>
    <definedName name="tnr" localSheetId="1">#REF!</definedName>
    <definedName name="tnr">#REF!</definedName>
    <definedName name="TOED1" localSheetId="7">#REF!</definedName>
    <definedName name="TOED1" localSheetId="47">#REF!</definedName>
    <definedName name="TOED1" localSheetId="1">#REF!</definedName>
    <definedName name="TOED1">#REF!</definedName>
    <definedName name="TOED2" localSheetId="7">#REF!</definedName>
    <definedName name="TOED2" localSheetId="47">#REF!</definedName>
    <definedName name="TOED2" localSheetId="1">#REF!</definedName>
    <definedName name="TOED2">#REF!</definedName>
    <definedName name="TOEHT" localSheetId="7">#REF!</definedName>
    <definedName name="TOEHT" localSheetId="47">#REF!</definedName>
    <definedName name="TOEHT" localSheetId="1">#REF!</definedName>
    <definedName name="TOEHT">#REF!</definedName>
    <definedName name="tol" localSheetId="7">#REF!</definedName>
    <definedName name="tol" localSheetId="47">#REF!</definedName>
    <definedName name="tol" localSheetId="1">#REF!</definedName>
    <definedName name="tol">#REF!</definedName>
    <definedName name="top" localSheetId="7">#REF!</definedName>
    <definedName name="top" localSheetId="47">#REF!</definedName>
    <definedName name="top" localSheetId="1">#REF!</definedName>
    <definedName name="top">#REF!</definedName>
    <definedName name="TOP_SHT" localSheetId="7">#REF!</definedName>
    <definedName name="TOP_SHT" localSheetId="47">#REF!</definedName>
    <definedName name="TOP_SHT" localSheetId="1">#REF!</definedName>
    <definedName name="TOP_SHT">#REF!</definedName>
    <definedName name="topl" localSheetId="7">#REF!</definedName>
    <definedName name="topl" localSheetId="47">#REF!</definedName>
    <definedName name="topl" localSheetId="1">#REF!</definedName>
    <definedName name="topl">#REF!</definedName>
    <definedName name="topn" localSheetId="7">#REF!</definedName>
    <definedName name="topn" localSheetId="47">#REF!</definedName>
    <definedName name="topn" localSheetId="1">#REF!</definedName>
    <definedName name="topn">#REF!</definedName>
    <definedName name="TopSlbThk" localSheetId="7">#REF!</definedName>
    <definedName name="TopSlbThk" localSheetId="47">#REF!</definedName>
    <definedName name="TopSlbThk" localSheetId="1">#REF!</definedName>
    <definedName name="TopSlbThk">#REF!</definedName>
    <definedName name="TOPW" localSheetId="7">#REF!</definedName>
    <definedName name="TOPW" localSheetId="47">#REF!</definedName>
    <definedName name="TOPW" localSheetId="1">#REF!</definedName>
    <definedName name="TOPW">#REF!</definedName>
    <definedName name="TOR" localSheetId="7">#REF!</definedName>
    <definedName name="TOR" localSheetId="47">#REF!</definedName>
    <definedName name="TOR" localSheetId="1">#REF!</definedName>
    <definedName name="TOR">#REF!</definedName>
    <definedName name="TOTAL" localSheetId="7">'[82]boq ht'!#REF!</definedName>
    <definedName name="TOTAL" localSheetId="47">'[82]boq ht'!#REF!</definedName>
    <definedName name="TOTAL" localSheetId="1">'[82]boq ht'!#REF!</definedName>
    <definedName name="TOTAL">'[82]boq ht'!#REF!</definedName>
    <definedName name="TOTAL_NO_OF_MH" localSheetId="7">#REF!</definedName>
    <definedName name="TOTAL_NO_OF_MH" localSheetId="47">#REF!</definedName>
    <definedName name="TOTAL_NO_OF_MH" localSheetId="1">#REF!</definedName>
    <definedName name="TOTAL_NO_OF_MH">#REF!</definedName>
    <definedName name="TOTCDWSSM">[76]R2!$H$33</definedName>
    <definedName name="TOTCDWSSP">[76]R2!$I$33</definedName>
    <definedName name="TOWER">'[4]Cost of O &amp; O'!$F$37</definedName>
    <definedName name="TR" localSheetId="7">#REF!</definedName>
    <definedName name="TR" localSheetId="47">#REF!</definedName>
    <definedName name="TR" localSheetId="1">#REF!</definedName>
    <definedName name="TR">#REF!</definedName>
    <definedName name="TraComp" localSheetId="7">#REF!</definedName>
    <definedName name="TraComp" localSheetId="47">#REF!</definedName>
    <definedName name="TraComp" localSheetId="1">#REF!</definedName>
    <definedName name="TraComp">#REF!</definedName>
    <definedName name="TRACT" localSheetId="7">#REF!</definedName>
    <definedName name="TRACT" localSheetId="47">#REF!</definedName>
    <definedName name="TRACT" localSheetId="1">#REF!</definedName>
    <definedName name="TRACT">#REF!</definedName>
    <definedName name="TractPOL">'[46]RA Civil'!$F$55</definedName>
    <definedName name="Transport" localSheetId="7">#REF!</definedName>
    <definedName name="Transport" localSheetId="47">#REF!</definedName>
    <definedName name="Transport" localSheetId="1">#REF!</definedName>
    <definedName name="Transport">#REF!</definedName>
    <definedName name="TRBPOL">'[46]RA Civil'!$F$57</definedName>
    <definedName name="TRI">'[81]GM 000'!$I$1</definedName>
    <definedName name="TROLL" localSheetId="7">#REF!</definedName>
    <definedName name="TROLL" localSheetId="47">#REF!</definedName>
    <definedName name="TROLL" localSheetId="1">#REF!</definedName>
    <definedName name="TROLL">#REF!</definedName>
    <definedName name="tS" localSheetId="7">#REF!</definedName>
    <definedName name="tS" localSheetId="47">#REF!</definedName>
    <definedName name="tS" localSheetId="1">#REF!</definedName>
    <definedName name="tS">#REF!</definedName>
    <definedName name="tS___0" localSheetId="7">#REF!</definedName>
    <definedName name="tS___0" localSheetId="47">#REF!</definedName>
    <definedName name="tS___0" localSheetId="1">#REF!</definedName>
    <definedName name="tS___0">#REF!</definedName>
    <definedName name="tS___13" localSheetId="7">#REF!</definedName>
    <definedName name="tS___13" localSheetId="47">#REF!</definedName>
    <definedName name="tS___13" localSheetId="1">#REF!</definedName>
    <definedName name="tS___13">#REF!</definedName>
    <definedName name="TT" localSheetId="7" hidden="1">#REF!</definedName>
    <definedName name="TT" localSheetId="47" hidden="1">#REF!</definedName>
    <definedName name="TT" localSheetId="1" hidden="1">#REF!</definedName>
    <definedName name="TT" hidden="1">#REF!</definedName>
    <definedName name="TTA" localSheetId="7">#REF!</definedName>
    <definedName name="TTA" localSheetId="47">#REF!</definedName>
    <definedName name="TTA" localSheetId="1">#REF!</definedName>
    <definedName name="TTA">#REF!</definedName>
    <definedName name="TTB" localSheetId="7">#REF!</definedName>
    <definedName name="TTB" localSheetId="47">#REF!</definedName>
    <definedName name="TTB" localSheetId="1">#REF!</definedName>
    <definedName name="TTB">#REF!</definedName>
    <definedName name="ttp" localSheetId="7">#REF!</definedName>
    <definedName name="ttp" localSheetId="47">#REF!</definedName>
    <definedName name="ttp" localSheetId="1">#REF!</definedName>
    <definedName name="ttp">#REF!</definedName>
    <definedName name="ttt" localSheetId="7" hidden="1">{"'장비'!$A$3:$M$12"}</definedName>
    <definedName name="ttt" localSheetId="47" hidden="1">{"'장비'!$A$3:$M$12"}</definedName>
    <definedName name="ttt" localSheetId="1" hidden="1">{"'장비'!$A$3:$M$12"}</definedName>
    <definedName name="ttt" hidden="1">{"'장비'!$A$3:$M$12"}</definedName>
    <definedName name="TTX" localSheetId="7">#REF!</definedName>
    <definedName name="TTX" localSheetId="47">#REF!</definedName>
    <definedName name="TTX" localSheetId="1">#REF!</definedName>
    <definedName name="TTX">#REF!</definedName>
    <definedName name="tube_test_press1_12" localSheetId="7">#REF!</definedName>
    <definedName name="tube_test_press1_12" localSheetId="47">#REF!</definedName>
    <definedName name="tube_test_press1_12" localSheetId="1">#REF!</definedName>
    <definedName name="tube_test_press1_12">#REF!</definedName>
    <definedName name="TUES1" localSheetId="7">#REF!</definedName>
    <definedName name="TUES1" localSheetId="47">#REF!</definedName>
    <definedName name="TUES1" localSheetId="1">#REF!</definedName>
    <definedName name="TUES1">#REF!</definedName>
    <definedName name="tvr" localSheetId="7">#REF!</definedName>
    <definedName name="tvr" localSheetId="47">#REF!</definedName>
    <definedName name="tvr" localSheetId="1">#REF!</definedName>
    <definedName name="tvr">#REF!</definedName>
    <definedName name="TWLEVE" localSheetId="7">#REF!</definedName>
    <definedName name="TWLEVE" localSheetId="47">#REF!</definedName>
    <definedName name="TWLEVE" localSheetId="1">#REF!</definedName>
    <definedName name="TWLEVE">#REF!</definedName>
    <definedName name="TWMM" localSheetId="7">#REF!</definedName>
    <definedName name="TWMM" localSheetId="47">#REF!</definedName>
    <definedName name="TWMM" localSheetId="1">#REF!</definedName>
    <definedName name="TWMM">#REF!</definedName>
    <definedName name="TY" localSheetId="7" hidden="1">#REF!</definedName>
    <definedName name="TY" localSheetId="47" hidden="1">#REF!</definedName>
    <definedName name="TY" localSheetId="1" hidden="1">#REF!</definedName>
    <definedName name="TY" hidden="1">#REF!</definedName>
    <definedName name="Type">'[81]GM 000'!$I$3</definedName>
    <definedName name="Type1" localSheetId="7">#REF!</definedName>
    <definedName name="Type1" localSheetId="47">#REF!</definedName>
    <definedName name="Type1" localSheetId="1">#REF!</definedName>
    <definedName name="Type1">#REF!</definedName>
    <definedName name="Type2" localSheetId="7">#REF!</definedName>
    <definedName name="Type2" localSheetId="47">#REF!</definedName>
    <definedName name="Type2" localSheetId="1">#REF!</definedName>
    <definedName name="Type2">#REF!</definedName>
    <definedName name="U" localSheetId="7">[103]TOEC!#REF!</definedName>
    <definedName name="U" localSheetId="47">[103]TOEC!#REF!</definedName>
    <definedName name="U" localSheetId="1">[103]TOEC!#REF!</definedName>
    <definedName name="U">[103]TOEC!#REF!</definedName>
    <definedName name="UI" localSheetId="7" hidden="1">#REF!</definedName>
    <definedName name="UI" localSheetId="47" hidden="1">#REF!</definedName>
    <definedName name="UI" localSheetId="1" hidden="1">#REF!</definedName>
    <definedName name="UI" hidden="1">#REF!</definedName>
    <definedName name="UNION" localSheetId="7">#REF!</definedName>
    <definedName name="UNION" localSheetId="47">#REF!</definedName>
    <definedName name="UNION" localSheetId="1">#REF!</definedName>
    <definedName name="UNION">#REF!</definedName>
    <definedName name="unit" localSheetId="7">#REF!</definedName>
    <definedName name="unit" localSheetId="47">#REF!</definedName>
    <definedName name="unit" localSheetId="1">#REF!</definedName>
    <definedName name="unit">#REF!</definedName>
    <definedName name="unit1" localSheetId="7">#REF!</definedName>
    <definedName name="unit1" localSheetId="47">#REF!</definedName>
    <definedName name="unit1" localSheetId="1">#REF!</definedName>
    <definedName name="unit1">#REF!</definedName>
    <definedName name="UNITS" localSheetId="7">#REF!</definedName>
    <definedName name="UNITS" localSheetId="47">#REF!</definedName>
    <definedName name="UNITS" localSheetId="1">#REF!</definedName>
    <definedName name="UNITS">#REF!</definedName>
    <definedName name="Unskilledmazdoor" localSheetId="7">#REF!</definedName>
    <definedName name="Unskilledmazdoor" localSheetId="47">#REF!</definedName>
    <definedName name="Unskilledmazdoor" localSheetId="1">#REF!</definedName>
    <definedName name="Unskilledmazdoor">#REF!</definedName>
    <definedName name="UpdateTechSpec">#N/A</definedName>
    <definedName name="USD" localSheetId="7">#REF!</definedName>
    <definedName name="USD" localSheetId="47">#REF!</definedName>
    <definedName name="USD" localSheetId="1">#REF!</definedName>
    <definedName name="USD">#REF!</definedName>
    <definedName name="USLF">[59]ANAL!$E$8</definedName>
    <definedName name="USLM">[59]ANAL!$E$7</definedName>
    <definedName name="Ut" localSheetId="7">#REF!</definedName>
    <definedName name="Ut" localSheetId="47">#REF!</definedName>
    <definedName name="Ut" localSheetId="1">#REF!</definedName>
    <definedName name="Ut">#REF!</definedName>
    <definedName name="V">#N/A</definedName>
    <definedName name="v1o" localSheetId="7">'[109]Pier Design(with offset)'!#REF!</definedName>
    <definedName name="v1o" localSheetId="47">'[109]Pier Design(with offset)'!#REF!</definedName>
    <definedName name="v1o" localSheetId="1">'[109]Pier Design(with offset)'!#REF!</definedName>
    <definedName name="v1o">'[109]Pier Design(with offset)'!#REF!</definedName>
    <definedName name="v1oo" localSheetId="7">'[106]Pier Design(with offset)'!#REF!</definedName>
    <definedName name="v1oo" localSheetId="47">'[106]Pier Design(with offset)'!#REF!</definedName>
    <definedName name="v1oo" localSheetId="1">'[106]Pier Design(with offset)'!#REF!</definedName>
    <definedName name="v1oo">'[106]Pier Design(with offset)'!#REF!</definedName>
    <definedName name="va" localSheetId="7">#REF!</definedName>
    <definedName name="va" localSheetId="47">#REF!</definedName>
    <definedName name="va" localSheetId="1">#REF!</definedName>
    <definedName name="va">#REF!</definedName>
    <definedName name="va___0" localSheetId="7">#REF!</definedName>
    <definedName name="va___0" localSheetId="47">#REF!</definedName>
    <definedName name="va___0" localSheetId="1">#REF!</definedName>
    <definedName name="va___0">#REF!</definedName>
    <definedName name="va___13" localSheetId="7">#REF!</definedName>
    <definedName name="va___13" localSheetId="47">#REF!</definedName>
    <definedName name="va___13" localSheetId="1">#REF!</definedName>
    <definedName name="va___13">#REF!</definedName>
    <definedName name="VALVES_STATEMENT" localSheetId="7">#REF!</definedName>
    <definedName name="VALVES_STATEMENT" localSheetId="47">#REF!</definedName>
    <definedName name="VALVES_STATEMENT" localSheetId="1">#REF!</definedName>
    <definedName name="VALVES_STATEMENT">#REF!</definedName>
    <definedName name="van">[62]CondPol!$F$69</definedName>
    <definedName name="VANDEMATARAM" localSheetId="7">#REF!</definedName>
    <definedName name="VANDEMATARAM" localSheetId="47">#REF!</definedName>
    <definedName name="VANDEMATARAM" localSheetId="1">#REF!</definedName>
    <definedName name="VANDEMATARAM">#REF!</definedName>
    <definedName name="vani" localSheetId="7">[62]MixBed!#REF!</definedName>
    <definedName name="vani" localSheetId="47">[62]MixBed!#REF!</definedName>
    <definedName name="vani" localSheetId="1">[62]MixBed!#REF!</definedName>
    <definedName name="vani">[62]MixBed!#REF!</definedName>
    <definedName name="vani1" localSheetId="7">[62]MixBed!#REF!</definedName>
    <definedName name="vani1" localSheetId="47">[62]MixBed!#REF!</definedName>
    <definedName name="vani1" localSheetId="1">[62]MixBed!#REF!</definedName>
    <definedName name="vani1">[62]MixBed!#REF!</definedName>
    <definedName name="VB" localSheetId="7">#REF!</definedName>
    <definedName name="VB" localSheetId="47">#REF!</definedName>
    <definedName name="VB" localSheetId="1">#REF!</definedName>
    <definedName name="VB">#REF!</definedName>
    <definedName name="vbzxcbd" localSheetId="7">#REF!</definedName>
    <definedName name="vbzxcbd" localSheetId="47">#REF!</definedName>
    <definedName name="vbzxcbd" localSheetId="1">#REF!</definedName>
    <definedName name="vbzxcbd">#REF!</definedName>
    <definedName name="vcat">[62]CondPol!$F$68</definedName>
    <definedName name="vcati" localSheetId="7">[62]MixBed!#REF!</definedName>
    <definedName name="vcati" localSheetId="47">[62]MixBed!#REF!</definedName>
    <definedName name="vcati" localSheetId="1">[62]MixBed!#REF!</definedName>
    <definedName name="vcati">[62]MixBed!#REF!</definedName>
    <definedName name="vcati1" localSheetId="7">[62]MixBed!#REF!</definedName>
    <definedName name="vcati1" localSheetId="47">[62]MixBed!#REF!</definedName>
    <definedName name="vcati1" localSheetId="1">[62]MixBed!#REF!</definedName>
    <definedName name="vcati1">[62]MixBed!#REF!</definedName>
    <definedName name="VD" localSheetId="7">#REF!</definedName>
    <definedName name="VD" localSheetId="47">#REF!</definedName>
    <definedName name="VD" localSheetId="1">#REF!</definedName>
    <definedName name="VD">#REF!</definedName>
    <definedName name="velocity1">[34]FLUID_INFO!$A$4:$H$14</definedName>
    <definedName name="Vend" localSheetId="7">#REF!</definedName>
    <definedName name="Vend" localSheetId="47">#REF!</definedName>
    <definedName name="Vend" localSheetId="1">#REF!</definedName>
    <definedName name="Vend">#REF!</definedName>
    <definedName name="venu">150</definedName>
    <definedName name="VERT_CON_DETAIL" localSheetId="7">#REF!</definedName>
    <definedName name="VERT_CON_DETAIL" localSheetId="47">#REF!</definedName>
    <definedName name="VERT_CON_DETAIL" localSheetId="1">#REF!</definedName>
    <definedName name="VERT_CON_DETAIL">#REF!</definedName>
    <definedName name="vertical_col_and_corner_walls" localSheetId="7">#REF!</definedName>
    <definedName name="vertical_col_and_corner_walls" localSheetId="47">#REF!</definedName>
    <definedName name="vertical_col_and_corner_walls" localSheetId="1">#REF!</definedName>
    <definedName name="vertical_col_and_corner_walls">#REF!</definedName>
    <definedName name="vf" localSheetId="7" hidden="1">{"'Sheet1'!$L$16"}</definedName>
    <definedName name="vf" localSheetId="47" hidden="1">{"'Sheet1'!$L$16"}</definedName>
    <definedName name="vf" localSheetId="1" hidden="1">{"'Sheet1'!$L$16"}</definedName>
    <definedName name="vf" hidden="1">{"'Sheet1'!$L$16"}</definedName>
    <definedName name="VIBR" localSheetId="7">#REF!</definedName>
    <definedName name="VIBR" localSheetId="47">#REF!</definedName>
    <definedName name="VIBR" localSheetId="1">#REF!</definedName>
    <definedName name="VIBR">#REF!</definedName>
    <definedName name="VIBRA" localSheetId="7">#REF!</definedName>
    <definedName name="VIBRA" localSheetId="47">#REF!</definedName>
    <definedName name="VIBRA" localSheetId="1">#REF!</definedName>
    <definedName name="VIBRA">#REF!</definedName>
    <definedName name="VIBRAB" localSheetId="7">#REF!</definedName>
    <definedName name="VIBRAB" localSheetId="47">#REF!</definedName>
    <definedName name="VIBRAB" localSheetId="1">#REF!</definedName>
    <definedName name="VIBRAB">#REF!</definedName>
    <definedName name="VIBRAS" localSheetId="7">#REF!</definedName>
    <definedName name="VIBRAS" localSheetId="47">#REF!</definedName>
    <definedName name="VIBRAS" localSheetId="1">#REF!</definedName>
    <definedName name="VIBRAS">#REF!</definedName>
    <definedName name="vinert">[62]CondPol!$F$70</definedName>
    <definedName name="Viscosity" localSheetId="7">#REF!</definedName>
    <definedName name="Viscosity" localSheetId="47">#REF!</definedName>
    <definedName name="Viscosity" localSheetId="1">#REF!</definedName>
    <definedName name="Viscosity">#REF!</definedName>
    <definedName name="VIVEKANANDA" localSheetId="7">#REF!</definedName>
    <definedName name="VIVEKANANDA" localSheetId="47">#REF!</definedName>
    <definedName name="VIVEKANANDA" localSheetId="1">#REF!</definedName>
    <definedName name="VIVEKANANDA">#REF!</definedName>
    <definedName name="vn" localSheetId="7" hidden="1">{"'Sheet1'!$L$16"}</definedName>
    <definedName name="vn" localSheetId="47" hidden="1">{"'Sheet1'!$L$16"}</definedName>
    <definedName name="vn" localSheetId="1" hidden="1">{"'Sheet1'!$L$16"}</definedName>
    <definedName name="vn" hidden="1">{"'Sheet1'!$L$16"}</definedName>
    <definedName name="VSD" localSheetId="7">#REF!</definedName>
    <definedName name="VSD" localSheetId="47">#REF!</definedName>
    <definedName name="VSD" localSheetId="1">#REF!</definedName>
    <definedName name="VSD">#REF!</definedName>
    <definedName name="vsdim0" localSheetId="7">#REF!</definedName>
    <definedName name="vsdim0" localSheetId="47">#REF!</definedName>
    <definedName name="vsdim0" localSheetId="1">#REF!</definedName>
    <definedName name="vsdim0">#REF!</definedName>
    <definedName name="Vsigma" localSheetId="7">#REF!</definedName>
    <definedName name="Vsigma" localSheetId="47">#REF!</definedName>
    <definedName name="Vsigma" localSheetId="1">#REF!</definedName>
    <definedName name="Vsigma">#REF!</definedName>
    <definedName name="vtot">[62]CondPol!$F$71</definedName>
    <definedName name="VUTP" localSheetId="7">#REF!</definedName>
    <definedName name="VUTP" localSheetId="47">#REF!</definedName>
    <definedName name="VUTP" localSheetId="1">#REF!</definedName>
    <definedName name="VUTP">#REF!</definedName>
    <definedName name="vxz" localSheetId="7">#REF!:#REF!</definedName>
    <definedName name="vxz" localSheetId="47">#REF!:#REF!</definedName>
    <definedName name="vxz" localSheetId="1">#REF!:#REF!</definedName>
    <definedName name="vxz">#REF!:#REF!</definedName>
    <definedName name="Vz" localSheetId="7">#REF!</definedName>
    <definedName name="Vz" localSheetId="47">#REF!</definedName>
    <definedName name="Vz" localSheetId="1">#REF!</definedName>
    <definedName name="Vz">#REF!</definedName>
    <definedName name="w" localSheetId="7">#REF!</definedName>
    <definedName name="w" localSheetId="47">#REF!</definedName>
    <definedName name="w" localSheetId="1">#REF!</definedName>
    <definedName name="w">#REF!</definedName>
    <definedName name="W_BODY" localSheetId="7">#REF!</definedName>
    <definedName name="W_BODY" localSheetId="47">#REF!</definedName>
    <definedName name="W_BODY" localSheetId="1">#REF!</definedName>
    <definedName name="W_BODY">#REF!</definedName>
    <definedName name="W_INTERNALS" localSheetId="7">#REF!</definedName>
    <definedName name="W_INTERNALS" localSheetId="47">#REF!</definedName>
    <definedName name="W_INTERNALS" localSheetId="1">#REF!</definedName>
    <definedName name="W_INTERNALS">#REF!</definedName>
    <definedName name="W_PLATFORM" localSheetId="7">#REF!</definedName>
    <definedName name="W_PLATFORM" localSheetId="47">#REF!</definedName>
    <definedName name="W_PLATFORM" localSheetId="1">#REF!</definedName>
    <definedName name="W_PLATFORM">#REF!</definedName>
    <definedName name="w1_w2" localSheetId="7">#REF!</definedName>
    <definedName name="w1_w2" localSheetId="47">#REF!</definedName>
    <definedName name="w1_w2" localSheetId="1">#REF!</definedName>
    <definedName name="w1_w2">#REF!</definedName>
    <definedName name="WAG">'[4]Cost of O &amp; O'!$F$31</definedName>
    <definedName name="Waiting">"Picture 1"</definedName>
    <definedName name="wall0125">[34]Tables!$E$10:$E$18</definedName>
    <definedName name="wall025">[34]Tables!$E$19:$E$27</definedName>
    <definedName name="wall0375">[34]Tables!$E$28:$E$36</definedName>
    <definedName name="wall05">[34]Tables!$E$37:$E$48</definedName>
    <definedName name="wall075">[34]Tables!$E$49:$E$60</definedName>
    <definedName name="wall1">[34]Tables!$E$61:$E$72</definedName>
    <definedName name="wall10">[34]Tables!$E$197:$E$213</definedName>
    <definedName name="wall12">[34]Tables!$E$214:$E$230</definedName>
    <definedName name="wall125">[34]Tables!$E$73:$E$84</definedName>
    <definedName name="wall14">[34]Tables!$E$231:$E$245</definedName>
    <definedName name="wall15">[34]Tables!$E$85:$E$96</definedName>
    <definedName name="wall16">[34]Tables!$E$246:$E$260</definedName>
    <definedName name="wall18">[34]Tables!$E$261:$E$275</definedName>
    <definedName name="wall2">[34]Tables!$E$97:$E$108</definedName>
    <definedName name="wall20">[34]Tables!$E$276:$E$290</definedName>
    <definedName name="wall22">[34]Tables!$E$291:$E$304</definedName>
    <definedName name="wall24">[34]Tables!$E$305:$E$319</definedName>
    <definedName name="wall25">[34]Tables!$E$109:$E$120</definedName>
    <definedName name="wall26">[34]Tables!$E$320:$E$324</definedName>
    <definedName name="wall28">[34]Tables!$E$325:$E$330</definedName>
    <definedName name="wall3">[34]Tables!$E$121:$E$132</definedName>
    <definedName name="wall30">[34]Tables!$E$331:$E$338</definedName>
    <definedName name="wall32">[34]Tables!$E$339:$E$345</definedName>
    <definedName name="wall34">[34]Tables!$E$346:$E$352</definedName>
    <definedName name="wall35">[34]Tables!$E$133:$E$142</definedName>
    <definedName name="wall36">[34]Tables!$E$353:$E$359</definedName>
    <definedName name="wall38">[34]Tables!$E$360:$E$362</definedName>
    <definedName name="wall4">[34]Tables!$E$143:$E$155</definedName>
    <definedName name="wall40">[34]Tables!$E$363:$E$365</definedName>
    <definedName name="wall42">[34]Tables!$E$366:$E$368</definedName>
    <definedName name="wall44">[34]Tables!$E$369:$E$371</definedName>
    <definedName name="wall46">[34]Tables!$E$372:$E$374</definedName>
    <definedName name="wall48">[34]Tables!$E$375:$E$377</definedName>
    <definedName name="wall5">[34]Tables!$E$156:$E$167</definedName>
    <definedName name="wall6">[34]Tables!$E$168:$E$179</definedName>
    <definedName name="wall8">[34]Tables!$E$180:$E$196</definedName>
    <definedName name="wallht" localSheetId="7">#REF!</definedName>
    <definedName name="wallht" localSheetId="47">#REF!</definedName>
    <definedName name="wallht" localSheetId="1">#REF!</definedName>
    <definedName name="wallht">#REF!</definedName>
    <definedName name="wallthk" localSheetId="7">#REF!</definedName>
    <definedName name="wallthk" localSheetId="47">#REF!</definedName>
    <definedName name="wallthk" localSheetId="1">#REF!</definedName>
    <definedName name="wallthk">#REF!</definedName>
    <definedName name="WATER" localSheetId="7">#REF!</definedName>
    <definedName name="WATER" localSheetId="47">#REF!</definedName>
    <definedName name="WATER" localSheetId="1">#REF!</definedName>
    <definedName name="WATER">#REF!</definedName>
    <definedName name="water_funds" localSheetId="7" hidden="1">{"'Sheet1'!$A$4386:$N$4591"}</definedName>
    <definedName name="water_funds" localSheetId="47" hidden="1">{"'Sheet1'!$A$4386:$N$4591"}</definedName>
    <definedName name="water_funds" localSheetId="1" hidden="1">{"'Sheet1'!$A$4386:$N$4591"}</definedName>
    <definedName name="water_funds" hidden="1">{"'Sheet1'!$A$4386:$N$4591"}</definedName>
    <definedName name="WBM" localSheetId="7">#REF!</definedName>
    <definedName name="WBM" localSheetId="47">#REF!</definedName>
    <definedName name="WBM" localSheetId="1">#REF!</definedName>
    <definedName name="WBM">#REF!</definedName>
    <definedName name="WBT" localSheetId="7">#REF!</definedName>
    <definedName name="WBT" localSheetId="47">#REF!</definedName>
    <definedName name="WBT" localSheetId="1">#REF!</definedName>
    <definedName name="WBT">#REF!</definedName>
    <definedName name="wc" localSheetId="7">'[106]Pier Design(with offset)'!#REF!</definedName>
    <definedName name="wc" localSheetId="47">'[106]Pier Design(with offset)'!#REF!</definedName>
    <definedName name="wc" localSheetId="1">'[106]Pier Design(with offset)'!#REF!</definedName>
    <definedName name="wc">'[106]Pier Design(with offset)'!#REF!</definedName>
    <definedName name="wct" localSheetId="7">'[109]Pier Design(with offset)'!#REF!</definedName>
    <definedName name="wct" localSheetId="47">'[109]Pier Design(with offset)'!#REF!</definedName>
    <definedName name="wct" localSheetId="1">'[109]Pier Design(with offset)'!#REF!</definedName>
    <definedName name="wct">'[109]Pier Design(with offset)'!#REF!</definedName>
    <definedName name="WE" localSheetId="7" hidden="1">{#N/A,#N/A,FALSE,"CCTV"}</definedName>
    <definedName name="WE" localSheetId="47" hidden="1">{#N/A,#N/A,FALSE,"CCTV"}</definedName>
    <definedName name="WE" localSheetId="1" hidden="1">{#N/A,#N/A,FALSE,"CCTV"}</definedName>
    <definedName name="WE" hidden="1">{#N/A,#N/A,FALSE,"CCTV"}</definedName>
    <definedName name="WELD" localSheetId="7">#REF!</definedName>
    <definedName name="WELD" localSheetId="47">#REF!</definedName>
    <definedName name="WELD" localSheetId="1">#REF!</definedName>
    <definedName name="WELD">#REF!</definedName>
    <definedName name="WELDH" localSheetId="7">#REF!</definedName>
    <definedName name="WELDH" localSheetId="47">#REF!</definedName>
    <definedName name="WELDH" localSheetId="1">#REF!</definedName>
    <definedName name="WELDH">#REF!</definedName>
    <definedName name="wfbwfbwf" localSheetId="7">#REF!</definedName>
    <definedName name="wfbwfbwf" localSheetId="47">#REF!</definedName>
    <definedName name="wfbwfbwf" localSheetId="1">#REF!</definedName>
    <definedName name="wfbwfbwf">#REF!</definedName>
    <definedName name="wid" localSheetId="7">#REF!</definedName>
    <definedName name="wid" localSheetId="47">#REF!</definedName>
    <definedName name="wid" localSheetId="1">#REF!</definedName>
    <definedName name="wid">#REF!</definedName>
    <definedName name="wkarea" localSheetId="7">#REF!</definedName>
    <definedName name="wkarea" localSheetId="47">#REF!</definedName>
    <definedName name="wkarea" localSheetId="1">#REF!</definedName>
    <definedName name="wkarea">#REF!</definedName>
    <definedName name="Wkerb">[64]basdat!$D$8</definedName>
    <definedName name="wktable" localSheetId="7">#REF!</definedName>
    <definedName name="wktable" localSheetId="47">#REF!</definedName>
    <definedName name="wktable" localSheetId="1">#REF!</definedName>
    <definedName name="wktable">#REF!</definedName>
    <definedName name="WLP" localSheetId="7">#REF!</definedName>
    <definedName name="WLP" localSheetId="47">#REF!</definedName>
    <definedName name="WLP" localSheetId="1">#REF!</definedName>
    <definedName name="WLP">#REF!</definedName>
    <definedName name="WMMP" localSheetId="7">#REF!</definedName>
    <definedName name="WMMP" localSheetId="47">#REF!</definedName>
    <definedName name="WMMP" localSheetId="1">#REF!</definedName>
    <definedName name="WMMP">#REF!</definedName>
    <definedName name="WMP" localSheetId="7">#REF!</definedName>
    <definedName name="WMP" localSheetId="47">#REF!</definedName>
    <definedName name="WMP" localSheetId="1">#REF!</definedName>
    <definedName name="WMP">#REF!</definedName>
    <definedName name="WOL" localSheetId="7">#REF!</definedName>
    <definedName name="WOL" localSheetId="47">#REF!</definedName>
    <definedName name="WOL" localSheetId="1">#REF!</definedName>
    <definedName name="WOL">#REF!</definedName>
    <definedName name="word">[72]Sheet1!$A$50:$C$161</definedName>
    <definedName name="work" localSheetId="7">#REF!</definedName>
    <definedName name="work" localSheetId="47">#REF!</definedName>
    <definedName name="work" localSheetId="1">#REF!</definedName>
    <definedName name="work">#REF!</definedName>
    <definedName name="WP" localSheetId="7">#REF!</definedName>
    <definedName name="WP" localSheetId="47">#REF!</definedName>
    <definedName name="WP" localSheetId="1">#REF!</definedName>
    <definedName name="WP">#REF!</definedName>
    <definedName name="WPcomp">'[147]21-Rate Analysis-1'!$E$29</definedName>
    <definedName name="wr" localSheetId="7">'[106]Pier Design(with offset)'!#REF!</definedName>
    <definedName name="wr" localSheetId="47">'[106]Pier Design(with offset)'!#REF!</definedName>
    <definedName name="wr" localSheetId="1">'[106]Pier Design(with offset)'!#REF!</definedName>
    <definedName name="wr">'[106]Pier Design(with offset)'!#REF!</definedName>
    <definedName name="WRITE" localSheetId="7" hidden="1">{#N/A,#N/A,FALSE,"CCTV"}</definedName>
    <definedName name="WRITE" localSheetId="47" hidden="1">{#N/A,#N/A,FALSE,"CCTV"}</definedName>
    <definedName name="WRITE" localSheetId="1" hidden="1">{#N/A,#N/A,FALSE,"CCTV"}</definedName>
    <definedName name="WRITE" hidden="1">{#N/A,#N/A,FALSE,"CCTV"}</definedName>
    <definedName name="wrn.BM." localSheetId="7" hidden="1">{#N/A,#N/A,FALSE,"CCTV"}</definedName>
    <definedName name="wrn.BM." localSheetId="47" hidden="1">{#N/A,#N/A,FALSE,"CCTV"}</definedName>
    <definedName name="wrn.BM." localSheetId="1" hidden="1">{#N/A,#N/A,FALSE,"CCTV"}</definedName>
    <definedName name="wrn.BM." hidden="1">{#N/A,#N/A,FALSE,"CCTV"}</definedName>
    <definedName name="wrn.budget." localSheetId="7" hidden="1">{"form-D1",#N/A,FALSE,"FORM-D1";"form-D1_amt",#N/A,FALSE,"FORM-D1"}</definedName>
    <definedName name="wrn.budget." localSheetId="47" hidden="1">{"form-D1",#N/A,FALSE,"FORM-D1";"form-D1_amt",#N/A,FALSE,"FORM-D1"}</definedName>
    <definedName name="wrn.budget." localSheetId="1" hidden="1">{"form-D1",#N/A,FALSE,"FORM-D1";"form-D1_amt",#N/A,FALSE,"FORM-D1"}</definedName>
    <definedName name="wrn.budget." hidden="1">{"form-D1",#N/A,FALSE,"FORM-D1";"form-D1_amt",#N/A,FALSE,"FORM-D1"}</definedName>
    <definedName name="wrn.trial." localSheetId="7">{#N/A,#N/A,FALSE,"mpph1";#N/A,#N/A,FALSE,"mpmseb";#N/A,#N/A,FALSE,"mpph2"}</definedName>
    <definedName name="wrn.trial." localSheetId="47">{#N/A,#N/A,FALSE,"mpph1";#N/A,#N/A,FALSE,"mpmseb";#N/A,#N/A,FALSE,"mpph2"}</definedName>
    <definedName name="wrn.trial." localSheetId="1">{#N/A,#N/A,FALSE,"mpph1";#N/A,#N/A,FALSE,"mpmseb";#N/A,#N/A,FALSE,"mpph2"}</definedName>
    <definedName name="wrn.trial.">{#N/A,#N/A,FALSE,"mpph1";#N/A,#N/A,FALSE,"mpmseb";#N/A,#N/A,FALSE,"mpph2"}</definedName>
    <definedName name="wrn.건물기초."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4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localSheetId="1"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T" localSheetId="7">#REF!</definedName>
    <definedName name="WT" localSheetId="47">#REF!</definedName>
    <definedName name="WT" localSheetId="1">#REF!</definedName>
    <definedName name="WT">#REF!</definedName>
    <definedName name="WTANK" localSheetId="7">#REF!</definedName>
    <definedName name="WTANK" localSheetId="47">#REF!</definedName>
    <definedName name="WTANK" localSheetId="1">#REF!</definedName>
    <definedName name="WTANK">#REF!</definedName>
    <definedName name="WTANK1" localSheetId="7">#REF!</definedName>
    <definedName name="WTANK1" localSheetId="47">#REF!</definedName>
    <definedName name="WTANK1" localSheetId="1">#REF!</definedName>
    <definedName name="WTANK1">#REF!</definedName>
    <definedName name="wtr" localSheetId="7">'[109]Pier Design(with offset)'!#REF!</definedName>
    <definedName name="wtr" localSheetId="47">'[109]Pier Design(with offset)'!#REF!</definedName>
    <definedName name="wtr" localSheetId="1">'[109]Pier Design(with offset)'!#REF!</definedName>
    <definedName name="wtr">'[109]Pier Design(with offset)'!#REF!</definedName>
    <definedName name="x" localSheetId="7">#REF!</definedName>
    <definedName name="x" localSheetId="47">#REF!</definedName>
    <definedName name="x" localSheetId="1">#REF!</definedName>
    <definedName name="x">#REF!</definedName>
    <definedName name="Xl" localSheetId="7">#REF!</definedName>
    <definedName name="Xl" localSheetId="47">#REF!</definedName>
    <definedName name="Xl" localSheetId="1">#REF!</definedName>
    <definedName name="Xl">#REF!</definedName>
    <definedName name="Xl___0" localSheetId="7">#REF!</definedName>
    <definedName name="Xl___0" localSheetId="47">#REF!</definedName>
    <definedName name="Xl___0" localSheetId="1">#REF!</definedName>
    <definedName name="Xl___0">#REF!</definedName>
    <definedName name="Xl___13" localSheetId="7">#REF!</definedName>
    <definedName name="Xl___13" localSheetId="47">#REF!</definedName>
    <definedName name="Xl___13" localSheetId="1">#REF!</definedName>
    <definedName name="Xl___13">#REF!</definedName>
    <definedName name="xxx" localSheetId="7">#REF!</definedName>
    <definedName name="xxx" localSheetId="47">#REF!</definedName>
    <definedName name="xxx" localSheetId="1">#REF!</definedName>
    <definedName name="xxx">#REF!</definedName>
    <definedName name="xyz" localSheetId="7">#REF!</definedName>
    <definedName name="xyz" localSheetId="47">#REF!</definedName>
    <definedName name="xyz" localSheetId="1">#REF!</definedName>
    <definedName name="xyz">#REF!</definedName>
    <definedName name="Y" localSheetId="7">#REF!</definedName>
    <definedName name="Y" localSheetId="47">#REF!</definedName>
    <definedName name="Y" localSheetId="1">#REF!</definedName>
    <definedName name="Y">#REF!</definedName>
    <definedName name="y_strainer" localSheetId="7">#REF!</definedName>
    <definedName name="y_strainer" localSheetId="47">#REF!</definedName>
    <definedName name="y_strainer" localSheetId="1">#REF!</definedName>
    <definedName name="y_strainer">#REF!</definedName>
    <definedName name="Year_no" localSheetId="7">IF('[65]Engg-Exec-2'!#REF!&gt;=[65]User!$AS$8,4,IF('[65]Engg-Exec-2'!#REF!&gt;=[65]User!$AR$8,3,IF('[65]Engg-Exec-2'!#REF!&gt;=[65]User!$AQ$8,2,1)))</definedName>
    <definedName name="Year_no" localSheetId="47">IF('[65]Engg-Exec-2'!#REF!&gt;=[65]User!$AS$8,4,IF('[65]Engg-Exec-2'!#REF!&gt;=[65]User!$AR$8,3,IF('[65]Engg-Exec-2'!#REF!&gt;=[65]User!$AQ$8,2,1)))</definedName>
    <definedName name="Year_no" localSheetId="1">IF('[65]Engg-Exec-2'!#REF!&gt;=[65]User!$AS$8,4,IF('[65]Engg-Exec-2'!#REF!&gt;=[65]User!$AR$8,3,IF('[65]Engg-Exec-2'!#REF!&gt;=[65]User!$AQ$8,2,1)))</definedName>
    <definedName name="Year_no">IF('[65]Engg-Exec-2'!#REF!&gt;=[65]User!$AS$8,4,IF('[65]Engg-Exec-2'!#REF!&gt;=[65]User!$AR$8,3,IF('[65]Engg-Exec-2'!#REF!&gt;=[65]User!$AQ$8,2,1)))</definedName>
    <definedName name="YG" localSheetId="7">#REF!</definedName>
    <definedName name="YG" localSheetId="47">#REF!</definedName>
    <definedName name="YG" localSheetId="1">#REF!</definedName>
    <definedName name="YG">#REF!</definedName>
    <definedName name="yi" localSheetId="7" hidden="1">{"'Sheet1'!$L$16"}</definedName>
    <definedName name="yi" localSheetId="47" hidden="1">{"'Sheet1'!$L$16"}</definedName>
    <definedName name="yi" localSheetId="1" hidden="1">{"'Sheet1'!$L$16"}</definedName>
    <definedName name="yi" hidden="1">{"'Sheet1'!$L$16"}</definedName>
    <definedName name="yRNG">[34]Tables!$U$8:$W$13</definedName>
    <definedName name="yRNG1">[34]Tables!$T$8:$W$13</definedName>
    <definedName name="yy" localSheetId="7">#REF!</definedName>
    <definedName name="yy" localSheetId="47">#REF!</definedName>
    <definedName name="yy" localSheetId="1">#REF!</definedName>
    <definedName name="yy">#REF!</definedName>
    <definedName name="z" localSheetId="7">'[148]Analy_7-10'!#REF!</definedName>
    <definedName name="z" localSheetId="47">'[148]Analy_7-10'!#REF!</definedName>
    <definedName name="z" localSheetId="1">'[148]Analy_7-10'!#REF!</definedName>
    <definedName name="z">'[148]Analy_7-10'!#REF!</definedName>
    <definedName name="zcncvnz" localSheetId="7">#REF!</definedName>
    <definedName name="zcncvnz" localSheetId="47">#REF!</definedName>
    <definedName name="zcncvnz" localSheetId="1">#REF!</definedName>
    <definedName name="zcncvnz">#REF!</definedName>
    <definedName name="zcvbzv" localSheetId="7">#REF!</definedName>
    <definedName name="zcvbzv" localSheetId="47">#REF!</definedName>
    <definedName name="zcvbzv" localSheetId="1">#REF!</definedName>
    <definedName name="zcvbzv">#REF!</definedName>
    <definedName name="zcvn" localSheetId="7">#REF!</definedName>
    <definedName name="zcvn" localSheetId="47">#REF!</definedName>
    <definedName name="zcvn" localSheetId="1">#REF!</definedName>
    <definedName name="zcvn">#REF!</definedName>
    <definedName name="zcvnzcvn" localSheetId="7">#REF!</definedName>
    <definedName name="zcvnzcvn" localSheetId="47">#REF!</definedName>
    <definedName name="zcvnzcvn" localSheetId="1">#REF!</definedName>
    <definedName name="zcvnzcvn">#REF!</definedName>
    <definedName name="zcvvcn" localSheetId="7">#REF!</definedName>
    <definedName name="zcvvcn" localSheetId="47">#REF!</definedName>
    <definedName name="zcvvcn" localSheetId="1">#REF!</definedName>
    <definedName name="zcvvcn">#REF!</definedName>
    <definedName name="zl" localSheetId="7">#REF!</definedName>
    <definedName name="zl" localSheetId="47">#REF!</definedName>
    <definedName name="zl" localSheetId="1">#REF!</definedName>
    <definedName name="zl">#REF!</definedName>
    <definedName name="zl___0" localSheetId="7">#REF!</definedName>
    <definedName name="zl___0" localSheetId="47">#REF!</definedName>
    <definedName name="zl___0" localSheetId="1">#REF!</definedName>
    <definedName name="zl___0">#REF!</definedName>
    <definedName name="zl___13" localSheetId="7">#REF!</definedName>
    <definedName name="zl___13" localSheetId="47">#REF!</definedName>
    <definedName name="zl___13" localSheetId="1">#REF!</definedName>
    <definedName name="zl___13">#REF!</definedName>
    <definedName name="zlpu" localSheetId="7">#REF!</definedName>
    <definedName name="zlpu" localSheetId="47">#REF!</definedName>
    <definedName name="zlpu" localSheetId="1">#REF!</definedName>
    <definedName name="zlpu">#REF!</definedName>
    <definedName name="zlpu___0" localSheetId="7">#REF!</definedName>
    <definedName name="zlpu___0" localSheetId="47">#REF!</definedName>
    <definedName name="zlpu___0" localSheetId="1">#REF!</definedName>
    <definedName name="zlpu___0">#REF!</definedName>
    <definedName name="zlpu___13" localSheetId="7">#REF!</definedName>
    <definedName name="zlpu___13" localSheetId="47">#REF!</definedName>
    <definedName name="zlpu___13" localSheetId="1">#REF!</definedName>
    <definedName name="zlpu___13">#REF!</definedName>
    <definedName name="zs" localSheetId="7">#REF!</definedName>
    <definedName name="zs" localSheetId="47">#REF!</definedName>
    <definedName name="zs" localSheetId="1">#REF!</definedName>
    <definedName name="zs">#REF!</definedName>
    <definedName name="zs___0" localSheetId="7">#REF!</definedName>
    <definedName name="zs___0" localSheetId="47">#REF!</definedName>
    <definedName name="zs___0" localSheetId="1">#REF!</definedName>
    <definedName name="zs___0">#REF!</definedName>
    <definedName name="zs___13" localSheetId="7">#REF!</definedName>
    <definedName name="zs___13" localSheetId="47">#REF!</definedName>
    <definedName name="zs___13" localSheetId="1">#REF!</definedName>
    <definedName name="zs___13">#REF!</definedName>
    <definedName name="zspu" localSheetId="7">#REF!</definedName>
    <definedName name="zspu" localSheetId="47">#REF!</definedName>
    <definedName name="zspu" localSheetId="1">#REF!</definedName>
    <definedName name="zspu">#REF!</definedName>
    <definedName name="zspu___0" localSheetId="7">#REF!</definedName>
    <definedName name="zspu___0" localSheetId="47">#REF!</definedName>
    <definedName name="zspu___0" localSheetId="1">#REF!</definedName>
    <definedName name="zspu___0">#REF!</definedName>
    <definedName name="zspu___13" localSheetId="7">#REF!</definedName>
    <definedName name="zspu___13" localSheetId="47">#REF!</definedName>
    <definedName name="zspu___13" localSheetId="1">#REF!</definedName>
    <definedName name="zspu___13">#REF!</definedName>
    <definedName name="ZSS" localSheetId="7">#REF!</definedName>
    <definedName name="ZSS" localSheetId="47">#REF!</definedName>
    <definedName name="ZSS" localSheetId="1">#REF!</definedName>
    <definedName name="ZSS">#REF!</definedName>
    <definedName name="ZSS___0" localSheetId="7">#REF!</definedName>
    <definedName name="ZSS___0" localSheetId="47">#REF!</definedName>
    <definedName name="ZSS___0" localSheetId="1">#REF!</definedName>
    <definedName name="ZSS___0">#REF!</definedName>
    <definedName name="ZSS___13" localSheetId="7">#REF!</definedName>
    <definedName name="ZSS___13" localSheetId="47">#REF!</definedName>
    <definedName name="ZSS___13" localSheetId="1">#REF!</definedName>
    <definedName name="ZSS___13">#REF!</definedName>
    <definedName name="ztpu" localSheetId="7">#REF!</definedName>
    <definedName name="ztpu" localSheetId="47">#REF!</definedName>
    <definedName name="ztpu" localSheetId="1">#REF!</definedName>
    <definedName name="ztpu">#REF!</definedName>
    <definedName name="ztpu___0" localSheetId="7">#REF!</definedName>
    <definedName name="ztpu___0" localSheetId="47">#REF!</definedName>
    <definedName name="ztpu___0" localSheetId="1">#REF!</definedName>
    <definedName name="ztpu___0">#REF!</definedName>
    <definedName name="ztpu___13" localSheetId="7">#REF!</definedName>
    <definedName name="ztpu___13" localSheetId="47">#REF!</definedName>
    <definedName name="ztpu___13" localSheetId="1">#REF!</definedName>
    <definedName name="ztpu___13">#REF!</definedName>
    <definedName name="zx" localSheetId="7">#REF!</definedName>
    <definedName name="zx" localSheetId="47">#REF!</definedName>
    <definedName name="zx" localSheetId="1">#REF!</definedName>
    <definedName name="zx">#REF!</definedName>
    <definedName name="zxc" localSheetId="7">#REF!</definedName>
    <definedName name="zxc" localSheetId="47">#REF!</definedName>
    <definedName name="zxc" localSheetId="1">#REF!</definedName>
    <definedName name="zxc">#REF!</definedName>
    <definedName name="ZY" localSheetId="7">#REF!</definedName>
    <definedName name="ZY" localSheetId="47">#REF!</definedName>
    <definedName name="ZY" localSheetId="1">#REF!</definedName>
    <definedName name="ZY">#REF!</definedName>
    <definedName name="ZY___0" localSheetId="7">#REF!</definedName>
    <definedName name="ZY___0" localSheetId="47">#REF!</definedName>
    <definedName name="ZY___0" localSheetId="1">#REF!</definedName>
    <definedName name="ZY___0">#REF!</definedName>
    <definedName name="ZY___13" localSheetId="7">#REF!</definedName>
    <definedName name="ZY___13" localSheetId="47">#REF!</definedName>
    <definedName name="ZY___13" localSheetId="1">#REF!</definedName>
    <definedName name="ZY___13">#REF!</definedName>
    <definedName name="zzz" localSheetId="7">#REF!</definedName>
    <definedName name="zzz" localSheetId="47">#REF!</definedName>
    <definedName name="zzz" localSheetId="1">#REF!</definedName>
    <definedName name="zzz">#REF!</definedName>
    <definedName name="π">PI()</definedName>
    <definedName name="ガス_灯油混焼" localSheetId="7">#REF!</definedName>
    <definedName name="ガス_灯油混焼" localSheetId="47">#REF!</definedName>
    <definedName name="ガス_灯油混焼" localSheetId="1">#REF!</definedName>
    <definedName name="ガス_灯油混焼">#REF!</definedName>
    <definedName name="モドス">[79]!モドス</definedName>
    <definedName name="건축" localSheetId="7">#REF!</definedName>
    <definedName name="건축" localSheetId="47">#REF!</definedName>
    <definedName name="건축" localSheetId="1">#REF!</definedName>
    <definedName name="건축">#REF!</definedName>
    <definedName name="구분" localSheetId="7">#REF!</definedName>
    <definedName name="구분" localSheetId="47">#REF!</definedName>
    <definedName name="구분" localSheetId="1">#REF!</definedName>
    <definedName name="구분">#REF!</definedName>
    <definedName name="기계" localSheetId="7">#REF!</definedName>
    <definedName name="기계" localSheetId="47">#REF!</definedName>
    <definedName name="기계" localSheetId="1">#REF!</definedName>
    <definedName name="기계">#REF!</definedName>
    <definedName name="기구자재선택">[149]코드관리!$V$4:$V$103</definedName>
    <definedName name="기타" localSheetId="7">[150]당초!#REF!</definedName>
    <definedName name="기타" localSheetId="47">[150]당초!#REF!</definedName>
    <definedName name="기타" localSheetId="1">[150]당초!#REF!</definedName>
    <definedName name="기타">[150]당초!#REF!</definedName>
    <definedName name="내부거래분"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4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localSheetId="1"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ㄷ1" localSheetId="7">#REF!</definedName>
    <definedName name="ㄷ1" localSheetId="47">#REF!</definedName>
    <definedName name="ㄷ1" localSheetId="1">#REF!</definedName>
    <definedName name="ㄷ1">#REF!</definedName>
    <definedName name="단가비교">#N/A</definedName>
    <definedName name="도면외주" localSheetId="7" hidden="1">#REF!</definedName>
    <definedName name="도면외주" localSheetId="47" hidden="1">#REF!</definedName>
    <definedName name="도면외주" localSheetId="1" hidden="1">#REF!</definedName>
    <definedName name="도면외주" hidden="1">#REF!</definedName>
    <definedName name="도면용역비" localSheetId="7" hidden="1">#REF!</definedName>
    <definedName name="도면용역비" localSheetId="47" hidden="1">#REF!</definedName>
    <definedName name="도면용역비" localSheetId="1" hidden="1">#REF!</definedName>
    <definedName name="도면용역비" hidden="1">#REF!</definedName>
    <definedName name="ㄹㅇㄴ" localSheetId="7" hidden="1">{"'Sheet1'!$L$16"}</definedName>
    <definedName name="ㄹㅇㄴ" localSheetId="47" hidden="1">{"'Sheet1'!$L$16"}</definedName>
    <definedName name="ㄹㅇㄴ" localSheetId="1" hidden="1">{"'Sheet1'!$L$16"}</definedName>
    <definedName name="ㄹㅇㄴ" hidden="1">{"'Sheet1'!$L$16"}</definedName>
    <definedName name="롱ㅁㄴㄱ버ㅏㅣㅈ" localSheetId="7">#REF!</definedName>
    <definedName name="롱ㅁㄴㄱ버ㅏㅣㅈ" localSheetId="47">#REF!</definedName>
    <definedName name="롱ㅁㄴㄱ버ㅏㅣㅈ" localSheetId="1">#REF!</definedName>
    <definedName name="롱ㅁㄴㄱ버ㅏㅣㅈ">#REF!</definedName>
    <definedName name="ㅁ1" localSheetId="7">#REF!</definedName>
    <definedName name="ㅁ1" localSheetId="47">#REF!</definedName>
    <definedName name="ㅁ1" localSheetId="1">#REF!</definedName>
    <definedName name="ㅁ1">#REF!</definedName>
    <definedName name="ㅁ1727" localSheetId="7">#REF!</definedName>
    <definedName name="ㅁ1727" localSheetId="47">#REF!</definedName>
    <definedName name="ㅁ1727" localSheetId="1">#REF!</definedName>
    <definedName name="ㅁ1727">#REF!</definedName>
    <definedName name="ㅂㅂ" localSheetId="7">[151]LAB!#REF!</definedName>
    <definedName name="ㅂㅂ" localSheetId="47">[151]LAB!#REF!</definedName>
    <definedName name="ㅂㅂ" localSheetId="1">[151]LAB!#REF!</definedName>
    <definedName name="ㅂㅂ">[151]LAB!#REF!</definedName>
    <definedName name="ㅂㅈㅂㅈ" localSheetId="7">[151]LAB!#REF!</definedName>
    <definedName name="ㅂㅈㅂㅈ" localSheetId="47">[151]LAB!#REF!</definedName>
    <definedName name="ㅂㅈㅂㅈ" localSheetId="1">[151]LAB!#REF!</definedName>
    <definedName name="ㅂㅈㅂㅈ">[151]LAB!#REF!</definedName>
    <definedName name="배관" localSheetId="7">#REF!</definedName>
    <definedName name="배관" localSheetId="47">#REF!</definedName>
    <definedName name="배관" localSheetId="1">#REF!</definedName>
    <definedName name="배관">#REF!</definedName>
    <definedName name="배관3"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4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localSheetId="1"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부대공사" localSheetId="7" hidden="1">#REF!</definedName>
    <definedName name="부대공사" localSheetId="47" hidden="1">#REF!</definedName>
    <definedName name="부대공사" localSheetId="1" hidden="1">#REF!</definedName>
    <definedName name="부대공사" hidden="1">#REF!</definedName>
    <definedName name="ㅅㄷ" localSheetId="7" hidden="1">{"'Sheet1'!$L$16"}</definedName>
    <definedName name="ㅅㄷ" localSheetId="47" hidden="1">{"'Sheet1'!$L$16"}</definedName>
    <definedName name="ㅅㄷ" localSheetId="1" hidden="1">{"'Sheet1'!$L$16"}</definedName>
    <definedName name="ㅅㄷ" hidden="1">{"'Sheet1'!$L$16"}</definedName>
    <definedName name="소모비" localSheetId="7">#REF!</definedName>
    <definedName name="소모비" localSheetId="47">#REF!</definedName>
    <definedName name="소모비" localSheetId="1">#REF!</definedName>
    <definedName name="소모비">#REF!</definedName>
    <definedName name="소분류동적A">"OFFSET('규격'!$C$1,1,'규격'!$A$15-1,COUNTA(OFFSET('규격'!$E$3,1,'규격'!$H$3-1,10,1),1))"</definedName>
    <definedName name="아" localSheetId="7" hidden="1">{"'Sheet1'!$L$16"}</definedName>
    <definedName name="아" localSheetId="47" hidden="1">{"'Sheet1'!$L$16"}</definedName>
    <definedName name="아" localSheetId="1" hidden="1">{"'Sheet1'!$L$16"}</definedName>
    <definedName name="아" hidden="1">{"'Sheet1'!$L$16"}</definedName>
    <definedName name="이찰" localSheetId="7">#REF!</definedName>
    <definedName name="이찰" localSheetId="47">#REF!</definedName>
    <definedName name="이찰" localSheetId="1">#REF!</definedName>
    <definedName name="이찰">#REF!</definedName>
    <definedName name="입찰1">#N/A</definedName>
    <definedName name="입찰2">#N/A</definedName>
    <definedName name="잡비" localSheetId="7">#REF!</definedName>
    <definedName name="잡비" localSheetId="47">#REF!</definedName>
    <definedName name="잡비" localSheetId="1">#REF!</definedName>
    <definedName name="잡비">#REF!</definedName>
    <definedName name="전" localSheetId="7">#REF!</definedName>
    <definedName name="전" localSheetId="47">#REF!</definedName>
    <definedName name="전" localSheetId="1">#REF!</definedName>
    <definedName name="전">#REF!</definedName>
    <definedName name="전계장금액" localSheetId="7" hidden="1">#REF!</definedName>
    <definedName name="전계장금액" localSheetId="47" hidden="1">#REF!</definedName>
    <definedName name="전계장금액" localSheetId="1" hidden="1">#REF!</definedName>
    <definedName name="전계장금액" hidden="1">#REF!</definedName>
    <definedName name="전기" localSheetId="7" hidden="1">{"'Sheet1'!$A$1:$E$59"}</definedName>
    <definedName name="전기" localSheetId="47" hidden="1">{"'Sheet1'!$A$1:$E$59"}</definedName>
    <definedName name="전기" localSheetId="1" hidden="1">{"'Sheet1'!$A$1:$E$59"}</definedName>
    <definedName name="전기" hidden="1">{"'Sheet1'!$A$1:$E$59"}</definedName>
    <definedName name="전기계장" localSheetId="7">#REF!</definedName>
    <definedName name="전기계장" localSheetId="47">#REF!</definedName>
    <definedName name="전기계장" localSheetId="1">#REF!</definedName>
    <definedName name="전기계장">#REF!</definedName>
    <definedName name="조직도" localSheetId="7">[151]LAB!#REF!</definedName>
    <definedName name="조직도" localSheetId="47">[151]LAB!#REF!</definedName>
    <definedName name="조직도" localSheetId="1">[151]LAB!#REF!</definedName>
    <definedName name="조직도">[151]LAB!#REF!</definedName>
    <definedName name="주요물량비교">#N/A</definedName>
    <definedName name="주택사업본부" localSheetId="7">#REF!</definedName>
    <definedName name="주택사업본부" localSheetId="47">#REF!</definedName>
    <definedName name="주택사업본부" localSheetId="1">#REF!</definedName>
    <definedName name="주택사업본부">#REF!</definedName>
    <definedName name="중기" localSheetId="7">#REF!</definedName>
    <definedName name="중기" localSheetId="47">#REF!</definedName>
    <definedName name="중기" localSheetId="1">#REF!</definedName>
    <definedName name="중기">#REF!</definedName>
    <definedName name="집계SHEET" localSheetId="7">[152]당초!#REF!</definedName>
    <definedName name="집계SHEET" localSheetId="47">[152]당초!#REF!</definedName>
    <definedName name="집계SHEET" localSheetId="1">[152]당초!#REF!</definedName>
    <definedName name="집계SHEET">[152]당초!#REF!</definedName>
    <definedName name="철구사업본부" localSheetId="7">#REF!</definedName>
    <definedName name="철구사업본부" localSheetId="47">#REF!</definedName>
    <definedName name="철구사업본부" localSheetId="1">#REF!</definedName>
    <definedName name="철구사업본부">#REF!</definedName>
    <definedName name="총괄표3"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4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localSheetId="1"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추" localSheetId="7" hidden="1">{"'Sheet1'!$L$16"}</definedName>
    <definedName name="추" localSheetId="47" hidden="1">{"'Sheet1'!$L$16"}</definedName>
    <definedName name="추" localSheetId="1" hidden="1">{"'Sheet1'!$L$16"}</definedName>
    <definedName name="추" hidden="1">{"'Sheet1'!$L$16"}</definedName>
    <definedName name="추가분" localSheetId="7" hidden="1">{"'장비'!$A$3:$M$12"}</definedName>
    <definedName name="추가분" localSheetId="47" hidden="1">{"'장비'!$A$3:$M$12"}</definedName>
    <definedName name="추가분" localSheetId="1" hidden="1">{"'장비'!$A$3:$M$12"}</definedName>
    <definedName name="추가분" hidden="1">{"'장비'!$A$3:$M$12"}</definedName>
    <definedName name="토목" localSheetId="7">#REF!</definedName>
    <definedName name="토목" localSheetId="47">#REF!</definedName>
    <definedName name="토목" localSheetId="1">#REF!</definedName>
    <definedName name="토목">#REF!</definedName>
    <definedName name="토목변경" localSheetId="7" hidden="1">{"'장비'!$A$3:$M$12"}</definedName>
    <definedName name="토목변경" localSheetId="47" hidden="1">{"'장비'!$A$3:$M$12"}</definedName>
    <definedName name="토목변경" localSheetId="1" hidden="1">{"'장비'!$A$3:$M$12"}</definedName>
    <definedName name="토목변경" hidden="1">{"'장비'!$A$3:$M$12"}</definedName>
    <definedName name="토목실행예산" localSheetId="7" hidden="1">{"'장비'!$A$3:$M$12"}</definedName>
    <definedName name="토목실행예산" localSheetId="47" hidden="1">{"'장비'!$A$3:$M$12"}</definedName>
    <definedName name="토목실행예산" localSheetId="1" hidden="1">{"'장비'!$A$3:$M$12"}</definedName>
    <definedName name="토목실행예산" hidden="1">{"'장비'!$A$3:$M$12"}</definedName>
    <definedName name="토목조정분" localSheetId="7" hidden="1">{"'장비'!$A$3:$M$12"}</definedName>
    <definedName name="토목조정분" localSheetId="47" hidden="1">{"'장비'!$A$3:$M$12"}</definedName>
    <definedName name="토목조정분" localSheetId="1" hidden="1">{"'장비'!$A$3:$M$12"}</definedName>
    <definedName name="토목조정분" hidden="1">{"'장비'!$A$3:$M$12"}</definedName>
    <definedName name="ㅎㅎㄹ" localSheetId="7" hidden="1">{"'장비'!$A$3:$M$12"}</definedName>
    <definedName name="ㅎㅎㄹ" localSheetId="47" hidden="1">{"'장비'!$A$3:$M$12"}</definedName>
    <definedName name="ㅎㅎㄹ" localSheetId="1" hidden="1">{"'장비'!$A$3:$M$12"}</definedName>
    <definedName name="ㅎㅎㄹ" hidden="1">{"'장비'!$A$3:$M$12"}</definedName>
    <definedName name="ㅎㅎㅎ" localSheetId="7" hidden="1">#REF!</definedName>
    <definedName name="ㅎㅎㅎ" localSheetId="47" hidden="1">#REF!</definedName>
    <definedName name="ㅎㅎㅎ" localSheetId="1" hidden="1">#REF!</definedName>
    <definedName name="ㅎㅎㅎ" hidden="1">#REF!</definedName>
    <definedName name="할" localSheetId="7" hidden="1">{"'Sheet1'!$L$16"}</definedName>
    <definedName name="할" localSheetId="47" hidden="1">{"'Sheet1'!$L$16"}</definedName>
    <definedName name="할" localSheetId="1" hidden="1">{"'Sheet1'!$L$16"}</definedName>
    <definedName name="할" hidden="1">{"'Sheet1'!$L$16"}</definedName>
    <definedName name="합계표" localSheetId="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47"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localSheetId="1"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항" localSheetId="7" hidden="1">{"'Sheet1'!$L$16"}</definedName>
    <definedName name="항" localSheetId="47" hidden="1">{"'Sheet1'!$L$16"}</definedName>
    <definedName name="항" localSheetId="1" hidden="1">{"'Sheet1'!$L$16"}</definedName>
    <definedName name="항" hidden="1">{"'Sheet1'!$L$16"}</definedName>
    <definedName name="현장" localSheetId="7" hidden="1">#REF!</definedName>
    <definedName name="현장" localSheetId="47" hidden="1">#REF!</definedName>
    <definedName name="현장" localSheetId="1" hidden="1">#REF!</definedName>
    <definedName name="현장" hidden="1">#REF!</definedName>
    <definedName name="현장관리비">#N/A</definedName>
    <definedName name="ㅑㅅ" localSheetId="7" hidden="1">{"'Sheet1'!$L$16"}</definedName>
    <definedName name="ㅑㅅ" localSheetId="47" hidden="1">{"'Sheet1'!$L$16"}</definedName>
    <definedName name="ㅑㅅ" localSheetId="1" hidden="1">{"'Sheet1'!$L$16"}</definedName>
    <definedName name="ㅑㅅ" hidden="1">{"'Sheet1'!$L$16"}</definedName>
    <definedName name="ㅗ감" localSheetId="7">#REF!</definedName>
    <definedName name="ㅗ감" localSheetId="47">#REF!</definedName>
    <definedName name="ㅗ감" localSheetId="1">#REF!</definedName>
    <definedName name="ㅗ감">#REF!</definedName>
    <definedName name="ㅗ로비ㅕㄱ" localSheetId="7">#REF!</definedName>
    <definedName name="ㅗ로비ㅕㄱ" localSheetId="47">#REF!</definedName>
    <definedName name="ㅗ로비ㅕㄱ" localSheetId="1">#REF!</definedName>
    <definedName name="ㅗ로비ㅕㄱ">#REF!</definedName>
    <definedName name="ㅘ" localSheetId="7" hidden="1">{"'Sheet1'!$L$16"}</definedName>
    <definedName name="ㅘ" localSheetId="47" hidden="1">{"'Sheet1'!$L$16"}</definedName>
    <definedName name="ㅘ" localSheetId="1" hidden="1">{"'Sheet1'!$L$16"}</definedName>
    <definedName name="ㅘ" hidden="1">{"'Sheet1'!$L$16"}</definedName>
    <definedName name="中操ｹｰﾌﾞﾙ処理室" localSheetId="7">#REF!</definedName>
    <definedName name="中操ｹｰﾌﾞﾙ処理室" localSheetId="47">#REF!</definedName>
    <definedName name="中操ｹｰﾌﾞﾙ処理室" localSheetId="1">#REF!</definedName>
    <definedName name="中操ｹｰﾌﾞﾙ処理室">#REF!</definedName>
    <definedName name="合計" localSheetId="7">#REF!</definedName>
    <definedName name="合計" localSheetId="47">#REF!</definedName>
    <definedName name="合計" localSheetId="1">#REF!</definedName>
    <definedName name="合計">#REF!</definedName>
    <definedName name="小計" localSheetId="7">#REF!</definedName>
    <definedName name="小計" localSheetId="47">#REF!</definedName>
    <definedName name="小計" localSheetId="1">#REF!</definedName>
    <definedName name="小計">#REF!</definedName>
    <definedName name="材料費" localSheetId="7">#REF!</definedName>
    <definedName name="材料費" localSheetId="47">#REF!</definedName>
    <definedName name="材料費" localSheetId="1">#REF!</definedName>
    <definedName name="材料費">#REF!</definedName>
    <definedName name="直接経費" localSheetId="7">#REF!</definedName>
    <definedName name="直接経費" localSheetId="47">#REF!</definedName>
    <definedName name="直接経費" localSheetId="1">#REF!</definedName>
    <definedName name="直接経費">#REF!</definedName>
    <definedName name="間接費" localSheetId="7">#REF!</definedName>
    <definedName name="間接費" localSheetId="47">#REF!</definedName>
    <definedName name="間接費" localSheetId="1">#REF!</definedName>
    <definedName name="間接費">#REF!</definedName>
  </definedNames>
  <calcPr calcId="152511"/>
</workbook>
</file>

<file path=xl/calcChain.xml><?xml version="1.0" encoding="utf-8"?>
<calcChain xmlns="http://schemas.openxmlformats.org/spreadsheetml/2006/main">
  <c r="J177" i="45" l="1"/>
  <c r="D156" i="62" l="1"/>
  <c r="E156" i="62"/>
  <c r="F156" i="62"/>
  <c r="G156" i="62"/>
  <c r="H156" i="62"/>
  <c r="I156" i="62"/>
  <c r="C156" i="62"/>
  <c r="D128" i="35"/>
  <c r="E92" i="4" l="1"/>
  <c r="C191" i="4"/>
  <c r="G135" i="2"/>
  <c r="F135" i="2"/>
  <c r="E135" i="2"/>
  <c r="D135" i="2"/>
  <c r="D136" i="2"/>
  <c r="H134" i="2"/>
  <c r="G134" i="2"/>
  <c r="F134" i="2"/>
  <c r="E134" i="2"/>
  <c r="D134" i="2"/>
  <c r="D129" i="2"/>
  <c r="R15" i="2"/>
  <c r="R17" i="2"/>
  <c r="R16" i="2"/>
  <c r="R111" i="2"/>
  <c r="R110" i="2"/>
  <c r="R95" i="2"/>
  <c r="R88" i="2"/>
  <c r="R77" i="2"/>
  <c r="R67" i="2"/>
  <c r="R66" i="2"/>
  <c r="R65" i="2"/>
  <c r="R42" i="2"/>
  <c r="R41" i="2"/>
  <c r="R18" i="2"/>
  <c r="G13" i="62" l="1"/>
  <c r="G14" i="62"/>
  <c r="G15" i="62"/>
  <c r="G16" i="62"/>
  <c r="G17" i="62"/>
  <c r="G18" i="62"/>
  <c r="G19" i="62"/>
  <c r="G20" i="62"/>
  <c r="G21" i="62"/>
  <c r="G22"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140" i="62"/>
  <c r="G141" i="62"/>
  <c r="G142" i="62"/>
  <c r="G143" i="62"/>
  <c r="G144" i="62"/>
  <c r="G145" i="62"/>
  <c r="G146" i="62"/>
  <c r="G147" i="62"/>
  <c r="G148" i="62"/>
  <c r="G149" i="62"/>
  <c r="G12" i="62"/>
  <c r="F13" i="62"/>
  <c r="F14" i="62"/>
  <c r="F15" i="62"/>
  <c r="F16" i="62"/>
  <c r="F17" i="62"/>
  <c r="F18" i="62"/>
  <c r="F19" i="62"/>
  <c r="F20" i="62"/>
  <c r="F21" i="62"/>
  <c r="F22" i="62"/>
  <c r="F23" i="62"/>
  <c r="F24" i="62"/>
  <c r="F25" i="62"/>
  <c r="F26" i="62"/>
  <c r="F27" i="62"/>
  <c r="F28" i="62"/>
  <c r="F29" i="62"/>
  <c r="F30" i="62"/>
  <c r="F31" i="62"/>
  <c r="F32" i="62"/>
  <c r="F33" i="62"/>
  <c r="F34" i="62"/>
  <c r="F35" i="62"/>
  <c r="F36" i="62"/>
  <c r="F37" i="62"/>
  <c r="F38" i="62"/>
  <c r="F39" i="62"/>
  <c r="F40" i="62"/>
  <c r="F41" i="62"/>
  <c r="F42" i="62"/>
  <c r="F43" i="62"/>
  <c r="F44" i="62"/>
  <c r="F45" i="62"/>
  <c r="F46" i="62"/>
  <c r="F47" i="62"/>
  <c r="F48" i="62"/>
  <c r="F49" i="62"/>
  <c r="F50" i="62"/>
  <c r="F51" i="62"/>
  <c r="F52" i="62"/>
  <c r="F53" i="62"/>
  <c r="F54" i="62"/>
  <c r="F55" i="62"/>
  <c r="F56" i="62"/>
  <c r="F57" i="62"/>
  <c r="F58" i="62"/>
  <c r="F59" i="62"/>
  <c r="F60" i="62"/>
  <c r="F61" i="62"/>
  <c r="F62" i="62"/>
  <c r="F63" i="62"/>
  <c r="F64" i="62"/>
  <c r="F65" i="62"/>
  <c r="F66" i="62"/>
  <c r="F67" i="62"/>
  <c r="F68" i="62"/>
  <c r="F69" i="62"/>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F145" i="62"/>
  <c r="F146" i="62"/>
  <c r="F147" i="62"/>
  <c r="F148" i="62"/>
  <c r="F149" i="62"/>
  <c r="F12" i="62"/>
  <c r="U41" i="54" l="1"/>
  <c r="E150" i="62" l="1"/>
  <c r="I6" i="61" l="1"/>
  <c r="I5" i="61"/>
  <c r="M35" i="59" l="1"/>
  <c r="T41" i="59" l="1"/>
  <c r="T42" i="59" s="1"/>
  <c r="T43" i="59" s="1"/>
  <c r="T44" i="59" s="1"/>
  <c r="T45" i="59" s="1"/>
  <c r="T46" i="59" s="1"/>
  <c r="T47" i="59" s="1"/>
  <c r="T48" i="59" s="1"/>
  <c r="T49" i="59" s="1"/>
  <c r="T50" i="59" s="1"/>
  <c r="T51" i="59" s="1"/>
  <c r="T52" i="59" s="1"/>
  <c r="T53" i="59" s="1"/>
  <c r="T54" i="59" s="1"/>
  <c r="T55" i="59" s="1"/>
  <c r="T56" i="59" s="1"/>
  <c r="T57" i="59" s="1"/>
  <c r="T58" i="59" s="1"/>
  <c r="A13" i="59" l="1"/>
  <c r="A14" i="59" s="1"/>
  <c r="A15" i="59" s="1"/>
  <c r="A16" i="59" s="1"/>
  <c r="A17" i="59" s="1"/>
  <c r="A18" i="59" s="1"/>
  <c r="A19" i="59" s="1"/>
  <c r="A20" i="59" s="1"/>
  <c r="A21" i="59" s="1"/>
  <c r="A22" i="59" s="1"/>
  <c r="A23" i="59" s="1"/>
  <c r="A24" i="59" s="1"/>
  <c r="A25" i="59" s="1"/>
  <c r="A26" i="59" s="1"/>
  <c r="A27" i="59" s="1"/>
  <c r="A28" i="59" s="1"/>
  <c r="A29" i="59" s="1"/>
  <c r="A30" i="59" s="1"/>
  <c r="H190" i="7"/>
  <c r="H103" i="7"/>
  <c r="F13" i="56" l="1"/>
  <c r="K8" i="28" l="1"/>
  <c r="K9" i="28" s="1"/>
  <c r="K10" i="28" s="1"/>
  <c r="K11" i="28" s="1"/>
  <c r="K12" i="28" s="1"/>
  <c r="K13" i="28" s="1"/>
  <c r="K14" i="28" s="1"/>
  <c r="K15" i="28" s="1"/>
  <c r="K16" i="28" s="1"/>
  <c r="K17" i="28" s="1"/>
  <c r="K18" i="28" s="1"/>
  <c r="K19" i="28" s="1"/>
  <c r="K20" i="28" s="1"/>
  <c r="K21" i="28" s="1"/>
  <c r="K22" i="28" s="1"/>
  <c r="K23" i="28" s="1"/>
  <c r="K24" i="28" s="1"/>
  <c r="K25" i="28" s="1"/>
  <c r="K26" i="28" s="1"/>
  <c r="K27" i="28" s="1"/>
  <c r="K28" i="28" s="1"/>
  <c r="K29" i="28" s="1"/>
  <c r="K30" i="28" s="1"/>
  <c r="K31" i="28" s="1"/>
  <c r="K32" i="28" s="1"/>
  <c r="K33" i="28" s="1"/>
  <c r="K34" i="28" s="1"/>
  <c r="K35" i="28" s="1"/>
  <c r="K36" i="28" s="1"/>
  <c r="K37" i="28" s="1"/>
  <c r="K38" i="28" s="1"/>
  <c r="K39" i="28" s="1"/>
  <c r="K40" i="28" s="1"/>
  <c r="K41" i="28" s="1"/>
  <c r="K42" i="28" s="1"/>
  <c r="K43" i="28" s="1"/>
  <c r="K44" i="28" s="1"/>
  <c r="K45" i="28" s="1"/>
  <c r="K46" i="28" s="1"/>
  <c r="K47" i="28" s="1"/>
  <c r="K48" i="28" s="1"/>
  <c r="K49" i="28" s="1"/>
  <c r="K50" i="28" s="1"/>
  <c r="K51" i="28" s="1"/>
  <c r="K52" i="28" s="1"/>
  <c r="K53" i="28" s="1"/>
  <c r="K54" i="28" s="1"/>
  <c r="K55" i="28" s="1"/>
  <c r="K56" i="28" s="1"/>
  <c r="K57" i="28" s="1"/>
  <c r="K58" i="28" s="1"/>
  <c r="K59" i="28" s="1"/>
  <c r="K60" i="28" s="1"/>
  <c r="K61" i="28" s="1"/>
  <c r="K62" i="28" s="1"/>
  <c r="K63" i="28" s="1"/>
  <c r="K64" i="28" s="1"/>
  <c r="K65" i="28" s="1"/>
  <c r="K66" i="28" s="1"/>
  <c r="K67" i="28" s="1"/>
  <c r="K68" i="28" s="1"/>
  <c r="K69" i="28" s="1"/>
  <c r="K70" i="28" s="1"/>
  <c r="K71" i="28" s="1"/>
  <c r="K72" i="28" s="1"/>
  <c r="K73" i="28" s="1"/>
  <c r="K74" i="28" s="1"/>
  <c r="K75" i="28" s="1"/>
  <c r="K76" i="28" s="1"/>
  <c r="K77" i="28" s="1"/>
  <c r="K78" i="28" s="1"/>
  <c r="K79" i="28" s="1"/>
  <c r="K80" i="28" s="1"/>
  <c r="K81" i="28" s="1"/>
  <c r="K82" i="28" s="1"/>
  <c r="K83" i="28" s="1"/>
  <c r="K84" i="28" s="1"/>
  <c r="K85" i="28" s="1"/>
  <c r="K86" i="28" s="1"/>
  <c r="K87" i="28" s="1"/>
  <c r="K88" i="28" s="1"/>
  <c r="K89" i="28" s="1"/>
  <c r="K90" i="28" s="1"/>
  <c r="K91" i="28" s="1"/>
  <c r="K92" i="28" s="1"/>
  <c r="K93" i="28" s="1"/>
  <c r="K94" i="28" s="1"/>
  <c r="K95" i="28" s="1"/>
  <c r="K96" i="28" s="1"/>
  <c r="K97" i="28" s="1"/>
  <c r="K98" i="28" s="1"/>
  <c r="K99" i="28" s="1"/>
  <c r="K100" i="28" s="1"/>
  <c r="K101" i="28" s="1"/>
  <c r="K102" i="28" s="1"/>
  <c r="K103" i="28" s="1"/>
  <c r="K104" i="28" s="1"/>
  <c r="K105" i="28" s="1"/>
  <c r="K106" i="28" s="1"/>
  <c r="K107" i="28" s="1"/>
  <c r="K108" i="28" s="1"/>
  <c r="K109" i="28" s="1"/>
  <c r="K110" i="28" s="1"/>
  <c r="K111" i="28" s="1"/>
  <c r="K7" i="28"/>
  <c r="K6" i="28"/>
  <c r="I36" i="15"/>
  <c r="I37" i="15" s="1"/>
  <c r="I38" i="15" s="1"/>
  <c r="I39" i="15" s="1"/>
  <c r="I40" i="15" s="1"/>
  <c r="I41" i="15" s="1"/>
  <c r="I42" i="15" s="1"/>
  <c r="I43" i="15" s="1"/>
  <c r="I44" i="15" s="1"/>
  <c r="I45" i="15" s="1"/>
  <c r="I46" i="15" s="1"/>
  <c r="I47" i="15" s="1"/>
  <c r="I48" i="15" s="1"/>
  <c r="I49" i="15" s="1"/>
  <c r="I50" i="15" s="1"/>
  <c r="I51" i="15" s="1"/>
  <c r="I52" i="15" s="1"/>
  <c r="I53" i="15" s="1"/>
  <c r="I54" i="15" s="1"/>
  <c r="I55" i="15" s="1"/>
  <c r="I56" i="15" s="1"/>
  <c r="I57" i="15" s="1"/>
  <c r="I58" i="15" s="1"/>
  <c r="I59" i="15" s="1"/>
  <c r="I60" i="15" s="1"/>
  <c r="I61" i="15" s="1"/>
  <c r="I62" i="15" s="1"/>
  <c r="I63" i="15" s="1"/>
  <c r="I64" i="15" s="1"/>
  <c r="I65" i="15" s="1"/>
  <c r="I66" i="15" s="1"/>
  <c r="I67" i="15" s="1"/>
  <c r="I68" i="15" s="1"/>
  <c r="I69" i="15" s="1"/>
  <c r="I70" i="15" s="1"/>
  <c r="I71" i="15" s="1"/>
  <c r="I72" i="15" s="1"/>
  <c r="I73" i="15" s="1"/>
  <c r="I74" i="15" s="1"/>
  <c r="I75" i="15" s="1"/>
  <c r="I76" i="15" s="1"/>
  <c r="I77" i="15" s="1"/>
  <c r="I78" i="15" s="1"/>
  <c r="I79" i="15" s="1"/>
  <c r="I80" i="15" s="1"/>
  <c r="I81" i="15" s="1"/>
  <c r="I82" i="15" s="1"/>
  <c r="I83" i="15" s="1"/>
  <c r="I84" i="15" s="1"/>
  <c r="I85" i="15" s="1"/>
  <c r="I86" i="15" s="1"/>
  <c r="I87" i="15" s="1"/>
  <c r="I88" i="15" s="1"/>
  <c r="I89" i="15" s="1"/>
  <c r="I90" i="15" s="1"/>
  <c r="I91" i="15" s="1"/>
  <c r="I92" i="15" s="1"/>
  <c r="I93" i="15" s="1"/>
  <c r="I94" i="15" s="1"/>
  <c r="I95" i="15" s="1"/>
  <c r="I96" i="15" s="1"/>
  <c r="I97" i="15" s="1"/>
  <c r="I98" i="15" s="1"/>
  <c r="I99" i="15" s="1"/>
  <c r="I100" i="15" s="1"/>
  <c r="I101" i="15" s="1"/>
  <c r="I102" i="15" s="1"/>
  <c r="I103" i="15" s="1"/>
  <c r="I104" i="15" s="1"/>
  <c r="I105" i="15" s="1"/>
  <c r="I106" i="15" s="1"/>
  <c r="I107" i="15" s="1"/>
  <c r="I108" i="15" s="1"/>
  <c r="I109" i="15" s="1"/>
  <c r="I110" i="15" s="1"/>
  <c r="I111" i="15" s="1"/>
  <c r="I112" i="15" s="1"/>
  <c r="I113" i="15" s="1"/>
  <c r="I114" i="15" s="1"/>
  <c r="I115" i="15" s="1"/>
  <c r="I116" i="15" s="1"/>
  <c r="I117" i="15" s="1"/>
  <c r="I118" i="15" s="1"/>
  <c r="I119" i="15" s="1"/>
  <c r="I120" i="15" s="1"/>
  <c r="I121" i="15" s="1"/>
  <c r="I122" i="15" s="1"/>
  <c r="I123" i="15" s="1"/>
  <c r="I124" i="15" s="1"/>
  <c r="I125" i="15" s="1"/>
  <c r="I126" i="15" s="1"/>
  <c r="I127" i="15" s="1"/>
  <c r="I128" i="15" s="1"/>
  <c r="I129" i="15" s="1"/>
  <c r="I130" i="15" s="1"/>
  <c r="I131" i="15" s="1"/>
  <c r="I132" i="15" s="1"/>
  <c r="I133" i="15" s="1"/>
  <c r="I134" i="15" s="1"/>
  <c r="I135" i="15" s="1"/>
  <c r="I136" i="15" s="1"/>
  <c r="I137" i="15" s="1"/>
  <c r="I138" i="15" s="1"/>
  <c r="I139" i="15" s="1"/>
  <c r="I140" i="15" s="1"/>
  <c r="I141" i="15" s="1"/>
  <c r="I142" i="15" s="1"/>
  <c r="I143" i="15" s="1"/>
  <c r="I144" i="15" s="1"/>
  <c r="I145" i="15" s="1"/>
  <c r="I146" i="15" s="1"/>
  <c r="I147" i="15" s="1"/>
  <c r="I148" i="15" s="1"/>
  <c r="I149" i="15" s="1"/>
  <c r="I150" i="15" s="1"/>
  <c r="I151" i="15" s="1"/>
  <c r="I152" i="15" s="1"/>
  <c r="I153" i="15" s="1"/>
  <c r="I154" i="15" s="1"/>
  <c r="I155" i="15" s="1"/>
  <c r="I156" i="15" s="1"/>
  <c r="I157" i="15" s="1"/>
  <c r="I158" i="15" s="1"/>
  <c r="I159" i="15" s="1"/>
  <c r="I160" i="15" s="1"/>
  <c r="I161" i="15" s="1"/>
  <c r="I162" i="15" s="1"/>
  <c r="I163" i="15" s="1"/>
  <c r="I164" i="15" s="1"/>
  <c r="I165" i="15" s="1"/>
  <c r="I166" i="15" s="1"/>
  <c r="I167" i="15" s="1"/>
  <c r="I168" i="15" s="1"/>
  <c r="I169" i="15" s="1"/>
  <c r="I170" i="15" s="1"/>
  <c r="I171" i="15" s="1"/>
  <c r="I172" i="15" s="1"/>
  <c r="I173" i="15" s="1"/>
  <c r="I174" i="15" s="1"/>
  <c r="I175" i="15" s="1"/>
  <c r="I176" i="15" s="1"/>
  <c r="I177" i="15" s="1"/>
  <c r="I178" i="15" s="1"/>
  <c r="I179" i="15" s="1"/>
  <c r="I180" i="15" s="1"/>
  <c r="I181" i="15" s="1"/>
  <c r="I182" i="15" s="1"/>
  <c r="I183" i="15" s="1"/>
  <c r="I184" i="15" s="1"/>
  <c r="I185" i="15" s="1"/>
  <c r="I186" i="15" s="1"/>
  <c r="I187" i="15" s="1"/>
  <c r="I188" i="15" s="1"/>
  <c r="I189" i="15" s="1"/>
  <c r="I190" i="15" s="1"/>
  <c r="I191" i="15" s="1"/>
  <c r="I192" i="15" s="1"/>
  <c r="I193" i="15" s="1"/>
  <c r="I194" i="15" s="1"/>
  <c r="I195" i="15" s="1"/>
  <c r="I196" i="15" s="1"/>
  <c r="I197" i="15" s="1"/>
  <c r="I198" i="15" s="1"/>
  <c r="I199" i="15" s="1"/>
  <c r="I200" i="15" s="1"/>
  <c r="I201" i="15" s="1"/>
  <c r="I202" i="15" s="1"/>
  <c r="I203" i="15" s="1"/>
  <c r="I204" i="15" s="1"/>
  <c r="I205" i="15" s="1"/>
  <c r="I206" i="15" s="1"/>
  <c r="I207" i="15" s="1"/>
  <c r="I208" i="15" s="1"/>
  <c r="I209" i="15" s="1"/>
  <c r="I210" i="15" s="1"/>
  <c r="I211" i="15" s="1"/>
  <c r="I212" i="15" s="1"/>
  <c r="I213" i="15" s="1"/>
  <c r="I214" i="15" s="1"/>
  <c r="I215" i="15" s="1"/>
  <c r="I216" i="15" s="1"/>
  <c r="I217" i="15" s="1"/>
  <c r="I218" i="15" s="1"/>
  <c r="I219" i="15" s="1"/>
  <c r="I220" i="15" s="1"/>
  <c r="I221" i="15" s="1"/>
  <c r="I222" i="15" s="1"/>
  <c r="I223" i="15" s="1"/>
  <c r="I224" i="15" s="1"/>
  <c r="I225" i="15" s="1"/>
  <c r="I226" i="15" s="1"/>
  <c r="I227" i="15" s="1"/>
  <c r="I228" i="15" s="1"/>
  <c r="I229" i="15" s="1"/>
  <c r="I230" i="15" s="1"/>
  <c r="I231" i="15" s="1"/>
  <c r="I232" i="15" s="1"/>
  <c r="I233" i="15" s="1"/>
  <c r="I234" i="15" s="1"/>
  <c r="I235" i="15" s="1"/>
  <c r="I236" i="15" s="1"/>
  <c r="I237" i="15" s="1"/>
  <c r="I238" i="15" s="1"/>
  <c r="I239" i="15" s="1"/>
  <c r="I240" i="15" s="1"/>
  <c r="I241" i="15" s="1"/>
  <c r="I242" i="15" s="1"/>
  <c r="I243" i="15" s="1"/>
  <c r="I244" i="15" s="1"/>
  <c r="I245" i="15" s="1"/>
  <c r="I246" i="15" s="1"/>
  <c r="I247" i="15" s="1"/>
  <c r="I248" i="15" s="1"/>
  <c r="I249" i="15" s="1"/>
  <c r="I250" i="15" s="1"/>
  <c r="I251" i="15" s="1"/>
  <c r="I252" i="15" s="1"/>
  <c r="I253" i="15" s="1"/>
  <c r="I254" i="15" s="1"/>
  <c r="I255" i="15" s="1"/>
  <c r="I256" i="15" s="1"/>
  <c r="I257" i="15" s="1"/>
  <c r="I258" i="15" s="1"/>
  <c r="I259" i="15" s="1"/>
  <c r="I260" i="15" s="1"/>
  <c r="I261" i="15" s="1"/>
  <c r="I262" i="15" s="1"/>
  <c r="I263" i="15" s="1"/>
  <c r="I264" i="15" s="1"/>
  <c r="I265" i="15" s="1"/>
  <c r="I266" i="15" s="1"/>
  <c r="I267" i="15" s="1"/>
  <c r="I268" i="15" s="1"/>
  <c r="I269" i="15" s="1"/>
  <c r="I270" i="15" s="1"/>
  <c r="I271" i="15" s="1"/>
  <c r="I272" i="15" s="1"/>
  <c r="I273" i="15" s="1"/>
  <c r="I274" i="15" s="1"/>
  <c r="I275" i="15" s="1"/>
  <c r="I276" i="15" s="1"/>
  <c r="I277" i="15" s="1"/>
  <c r="I278" i="15" s="1"/>
  <c r="I279" i="15" s="1"/>
  <c r="I280" i="15" s="1"/>
  <c r="I281" i="15" s="1"/>
  <c r="I282" i="15" s="1"/>
  <c r="I283" i="15" s="1"/>
  <c r="I284" i="15" s="1"/>
  <c r="I285" i="15" s="1"/>
  <c r="I286" i="15" s="1"/>
  <c r="I287" i="15" s="1"/>
  <c r="I288" i="15" s="1"/>
  <c r="I289" i="15" s="1"/>
  <c r="I290" i="15" s="1"/>
  <c r="I291" i="15" s="1"/>
  <c r="I292" i="15" s="1"/>
  <c r="I293" i="15" s="1"/>
  <c r="I294" i="15" s="1"/>
  <c r="I295" i="15" s="1"/>
  <c r="I296" i="15" s="1"/>
  <c r="I297" i="15" s="1"/>
  <c r="I298" i="15" s="1"/>
  <c r="I299" i="15" s="1"/>
  <c r="I300" i="15" s="1"/>
  <c r="I301" i="15" s="1"/>
  <c r="I302" i="15" s="1"/>
  <c r="I303" i="15" s="1"/>
  <c r="I304" i="15" s="1"/>
  <c r="I305" i="15" s="1"/>
  <c r="I306" i="15" s="1"/>
  <c r="I307" i="15" s="1"/>
  <c r="I308" i="15" s="1"/>
  <c r="I309" i="15" s="1"/>
  <c r="I310" i="15" s="1"/>
  <c r="I311" i="15" s="1"/>
  <c r="I312" i="15" s="1"/>
  <c r="I313" i="15" s="1"/>
  <c r="I314" i="15" s="1"/>
  <c r="I315" i="15" s="1"/>
  <c r="I316" i="15" s="1"/>
  <c r="I317" i="15" s="1"/>
  <c r="I318" i="15" s="1"/>
  <c r="I319" i="15" s="1"/>
  <c r="I320" i="15" s="1"/>
  <c r="I321" i="15" s="1"/>
  <c r="I322" i="15" s="1"/>
  <c r="I323" i="15" s="1"/>
  <c r="I324" i="15" s="1"/>
  <c r="I325" i="15" s="1"/>
  <c r="I326" i="15" s="1"/>
  <c r="I327" i="15" s="1"/>
  <c r="I328" i="15" s="1"/>
  <c r="I329" i="15" s="1"/>
  <c r="I330" i="15" s="1"/>
  <c r="I331" i="15" s="1"/>
  <c r="I332" i="15" s="1"/>
  <c r="I333" i="15" s="1"/>
  <c r="J278" i="39" l="1"/>
  <c r="J277" i="39"/>
  <c r="J276" i="39"/>
  <c r="H190" i="58" l="1"/>
  <c r="G190" i="58"/>
  <c r="E190" i="58"/>
  <c r="H189" i="58"/>
  <c r="G189" i="58"/>
  <c r="H188" i="58"/>
  <c r="G188" i="58"/>
  <c r="H187" i="58"/>
  <c r="G187" i="58"/>
  <c r="H186" i="58"/>
  <c r="G186" i="58"/>
  <c r="H185" i="58"/>
  <c r="G185" i="58"/>
  <c r="H184" i="58"/>
  <c r="G184" i="58"/>
  <c r="H183" i="58"/>
  <c r="G183" i="58"/>
  <c r="H182" i="58"/>
  <c r="G182" i="58"/>
  <c r="K181" i="58"/>
  <c r="H181" i="58"/>
  <c r="G181" i="58"/>
  <c r="L181" i="58" s="1"/>
  <c r="E181" i="58"/>
  <c r="K180" i="58"/>
  <c r="M180" i="58" s="1"/>
  <c r="H180" i="58"/>
  <c r="G180" i="58"/>
  <c r="L180" i="58" s="1"/>
  <c r="H179" i="58"/>
  <c r="G179" i="58"/>
  <c r="K178" i="58"/>
  <c r="H178" i="58"/>
  <c r="G178" i="58"/>
  <c r="L178" i="58" s="1"/>
  <c r="H177" i="58"/>
  <c r="G177" i="58"/>
  <c r="K176" i="58"/>
  <c r="H176" i="58"/>
  <c r="G176" i="58"/>
  <c r="L176" i="58" s="1"/>
  <c r="H175" i="58"/>
  <c r="G175" i="58"/>
  <c r="H174" i="58"/>
  <c r="G174" i="58"/>
  <c r="H173" i="58"/>
  <c r="G173" i="58"/>
  <c r="K172" i="58"/>
  <c r="H172" i="58"/>
  <c r="G172" i="58"/>
  <c r="L172" i="58" s="1"/>
  <c r="H171" i="58"/>
  <c r="G171" i="58"/>
  <c r="H170" i="58"/>
  <c r="G170" i="58"/>
  <c r="H169" i="58"/>
  <c r="G169" i="58"/>
  <c r="H168" i="58"/>
  <c r="G168" i="58"/>
  <c r="L167" i="58"/>
  <c r="K167" i="58"/>
  <c r="H167" i="58"/>
  <c r="G167" i="58"/>
  <c r="H166" i="58"/>
  <c r="G166" i="58"/>
  <c r="K165" i="58"/>
  <c r="H165" i="58"/>
  <c r="G165" i="58"/>
  <c r="L165" i="58" s="1"/>
  <c r="K164" i="58"/>
  <c r="H164" i="58"/>
  <c r="G164" i="58"/>
  <c r="L164" i="58" s="1"/>
  <c r="K163" i="58"/>
  <c r="H163" i="58"/>
  <c r="G163" i="58"/>
  <c r="L163" i="58" s="1"/>
  <c r="H162" i="58"/>
  <c r="G162" i="58"/>
  <c r="K161" i="58"/>
  <c r="H161" i="58"/>
  <c r="G161" i="58"/>
  <c r="L161" i="58" s="1"/>
  <c r="K160" i="58"/>
  <c r="H160" i="58"/>
  <c r="G160" i="58"/>
  <c r="L160" i="58" s="1"/>
  <c r="M160" i="58" s="1"/>
  <c r="H159" i="58"/>
  <c r="G159" i="58"/>
  <c r="K158" i="58"/>
  <c r="H158" i="58"/>
  <c r="G158" i="58"/>
  <c r="L158" i="58" s="1"/>
  <c r="K157" i="58"/>
  <c r="H157" i="58"/>
  <c r="G157" i="58"/>
  <c r="L157" i="58" s="1"/>
  <c r="M157" i="58" s="1"/>
  <c r="K156" i="58"/>
  <c r="H156" i="58"/>
  <c r="G156" i="58"/>
  <c r="L156" i="58" s="1"/>
  <c r="M156" i="58" s="1"/>
  <c r="H155" i="58"/>
  <c r="G155" i="58"/>
  <c r="H154" i="58"/>
  <c r="G154" i="58"/>
  <c r="H153" i="58"/>
  <c r="G153" i="58"/>
  <c r="H152" i="58"/>
  <c r="G152" i="58"/>
  <c r="K151" i="58"/>
  <c r="H151" i="58"/>
  <c r="G151" i="58"/>
  <c r="L151" i="58" s="1"/>
  <c r="H150" i="58"/>
  <c r="G150" i="58"/>
  <c r="H149" i="58"/>
  <c r="G149" i="58"/>
  <c r="K148" i="58"/>
  <c r="H148" i="58"/>
  <c r="G148" i="58"/>
  <c r="L148" i="58" s="1"/>
  <c r="E148" i="58"/>
  <c r="H147" i="58"/>
  <c r="G147" i="58"/>
  <c r="H146" i="58"/>
  <c r="G146" i="58"/>
  <c r="H145" i="58"/>
  <c r="G145" i="58"/>
  <c r="H144" i="58"/>
  <c r="G144" i="58"/>
  <c r="H143" i="58"/>
  <c r="G143" i="58"/>
  <c r="H142" i="58"/>
  <c r="G142" i="58"/>
  <c r="H141" i="58"/>
  <c r="G141" i="58"/>
  <c r="E141" i="58"/>
  <c r="H140" i="58"/>
  <c r="G140" i="58"/>
  <c r="K139" i="58"/>
  <c r="H139" i="58"/>
  <c r="G139" i="58"/>
  <c r="L139" i="58" s="1"/>
  <c r="K138" i="58"/>
  <c r="H138" i="58"/>
  <c r="G138" i="58"/>
  <c r="L138" i="58" s="1"/>
  <c r="H137" i="58"/>
  <c r="G137" i="58"/>
  <c r="K136" i="58"/>
  <c r="H136" i="58"/>
  <c r="G136" i="58"/>
  <c r="L136" i="58" s="1"/>
  <c r="L135" i="58"/>
  <c r="K135" i="58"/>
  <c r="M135" i="58" s="1"/>
  <c r="H135" i="58"/>
  <c r="G135" i="58"/>
  <c r="H134" i="58"/>
  <c r="G134" i="58"/>
  <c r="H133" i="58"/>
  <c r="G133" i="58"/>
  <c r="H132" i="58"/>
  <c r="G132" i="58"/>
  <c r="K131" i="58"/>
  <c r="H131" i="58"/>
  <c r="G131" i="58"/>
  <c r="L131" i="58" s="1"/>
  <c r="K130" i="58"/>
  <c r="H130" i="58"/>
  <c r="G130" i="58"/>
  <c r="L130" i="58" s="1"/>
  <c r="K129" i="58"/>
  <c r="H129" i="58"/>
  <c r="G129" i="58"/>
  <c r="L129" i="58" s="1"/>
  <c r="H128" i="58"/>
  <c r="G128" i="58"/>
  <c r="H127" i="58"/>
  <c r="G127" i="58"/>
  <c r="H126" i="58"/>
  <c r="G126" i="58"/>
  <c r="K125" i="58"/>
  <c r="H125" i="58"/>
  <c r="G125" i="58"/>
  <c r="L125" i="58" s="1"/>
  <c r="K124" i="58"/>
  <c r="H124" i="58"/>
  <c r="G124" i="58"/>
  <c r="L124" i="58" s="1"/>
  <c r="H123" i="58"/>
  <c r="G123" i="58"/>
  <c r="H122" i="58"/>
  <c r="G122" i="58"/>
  <c r="H121" i="58"/>
  <c r="G121" i="58"/>
  <c r="H120" i="58"/>
  <c r="G120" i="58"/>
  <c r="H119" i="58"/>
  <c r="G119" i="58"/>
  <c r="H118" i="58"/>
  <c r="G118" i="58"/>
  <c r="H117" i="58"/>
  <c r="G117" i="58"/>
  <c r="H116" i="58"/>
  <c r="G116" i="58"/>
  <c r="H115" i="58"/>
  <c r="G115" i="58"/>
  <c r="H114" i="58"/>
  <c r="G114" i="58"/>
  <c r="H113" i="58"/>
  <c r="G113" i="58"/>
  <c r="K112" i="58"/>
  <c r="H112" i="58"/>
  <c r="G112" i="58"/>
  <c r="L112" i="58" s="1"/>
  <c r="M112" i="58" s="1"/>
  <c r="H111" i="58"/>
  <c r="G111" i="58"/>
  <c r="H110" i="58"/>
  <c r="G110" i="58"/>
  <c r="H109" i="58"/>
  <c r="G109" i="58"/>
  <c r="K108" i="58"/>
  <c r="H108" i="58"/>
  <c r="G108" i="58"/>
  <c r="L108" i="58" s="1"/>
  <c r="H107" i="58"/>
  <c r="G107" i="58"/>
  <c r="H106" i="58"/>
  <c r="G106" i="58"/>
  <c r="H105" i="58"/>
  <c r="G105" i="58"/>
  <c r="H104" i="58"/>
  <c r="G104" i="58"/>
  <c r="K103" i="58"/>
  <c r="H103" i="58"/>
  <c r="G103" i="58"/>
  <c r="L103" i="58" s="1"/>
  <c r="H102" i="58"/>
  <c r="G102" i="58"/>
  <c r="K101" i="58"/>
  <c r="H101" i="58"/>
  <c r="G101" i="58"/>
  <c r="L101" i="58" s="1"/>
  <c r="H100" i="58"/>
  <c r="G100" i="58"/>
  <c r="H99" i="58"/>
  <c r="G99" i="58"/>
  <c r="K98" i="58"/>
  <c r="H98" i="58"/>
  <c r="G98" i="58"/>
  <c r="L98" i="58" s="1"/>
  <c r="H97" i="58"/>
  <c r="G97" i="58"/>
  <c r="H96" i="58"/>
  <c r="G96" i="58"/>
  <c r="H95" i="58"/>
  <c r="G95" i="58"/>
  <c r="H94" i="58"/>
  <c r="G94" i="58"/>
  <c r="K93" i="58"/>
  <c r="H93" i="58"/>
  <c r="G93" i="58"/>
  <c r="L93" i="58" s="1"/>
  <c r="H92" i="58"/>
  <c r="G92" i="58"/>
  <c r="H91" i="58"/>
  <c r="G91" i="58"/>
  <c r="K90" i="58"/>
  <c r="H90" i="58"/>
  <c r="G90" i="58"/>
  <c r="L90" i="58" s="1"/>
  <c r="H89" i="58"/>
  <c r="G89" i="58"/>
  <c r="H88" i="58"/>
  <c r="G88" i="58"/>
  <c r="H87" i="58"/>
  <c r="G87" i="58"/>
  <c r="K86" i="58"/>
  <c r="H86" i="58"/>
  <c r="G86" i="58"/>
  <c r="L86" i="58" s="1"/>
  <c r="H85" i="58"/>
  <c r="G85" i="58"/>
  <c r="H84" i="58"/>
  <c r="G84" i="58"/>
  <c r="H83" i="58"/>
  <c r="G83" i="58"/>
  <c r="H82" i="58"/>
  <c r="G82" i="58"/>
  <c r="K81" i="58"/>
  <c r="H81" i="58"/>
  <c r="G81" i="58"/>
  <c r="L81" i="58" s="1"/>
  <c r="H80" i="58"/>
  <c r="G80" i="58"/>
  <c r="H79" i="58"/>
  <c r="G79" i="58"/>
  <c r="H78" i="58"/>
  <c r="G78" i="58"/>
  <c r="K77" i="58"/>
  <c r="H77" i="58"/>
  <c r="G77" i="58"/>
  <c r="L77" i="58" s="1"/>
  <c r="H76" i="58"/>
  <c r="G76" i="58"/>
  <c r="H75" i="58"/>
  <c r="G75" i="58"/>
  <c r="H74" i="58"/>
  <c r="G74" i="58"/>
  <c r="H73" i="58"/>
  <c r="G73" i="58"/>
  <c r="H72" i="58"/>
  <c r="G72" i="58"/>
  <c r="K71" i="58"/>
  <c r="H71" i="58"/>
  <c r="G71" i="58"/>
  <c r="L71" i="58" s="1"/>
  <c r="K70" i="58"/>
  <c r="H70" i="58"/>
  <c r="G70" i="58"/>
  <c r="L70" i="58" s="1"/>
  <c r="K69" i="58"/>
  <c r="H69" i="58"/>
  <c r="G69" i="58"/>
  <c r="L69" i="58" s="1"/>
  <c r="K68" i="58"/>
  <c r="H68" i="58"/>
  <c r="G68" i="58"/>
  <c r="L68" i="58" s="1"/>
  <c r="K67" i="58"/>
  <c r="H67" i="58"/>
  <c r="G67" i="58"/>
  <c r="L67" i="58" s="1"/>
  <c r="H66" i="58"/>
  <c r="G66" i="58"/>
  <c r="H65" i="58"/>
  <c r="G65" i="58"/>
  <c r="H64" i="58"/>
  <c r="G64" i="58"/>
  <c r="H63" i="58"/>
  <c r="G63" i="58"/>
  <c r="H62" i="58"/>
  <c r="G62" i="58"/>
  <c r="K61" i="58"/>
  <c r="H61" i="58"/>
  <c r="G61" i="58"/>
  <c r="L61" i="58" s="1"/>
  <c r="K60" i="58"/>
  <c r="H60" i="58"/>
  <c r="G60" i="58"/>
  <c r="L60" i="58" s="1"/>
  <c r="H59" i="58"/>
  <c r="G59" i="58"/>
  <c r="K58" i="58"/>
  <c r="H58" i="58"/>
  <c r="G58" i="58"/>
  <c r="L58" i="58" s="1"/>
  <c r="H57" i="58"/>
  <c r="G57" i="58"/>
  <c r="K56" i="58"/>
  <c r="H56" i="58"/>
  <c r="G56" i="58"/>
  <c r="L56" i="58" s="1"/>
  <c r="H55" i="58"/>
  <c r="G55" i="58"/>
  <c r="H54" i="58"/>
  <c r="G54" i="58"/>
  <c r="H53" i="58"/>
  <c r="G53" i="58"/>
  <c r="H52" i="58"/>
  <c r="G52" i="58"/>
  <c r="H51" i="58"/>
  <c r="G51" i="58"/>
  <c r="K50" i="58"/>
  <c r="H50" i="58"/>
  <c r="G50" i="58"/>
  <c r="L50" i="58" s="1"/>
  <c r="H49" i="58"/>
  <c r="G49" i="58"/>
  <c r="K48" i="58"/>
  <c r="H48" i="58"/>
  <c r="G48" i="58"/>
  <c r="L48" i="58" s="1"/>
  <c r="H47" i="58"/>
  <c r="G47" i="58"/>
  <c r="K46" i="58"/>
  <c r="H46" i="58"/>
  <c r="G46" i="58"/>
  <c r="L46" i="58" s="1"/>
  <c r="H45" i="58"/>
  <c r="G45" i="58"/>
  <c r="K44" i="58"/>
  <c r="H44" i="58"/>
  <c r="G44" i="58"/>
  <c r="L44" i="58" s="1"/>
  <c r="H43" i="58"/>
  <c r="G43" i="58"/>
  <c r="H42" i="58"/>
  <c r="G42" i="58"/>
  <c r="H41" i="58"/>
  <c r="G41" i="58"/>
  <c r="H40" i="58"/>
  <c r="G40" i="58"/>
  <c r="H39" i="58"/>
  <c r="G39" i="58"/>
  <c r="H38" i="58"/>
  <c r="G38" i="58"/>
  <c r="H37" i="58"/>
  <c r="G37" i="58"/>
  <c r="H36" i="58"/>
  <c r="G36" i="58"/>
  <c r="H35" i="58"/>
  <c r="G35" i="58"/>
  <c r="H34" i="58"/>
  <c r="G34" i="58"/>
  <c r="H33" i="58"/>
  <c r="G33" i="58"/>
  <c r="H32" i="58"/>
  <c r="G32" i="58"/>
  <c r="H31" i="58"/>
  <c r="G31" i="58"/>
  <c r="H30" i="58"/>
  <c r="G30" i="58"/>
  <c r="H29" i="58"/>
  <c r="G29" i="58"/>
  <c r="H28" i="58"/>
  <c r="G28" i="58"/>
  <c r="H27" i="58"/>
  <c r="G27" i="58"/>
  <c r="K26" i="58"/>
  <c r="H26" i="58"/>
  <c r="G26" i="58"/>
  <c r="L26" i="58" s="1"/>
  <c r="H25" i="58"/>
  <c r="G25" i="58"/>
  <c r="H24" i="58"/>
  <c r="G24" i="58"/>
  <c r="K23" i="58"/>
  <c r="H23" i="58"/>
  <c r="G23" i="58"/>
  <c r="L23" i="58" s="1"/>
  <c r="H22" i="58"/>
  <c r="G22" i="58"/>
  <c r="H21" i="58"/>
  <c r="G21" i="58"/>
  <c r="H20" i="58"/>
  <c r="G20" i="58"/>
  <c r="K19" i="58"/>
  <c r="H19" i="58"/>
  <c r="G19" i="58"/>
  <c r="L19" i="58" s="1"/>
  <c r="H18" i="58"/>
  <c r="G18" i="58"/>
  <c r="H17" i="58"/>
  <c r="G17" i="58"/>
  <c r="H16" i="58"/>
  <c r="G16" i="58"/>
  <c r="K15" i="58"/>
  <c r="H15" i="58"/>
  <c r="G15" i="58"/>
  <c r="L15" i="58" s="1"/>
  <c r="K14" i="58"/>
  <c r="H14" i="58"/>
  <c r="G14" i="58"/>
  <c r="L14" i="58" s="1"/>
  <c r="H13" i="58"/>
  <c r="G13" i="58"/>
  <c r="A13" i="58"/>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A86" i="58" s="1"/>
  <c r="A87" i="58" s="1"/>
  <c r="A88" i="58" s="1"/>
  <c r="A89" i="58" s="1"/>
  <c r="A90" i="58" s="1"/>
  <c r="A91" i="58" s="1"/>
  <c r="A92" i="58" s="1"/>
  <c r="A93" i="58" s="1"/>
  <c r="A94" i="58" s="1"/>
  <c r="A95" i="58" s="1"/>
  <c r="A96" i="58" s="1"/>
  <c r="A97" i="58" s="1"/>
  <c r="A98" i="58" s="1"/>
  <c r="A99" i="58" s="1"/>
  <c r="A100" i="58" s="1"/>
  <c r="A101" i="58" s="1"/>
  <c r="A102" i="58" s="1"/>
  <c r="A103" i="58" s="1"/>
  <c r="A104" i="58" s="1"/>
  <c r="A105" i="58" s="1"/>
  <c r="A106" i="58" s="1"/>
  <c r="A107" i="58" s="1"/>
  <c r="A108" i="58" s="1"/>
  <c r="A109" i="58" s="1"/>
  <c r="A110" i="58" s="1"/>
  <c r="A111" i="58" s="1"/>
  <c r="A112" i="58" s="1"/>
  <c r="A113" i="58" s="1"/>
  <c r="A114" i="58" s="1"/>
  <c r="A115" i="58" s="1"/>
  <c r="A116" i="58" s="1"/>
  <c r="A117" i="58" s="1"/>
  <c r="A118" i="58" s="1"/>
  <c r="A119" i="58" s="1"/>
  <c r="A120" i="58" s="1"/>
  <c r="A121" i="58" s="1"/>
  <c r="A122" i="58" s="1"/>
  <c r="A123" i="58" s="1"/>
  <c r="A124" i="58" s="1"/>
  <c r="A125" i="58" s="1"/>
  <c r="A126" i="58" s="1"/>
  <c r="A127" i="58" s="1"/>
  <c r="A128" i="58" s="1"/>
  <c r="A129" i="58" s="1"/>
  <c r="A130" i="58" s="1"/>
  <c r="A131" i="58" s="1"/>
  <c r="A132" i="58" s="1"/>
  <c r="A133" i="58" s="1"/>
  <c r="A134" i="58" s="1"/>
  <c r="A135" i="58" s="1"/>
  <c r="A136" i="58" s="1"/>
  <c r="A137" i="58" s="1"/>
  <c r="A138" i="58" s="1"/>
  <c r="A139" i="58" s="1"/>
  <c r="A140" i="58" s="1"/>
  <c r="A141" i="58" s="1"/>
  <c r="A142" i="58" s="1"/>
  <c r="A143" i="58" s="1"/>
  <c r="A144" i="58" s="1"/>
  <c r="A145" i="58" s="1"/>
  <c r="A146" i="58" s="1"/>
  <c r="A147" i="58" s="1"/>
  <c r="A148" i="58" s="1"/>
  <c r="A149" i="58" s="1"/>
  <c r="A150" i="58" s="1"/>
  <c r="A151" i="58" s="1"/>
  <c r="A152" i="58" s="1"/>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H12" i="58"/>
  <c r="G12" i="58"/>
  <c r="M56" i="58" l="1"/>
  <c r="M131" i="58"/>
  <c r="M77" i="58"/>
  <c r="M98" i="58"/>
  <c r="M44" i="58"/>
  <c r="M93" i="58"/>
  <c r="M124" i="58"/>
  <c r="M67" i="58"/>
  <c r="M71" i="58"/>
  <c r="M103" i="58"/>
  <c r="M151" i="58"/>
  <c r="M48" i="58"/>
  <c r="M130" i="58"/>
  <c r="M165" i="58"/>
  <c r="M15" i="58"/>
  <c r="M61" i="58"/>
  <c r="M58" i="58"/>
  <c r="M69" i="58"/>
  <c r="M81" i="58"/>
  <c r="M167" i="58"/>
  <c r="M50" i="58"/>
  <c r="M108" i="58"/>
  <c r="M46" i="58"/>
  <c r="M26" i="58"/>
  <c r="M70" i="58"/>
  <c r="M125" i="58"/>
  <c r="M14" i="58"/>
  <c r="M101" i="58"/>
  <c r="M138" i="58"/>
  <c r="M148" i="58"/>
  <c r="M178" i="58"/>
  <c r="M163" i="58"/>
  <c r="M181" i="58"/>
  <c r="M19" i="58"/>
  <c r="M86" i="58"/>
  <c r="M172" i="58"/>
  <c r="M68" i="58"/>
  <c r="M90" i="58"/>
  <c r="M136" i="58"/>
  <c r="M139" i="58"/>
  <c r="M176" i="58"/>
  <c r="M23" i="58"/>
  <c r="M60" i="58"/>
  <c r="M129" i="58"/>
  <c r="M158" i="58"/>
  <c r="M161" i="58"/>
  <c r="M164" i="58"/>
  <c r="I238" i="17" l="1"/>
  <c r="F157" i="55" l="1"/>
  <c r="G157" i="55"/>
  <c r="H157" i="55"/>
  <c r="I157" i="55"/>
  <c r="J157" i="55"/>
  <c r="E157" i="55"/>
  <c r="E67" i="54" l="1"/>
  <c r="F67" i="54"/>
  <c r="G67" i="54"/>
  <c r="H67" i="54"/>
  <c r="I67" i="54"/>
  <c r="J67" i="54"/>
  <c r="K67" i="54"/>
  <c r="D67" i="54"/>
  <c r="N26" i="57" l="1"/>
  <c r="T23" i="56" l="1"/>
  <c r="H208" i="52" l="1"/>
  <c r="I208" i="52"/>
  <c r="J208" i="52"/>
  <c r="K208" i="52"/>
  <c r="L208" i="52"/>
  <c r="M208" i="52"/>
  <c r="N208" i="52"/>
  <c r="G208" i="52"/>
  <c r="P213" i="7" l="1"/>
  <c r="S212" i="7" l="1"/>
  <c r="S208" i="7"/>
  <c r="T21" i="57" l="1"/>
  <c r="E209" i="51"/>
  <c r="F209" i="51"/>
  <c r="G209" i="51"/>
  <c r="H209" i="51"/>
  <c r="I209" i="51"/>
  <c r="J209" i="51"/>
  <c r="K209" i="51"/>
  <c r="D209" i="51"/>
  <c r="L209" i="51" l="1"/>
  <c r="U64" i="54"/>
  <c r="P14" i="56" l="1"/>
  <c r="M14" i="56"/>
  <c r="U55" i="54" l="1"/>
  <c r="U51" i="54"/>
  <c r="U21" i="56"/>
  <c r="U19" i="56"/>
  <c r="G13" i="57" l="1"/>
  <c r="G14" i="57"/>
  <c r="G12" i="57"/>
  <c r="A13" i="57"/>
  <c r="U58" i="54" l="1"/>
  <c r="F22" i="56"/>
  <c r="Q60" i="54" l="1"/>
  <c r="L14" i="54"/>
  <c r="L17" i="54"/>
  <c r="L19" i="54"/>
  <c r="L20" i="54"/>
  <c r="L24" i="54"/>
  <c r="L26" i="54"/>
  <c r="L27" i="54"/>
  <c r="L32" i="54"/>
  <c r="L33" i="54"/>
  <c r="L36" i="54"/>
  <c r="L38" i="54"/>
  <c r="L45" i="54"/>
  <c r="L48" i="54"/>
  <c r="L1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14" i="54"/>
  <c r="I15" i="54"/>
  <c r="I16" i="54"/>
  <c r="I17" i="54"/>
  <c r="I18" i="54"/>
  <c r="I19" i="54"/>
  <c r="I20" i="54"/>
  <c r="I21" i="54"/>
  <c r="I22" i="54"/>
  <c r="I23" i="54"/>
  <c r="I24" i="54"/>
  <c r="I25" i="54"/>
  <c r="I26" i="54"/>
  <c r="I27" i="54"/>
  <c r="I28" i="54"/>
  <c r="I29" i="54"/>
  <c r="I30" i="54"/>
  <c r="I31" i="54"/>
  <c r="I32" i="54"/>
  <c r="I33" i="54"/>
  <c r="I13" i="54"/>
  <c r="H14" i="54"/>
  <c r="M14" i="54" s="1"/>
  <c r="H15" i="54"/>
  <c r="H16" i="54"/>
  <c r="H17" i="54"/>
  <c r="M17" i="54" s="1"/>
  <c r="H18" i="54"/>
  <c r="H19" i="54"/>
  <c r="M19" i="54" s="1"/>
  <c r="H20" i="54"/>
  <c r="M20" i="54" s="1"/>
  <c r="H21" i="54"/>
  <c r="H22" i="54"/>
  <c r="H23" i="54"/>
  <c r="H24" i="54"/>
  <c r="M24" i="54" s="1"/>
  <c r="H25" i="54"/>
  <c r="H26" i="54"/>
  <c r="M26" i="54" s="1"/>
  <c r="H27" i="54"/>
  <c r="M27" i="54" s="1"/>
  <c r="H28" i="54"/>
  <c r="H29" i="54"/>
  <c r="H30" i="54"/>
  <c r="H31" i="54"/>
  <c r="H32" i="54"/>
  <c r="M32" i="54" s="1"/>
  <c r="H33" i="54"/>
  <c r="M33" i="54" s="1"/>
  <c r="N33" i="54" s="1"/>
  <c r="H34" i="54"/>
  <c r="H35" i="54"/>
  <c r="H36" i="54"/>
  <c r="M36" i="54" s="1"/>
  <c r="H37" i="54"/>
  <c r="H38" i="54"/>
  <c r="M38" i="54" s="1"/>
  <c r="H39" i="54"/>
  <c r="H40" i="54"/>
  <c r="H41" i="54"/>
  <c r="H42" i="54"/>
  <c r="H43" i="54"/>
  <c r="H44" i="54"/>
  <c r="H45" i="54"/>
  <c r="M45" i="54" s="1"/>
  <c r="H46" i="54"/>
  <c r="H47" i="54"/>
  <c r="H48" i="54"/>
  <c r="M48" i="54" s="1"/>
  <c r="H49" i="54"/>
  <c r="H50" i="54"/>
  <c r="H51" i="54"/>
  <c r="H52" i="54"/>
  <c r="H53" i="54"/>
  <c r="H54" i="54"/>
  <c r="H55" i="54"/>
  <c r="H56" i="54"/>
  <c r="H57" i="54"/>
  <c r="H58" i="54"/>
  <c r="H59" i="54"/>
  <c r="H13" i="54"/>
  <c r="M13" i="54" s="1"/>
  <c r="N48" i="54" l="1"/>
  <c r="N24" i="54"/>
  <c r="N27" i="54"/>
  <c r="N36" i="54"/>
  <c r="N14" i="54"/>
  <c r="N13" i="54"/>
  <c r="N26" i="54"/>
  <c r="N17" i="54"/>
  <c r="N45" i="54"/>
  <c r="N20" i="54"/>
  <c r="N38" i="54"/>
  <c r="N19" i="54"/>
  <c r="N32" i="54"/>
  <c r="G60" i="54"/>
  <c r="A20" i="56"/>
  <c r="A21" i="56" s="1"/>
  <c r="L134" i="55" l="1"/>
  <c r="L131" i="55"/>
  <c r="L126" i="55"/>
  <c r="L124" i="55"/>
  <c r="L122" i="55"/>
  <c r="L116" i="55"/>
  <c r="L115" i="55"/>
  <c r="L106" i="55"/>
  <c r="L100" i="55"/>
  <c r="L95" i="55"/>
  <c r="L94" i="55"/>
  <c r="L92" i="55"/>
  <c r="L88" i="55"/>
  <c r="L81" i="55"/>
  <c r="L76" i="55"/>
  <c r="L64" i="55"/>
  <c r="L62" i="55"/>
  <c r="L59" i="55"/>
  <c r="L56" i="55"/>
  <c r="L53" i="55"/>
  <c r="L50" i="55"/>
  <c r="L49" i="55"/>
  <c r="L41" i="55"/>
  <c r="L37" i="55"/>
  <c r="L33" i="55"/>
  <c r="L31" i="55"/>
  <c r="L30" i="55"/>
  <c r="L29" i="55"/>
  <c r="L27" i="55"/>
  <c r="L26" i="55"/>
  <c r="L24" i="55"/>
  <c r="L22" i="55"/>
  <c r="A16" i="56" l="1"/>
  <c r="A17" i="56" s="1"/>
  <c r="A18" i="56" s="1"/>
  <c r="A19" i="56" s="1"/>
  <c r="A14" i="56"/>
  <c r="A15" i="56"/>
  <c r="A13" i="56"/>
  <c r="G154" i="55" l="1"/>
  <c r="I139" i="55"/>
  <c r="I140" i="55"/>
  <c r="I141" i="55"/>
  <c r="I142" i="55"/>
  <c r="I143" i="55"/>
  <c r="I144" i="55"/>
  <c r="I145" i="55"/>
  <c r="I146" i="55"/>
  <c r="I147" i="55"/>
  <c r="I148" i="55"/>
  <c r="I149" i="55"/>
  <c r="I150" i="55"/>
  <c r="I151" i="55"/>
  <c r="I152" i="55"/>
  <c r="I153" i="55"/>
  <c r="H139" i="55"/>
  <c r="H140" i="55"/>
  <c r="H141" i="55"/>
  <c r="H142" i="55"/>
  <c r="H143" i="55"/>
  <c r="H144" i="55"/>
  <c r="H145" i="55"/>
  <c r="H146" i="55"/>
  <c r="H147" i="55"/>
  <c r="H148" i="55"/>
  <c r="H149" i="55"/>
  <c r="H150" i="55"/>
  <c r="H151" i="55"/>
  <c r="H152" i="55"/>
  <c r="H153" i="55"/>
  <c r="G153" i="55"/>
  <c r="H138" i="55"/>
  <c r="I138" i="55"/>
  <c r="H137" i="55"/>
  <c r="I137" i="55"/>
  <c r="H136" i="55"/>
  <c r="I136" i="55"/>
  <c r="H135" i="55"/>
  <c r="I135" i="55"/>
  <c r="H134" i="55"/>
  <c r="M134" i="55" s="1"/>
  <c r="N134" i="55" s="1"/>
  <c r="I134" i="55"/>
  <c r="H133" i="55"/>
  <c r="I133" i="55"/>
  <c r="H132" i="55"/>
  <c r="I132" i="55"/>
  <c r="H131" i="55"/>
  <c r="M131" i="55" s="1"/>
  <c r="N131" i="55" s="1"/>
  <c r="I131" i="55"/>
  <c r="H130" i="55"/>
  <c r="I130" i="55"/>
  <c r="H129" i="55"/>
  <c r="I129" i="55"/>
  <c r="G128" i="55"/>
  <c r="H128" i="55"/>
  <c r="I128" i="55"/>
  <c r="H127" i="55"/>
  <c r="I127" i="55"/>
  <c r="H126" i="55"/>
  <c r="M126" i="55" s="1"/>
  <c r="N126" i="55" s="1"/>
  <c r="I126" i="55"/>
  <c r="H125" i="55"/>
  <c r="I125" i="55"/>
  <c r="H124" i="55"/>
  <c r="M124" i="55" s="1"/>
  <c r="N124" i="55" s="1"/>
  <c r="I124" i="55"/>
  <c r="H123" i="55"/>
  <c r="I123" i="55"/>
  <c r="H122" i="55"/>
  <c r="M122" i="55" s="1"/>
  <c r="N122" i="55" s="1"/>
  <c r="I122" i="55"/>
  <c r="F121" i="55"/>
  <c r="H121" i="55"/>
  <c r="I121" i="55"/>
  <c r="F120" i="55"/>
  <c r="H120" i="55"/>
  <c r="I120" i="55"/>
  <c r="H119" i="55"/>
  <c r="I119" i="55"/>
  <c r="H118" i="55"/>
  <c r="I118" i="55"/>
  <c r="H117" i="55"/>
  <c r="I117" i="55"/>
  <c r="H116" i="55"/>
  <c r="M116" i="55" s="1"/>
  <c r="N116" i="55" s="1"/>
  <c r="I116" i="55"/>
  <c r="H115" i="55"/>
  <c r="M115" i="55" s="1"/>
  <c r="N115" i="55" s="1"/>
  <c r="I115" i="55"/>
  <c r="H114" i="55"/>
  <c r="I114" i="55"/>
  <c r="H113" i="55"/>
  <c r="I113" i="55"/>
  <c r="H14" i="55" l="1"/>
  <c r="H15" i="55"/>
  <c r="H16" i="55"/>
  <c r="H17" i="55"/>
  <c r="H18" i="55"/>
  <c r="H19" i="55"/>
  <c r="H20" i="55"/>
  <c r="H21" i="55"/>
  <c r="H22" i="55"/>
  <c r="M22" i="55" s="1"/>
  <c r="N22" i="55" s="1"/>
  <c r="H23" i="55"/>
  <c r="H24" i="55"/>
  <c r="M24" i="55" s="1"/>
  <c r="N24" i="55" s="1"/>
  <c r="H25" i="55"/>
  <c r="H26" i="55"/>
  <c r="M26" i="55" s="1"/>
  <c r="N26" i="55" s="1"/>
  <c r="H27" i="55"/>
  <c r="M27" i="55" s="1"/>
  <c r="N27" i="55" s="1"/>
  <c r="H28" i="55"/>
  <c r="H29" i="55"/>
  <c r="M29" i="55" s="1"/>
  <c r="N29" i="55" s="1"/>
  <c r="H30" i="55"/>
  <c r="M30" i="55" s="1"/>
  <c r="N30" i="55" s="1"/>
  <c r="H31" i="55"/>
  <c r="M31" i="55" s="1"/>
  <c r="N31" i="55" s="1"/>
  <c r="H32" i="55"/>
  <c r="H33" i="55"/>
  <c r="M33" i="55" s="1"/>
  <c r="N33" i="55" s="1"/>
  <c r="H34" i="55"/>
  <c r="H35" i="55"/>
  <c r="H36" i="55"/>
  <c r="H37" i="55"/>
  <c r="M37" i="55" s="1"/>
  <c r="N37" i="55" s="1"/>
  <c r="H38" i="55"/>
  <c r="H39" i="55"/>
  <c r="H40" i="55"/>
  <c r="H41" i="55"/>
  <c r="M41" i="55" s="1"/>
  <c r="N41" i="55" s="1"/>
  <c r="H42" i="55"/>
  <c r="H43" i="55"/>
  <c r="H44" i="55"/>
  <c r="H45" i="55"/>
  <c r="H46" i="55"/>
  <c r="H47" i="55"/>
  <c r="H48" i="55"/>
  <c r="H49" i="55"/>
  <c r="M49" i="55" s="1"/>
  <c r="N49" i="55" s="1"/>
  <c r="H50" i="55"/>
  <c r="M50" i="55" s="1"/>
  <c r="N50" i="55" s="1"/>
  <c r="H51" i="55"/>
  <c r="H52" i="55"/>
  <c r="H53" i="55"/>
  <c r="M53" i="55" s="1"/>
  <c r="N53" i="55" s="1"/>
  <c r="H54" i="55"/>
  <c r="H55" i="55"/>
  <c r="H56" i="55"/>
  <c r="M56" i="55" s="1"/>
  <c r="N56" i="55" s="1"/>
  <c r="H57" i="55"/>
  <c r="H58" i="55"/>
  <c r="H59" i="55"/>
  <c r="M59" i="55" s="1"/>
  <c r="N59" i="55" s="1"/>
  <c r="H60" i="55"/>
  <c r="H61" i="55"/>
  <c r="H62" i="55"/>
  <c r="M62" i="55" s="1"/>
  <c r="N62" i="55" s="1"/>
  <c r="H63" i="55"/>
  <c r="H64" i="55"/>
  <c r="M64" i="55" s="1"/>
  <c r="N64" i="55" s="1"/>
  <c r="H65" i="55"/>
  <c r="H66" i="55"/>
  <c r="H67" i="55"/>
  <c r="H68" i="55"/>
  <c r="H69" i="55"/>
  <c r="H70" i="55"/>
  <c r="H71" i="55"/>
  <c r="H72" i="55"/>
  <c r="H73" i="55"/>
  <c r="H74" i="55"/>
  <c r="H75" i="55"/>
  <c r="H76" i="55"/>
  <c r="M76" i="55" s="1"/>
  <c r="N76" i="55" s="1"/>
  <c r="H77" i="55"/>
  <c r="H78" i="55"/>
  <c r="H79" i="55"/>
  <c r="H80" i="55"/>
  <c r="H81" i="55"/>
  <c r="M81" i="55" s="1"/>
  <c r="N81" i="55" s="1"/>
  <c r="H82" i="55"/>
  <c r="H83" i="55"/>
  <c r="H84" i="55"/>
  <c r="H85" i="55"/>
  <c r="H86" i="55"/>
  <c r="H87" i="55"/>
  <c r="H88" i="55"/>
  <c r="M88" i="55" s="1"/>
  <c r="N88" i="55" s="1"/>
  <c r="H89" i="55"/>
  <c r="H90" i="55"/>
  <c r="H91" i="55"/>
  <c r="H92" i="55"/>
  <c r="M92" i="55" s="1"/>
  <c r="N92" i="55" s="1"/>
  <c r="H93" i="55"/>
  <c r="H94" i="55"/>
  <c r="M94" i="55" s="1"/>
  <c r="N94" i="55" s="1"/>
  <c r="H95" i="55"/>
  <c r="M95" i="55" s="1"/>
  <c r="N95" i="55" s="1"/>
  <c r="H96" i="55"/>
  <c r="H97" i="55"/>
  <c r="H98" i="55"/>
  <c r="H99" i="55"/>
  <c r="H100" i="55"/>
  <c r="M100" i="55" s="1"/>
  <c r="N100" i="55" s="1"/>
  <c r="H101" i="55"/>
  <c r="H102" i="55"/>
  <c r="H103" i="55"/>
  <c r="H104" i="55"/>
  <c r="H105" i="55"/>
  <c r="H106" i="55"/>
  <c r="M106" i="55" s="1"/>
  <c r="N106" i="55" s="1"/>
  <c r="H107" i="55"/>
  <c r="H108" i="55"/>
  <c r="H109" i="55"/>
  <c r="H110" i="55"/>
  <c r="H111" i="55"/>
  <c r="H112" i="55"/>
  <c r="H13"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I65" i="55"/>
  <c r="I66" i="55"/>
  <c r="I67"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111" i="55"/>
  <c r="I112" i="55"/>
  <c r="I13" i="55"/>
  <c r="N155" i="55" l="1"/>
  <c r="B14" i="55"/>
  <c r="B15" i="55" s="1"/>
  <c r="B16" i="55" s="1"/>
  <c r="B17" i="55" s="1"/>
  <c r="B18" i="55" s="1"/>
  <c r="B19" i="55" s="1"/>
  <c r="B20" i="55" s="1"/>
  <c r="B21" i="55" s="1"/>
  <c r="B22" i="55" s="1"/>
  <c r="B23" i="55" s="1"/>
  <c r="B24" i="55" s="1"/>
  <c r="B25" i="55" s="1"/>
  <c r="B26" i="55" s="1"/>
  <c r="B27" i="55" s="1"/>
  <c r="B28" i="55" s="1"/>
  <c r="B29" i="55" s="1"/>
  <c r="B30" i="55" s="1"/>
  <c r="B31" i="55" s="1"/>
  <c r="B32" i="55" s="1"/>
  <c r="B33" i="55" s="1"/>
  <c r="B34" i="55" s="1"/>
  <c r="B35" i="55" s="1"/>
  <c r="B36" i="55" s="1"/>
  <c r="B37" i="55" s="1"/>
  <c r="B38" i="55" s="1"/>
  <c r="B39" i="55" s="1"/>
  <c r="B40" i="55" s="1"/>
  <c r="B41" i="55" s="1"/>
  <c r="B42" i="55" s="1"/>
  <c r="B43" i="55" s="1"/>
  <c r="B44" i="55" s="1"/>
  <c r="B45" i="55" s="1"/>
  <c r="B46" i="55" s="1"/>
  <c r="B47" i="55" s="1"/>
  <c r="B48" i="55" s="1"/>
  <c r="B49" i="55" s="1"/>
  <c r="B50" i="55" s="1"/>
  <c r="B51" i="55" s="1"/>
  <c r="B52" i="55" s="1"/>
  <c r="B53" i="55" s="1"/>
  <c r="B54" i="55" s="1"/>
  <c r="B55" i="55" s="1"/>
  <c r="B56" i="55" s="1"/>
  <c r="B57" i="55" s="1"/>
  <c r="B58" i="55" s="1"/>
  <c r="B59" i="55" s="1"/>
  <c r="B60" i="55" s="1"/>
  <c r="B61" i="55" s="1"/>
  <c r="B62" i="55" s="1"/>
  <c r="B63" i="55" s="1"/>
  <c r="B64" i="55" s="1"/>
  <c r="B65" i="55" s="1"/>
  <c r="B66" i="55" s="1"/>
  <c r="B67" i="55" s="1"/>
  <c r="B68" i="55" s="1"/>
  <c r="B69" i="55" s="1"/>
  <c r="B70" i="55" s="1"/>
  <c r="B71" i="55" s="1"/>
  <c r="B72" i="55" s="1"/>
  <c r="B73" i="55" s="1"/>
  <c r="B74" i="55" s="1"/>
  <c r="B75" i="55" s="1"/>
  <c r="B76" i="55" s="1"/>
  <c r="B77" i="55" s="1"/>
  <c r="B78" i="55" s="1"/>
  <c r="B79" i="55" s="1"/>
  <c r="B80" i="55" s="1"/>
  <c r="B81" i="55" s="1"/>
  <c r="B82" i="55" s="1"/>
  <c r="B83" i="55" s="1"/>
  <c r="B84" i="55" s="1"/>
  <c r="B85" i="55" s="1"/>
  <c r="B86" i="55" s="1"/>
  <c r="B87" i="55" s="1"/>
  <c r="B88" i="55" s="1"/>
  <c r="B89" i="55" s="1"/>
  <c r="B90" i="55" s="1"/>
  <c r="B91" i="55" s="1"/>
  <c r="B92" i="55" s="1"/>
  <c r="B93" i="55" s="1"/>
  <c r="B94" i="55" s="1"/>
  <c r="B95" i="55" s="1"/>
  <c r="B96" i="55" s="1"/>
  <c r="B97" i="55" s="1"/>
  <c r="B98" i="55" s="1"/>
  <c r="B99" i="55" s="1"/>
  <c r="B100" i="55" s="1"/>
  <c r="B101" i="55" s="1"/>
  <c r="B102" i="55" s="1"/>
  <c r="B103" i="55" s="1"/>
  <c r="B104" i="55" s="1"/>
  <c r="B105" i="55" s="1"/>
  <c r="B106" i="55" s="1"/>
  <c r="B107" i="55" s="1"/>
  <c r="B108" i="55" s="1"/>
  <c r="B109" i="55" s="1"/>
  <c r="B110" i="55" s="1"/>
  <c r="B111" i="55" s="1"/>
  <c r="B112" i="55" s="1"/>
  <c r="B113" i="55" s="1"/>
  <c r="B114" i="55" s="1"/>
  <c r="B115" i="55" s="1"/>
  <c r="B116" i="55" s="1"/>
  <c r="B117" i="55" s="1"/>
  <c r="B118" i="55" s="1"/>
  <c r="B119" i="55" s="1"/>
  <c r="B120" i="55" s="1"/>
  <c r="B121" i="55" s="1"/>
  <c r="B122" i="55" s="1"/>
  <c r="B123" i="55" s="1"/>
  <c r="B124" i="55" s="1"/>
  <c r="B125" i="55" s="1"/>
  <c r="B126" i="55" s="1"/>
  <c r="B127" i="55" s="1"/>
  <c r="B128" i="55" s="1"/>
  <c r="B129" i="55" s="1"/>
  <c r="B130" i="55" s="1"/>
  <c r="B131" i="55" s="1"/>
  <c r="B132" i="55" s="1"/>
  <c r="B133" i="55" s="1"/>
  <c r="B134" i="55" s="1"/>
  <c r="B135" i="55" s="1"/>
  <c r="B136" i="55" s="1"/>
  <c r="B137" i="55" s="1"/>
  <c r="B138" i="55" s="1"/>
  <c r="B139" i="55" s="1"/>
  <c r="B140" i="55" s="1"/>
  <c r="B141" i="55" s="1"/>
  <c r="B142" i="55" s="1"/>
  <c r="B143" i="55" s="1"/>
  <c r="B144" i="55" s="1"/>
  <c r="B145" i="55" s="1"/>
  <c r="B146" i="55" s="1"/>
  <c r="B147" i="55" s="1"/>
  <c r="B148" i="55" s="1"/>
  <c r="B149" i="55" s="1"/>
  <c r="B150" i="55" s="1"/>
  <c r="B151" i="55" s="1"/>
  <c r="B152" i="55" s="1"/>
  <c r="B153" i="55" s="1"/>
  <c r="F47" i="55"/>
  <c r="B14" i="54" l="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35" i="54" s="1"/>
  <c r="B36" i="54" s="1"/>
  <c r="B37" i="54" s="1"/>
  <c r="B38" i="54" s="1"/>
  <c r="B39" i="54" s="1"/>
  <c r="B40" i="54" s="1"/>
  <c r="B41" i="54" s="1"/>
  <c r="B42" i="54" s="1"/>
  <c r="B43" i="54" s="1"/>
  <c r="B44" i="54" s="1"/>
  <c r="B45" i="54" s="1"/>
  <c r="B46" i="54" s="1"/>
  <c r="B47" i="54" s="1"/>
  <c r="H67" i="53" l="1"/>
  <c r="E67" i="53"/>
  <c r="F67" i="53"/>
  <c r="G67" i="53"/>
  <c r="I67" i="53" l="1"/>
  <c r="T77" i="52"/>
  <c r="Q191" i="52" l="1"/>
  <c r="G191" i="52"/>
  <c r="L180" i="52"/>
  <c r="N180" i="52" s="1"/>
  <c r="L176" i="52"/>
  <c r="N176" i="52" s="1"/>
  <c r="I60" i="53" l="1"/>
  <c r="J5" i="53"/>
  <c r="J6" i="53" s="1"/>
  <c r="J7" i="53" s="1"/>
  <c r="J8" i="53" s="1"/>
  <c r="J9" i="53" s="1"/>
  <c r="J10" i="53" s="1"/>
  <c r="J11" i="53" s="1"/>
  <c r="J12" i="53" s="1"/>
  <c r="J13" i="53" s="1"/>
  <c r="J14" i="53" s="1"/>
  <c r="J15" i="53" s="1"/>
  <c r="J16" i="53" s="1"/>
  <c r="J17" i="53" s="1"/>
  <c r="J18" i="53" s="1"/>
  <c r="J19" i="53" s="1"/>
  <c r="J20" i="53" s="1"/>
  <c r="J21" i="53" s="1"/>
  <c r="J22" i="53" s="1"/>
  <c r="J23" i="53" s="1"/>
  <c r="J24" i="53" s="1"/>
  <c r="J25" i="53" s="1"/>
  <c r="J26" i="53" s="1"/>
  <c r="J27" i="53" s="1"/>
  <c r="J28" i="53" s="1"/>
  <c r="J29" i="53" s="1"/>
  <c r="J30" i="53" s="1"/>
  <c r="J31" i="53" s="1"/>
  <c r="J32" i="53" s="1"/>
  <c r="J33" i="53" s="1"/>
  <c r="J34" i="53" s="1"/>
  <c r="J35" i="53" s="1"/>
  <c r="J36" i="53" s="1"/>
  <c r="J37" i="53" s="1"/>
  <c r="J38" i="53" s="1"/>
  <c r="J39" i="53" s="1"/>
  <c r="J40" i="53" s="1"/>
  <c r="J41" i="53" s="1"/>
  <c r="J42" i="53" s="1"/>
  <c r="J43" i="53" s="1"/>
  <c r="J44" i="53" s="1"/>
  <c r="J45" i="53" s="1"/>
  <c r="J46" i="53" s="1"/>
  <c r="J47" i="53" s="1"/>
  <c r="J48" i="53" s="1"/>
  <c r="J49" i="53" s="1"/>
  <c r="J50" i="53" s="1"/>
  <c r="J51" i="53" s="1"/>
  <c r="J52" i="53" s="1"/>
  <c r="J53" i="53" s="1"/>
  <c r="J54" i="53" s="1"/>
  <c r="J55" i="53" s="1"/>
  <c r="J56" i="53" s="1"/>
  <c r="J57" i="53" s="1"/>
  <c r="J58" i="53" s="1"/>
  <c r="J59" i="53" s="1"/>
  <c r="J60" i="53" s="1"/>
  <c r="C6" i="53"/>
  <c r="C7" i="53" s="1"/>
  <c r="C8" i="53" s="1"/>
  <c r="C9" i="53" s="1"/>
  <c r="C10" i="53" s="1"/>
  <c r="C11" i="53" s="1"/>
  <c r="C12" i="53" s="1"/>
  <c r="C13" i="53" s="1"/>
  <c r="C14" i="53" s="1"/>
  <c r="C15" i="53" s="1"/>
  <c r="C16" i="53" s="1"/>
  <c r="C17" i="53" s="1"/>
  <c r="C18" i="53" s="1"/>
  <c r="C19" i="53" s="1"/>
  <c r="C20" i="53" s="1"/>
  <c r="C21" i="53" s="1"/>
  <c r="C22" i="53" s="1"/>
  <c r="C23" i="53" s="1"/>
  <c r="C24" i="53" s="1"/>
  <c r="C25" i="53" s="1"/>
  <c r="C26" i="53" s="1"/>
  <c r="C27" i="53" s="1"/>
  <c r="C28" i="53" s="1"/>
  <c r="C29" i="53" s="1"/>
  <c r="C30" i="53" s="1"/>
  <c r="C31" i="53" s="1"/>
  <c r="C32" i="53" s="1"/>
  <c r="C33" i="53" s="1"/>
  <c r="C34" i="53" s="1"/>
  <c r="C35" i="53" s="1"/>
  <c r="C36" i="53" s="1"/>
  <c r="C37" i="53" s="1"/>
  <c r="C38" i="53" s="1"/>
  <c r="C39" i="53" s="1"/>
  <c r="C40" i="53" s="1"/>
  <c r="C41" i="53" s="1"/>
  <c r="C42" i="53" s="1"/>
  <c r="C43" i="53" s="1"/>
  <c r="C44" i="53" s="1"/>
  <c r="C45" i="53" s="1"/>
  <c r="C46" i="53" s="1"/>
  <c r="C47" i="53" s="1"/>
  <c r="C48" i="53" s="1"/>
  <c r="C49" i="53" s="1"/>
  <c r="C50" i="53" s="1"/>
  <c r="C51" i="53" s="1"/>
  <c r="C52" i="53" s="1"/>
  <c r="C53" i="53" s="1"/>
  <c r="C54" i="53" s="1"/>
  <c r="C55" i="53" s="1"/>
  <c r="C56" i="53" s="1"/>
  <c r="C57" i="53" s="1"/>
  <c r="C58" i="53" s="1"/>
  <c r="C59" i="53" s="1"/>
  <c r="C60" i="53" s="1"/>
  <c r="L169" i="52" l="1"/>
  <c r="N169" i="52" s="1"/>
  <c r="L168" i="52"/>
  <c r="N168" i="52" s="1"/>
  <c r="L163" i="52"/>
  <c r="N163" i="52" s="1"/>
  <c r="L162" i="52"/>
  <c r="N162" i="52" s="1"/>
  <c r="L159" i="52"/>
  <c r="N159" i="52" s="1"/>
  <c r="L158" i="52"/>
  <c r="N158" i="52" s="1"/>
  <c r="L149" i="52"/>
  <c r="N149" i="52" s="1"/>
  <c r="L150" i="52"/>
  <c r="N150" i="52" s="1"/>
  <c r="L151" i="52"/>
  <c r="N151" i="52" s="1"/>
  <c r="L152" i="52"/>
  <c r="N152" i="52" s="1"/>
  <c r="L153" i="52"/>
  <c r="N153" i="52" s="1"/>
  <c r="L154" i="52"/>
  <c r="N154" i="52" s="1"/>
  <c r="L148" i="52"/>
  <c r="N148" i="52" s="1"/>
  <c r="L145" i="52"/>
  <c r="N145" i="52" s="1"/>
  <c r="L140" i="52"/>
  <c r="N140" i="52" s="1"/>
  <c r="L141" i="52"/>
  <c r="N141" i="52" s="1"/>
  <c r="L139" i="52"/>
  <c r="N139" i="52" s="1"/>
  <c r="L137" i="52"/>
  <c r="N137" i="52" s="1"/>
  <c r="L135" i="52"/>
  <c r="N135" i="52" s="1"/>
  <c r="L134" i="52"/>
  <c r="N134" i="52" s="1"/>
  <c r="L128" i="52"/>
  <c r="N128" i="52" s="1"/>
  <c r="L126" i="52"/>
  <c r="N126" i="52" s="1"/>
  <c r="L125" i="52"/>
  <c r="N125" i="52" s="1"/>
  <c r="L112" i="52"/>
  <c r="N112" i="52" s="1"/>
  <c r="M104" i="52" l="1"/>
  <c r="M98" i="52"/>
  <c r="M91" i="52"/>
  <c r="M77" i="52"/>
  <c r="M78" i="52"/>
  <c r="M79" i="52"/>
  <c r="M80" i="52"/>
  <c r="M81" i="52"/>
  <c r="M83" i="52"/>
  <c r="M84" i="52"/>
  <c r="M85" i="52"/>
  <c r="M87" i="52"/>
  <c r="M75" i="52"/>
  <c r="M69" i="52"/>
  <c r="M68" i="52"/>
  <c r="M66" i="52"/>
  <c r="M62" i="52"/>
  <c r="M50" i="52"/>
  <c r="M49" i="52"/>
  <c r="M45" i="52"/>
  <c r="M44" i="52"/>
  <c r="M40" i="52"/>
  <c r="M41" i="52"/>
  <c r="M39" i="52"/>
  <c r="M33" i="52"/>
  <c r="M34" i="52"/>
  <c r="M32" i="52"/>
  <c r="M21" i="52"/>
  <c r="L104" i="52"/>
  <c r="L98" i="52"/>
  <c r="L91" i="52"/>
  <c r="N91" i="52" s="1"/>
  <c r="L83" i="52"/>
  <c r="L84" i="52"/>
  <c r="L85" i="52"/>
  <c r="L87" i="52"/>
  <c r="L77" i="52"/>
  <c r="L78" i="52"/>
  <c r="N78" i="52" s="1"/>
  <c r="L79" i="52"/>
  <c r="L80" i="52"/>
  <c r="L81" i="52"/>
  <c r="N81" i="52" s="1"/>
  <c r="L75" i="52"/>
  <c r="L69" i="52"/>
  <c r="L68" i="52"/>
  <c r="L66" i="52"/>
  <c r="L62" i="52"/>
  <c r="L50" i="52"/>
  <c r="L49" i="52"/>
  <c r="N49" i="52" s="1"/>
  <c r="L45" i="52"/>
  <c r="L44" i="52"/>
  <c r="L40" i="52"/>
  <c r="L41" i="52"/>
  <c r="L39" i="52"/>
  <c r="L33" i="52"/>
  <c r="L34" i="52"/>
  <c r="L32" i="52"/>
  <c r="L21" i="52"/>
  <c r="N39" i="52" l="1"/>
  <c r="N62" i="52"/>
  <c r="N104" i="52"/>
  <c r="N77" i="52"/>
  <c r="N44" i="52"/>
  <c r="N75" i="52"/>
  <c r="N21" i="52"/>
  <c r="N45" i="52"/>
  <c r="N66" i="52"/>
  <c r="N32" i="52"/>
  <c r="N68" i="52"/>
  <c r="N50" i="52"/>
  <c r="N98" i="52"/>
  <c r="N69" i="52"/>
  <c r="N79" i="52"/>
  <c r="N80" i="52"/>
  <c r="N84" i="52"/>
  <c r="N41" i="52"/>
  <c r="N87" i="52"/>
  <c r="N83" i="52"/>
  <c r="N34" i="52"/>
  <c r="N40" i="52"/>
  <c r="N33" i="52"/>
  <c r="N85" i="52"/>
  <c r="B15" i="52"/>
  <c r="B16" i="52" s="1"/>
  <c r="B17" i="52" s="1"/>
  <c r="B18" i="52" s="1"/>
  <c r="B19" i="52" s="1"/>
  <c r="B20" i="52" s="1"/>
  <c r="B21" i="52" s="1"/>
  <c r="B22" i="52" s="1"/>
  <c r="B23" i="52" s="1"/>
  <c r="B24" i="52" s="1"/>
  <c r="B25" i="52" s="1"/>
  <c r="B26" i="52" s="1"/>
  <c r="B27" i="52" s="1"/>
  <c r="B28" i="52" s="1"/>
  <c r="B29" i="52" s="1"/>
  <c r="B30" i="52" s="1"/>
  <c r="B31" i="52" s="1"/>
  <c r="B32" i="52" s="1"/>
  <c r="B33" i="52" s="1"/>
  <c r="B34" i="52" s="1"/>
  <c r="B35" i="52" s="1"/>
  <c r="B36" i="52" s="1"/>
  <c r="B37" i="52" s="1"/>
  <c r="B38" i="52" s="1"/>
  <c r="B39" i="52" s="1"/>
  <c r="B40" i="52" s="1"/>
  <c r="B41" i="52" s="1"/>
  <c r="B42" i="52" s="1"/>
  <c r="B43" i="52" s="1"/>
  <c r="B44" i="52" s="1"/>
  <c r="B45" i="52" s="1"/>
  <c r="B46" i="52" s="1"/>
  <c r="B47" i="52" s="1"/>
  <c r="B48" i="52" s="1"/>
  <c r="B49" i="52" s="1"/>
  <c r="B50" i="52" s="1"/>
  <c r="B51" i="52" s="1"/>
  <c r="B52" i="52" s="1"/>
  <c r="B53" i="52" s="1"/>
  <c r="B54" i="52" s="1"/>
  <c r="B55" i="52" s="1"/>
  <c r="B56" i="52" s="1"/>
  <c r="B57" i="52" s="1"/>
  <c r="B58" i="52" s="1"/>
  <c r="B59" i="52" s="1"/>
  <c r="B60" i="52" s="1"/>
  <c r="B61" i="52" s="1"/>
  <c r="B62" i="52" s="1"/>
  <c r="B63" i="52" s="1"/>
  <c r="B64" i="52" s="1"/>
  <c r="B65" i="52" s="1"/>
  <c r="B66" i="52" s="1"/>
  <c r="B67" i="52" s="1"/>
  <c r="B68" i="52" s="1"/>
  <c r="B69" i="52" s="1"/>
  <c r="B70" i="52" s="1"/>
  <c r="B71" i="52" s="1"/>
  <c r="B72" i="52" s="1"/>
  <c r="B73" i="52" s="1"/>
  <c r="B74" i="52" s="1"/>
  <c r="B75" i="52" s="1"/>
  <c r="B76" i="52" s="1"/>
  <c r="B77" i="52" s="1"/>
  <c r="B78" i="52" s="1"/>
  <c r="B79" i="52" s="1"/>
  <c r="B80" i="52" s="1"/>
  <c r="B81" i="52" s="1"/>
  <c r="B82" i="52" s="1"/>
  <c r="B83" i="52" s="1"/>
  <c r="B84" i="52" s="1"/>
  <c r="B85" i="52" s="1"/>
  <c r="B86" i="52" s="1"/>
  <c r="B87" i="52" s="1"/>
  <c r="B88" i="52" s="1"/>
  <c r="B89" i="52" s="1"/>
  <c r="B90" i="52" s="1"/>
  <c r="B91" i="52" s="1"/>
  <c r="B92" i="52" s="1"/>
  <c r="B93" i="52" s="1"/>
  <c r="B94" i="52" s="1"/>
  <c r="B95" i="52" s="1"/>
  <c r="B96" i="52" s="1"/>
  <c r="B97" i="52" s="1"/>
  <c r="B98" i="52" s="1"/>
  <c r="B99" i="52" s="1"/>
  <c r="B100" i="52" s="1"/>
  <c r="B101" i="52" s="1"/>
  <c r="B102" i="52" s="1"/>
  <c r="B103" i="52" s="1"/>
  <c r="B104" i="52" s="1"/>
  <c r="B105" i="52" s="1"/>
  <c r="B106" i="52" s="1"/>
  <c r="B107" i="52" s="1"/>
  <c r="B108" i="52" s="1"/>
  <c r="B109" i="52" s="1"/>
  <c r="B110" i="52" s="1"/>
  <c r="B111" i="52" s="1"/>
  <c r="B112" i="52" s="1"/>
  <c r="B113" i="52" s="1"/>
  <c r="B114" i="52" s="1"/>
  <c r="B115" i="52" s="1"/>
  <c r="B116" i="52" s="1"/>
  <c r="B117" i="52" s="1"/>
  <c r="B118" i="52" s="1"/>
  <c r="B119" i="52" s="1"/>
  <c r="B120" i="52" s="1"/>
  <c r="B121" i="52" s="1"/>
  <c r="B122" i="52" s="1"/>
  <c r="B123" i="52" s="1"/>
  <c r="B124" i="52" s="1"/>
  <c r="B125" i="52" s="1"/>
  <c r="B126" i="52" s="1"/>
  <c r="B127" i="52" s="1"/>
  <c r="B128" i="52" s="1"/>
  <c r="B129" i="52" s="1"/>
  <c r="B130" i="52" s="1"/>
  <c r="B131" i="52" s="1"/>
  <c r="B132" i="52" s="1"/>
  <c r="B133" i="52" s="1"/>
  <c r="B134" i="52" s="1"/>
  <c r="B135" i="52" s="1"/>
  <c r="B136" i="52" s="1"/>
  <c r="B137" i="52" s="1"/>
  <c r="B138" i="52" s="1"/>
  <c r="B139" i="52" s="1"/>
  <c r="B140" i="52" s="1"/>
  <c r="B141" i="52" s="1"/>
  <c r="B142" i="52" s="1"/>
  <c r="B143" i="52" s="1"/>
  <c r="B144" i="52" s="1"/>
  <c r="B145" i="52" s="1"/>
  <c r="B146" i="52" s="1"/>
  <c r="B147" i="52" s="1"/>
  <c r="B148" i="52" s="1"/>
  <c r="B149" i="52" s="1"/>
  <c r="B150" i="52" s="1"/>
  <c r="B151" i="52" s="1"/>
  <c r="B152" i="52" s="1"/>
  <c r="B153" i="52" s="1"/>
  <c r="B154" i="52" s="1"/>
  <c r="B155" i="52" s="1"/>
  <c r="B156" i="52" s="1"/>
  <c r="B157" i="52" s="1"/>
  <c r="B158" i="52" s="1"/>
  <c r="B159" i="52" s="1"/>
  <c r="B160" i="52" s="1"/>
  <c r="B161" i="52" s="1"/>
  <c r="B162" i="52" s="1"/>
  <c r="B163" i="52" s="1"/>
  <c r="B164" i="52" s="1"/>
  <c r="B165" i="52" s="1"/>
  <c r="B166" i="52" s="1"/>
  <c r="B167" i="52" s="1"/>
  <c r="B168" i="52" s="1"/>
  <c r="B169" i="52" s="1"/>
  <c r="B170" i="52" s="1"/>
  <c r="B171" i="52" s="1"/>
  <c r="B172" i="52" s="1"/>
  <c r="B173" i="52" s="1"/>
  <c r="B174" i="52" s="1"/>
  <c r="B175" i="52" s="1"/>
  <c r="B176" i="52" s="1"/>
  <c r="B177" i="52" s="1"/>
  <c r="B178" i="52" s="1"/>
  <c r="B179" i="52" s="1"/>
  <c r="B180" i="52" s="1"/>
  <c r="B181" i="52" s="1"/>
  <c r="B182" i="52" s="1"/>
  <c r="B183" i="52" s="1"/>
  <c r="B184" i="52" s="1"/>
  <c r="B185" i="52" s="1"/>
  <c r="B186" i="52" s="1"/>
  <c r="B187" i="52" s="1"/>
  <c r="B188" i="52" s="1"/>
  <c r="B189" i="52" s="1"/>
  <c r="B190" i="52" s="1"/>
  <c r="N4" i="4" l="1"/>
  <c r="D209" i="4"/>
  <c r="D208" i="4"/>
  <c r="D207"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7" i="4"/>
  <c r="R139" i="4"/>
  <c r="R140" i="4"/>
  <c r="R141" i="4"/>
  <c r="R142" i="4"/>
  <c r="R143" i="4"/>
  <c r="R144" i="4"/>
  <c r="R145" i="4"/>
  <c r="R146" i="4"/>
  <c r="R147" i="4"/>
  <c r="R149" i="4"/>
  <c r="R150" i="4"/>
  <c r="R151" i="4"/>
  <c r="R152" i="4"/>
  <c r="R153" i="4"/>
  <c r="R154" i="4"/>
  <c r="R155" i="4"/>
  <c r="R157" i="4"/>
  <c r="R158" i="4"/>
  <c r="R159" i="4"/>
  <c r="R160" i="4"/>
  <c r="R161" i="4"/>
  <c r="R162" i="4"/>
  <c r="R163" i="4"/>
  <c r="R164" i="4"/>
  <c r="R165" i="4"/>
  <c r="R166" i="4"/>
  <c r="R167" i="4"/>
  <c r="R168" i="4"/>
  <c r="R169" i="4"/>
  <c r="R170" i="4"/>
  <c r="R171" i="4"/>
  <c r="R172" i="4"/>
  <c r="R173" i="4"/>
  <c r="R174" i="4"/>
  <c r="R175" i="4"/>
  <c r="R102"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5" i="4"/>
  <c r="V96" i="4"/>
  <c r="V95" i="4"/>
  <c r="N198" i="4"/>
  <c r="F213" i="4"/>
  <c r="F212" i="4"/>
  <c r="E204" i="7" l="1"/>
  <c r="D204" i="7"/>
  <c r="C204" i="7"/>
  <c r="V174" i="51" l="1"/>
  <c r="G111" i="51" l="1"/>
  <c r="P202" i="51"/>
  <c r="P201" i="51"/>
  <c r="P175" i="51"/>
  <c r="P168" i="51"/>
  <c r="P157" i="51"/>
  <c r="P130" i="51"/>
  <c r="P113" i="51"/>
  <c r="P110" i="51"/>
  <c r="P72" i="51"/>
  <c r="P51" i="51"/>
  <c r="P35" i="51"/>
  <c r="P27" i="51"/>
  <c r="P19" i="51"/>
  <c r="P16" i="51"/>
  <c r="P15" i="51"/>
  <c r="L202" i="51"/>
  <c r="O202" i="51" s="1"/>
  <c r="L201" i="51"/>
  <c r="N201" i="51" s="1"/>
  <c r="L175" i="51"/>
  <c r="O175" i="51" s="1"/>
  <c r="L168" i="51"/>
  <c r="O168" i="51" s="1"/>
  <c r="L157" i="51"/>
  <c r="O157" i="51" s="1"/>
  <c r="L130" i="51"/>
  <c r="O130" i="51" s="1"/>
  <c r="L113" i="51"/>
  <c r="N113" i="51" s="1"/>
  <c r="L110" i="51"/>
  <c r="O110" i="51" s="1"/>
  <c r="L72" i="51"/>
  <c r="O72" i="51" s="1"/>
  <c r="L51" i="51"/>
  <c r="N51" i="51" s="1"/>
  <c r="L35" i="51"/>
  <c r="O35" i="51" s="1"/>
  <c r="L27" i="51"/>
  <c r="O27" i="51" s="1"/>
  <c r="L19" i="51"/>
  <c r="O19" i="51" s="1"/>
  <c r="L16" i="51"/>
  <c r="O16" i="51" s="1"/>
  <c r="L15" i="51"/>
  <c r="N15" i="51" s="1"/>
  <c r="M125" i="51"/>
  <c r="P125" i="51" s="1"/>
  <c r="M117" i="51"/>
  <c r="P117" i="51" s="1"/>
  <c r="M116" i="51"/>
  <c r="P116" i="51" s="1"/>
  <c r="M114" i="51"/>
  <c r="P114" i="51" s="1"/>
  <c r="L125" i="51"/>
  <c r="O125" i="51" s="1"/>
  <c r="L117" i="51"/>
  <c r="O117" i="51" s="1"/>
  <c r="L116" i="51"/>
  <c r="O116" i="51" s="1"/>
  <c r="L114" i="51"/>
  <c r="M193" i="51"/>
  <c r="P193" i="51" s="1"/>
  <c r="M189" i="51"/>
  <c r="P189" i="51" s="1"/>
  <c r="M185" i="51"/>
  <c r="P185" i="51" s="1"/>
  <c r="M183" i="51"/>
  <c r="P183" i="51" s="1"/>
  <c r="M173" i="51"/>
  <c r="P173" i="51" s="1"/>
  <c r="M169" i="51"/>
  <c r="M164" i="51"/>
  <c r="P164" i="51" s="1"/>
  <c r="M148" i="51"/>
  <c r="P148" i="51" s="1"/>
  <c r="M132" i="51"/>
  <c r="P132" i="51" s="1"/>
  <c r="M129" i="51"/>
  <c r="P129" i="51" s="1"/>
  <c r="M128" i="51"/>
  <c r="P128" i="51" s="1"/>
  <c r="M88" i="51"/>
  <c r="M77" i="51"/>
  <c r="P77" i="51" s="1"/>
  <c r="M76" i="51"/>
  <c r="M75" i="51"/>
  <c r="P75" i="51" s="1"/>
  <c r="M66" i="51"/>
  <c r="P66" i="51" s="1"/>
  <c r="M62" i="51"/>
  <c r="P62" i="51" s="1"/>
  <c r="M58" i="51"/>
  <c r="P58" i="51" s="1"/>
  <c r="M55" i="51"/>
  <c r="P55" i="51" s="1"/>
  <c r="M54" i="51"/>
  <c r="P54" i="51" s="1"/>
  <c r="M53" i="51"/>
  <c r="P53" i="51" s="1"/>
  <c r="M37" i="51"/>
  <c r="M24" i="51"/>
  <c r="P24" i="51" s="1"/>
  <c r="L193" i="51"/>
  <c r="L189" i="51"/>
  <c r="L185" i="51"/>
  <c r="O185" i="51" s="1"/>
  <c r="L183" i="51"/>
  <c r="O183" i="51" s="1"/>
  <c r="L173" i="51"/>
  <c r="O173" i="51" s="1"/>
  <c r="L169" i="51"/>
  <c r="O169" i="51" s="1"/>
  <c r="L164" i="51"/>
  <c r="L148" i="51"/>
  <c r="L132" i="51"/>
  <c r="L129" i="51"/>
  <c r="O129" i="51" s="1"/>
  <c r="L128" i="51"/>
  <c r="O128" i="51" s="1"/>
  <c r="L88" i="51"/>
  <c r="O88" i="51" s="1"/>
  <c r="L77" i="51"/>
  <c r="O77" i="51" s="1"/>
  <c r="L76" i="51"/>
  <c r="O76" i="51" s="1"/>
  <c r="L75" i="51"/>
  <c r="L66" i="51"/>
  <c r="L62" i="51"/>
  <c r="L58" i="51"/>
  <c r="L55" i="51"/>
  <c r="O55" i="51" s="1"/>
  <c r="L54" i="51"/>
  <c r="O54" i="51" s="1"/>
  <c r="L53" i="51"/>
  <c r="O53" i="51" s="1"/>
  <c r="L37" i="51"/>
  <c r="O37" i="51" s="1"/>
  <c r="L24" i="51"/>
  <c r="M180" i="51"/>
  <c r="P180" i="51" s="1"/>
  <c r="M177" i="51"/>
  <c r="P177" i="51" s="1"/>
  <c r="M167" i="51"/>
  <c r="P167" i="51" s="1"/>
  <c r="M165" i="51"/>
  <c r="P165" i="51" s="1"/>
  <c r="M156" i="51"/>
  <c r="P156" i="51" s="1"/>
  <c r="M152" i="51"/>
  <c r="P152" i="51" s="1"/>
  <c r="M150" i="51"/>
  <c r="P150" i="51" s="1"/>
  <c r="M149" i="51"/>
  <c r="P149" i="51" s="1"/>
  <c r="M146" i="51"/>
  <c r="P146" i="51" s="1"/>
  <c r="M122" i="51"/>
  <c r="P122" i="51" s="1"/>
  <c r="M118" i="51"/>
  <c r="P118" i="51" s="1"/>
  <c r="M112" i="51"/>
  <c r="P112" i="51" s="1"/>
  <c r="M100" i="51"/>
  <c r="P100" i="51" s="1"/>
  <c r="M81" i="51"/>
  <c r="P81" i="51" s="1"/>
  <c r="M52" i="51"/>
  <c r="P52" i="51" s="1"/>
  <c r="M49" i="51"/>
  <c r="P49" i="51" s="1"/>
  <c r="M46" i="51"/>
  <c r="P46" i="51" s="1"/>
  <c r="M38" i="51"/>
  <c r="P38" i="51" s="1"/>
  <c r="M32" i="51"/>
  <c r="P32" i="51" s="1"/>
  <c r="M31" i="51"/>
  <c r="P31" i="51" s="1"/>
  <c r="L180" i="51"/>
  <c r="O180" i="51" s="1"/>
  <c r="L177" i="51"/>
  <c r="O177" i="51" s="1"/>
  <c r="L167" i="51"/>
  <c r="O167" i="51" s="1"/>
  <c r="L165" i="51"/>
  <c r="O165" i="51" s="1"/>
  <c r="L156" i="51"/>
  <c r="O156" i="51" s="1"/>
  <c r="L152" i="51"/>
  <c r="L150" i="51"/>
  <c r="L149" i="51"/>
  <c r="L146" i="51"/>
  <c r="L122" i="51"/>
  <c r="O122" i="51" s="1"/>
  <c r="L118" i="51"/>
  <c r="O118" i="51" s="1"/>
  <c r="L112" i="51"/>
  <c r="O112" i="51" s="1"/>
  <c r="L100" i="51"/>
  <c r="L81" i="51"/>
  <c r="L52" i="51"/>
  <c r="L49" i="51"/>
  <c r="L46" i="51"/>
  <c r="O46" i="51" s="1"/>
  <c r="L38" i="51"/>
  <c r="O38" i="51" s="1"/>
  <c r="L32" i="51"/>
  <c r="O32" i="51" s="1"/>
  <c r="L31" i="51"/>
  <c r="O31" i="51" s="1"/>
  <c r="G204" i="51"/>
  <c r="Q27" i="51" l="1"/>
  <c r="Q16" i="51"/>
  <c r="Q130" i="51"/>
  <c r="Q19" i="51"/>
  <c r="Q157" i="51"/>
  <c r="Q35" i="51"/>
  <c r="N110" i="51"/>
  <c r="N81" i="51"/>
  <c r="N152" i="51"/>
  <c r="Q72" i="51"/>
  <c r="Q202" i="51"/>
  <c r="N27" i="51"/>
  <c r="N88" i="51"/>
  <c r="Q110" i="51"/>
  <c r="Q53" i="51"/>
  <c r="Q125" i="51"/>
  <c r="Q168" i="51"/>
  <c r="N35" i="51"/>
  <c r="N202" i="51"/>
  <c r="N72" i="51"/>
  <c r="N58" i="51"/>
  <c r="N189" i="51"/>
  <c r="N100" i="51"/>
  <c r="N130" i="51"/>
  <c r="N16" i="51"/>
  <c r="N168" i="51"/>
  <c r="Q175" i="51"/>
  <c r="N157" i="51"/>
  <c r="N19" i="51"/>
  <c r="N175" i="51"/>
  <c r="N66" i="51"/>
  <c r="N148" i="51"/>
  <c r="Q55" i="51"/>
  <c r="N24" i="51"/>
  <c r="N75" i="51"/>
  <c r="N164" i="51"/>
  <c r="O51" i="51"/>
  <c r="Q51" i="51" s="1"/>
  <c r="O201" i="51"/>
  <c r="Q201" i="51" s="1"/>
  <c r="Q129" i="51"/>
  <c r="N114" i="51"/>
  <c r="N49" i="51"/>
  <c r="N149" i="51"/>
  <c r="Q116" i="51"/>
  <c r="O15" i="51"/>
  <c r="Q15" i="51" s="1"/>
  <c r="O113" i="51"/>
  <c r="Q113" i="51" s="1"/>
  <c r="N52" i="51"/>
  <c r="N150" i="51"/>
  <c r="N55" i="51"/>
  <c r="Q128" i="51"/>
  <c r="Q185" i="51"/>
  <c r="Q117" i="51"/>
  <c r="Q54" i="51"/>
  <c r="Q183" i="51"/>
  <c r="N116" i="51"/>
  <c r="Q46" i="51"/>
  <c r="N128" i="51"/>
  <c r="P88" i="51"/>
  <c r="Q88" i="51" s="1"/>
  <c r="N117" i="51"/>
  <c r="Q156" i="51"/>
  <c r="N173" i="51"/>
  <c r="N125" i="51"/>
  <c r="O114" i="51"/>
  <c r="Q114" i="51" s="1"/>
  <c r="Q77" i="51"/>
  <c r="N77" i="51"/>
  <c r="N183" i="51"/>
  <c r="N62" i="51"/>
  <c r="N132" i="51"/>
  <c r="N193" i="51"/>
  <c r="N53" i="51"/>
  <c r="N185" i="51"/>
  <c r="N54" i="51"/>
  <c r="N37" i="51"/>
  <c r="N76" i="51"/>
  <c r="N169" i="51"/>
  <c r="Q173" i="51"/>
  <c r="Q31" i="51"/>
  <c r="Q165" i="51"/>
  <c r="Q32" i="51"/>
  <c r="Q167" i="51"/>
  <c r="O49" i="51"/>
  <c r="Q49" i="51" s="1"/>
  <c r="O58" i="51"/>
  <c r="Q58" i="51" s="1"/>
  <c r="O189" i="51"/>
  <c r="Q189" i="51" s="1"/>
  <c r="Q177" i="51"/>
  <c r="O81" i="51"/>
  <c r="Q81" i="51" s="1"/>
  <c r="N129" i="51"/>
  <c r="O62" i="51"/>
  <c r="Q62" i="51" s="1"/>
  <c r="O132" i="51"/>
  <c r="Q132" i="51" s="1"/>
  <c r="O193" i="51"/>
  <c r="Q193" i="51" s="1"/>
  <c r="Q112" i="51"/>
  <c r="Q118" i="51"/>
  <c r="Q38" i="51"/>
  <c r="Q122" i="51"/>
  <c r="N46" i="51"/>
  <c r="N146" i="51"/>
  <c r="N180" i="51"/>
  <c r="O146" i="51"/>
  <c r="Q146" i="51" s="1"/>
  <c r="O66" i="51"/>
  <c r="Q66" i="51" s="1"/>
  <c r="O148" i="51"/>
  <c r="Q148" i="51" s="1"/>
  <c r="O24" i="51"/>
  <c r="Q24" i="51" s="1"/>
  <c r="O164" i="51"/>
  <c r="Q164" i="51" s="1"/>
  <c r="P37" i="51"/>
  <c r="Q37" i="51" s="1"/>
  <c r="P76" i="51"/>
  <c r="Q76" i="51" s="1"/>
  <c r="P169" i="51"/>
  <c r="Q169" i="51" s="1"/>
  <c r="O149" i="51"/>
  <c r="Q149" i="51" s="1"/>
  <c r="O75" i="51"/>
  <c r="Q75" i="51" s="1"/>
  <c r="O152" i="51"/>
  <c r="Q152" i="51" s="1"/>
  <c r="Q180" i="51"/>
  <c r="N112" i="51"/>
  <c r="N156" i="51"/>
  <c r="N31" i="51"/>
  <c r="N165" i="51"/>
  <c r="N32" i="51"/>
  <c r="N118" i="51"/>
  <c r="N167" i="51"/>
  <c r="O52" i="51"/>
  <c r="Q52" i="51" s="1"/>
  <c r="O150" i="51"/>
  <c r="Q150" i="51" s="1"/>
  <c r="N122" i="51"/>
  <c r="O100" i="51"/>
  <c r="Q100" i="51" s="1"/>
  <c r="N38" i="51"/>
  <c r="N177" i="51"/>
  <c r="B14" i="51"/>
  <c r="B15" i="51" s="1"/>
  <c r="B16" i="51" s="1"/>
  <c r="B17" i="51" s="1"/>
  <c r="B18" i="51" s="1"/>
  <c r="B19" i="51" s="1"/>
  <c r="B20" i="51" s="1"/>
  <c r="B21" i="51" s="1"/>
  <c r="B22" i="51" s="1"/>
  <c r="B23" i="51" s="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5" i="51" s="1"/>
  <c r="B46" i="51" s="1"/>
  <c r="B47" i="51" s="1"/>
  <c r="B48" i="51" s="1"/>
  <c r="B49" i="51" s="1"/>
  <c r="B50" i="51" s="1"/>
  <c r="B51" i="51" s="1"/>
  <c r="B52" i="51" s="1"/>
  <c r="B53" i="51" s="1"/>
  <c r="B54" i="51" s="1"/>
  <c r="B55" i="51" s="1"/>
  <c r="B56" i="51" s="1"/>
  <c r="B57" i="51" s="1"/>
  <c r="B58" i="51" s="1"/>
  <c r="B59" i="51" s="1"/>
  <c r="B60" i="51" s="1"/>
  <c r="B61" i="51" s="1"/>
  <c r="B62" i="51" s="1"/>
  <c r="B63" i="51" s="1"/>
  <c r="B64" i="51" s="1"/>
  <c r="B65" i="51" s="1"/>
  <c r="B66" i="51" s="1"/>
  <c r="B67" i="51" s="1"/>
  <c r="B68" i="51" s="1"/>
  <c r="B69" i="51" s="1"/>
  <c r="B70" i="51" s="1"/>
  <c r="B71" i="51" s="1"/>
  <c r="B72" i="51" s="1"/>
  <c r="B73" i="51" s="1"/>
  <c r="B74" i="51" s="1"/>
  <c r="B75" i="51" s="1"/>
  <c r="B76" i="51" s="1"/>
  <c r="B77" i="51" s="1"/>
  <c r="B78" i="51" s="1"/>
  <c r="B79" i="51" s="1"/>
  <c r="B80" i="51" s="1"/>
  <c r="B81" i="51" s="1"/>
  <c r="B82" i="51" s="1"/>
  <c r="B83" i="51" s="1"/>
  <c r="B84" i="51" s="1"/>
  <c r="B85" i="51" s="1"/>
  <c r="B86" i="51" s="1"/>
  <c r="B87" i="51" s="1"/>
  <c r="B88" i="51" s="1"/>
  <c r="B89" i="51" s="1"/>
  <c r="B90" i="51" s="1"/>
  <c r="B91" i="51" s="1"/>
  <c r="B92" i="51" s="1"/>
  <c r="B93" i="51" s="1"/>
  <c r="B94" i="51" s="1"/>
  <c r="B95" i="51" s="1"/>
  <c r="B96" i="51" s="1"/>
  <c r="B97" i="51" s="1"/>
  <c r="B98" i="51" s="1"/>
  <c r="B99" i="51" s="1"/>
  <c r="B100" i="51" s="1"/>
  <c r="B101" i="51" s="1"/>
  <c r="B102" i="51" s="1"/>
  <c r="B103" i="51" s="1"/>
  <c r="B104" i="51" s="1"/>
  <c r="B105" i="51" s="1"/>
  <c r="B106" i="51" s="1"/>
  <c r="B107" i="51" s="1"/>
  <c r="B108" i="51" s="1"/>
  <c r="B109" i="51" s="1"/>
  <c r="B110" i="51" s="1"/>
  <c r="B111" i="51" s="1"/>
  <c r="B112" i="51" s="1"/>
  <c r="B113" i="51" s="1"/>
  <c r="B114" i="51" s="1"/>
  <c r="B115" i="51" s="1"/>
  <c r="B116" i="51" s="1"/>
  <c r="B117" i="51" s="1"/>
  <c r="B118" i="51" s="1"/>
  <c r="B119" i="51" s="1"/>
  <c r="B120" i="51" s="1"/>
  <c r="B121" i="51" s="1"/>
  <c r="B122" i="51" s="1"/>
  <c r="B123" i="51" s="1"/>
  <c r="B124" i="51" s="1"/>
  <c r="B125" i="51" s="1"/>
  <c r="B126" i="51" s="1"/>
  <c r="B127" i="51" s="1"/>
  <c r="B128" i="51" s="1"/>
  <c r="B129" i="51" s="1"/>
  <c r="B130" i="51" s="1"/>
  <c r="B131" i="51" s="1"/>
  <c r="B132" i="51" s="1"/>
  <c r="B133" i="51" s="1"/>
  <c r="B134" i="51" s="1"/>
  <c r="B135" i="51" s="1"/>
  <c r="B136" i="51" s="1"/>
  <c r="B137" i="51" s="1"/>
  <c r="B138" i="51" s="1"/>
  <c r="B139" i="51" s="1"/>
  <c r="B140" i="51" s="1"/>
  <c r="B141" i="51" s="1"/>
  <c r="B142" i="51" s="1"/>
  <c r="B143" i="51" s="1"/>
  <c r="B144" i="51" s="1"/>
  <c r="B145" i="51" s="1"/>
  <c r="B146" i="51" s="1"/>
  <c r="B147" i="51" s="1"/>
  <c r="B148" i="51" s="1"/>
  <c r="B149" i="51" s="1"/>
  <c r="B150" i="51" s="1"/>
  <c r="B151" i="51" s="1"/>
  <c r="B152" i="51" s="1"/>
  <c r="B153" i="51" s="1"/>
  <c r="B154" i="51" s="1"/>
  <c r="B155" i="51" s="1"/>
  <c r="B156" i="51" s="1"/>
  <c r="B157" i="51" s="1"/>
  <c r="B158" i="51" s="1"/>
  <c r="B159" i="51" s="1"/>
  <c r="B160" i="51" s="1"/>
  <c r="B161" i="51" s="1"/>
  <c r="B162" i="51" s="1"/>
  <c r="B163" i="51" s="1"/>
  <c r="B164" i="51" s="1"/>
  <c r="B165" i="51" s="1"/>
  <c r="B166" i="51" s="1"/>
  <c r="B167" i="51" s="1"/>
  <c r="B168" i="51" s="1"/>
  <c r="B169" i="51" s="1"/>
  <c r="B170" i="51" s="1"/>
  <c r="B171" i="51" s="1"/>
  <c r="B172" i="51" s="1"/>
  <c r="B173" i="51" s="1"/>
  <c r="B174" i="51" s="1"/>
  <c r="B175" i="51" s="1"/>
  <c r="B176" i="51" s="1"/>
  <c r="B177" i="51" s="1"/>
  <c r="B178" i="51" s="1"/>
  <c r="B179" i="51" s="1"/>
  <c r="B180" i="51" s="1"/>
  <c r="B181" i="51" s="1"/>
  <c r="B182" i="51" s="1"/>
  <c r="B183" i="51" s="1"/>
  <c r="B184" i="51" s="1"/>
  <c r="B185" i="51" s="1"/>
  <c r="B186" i="51" s="1"/>
  <c r="B187" i="51" s="1"/>
  <c r="B188" i="51" s="1"/>
  <c r="B189" i="51" s="1"/>
  <c r="B190" i="51" s="1"/>
  <c r="B191" i="51" s="1"/>
  <c r="B192" i="51" s="1"/>
  <c r="B193" i="51" s="1"/>
  <c r="B194" i="51" s="1"/>
  <c r="B195" i="51" s="1"/>
  <c r="B196" i="51" s="1"/>
  <c r="B197" i="51" s="1"/>
  <c r="B198" i="51" s="1"/>
  <c r="B199" i="51" s="1"/>
  <c r="B200" i="51" s="1"/>
  <c r="B201" i="51" s="1"/>
  <c r="B202" i="51" s="1"/>
  <c r="B203" i="51" s="1"/>
  <c r="N204" i="51" l="1"/>
  <c r="Q204" i="51"/>
  <c r="E224" i="47"/>
  <c r="G224" i="47"/>
  <c r="H14" i="47" l="1"/>
  <c r="I14" i="47"/>
  <c r="B15" i="47"/>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H15" i="47"/>
  <c r="I15" i="47"/>
  <c r="H16" i="47"/>
  <c r="I16" i="47"/>
  <c r="H17" i="47"/>
  <c r="I17" i="47"/>
  <c r="H18" i="47"/>
  <c r="I18" i="47"/>
  <c r="H19" i="47"/>
  <c r="I19" i="47"/>
  <c r="H20" i="47"/>
  <c r="I20" i="47"/>
  <c r="H21" i="47"/>
  <c r="I21" i="47"/>
  <c r="H22" i="47"/>
  <c r="I22" i="47"/>
  <c r="H23" i="47"/>
  <c r="I23" i="47"/>
  <c r="H24" i="47"/>
  <c r="I24" i="47"/>
  <c r="H25" i="47"/>
  <c r="I25" i="47"/>
  <c r="H26" i="47"/>
  <c r="I26" i="47"/>
  <c r="H27" i="47"/>
  <c r="I27" i="47"/>
  <c r="H28" i="47"/>
  <c r="I28" i="47"/>
  <c r="H29" i="47"/>
  <c r="J29" i="47" s="1"/>
  <c r="I29" i="47"/>
  <c r="M29" i="47"/>
  <c r="P29" i="47" s="1"/>
  <c r="O29" i="47"/>
  <c r="H30" i="47"/>
  <c r="I30" i="47"/>
  <c r="H31" i="47"/>
  <c r="I31" i="47"/>
  <c r="M31" i="47"/>
  <c r="N31" i="47" s="1"/>
  <c r="O31" i="47"/>
  <c r="H32" i="47"/>
  <c r="I32" i="47"/>
  <c r="H33" i="47"/>
  <c r="I33" i="47"/>
  <c r="H34" i="47"/>
  <c r="I34" i="47"/>
  <c r="H35" i="47"/>
  <c r="I35" i="47"/>
  <c r="H36" i="47"/>
  <c r="I36" i="47"/>
  <c r="H37" i="47"/>
  <c r="I37" i="47"/>
  <c r="H38" i="47"/>
  <c r="I38" i="47"/>
  <c r="H39" i="47"/>
  <c r="I39" i="47"/>
  <c r="H40" i="47"/>
  <c r="I40" i="47"/>
  <c r="H41" i="47"/>
  <c r="I41" i="47"/>
  <c r="H42" i="47"/>
  <c r="I42" i="47"/>
  <c r="H43" i="47"/>
  <c r="I43" i="47"/>
  <c r="M43" i="47"/>
  <c r="P43" i="47" s="1"/>
  <c r="O43" i="47"/>
  <c r="H44" i="47"/>
  <c r="I44" i="47"/>
  <c r="M44" i="47"/>
  <c r="N44" i="47" s="1"/>
  <c r="O44" i="47"/>
  <c r="H45" i="47"/>
  <c r="I45" i="47"/>
  <c r="M45" i="47"/>
  <c r="P45" i="47" s="1"/>
  <c r="O45" i="47"/>
  <c r="H46" i="47"/>
  <c r="I46" i="47"/>
  <c r="H47" i="47"/>
  <c r="I47" i="47"/>
  <c r="H48" i="47"/>
  <c r="I48" i="47"/>
  <c r="H49" i="47"/>
  <c r="I49" i="47"/>
  <c r="H50" i="47"/>
  <c r="I50" i="47"/>
  <c r="M50" i="47"/>
  <c r="N50" i="47" s="1"/>
  <c r="O50" i="47"/>
  <c r="H51" i="47"/>
  <c r="I51" i="47"/>
  <c r="M51" i="47"/>
  <c r="P51" i="47" s="1"/>
  <c r="O51" i="47"/>
  <c r="H52" i="47"/>
  <c r="I52" i="47"/>
  <c r="M52" i="47"/>
  <c r="N52" i="47" s="1"/>
  <c r="O52" i="47"/>
  <c r="H53" i="47"/>
  <c r="I53" i="47"/>
  <c r="H54" i="47"/>
  <c r="I54" i="47"/>
  <c r="H55" i="47"/>
  <c r="I55" i="47"/>
  <c r="H56" i="47"/>
  <c r="I56" i="47"/>
  <c r="H57" i="47"/>
  <c r="I57" i="47"/>
  <c r="H58" i="47"/>
  <c r="I58" i="47"/>
  <c r="H59" i="47"/>
  <c r="I59" i="47"/>
  <c r="H60" i="47"/>
  <c r="I60" i="47"/>
  <c r="H61" i="47"/>
  <c r="I61" i="47"/>
  <c r="H62" i="47"/>
  <c r="I62" i="47"/>
  <c r="H63" i="47"/>
  <c r="I63" i="47"/>
  <c r="H64" i="47"/>
  <c r="I64" i="47"/>
  <c r="H65" i="47"/>
  <c r="I65" i="47"/>
  <c r="H66" i="47"/>
  <c r="I66" i="47"/>
  <c r="M66" i="47"/>
  <c r="N66" i="47" s="1"/>
  <c r="O66" i="47"/>
  <c r="H67" i="47"/>
  <c r="I67" i="47"/>
  <c r="M67" i="47"/>
  <c r="P67" i="47" s="1"/>
  <c r="O67" i="47"/>
  <c r="H68" i="47"/>
  <c r="I68" i="47"/>
  <c r="H69" i="47"/>
  <c r="I69" i="47"/>
  <c r="H70" i="47"/>
  <c r="I70" i="47"/>
  <c r="H71" i="47"/>
  <c r="I71" i="47"/>
  <c r="H72" i="47"/>
  <c r="I72" i="47"/>
  <c r="M72" i="47"/>
  <c r="N72" i="47" s="1"/>
  <c r="O72" i="47"/>
  <c r="H73" i="47"/>
  <c r="I73" i="47"/>
  <c r="H74" i="47"/>
  <c r="I74" i="47"/>
  <c r="M74" i="47"/>
  <c r="N74" i="47" s="1"/>
  <c r="O74" i="47"/>
  <c r="G75" i="47"/>
  <c r="H75" i="47"/>
  <c r="I75" i="47"/>
  <c r="H76" i="47"/>
  <c r="I76" i="47"/>
  <c r="B77" i="47"/>
  <c r="B78" i="47" s="1"/>
  <c r="B79" i="47" s="1"/>
  <c r="B80" i="47" s="1"/>
  <c r="B81" i="47" s="1"/>
  <c r="B82" i="47" s="1"/>
  <c r="B83" i="47" s="1"/>
  <c r="B84" i="47" s="1"/>
  <c r="B85" i="47" s="1"/>
  <c r="B86" i="47" s="1"/>
  <c r="B87" i="47" s="1"/>
  <c r="B88" i="47" s="1"/>
  <c r="B89" i="47" s="1"/>
  <c r="B90" i="47" s="1"/>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B152" i="47" s="1"/>
  <c r="B153" i="47" s="1"/>
  <c r="B154" i="47" s="1"/>
  <c r="B155" i="47" s="1"/>
  <c r="B156" i="47" s="1"/>
  <c r="B157" i="47" s="1"/>
  <c r="B158" i="47" s="1"/>
  <c r="B159" i="47" s="1"/>
  <c r="B160" i="47" s="1"/>
  <c r="B161" i="47" s="1"/>
  <c r="B162" i="47" s="1"/>
  <c r="B163" i="47" s="1"/>
  <c r="B164" i="47" s="1"/>
  <c r="B165" i="47" s="1"/>
  <c r="B166" i="47" s="1"/>
  <c r="B167" i="47" s="1"/>
  <c r="B168" i="47" s="1"/>
  <c r="B169" i="47" s="1"/>
  <c r="B170" i="47" s="1"/>
  <c r="B171" i="47" s="1"/>
  <c r="B172" i="47" s="1"/>
  <c r="B173" i="47" s="1"/>
  <c r="B174" i="47" s="1"/>
  <c r="B175" i="47" s="1"/>
  <c r="B176" i="47" s="1"/>
  <c r="B177" i="47" s="1"/>
  <c r="B178" i="47" s="1"/>
  <c r="B179" i="47" s="1"/>
  <c r="B180" i="47" s="1"/>
  <c r="B181" i="47" s="1"/>
  <c r="B182" i="47" s="1"/>
  <c r="B183" i="47" s="1"/>
  <c r="B184" i="47" s="1"/>
  <c r="B185" i="47" s="1"/>
  <c r="B186" i="47" s="1"/>
  <c r="B187" i="47" s="1"/>
  <c r="B188" i="47" s="1"/>
  <c r="B189" i="47" s="1"/>
  <c r="B190" i="47" s="1"/>
  <c r="B191" i="47" s="1"/>
  <c r="B192" i="47" s="1"/>
  <c r="B193" i="47" s="1"/>
  <c r="B194" i="47" s="1"/>
  <c r="B195" i="47" s="1"/>
  <c r="B196" i="47" s="1"/>
  <c r="B197" i="47" s="1"/>
  <c r="B198" i="47" s="1"/>
  <c r="B199" i="47" s="1"/>
  <c r="B200" i="47" s="1"/>
  <c r="B201" i="47" s="1"/>
  <c r="B202" i="47" s="1"/>
  <c r="B203" i="47" s="1"/>
  <c r="B204" i="47" s="1"/>
  <c r="B205" i="47" s="1"/>
  <c r="B206" i="47" s="1"/>
  <c r="B207" i="47" s="1"/>
  <c r="B208" i="47" s="1"/>
  <c r="B209" i="47" s="1"/>
  <c r="B210" i="47" s="1"/>
  <c r="B211" i="47" s="1"/>
  <c r="B212" i="47" s="1"/>
  <c r="B213" i="47" s="1"/>
  <c r="B214" i="47" s="1"/>
  <c r="B215" i="47" s="1"/>
  <c r="B216" i="47" s="1"/>
  <c r="B217" i="47" s="1"/>
  <c r="B218" i="47" s="1"/>
  <c r="H77" i="47"/>
  <c r="I77" i="47"/>
  <c r="H78" i="47"/>
  <c r="I78" i="47"/>
  <c r="H79" i="47"/>
  <c r="I79" i="47"/>
  <c r="H80" i="47"/>
  <c r="I80" i="47"/>
  <c r="M80" i="47"/>
  <c r="N80" i="47" s="1"/>
  <c r="O80" i="47"/>
  <c r="H81" i="47"/>
  <c r="I81" i="47"/>
  <c r="M81" i="47"/>
  <c r="N81" i="47" s="1"/>
  <c r="O81" i="47"/>
  <c r="H82" i="47"/>
  <c r="I82" i="47"/>
  <c r="M82" i="47"/>
  <c r="P82" i="47" s="1"/>
  <c r="O82" i="47"/>
  <c r="H83" i="47"/>
  <c r="I83" i="47"/>
  <c r="M83" i="47"/>
  <c r="N83" i="47" s="1"/>
  <c r="O83" i="47"/>
  <c r="H84" i="47"/>
  <c r="I84" i="47"/>
  <c r="M84" i="47"/>
  <c r="N84" i="47" s="1"/>
  <c r="O84" i="47"/>
  <c r="H85" i="47"/>
  <c r="I85" i="47"/>
  <c r="M85" i="47"/>
  <c r="N85" i="47" s="1"/>
  <c r="O85" i="47"/>
  <c r="H86" i="47"/>
  <c r="I86" i="47"/>
  <c r="M86" i="47"/>
  <c r="N86" i="47" s="1"/>
  <c r="O86" i="47"/>
  <c r="H87" i="47"/>
  <c r="I87" i="47"/>
  <c r="M87" i="47"/>
  <c r="P87" i="47" s="1"/>
  <c r="O87" i="47"/>
  <c r="H88" i="47"/>
  <c r="I88" i="47"/>
  <c r="H89" i="47"/>
  <c r="I89" i="47"/>
  <c r="H90" i="47"/>
  <c r="I90" i="47"/>
  <c r="H91" i="47"/>
  <c r="I91" i="47"/>
  <c r="M91" i="47"/>
  <c r="N91" i="47" s="1"/>
  <c r="O91" i="47"/>
  <c r="H92" i="47"/>
  <c r="I92" i="47"/>
  <c r="H93" i="47"/>
  <c r="I93" i="47"/>
  <c r="M93" i="47"/>
  <c r="N93" i="47" s="1"/>
  <c r="O93" i="47"/>
  <c r="H94" i="47"/>
  <c r="I94" i="47"/>
  <c r="H95" i="47"/>
  <c r="I95" i="47"/>
  <c r="M95" i="47"/>
  <c r="N95" i="47" s="1"/>
  <c r="O95" i="47"/>
  <c r="H96" i="47"/>
  <c r="I96" i="47"/>
  <c r="M96" i="47"/>
  <c r="P96" i="47" s="1"/>
  <c r="O96" i="47"/>
  <c r="H97" i="47"/>
  <c r="I97" i="47"/>
  <c r="M97" i="47"/>
  <c r="N97" i="47" s="1"/>
  <c r="O97" i="47"/>
  <c r="H98" i="47"/>
  <c r="I98" i="47"/>
  <c r="M98" i="47"/>
  <c r="N98" i="47" s="1"/>
  <c r="O98" i="47"/>
  <c r="H99" i="47"/>
  <c r="I99" i="47"/>
  <c r="M99" i="47"/>
  <c r="N99" i="47" s="1"/>
  <c r="O99" i="47"/>
  <c r="H100" i="47"/>
  <c r="I100" i="47"/>
  <c r="M100" i="47"/>
  <c r="N100" i="47" s="1"/>
  <c r="O100" i="47"/>
  <c r="H101" i="47"/>
  <c r="I101" i="47"/>
  <c r="M101" i="47"/>
  <c r="P101" i="47" s="1"/>
  <c r="O101" i="47"/>
  <c r="H102" i="47"/>
  <c r="I102" i="47"/>
  <c r="H103" i="47"/>
  <c r="I103" i="47"/>
  <c r="H104" i="47"/>
  <c r="I104" i="47"/>
  <c r="H105" i="47"/>
  <c r="I105" i="47"/>
  <c r="M105" i="47"/>
  <c r="N105" i="47" s="1"/>
  <c r="H106" i="47"/>
  <c r="I106" i="47"/>
  <c r="H107" i="47"/>
  <c r="I107" i="47"/>
  <c r="M107" i="47"/>
  <c r="P107" i="47" s="1"/>
  <c r="O107" i="47"/>
  <c r="H108" i="47"/>
  <c r="I108" i="47"/>
  <c r="H109" i="47"/>
  <c r="I109" i="47"/>
  <c r="H110" i="47"/>
  <c r="I110" i="47"/>
  <c r="H111" i="47"/>
  <c r="I111" i="47"/>
  <c r="M111" i="47"/>
  <c r="N111" i="47" s="1"/>
  <c r="O111" i="47"/>
  <c r="H112" i="47"/>
  <c r="I112" i="47"/>
  <c r="H113" i="47"/>
  <c r="I113" i="47"/>
  <c r="M113" i="47"/>
  <c r="N113" i="47" s="1"/>
  <c r="O113" i="47"/>
  <c r="H114" i="47"/>
  <c r="I114" i="47"/>
  <c r="M114" i="47"/>
  <c r="N114" i="47" s="1"/>
  <c r="O114" i="47"/>
  <c r="H115" i="47"/>
  <c r="I115" i="47"/>
  <c r="H116" i="47"/>
  <c r="I116" i="47"/>
  <c r="M116" i="47"/>
  <c r="N116" i="47" s="1"/>
  <c r="O116" i="47"/>
  <c r="H117" i="47"/>
  <c r="I117" i="47"/>
  <c r="H118" i="47"/>
  <c r="I118" i="47"/>
  <c r="H119" i="47"/>
  <c r="I119" i="47"/>
  <c r="M119" i="47"/>
  <c r="N119" i="47" s="1"/>
  <c r="O119" i="47"/>
  <c r="H120" i="47"/>
  <c r="I120" i="47"/>
  <c r="H121" i="47"/>
  <c r="I121" i="47"/>
  <c r="H122" i="47"/>
  <c r="I122" i="47"/>
  <c r="H123" i="47"/>
  <c r="I123" i="47"/>
  <c r="H124" i="47"/>
  <c r="I124" i="47"/>
  <c r="H125" i="47"/>
  <c r="I125" i="47"/>
  <c r="H126" i="47"/>
  <c r="I126" i="47"/>
  <c r="H127" i="47"/>
  <c r="I127" i="47"/>
  <c r="H128" i="47"/>
  <c r="I128" i="47"/>
  <c r="H129" i="47"/>
  <c r="I129" i="47"/>
  <c r="H130" i="47"/>
  <c r="I130" i="47"/>
  <c r="H131" i="47"/>
  <c r="I131" i="47"/>
  <c r="H132" i="47"/>
  <c r="I132" i="47"/>
  <c r="M132" i="47"/>
  <c r="N132" i="47" s="1"/>
  <c r="O132" i="47"/>
  <c r="H133" i="47"/>
  <c r="I133" i="47"/>
  <c r="H134" i="47"/>
  <c r="I134" i="47"/>
  <c r="H135" i="47"/>
  <c r="I135" i="47"/>
  <c r="H136" i="47"/>
  <c r="I136" i="47"/>
  <c r="H137" i="47"/>
  <c r="I137" i="47"/>
  <c r="H138" i="47"/>
  <c r="I138" i="47"/>
  <c r="H139" i="47"/>
  <c r="I139" i="47"/>
  <c r="H140" i="47"/>
  <c r="I140" i="47"/>
  <c r="H141" i="47"/>
  <c r="I141" i="47"/>
  <c r="M141" i="47"/>
  <c r="P141" i="47" s="1"/>
  <c r="O141" i="47"/>
  <c r="H142" i="47"/>
  <c r="I142" i="47"/>
  <c r="H143" i="47"/>
  <c r="I143" i="47"/>
  <c r="M143" i="47"/>
  <c r="N143" i="47" s="1"/>
  <c r="O143" i="47"/>
  <c r="H144" i="47"/>
  <c r="I144" i="47"/>
  <c r="H145" i="47"/>
  <c r="I145" i="47"/>
  <c r="H146" i="47"/>
  <c r="I146" i="47"/>
  <c r="H147" i="47"/>
  <c r="I147" i="47"/>
  <c r="M147" i="47"/>
  <c r="N147" i="47" s="1"/>
  <c r="H148" i="47"/>
  <c r="I148" i="47"/>
  <c r="H149" i="47"/>
  <c r="I149" i="47"/>
  <c r="H150" i="47"/>
  <c r="I150" i="47"/>
  <c r="M150" i="47"/>
  <c r="N150" i="47" s="1"/>
  <c r="O150" i="47"/>
  <c r="H151" i="47"/>
  <c r="I151" i="47"/>
  <c r="M151" i="47"/>
  <c r="N151" i="47" s="1"/>
  <c r="O151" i="47"/>
  <c r="H152" i="47"/>
  <c r="I152" i="47"/>
  <c r="H153" i="47"/>
  <c r="I153" i="47"/>
  <c r="H154" i="47"/>
  <c r="I154" i="47"/>
  <c r="H155" i="47"/>
  <c r="I155" i="47"/>
  <c r="H156" i="47"/>
  <c r="I156" i="47"/>
  <c r="M156" i="47"/>
  <c r="P156" i="47" s="1"/>
  <c r="O156" i="47"/>
  <c r="H157" i="47"/>
  <c r="I157" i="47"/>
  <c r="H158" i="47"/>
  <c r="I158" i="47"/>
  <c r="H159" i="47"/>
  <c r="I159" i="47"/>
  <c r="H160" i="47"/>
  <c r="I160" i="47"/>
  <c r="H161" i="47"/>
  <c r="I161" i="47"/>
  <c r="M161" i="47"/>
  <c r="N161" i="47" s="1"/>
  <c r="H162" i="47"/>
  <c r="I162" i="47"/>
  <c r="M162" i="47"/>
  <c r="N162" i="47" s="1"/>
  <c r="H163" i="47"/>
  <c r="I163" i="47"/>
  <c r="H164" i="47"/>
  <c r="I164" i="47"/>
  <c r="H165" i="47"/>
  <c r="I165" i="47"/>
  <c r="H166" i="47"/>
  <c r="I166" i="47"/>
  <c r="H167" i="47"/>
  <c r="I167" i="47"/>
  <c r="H168" i="47"/>
  <c r="I168" i="47"/>
  <c r="H169" i="47"/>
  <c r="I169" i="47"/>
  <c r="H170" i="47"/>
  <c r="I170" i="47"/>
  <c r="H171" i="47"/>
  <c r="I171" i="47"/>
  <c r="H172" i="47"/>
  <c r="I172" i="47"/>
  <c r="H173" i="47"/>
  <c r="I173" i="47"/>
  <c r="H174" i="47"/>
  <c r="I174" i="47"/>
  <c r="H175" i="47"/>
  <c r="I175" i="47"/>
  <c r="H176" i="47"/>
  <c r="I176" i="47"/>
  <c r="M176" i="47"/>
  <c r="P176" i="47" s="1"/>
  <c r="O176" i="47"/>
  <c r="H177" i="47"/>
  <c r="I177" i="47"/>
  <c r="M177" i="47"/>
  <c r="N177" i="47" s="1"/>
  <c r="O177" i="47"/>
  <c r="H178" i="47"/>
  <c r="I178" i="47"/>
  <c r="N178" i="47"/>
  <c r="O178" i="47"/>
  <c r="P178" i="47"/>
  <c r="H179" i="47"/>
  <c r="I179" i="47"/>
  <c r="H180" i="47"/>
  <c r="I180" i="47"/>
  <c r="M180" i="47"/>
  <c r="P180" i="47" s="1"/>
  <c r="O180" i="47"/>
  <c r="H181" i="47"/>
  <c r="I181" i="47"/>
  <c r="M181" i="47"/>
  <c r="P181" i="47" s="1"/>
  <c r="O181" i="47"/>
  <c r="H182" i="47"/>
  <c r="I182" i="47"/>
  <c r="H183" i="47"/>
  <c r="I183" i="47"/>
  <c r="H184" i="47"/>
  <c r="I184" i="47"/>
  <c r="H185" i="47"/>
  <c r="I185" i="47"/>
  <c r="H186" i="47"/>
  <c r="I186" i="47"/>
  <c r="M186" i="47"/>
  <c r="P186" i="47" s="1"/>
  <c r="O186" i="47"/>
  <c r="H187" i="47"/>
  <c r="I187" i="47"/>
  <c r="H188" i="47"/>
  <c r="I188" i="47"/>
  <c r="F189" i="47"/>
  <c r="H189" i="47"/>
  <c r="I189" i="47"/>
  <c r="H190" i="47"/>
  <c r="I190" i="47"/>
  <c r="H191" i="47"/>
  <c r="I191" i="47"/>
  <c r="H192" i="47"/>
  <c r="I192" i="47"/>
  <c r="H193" i="47"/>
  <c r="I193" i="47"/>
  <c r="H194" i="47"/>
  <c r="I194" i="47"/>
  <c r="H195" i="47"/>
  <c r="I195" i="47"/>
  <c r="H196" i="47"/>
  <c r="I196" i="47"/>
  <c r="H197" i="47"/>
  <c r="I197" i="47"/>
  <c r="H198" i="47"/>
  <c r="I198" i="47"/>
  <c r="H199" i="47"/>
  <c r="I199" i="47"/>
  <c r="H200" i="47"/>
  <c r="I200" i="47"/>
  <c r="H201" i="47"/>
  <c r="I201" i="47"/>
  <c r="G202" i="47"/>
  <c r="H202" i="47"/>
  <c r="I202" i="47"/>
  <c r="H203" i="47"/>
  <c r="I203" i="47"/>
  <c r="H204" i="47"/>
  <c r="I204" i="47"/>
  <c r="H205" i="47"/>
  <c r="I205" i="47"/>
  <c r="H206" i="47"/>
  <c r="I206" i="47"/>
  <c r="F207" i="47"/>
  <c r="H207" i="47"/>
  <c r="I207" i="47"/>
  <c r="H208" i="47"/>
  <c r="I208" i="47"/>
  <c r="H209" i="47"/>
  <c r="I209" i="47"/>
  <c r="H210" i="47"/>
  <c r="I210" i="47"/>
  <c r="H211" i="47"/>
  <c r="I211" i="47"/>
  <c r="H212" i="47"/>
  <c r="I212" i="47"/>
  <c r="H213" i="47"/>
  <c r="I213" i="47"/>
  <c r="H214" i="47"/>
  <c r="I214" i="47"/>
  <c r="H215" i="47"/>
  <c r="I215" i="47"/>
  <c r="N215" i="47"/>
  <c r="O215" i="47"/>
  <c r="P215" i="47"/>
  <c r="H216" i="47"/>
  <c r="I216" i="47"/>
  <c r="N216" i="47"/>
  <c r="O216" i="47"/>
  <c r="P216" i="47"/>
  <c r="H217" i="47"/>
  <c r="I217" i="47"/>
  <c r="M217" i="47"/>
  <c r="N217" i="47" s="1"/>
  <c r="O217" i="47"/>
  <c r="H218" i="47"/>
  <c r="I218" i="47"/>
  <c r="M218" i="47"/>
  <c r="N218" i="47" s="1"/>
  <c r="O218" i="47"/>
  <c r="J215" i="47" l="1"/>
  <c r="Q180" i="47"/>
  <c r="J216" i="47"/>
  <c r="Q51" i="47"/>
  <c r="J45" i="47"/>
  <c r="N180" i="47"/>
  <c r="J101" i="47"/>
  <c r="P151" i="47"/>
  <c r="Q151" i="47" s="1"/>
  <c r="N43" i="47"/>
  <c r="J186" i="47"/>
  <c r="J217" i="47"/>
  <c r="J107" i="47"/>
  <c r="J50" i="47"/>
  <c r="J151" i="47"/>
  <c r="N181" i="47"/>
  <c r="P99" i="47"/>
  <c r="P97" i="47"/>
  <c r="Q97" i="47" s="1"/>
  <c r="N87" i="47"/>
  <c r="P217" i="47"/>
  <c r="Q217" i="47" s="1"/>
  <c r="J95" i="47"/>
  <c r="Q141" i="47"/>
  <c r="N96" i="47"/>
  <c r="J44" i="47"/>
  <c r="N186" i="47"/>
  <c r="J119" i="47"/>
  <c r="Q107" i="47"/>
  <c r="J96" i="47"/>
  <c r="Q186" i="47"/>
  <c r="P85" i="47"/>
  <c r="J74" i="47"/>
  <c r="Q43" i="47"/>
  <c r="J97" i="47"/>
  <c r="J87" i="47"/>
  <c r="J132" i="47"/>
  <c r="J91" i="47"/>
  <c r="Q82" i="47"/>
  <c r="J66" i="47"/>
  <c r="N156" i="47"/>
  <c r="P116" i="47"/>
  <c r="Q116" i="47" s="1"/>
  <c r="J99" i="47"/>
  <c r="Q87" i="47"/>
  <c r="J84" i="47"/>
  <c r="J72" i="47"/>
  <c r="N51" i="47"/>
  <c r="P111" i="47"/>
  <c r="Q111" i="47" s="1"/>
  <c r="P83" i="47"/>
  <c r="Q83" i="47" s="1"/>
  <c r="J162" i="47"/>
  <c r="J156" i="47"/>
  <c r="J147" i="47"/>
  <c r="J141" i="47"/>
  <c r="J114" i="47"/>
  <c r="Q67" i="47"/>
  <c r="Q45" i="47"/>
  <c r="J116" i="47"/>
  <c r="J100" i="47"/>
  <c r="J85" i="47"/>
  <c r="J67" i="47"/>
  <c r="P50" i="47"/>
  <c r="Q50" i="47" s="1"/>
  <c r="Q29" i="47"/>
  <c r="J180" i="47"/>
  <c r="J178" i="47"/>
  <c r="J176" i="47"/>
  <c r="J161" i="47"/>
  <c r="J113" i="47"/>
  <c r="Q101" i="47"/>
  <c r="N176" i="47"/>
  <c r="J150" i="47"/>
  <c r="J143" i="47"/>
  <c r="J98" i="47"/>
  <c r="Q96" i="47"/>
  <c r="J82" i="47"/>
  <c r="J80" i="47"/>
  <c r="J52" i="47"/>
  <c r="Q176" i="47"/>
  <c r="P93" i="47"/>
  <c r="Q93" i="47" s="1"/>
  <c r="Q215" i="47"/>
  <c r="Q181" i="47"/>
  <c r="P177" i="47"/>
  <c r="Q177" i="47" s="1"/>
  <c r="Q156" i="47"/>
  <c r="J218" i="47"/>
  <c r="J181" i="47"/>
  <c r="J86" i="47"/>
  <c r="P84" i="47"/>
  <c r="Q84" i="47" s="1"/>
  <c r="J83" i="47"/>
  <c r="N67" i="47"/>
  <c r="J43" i="47"/>
  <c r="P31" i="47"/>
  <c r="Q31" i="47" s="1"/>
  <c r="N29" i="47"/>
  <c r="P150" i="47"/>
  <c r="Q150" i="47" s="1"/>
  <c r="P98" i="47"/>
  <c r="Q98" i="47" s="1"/>
  <c r="Q216" i="47"/>
  <c r="Q178" i="47"/>
  <c r="J177" i="47"/>
  <c r="N141" i="47"/>
  <c r="P119" i="47"/>
  <c r="Q119" i="47" s="1"/>
  <c r="J111" i="47"/>
  <c r="N107" i="47"/>
  <c r="J105" i="47"/>
  <c r="N101" i="47"/>
  <c r="J93" i="47"/>
  <c r="Q85" i="47"/>
  <c r="J81" i="47"/>
  <c r="P72" i="47"/>
  <c r="Q72" i="47" s="1"/>
  <c r="Q99" i="47"/>
  <c r="N82" i="47"/>
  <c r="J51" i="47"/>
  <c r="N45" i="47"/>
  <c r="J31" i="47"/>
  <c r="P132" i="47"/>
  <c r="Q132" i="47" s="1"/>
  <c r="P114" i="47"/>
  <c r="Q114" i="47" s="1"/>
  <c r="P95" i="47"/>
  <c r="Q95" i="47" s="1"/>
  <c r="P91" i="47"/>
  <c r="Q91" i="47" s="1"/>
  <c r="P81" i="47"/>
  <c r="Q81" i="47" s="1"/>
  <c r="P113" i="47"/>
  <c r="Q113" i="47" s="1"/>
  <c r="P80" i="47"/>
  <c r="Q80" i="47" s="1"/>
  <c r="P74" i="47"/>
  <c r="Q74" i="47" s="1"/>
  <c r="P143" i="47"/>
  <c r="Q143" i="47" s="1"/>
  <c r="P100" i="47"/>
  <c r="Q100" i="47" s="1"/>
  <c r="P86" i="47"/>
  <c r="Q86" i="47" s="1"/>
  <c r="P66" i="47"/>
  <c r="Q66" i="47" s="1"/>
  <c r="P52" i="47"/>
  <c r="Q52" i="47" s="1"/>
  <c r="P44" i="47"/>
  <c r="Q44" i="47" s="1"/>
  <c r="P218" i="47"/>
  <c r="Q218" i="47" s="1"/>
  <c r="Q122" i="22"/>
  <c r="Q118" i="22"/>
  <c r="Q119" i="22"/>
  <c r="Q120" i="22"/>
  <c r="Q121" i="22"/>
  <c r="Q117" i="22"/>
  <c r="P122" i="22"/>
  <c r="P121" i="22"/>
  <c r="P120" i="22"/>
  <c r="P119" i="22"/>
  <c r="P118" i="22"/>
  <c r="P117" i="22"/>
  <c r="O122" i="22"/>
  <c r="L177" i="45" l="1"/>
  <c r="O146" i="45"/>
  <c r="H173" i="45"/>
  <c r="G173" i="45"/>
  <c r="Q120" i="25" l="1"/>
  <c r="R120" i="25"/>
  <c r="S120" i="25"/>
  <c r="C141" i="48" l="1"/>
  <c r="Y224" i="47" l="1"/>
  <c r="X224" i="47"/>
  <c r="W224" i="47"/>
  <c r="X223" i="47"/>
  <c r="X222" i="47"/>
  <c r="W223" i="47"/>
  <c r="W221" i="47"/>
  <c r="W222" i="47" s="1"/>
  <c r="X219" i="47" l="1"/>
  <c r="U217" i="47"/>
  <c r="D144" i="48" l="1"/>
  <c r="E144" i="48"/>
  <c r="F144" i="48"/>
  <c r="G144" i="48"/>
  <c r="H144" i="48"/>
  <c r="I144" i="48"/>
  <c r="C268" i="39" l="1"/>
  <c r="D268" i="39"/>
  <c r="E268" i="39"/>
  <c r="F268" i="39"/>
  <c r="G268" i="39"/>
  <c r="H268" i="39"/>
  <c r="B268" i="39"/>
  <c r="C267" i="39"/>
  <c r="D267" i="39"/>
  <c r="E267" i="39"/>
  <c r="F267" i="39"/>
  <c r="G267" i="39"/>
  <c r="H267" i="39"/>
  <c r="B267" i="39"/>
  <c r="C266" i="39"/>
  <c r="D266" i="39"/>
  <c r="E266" i="39"/>
  <c r="F266" i="39"/>
  <c r="G266" i="39"/>
  <c r="H266" i="39"/>
  <c r="B266" i="39"/>
  <c r="H269" i="39"/>
  <c r="G269" i="39"/>
  <c r="F269" i="39"/>
  <c r="E269" i="39"/>
  <c r="D269" i="39"/>
  <c r="C269" i="39"/>
  <c r="B269" i="39"/>
  <c r="C144" i="48"/>
  <c r="I143" i="48"/>
  <c r="H143" i="48"/>
  <c r="G143" i="48"/>
  <c r="F143" i="48"/>
  <c r="E143" i="48"/>
  <c r="D143" i="48"/>
  <c r="C143" i="48"/>
  <c r="I142" i="48"/>
  <c r="H142" i="48"/>
  <c r="G142" i="48"/>
  <c r="F142" i="48"/>
  <c r="E142" i="48"/>
  <c r="D142" i="48"/>
  <c r="C142" i="48"/>
  <c r="I141" i="48"/>
  <c r="H141" i="48"/>
  <c r="G141" i="48"/>
  <c r="F141" i="48"/>
  <c r="E141" i="48"/>
  <c r="D141" i="48"/>
  <c r="J132" i="48"/>
  <c r="I132" i="48"/>
  <c r="H132" i="48"/>
  <c r="G132" i="48"/>
  <c r="F132" i="48"/>
  <c r="E132" i="48"/>
  <c r="O91" i="48"/>
  <c r="P81" i="48"/>
  <c r="P80" i="48"/>
  <c r="B5" i="48"/>
  <c r="B6" i="48" s="1"/>
  <c r="B7" i="48" s="1"/>
  <c r="B8" i="48" s="1"/>
  <c r="B9" i="48" s="1"/>
  <c r="B10" i="48" s="1"/>
  <c r="B11" i="48" s="1"/>
  <c r="B12" i="48" s="1"/>
  <c r="B13" i="48" s="1"/>
  <c r="B14" i="48" s="1"/>
  <c r="B15" i="48" s="1"/>
  <c r="B16" i="48" s="1"/>
  <c r="B17" i="48" s="1"/>
  <c r="B18" i="48" s="1"/>
  <c r="B19" i="48" s="1"/>
  <c r="B20" i="48" s="1"/>
  <c r="B21" i="48" s="1"/>
  <c r="B22" i="48" s="1"/>
  <c r="B23" i="48" s="1"/>
  <c r="B24" i="48" s="1"/>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5" i="48" s="1"/>
  <c r="B46" i="48" s="1"/>
  <c r="B47" i="48" s="1"/>
  <c r="B48" i="48" s="1"/>
  <c r="B49" i="48" s="1"/>
  <c r="B50" i="48" s="1"/>
  <c r="B51" i="48" s="1"/>
  <c r="B52" i="48" s="1"/>
  <c r="B53" i="48" s="1"/>
  <c r="B54" i="48" s="1"/>
  <c r="B55" i="48" s="1"/>
  <c r="B56" i="48" s="1"/>
  <c r="B57" i="48" s="1"/>
  <c r="B58" i="48" s="1"/>
  <c r="B59" i="48" s="1"/>
  <c r="B60" i="48" s="1"/>
  <c r="B61" i="48" s="1"/>
  <c r="B62" i="48" s="1"/>
  <c r="B63" i="48" s="1"/>
  <c r="B64" i="48" s="1"/>
  <c r="B65" i="48" s="1"/>
  <c r="B66" i="48" s="1"/>
  <c r="B67" i="48" s="1"/>
  <c r="B68" i="48" s="1"/>
  <c r="B69" i="48" s="1"/>
  <c r="B70" i="48" s="1"/>
  <c r="B71" i="48" s="1"/>
  <c r="B72" i="48" s="1"/>
  <c r="B73" i="48" s="1"/>
  <c r="B74" i="48" s="1"/>
  <c r="B75" i="48" s="1"/>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29" i="48" s="1"/>
  <c r="B130" i="48" s="1"/>
  <c r="I4" i="48"/>
  <c r="I5" i="48" s="1"/>
  <c r="I6" i="48" s="1"/>
  <c r="I7" i="48" s="1"/>
  <c r="I8" i="48" s="1"/>
  <c r="I9" i="48" s="1"/>
  <c r="I10" i="48" s="1"/>
  <c r="I11" i="48" s="1"/>
  <c r="I12" i="48" s="1"/>
  <c r="I13" i="48" s="1"/>
  <c r="I14" i="48" s="1"/>
  <c r="I15" i="48" s="1"/>
  <c r="I16" i="48" s="1"/>
  <c r="I17" i="48" s="1"/>
  <c r="I18" i="48" s="1"/>
  <c r="I19" i="48" s="1"/>
  <c r="I20" i="48" s="1"/>
  <c r="I21" i="48" s="1"/>
  <c r="I22" i="48" s="1"/>
  <c r="I23" i="48" s="1"/>
  <c r="I24" i="48" s="1"/>
  <c r="I25" i="48" s="1"/>
  <c r="I26" i="48" s="1"/>
  <c r="I27" i="48" s="1"/>
  <c r="I28" i="48" s="1"/>
  <c r="I29" i="48" s="1"/>
  <c r="I30" i="48" s="1"/>
  <c r="I31" i="48" s="1"/>
  <c r="I32" i="48" s="1"/>
  <c r="I33" i="48" s="1"/>
  <c r="I34" i="48" s="1"/>
  <c r="I35" i="48" s="1"/>
  <c r="I36" i="48" s="1"/>
  <c r="I37" i="48" s="1"/>
  <c r="I38" i="48" s="1"/>
  <c r="I39" i="48" s="1"/>
  <c r="I40" i="48" s="1"/>
  <c r="I41" i="48" s="1"/>
  <c r="I42" i="48" s="1"/>
  <c r="I43" i="48" s="1"/>
  <c r="I44" i="48" s="1"/>
  <c r="I45" i="48" s="1"/>
  <c r="I46" i="48" s="1"/>
  <c r="I47" i="48" s="1"/>
  <c r="I48" i="48" s="1"/>
  <c r="I49" i="48" s="1"/>
  <c r="I50" i="48" s="1"/>
  <c r="I51" i="48" s="1"/>
  <c r="I52" i="48" s="1"/>
  <c r="I53" i="48" s="1"/>
  <c r="I54" i="48" s="1"/>
  <c r="I55" i="48" s="1"/>
  <c r="I56" i="48" s="1"/>
  <c r="I57" i="48" s="1"/>
  <c r="I58" i="48" s="1"/>
  <c r="I59" i="48" s="1"/>
  <c r="I60" i="48" s="1"/>
  <c r="I61" i="48" s="1"/>
  <c r="I62" i="48" s="1"/>
  <c r="I63" i="48" s="1"/>
  <c r="I64" i="48" s="1"/>
  <c r="I65" i="48" s="1"/>
  <c r="I66" i="48" s="1"/>
  <c r="I67" i="48" s="1"/>
  <c r="I68" i="48" s="1"/>
  <c r="I69" i="48" s="1"/>
  <c r="I70" i="48" s="1"/>
  <c r="I71" i="48" s="1"/>
  <c r="I72" i="48" s="1"/>
  <c r="I73" i="48" s="1"/>
  <c r="I74" i="48" s="1"/>
  <c r="I75" i="48" s="1"/>
  <c r="I76" i="48" s="1"/>
  <c r="I77" i="48" s="1"/>
  <c r="I78" i="48" s="1"/>
  <c r="I79" i="48" s="1"/>
  <c r="I80" i="48" s="1"/>
  <c r="I81" i="48" s="1"/>
  <c r="I82" i="48" s="1"/>
  <c r="I83" i="48" s="1"/>
  <c r="I84" i="48" s="1"/>
  <c r="I85" i="48" s="1"/>
  <c r="I86" i="48" s="1"/>
  <c r="I87" i="48" s="1"/>
  <c r="I88" i="48" s="1"/>
  <c r="I89" i="48" s="1"/>
  <c r="I90" i="48" s="1"/>
  <c r="I91" i="48" s="1"/>
  <c r="I92" i="48" s="1"/>
  <c r="I93" i="48" s="1"/>
  <c r="I94" i="48" s="1"/>
  <c r="I95" i="48" s="1"/>
  <c r="I96" i="48" s="1"/>
  <c r="I97" i="48" s="1"/>
  <c r="I98" i="48" s="1"/>
  <c r="I99" i="48" s="1"/>
  <c r="I100" i="48" s="1"/>
  <c r="I101" i="48" s="1"/>
  <c r="I102" i="48" s="1"/>
  <c r="I103" i="48" s="1"/>
  <c r="I104" i="48" s="1"/>
  <c r="I105" i="48" s="1"/>
  <c r="I106" i="48" s="1"/>
  <c r="I107" i="48" s="1"/>
  <c r="I108" i="48" s="1"/>
  <c r="I109" i="48" s="1"/>
  <c r="I110" i="48" s="1"/>
  <c r="I111" i="48" s="1"/>
  <c r="I112" i="48" s="1"/>
  <c r="I113" i="48" s="1"/>
  <c r="I114" i="48" s="1"/>
  <c r="I115" i="48" s="1"/>
  <c r="I116" i="48" s="1"/>
  <c r="I117" i="48" s="1"/>
  <c r="I118" i="48" s="1"/>
  <c r="I119" i="48" s="1"/>
  <c r="I120" i="48" s="1"/>
  <c r="I121" i="48" s="1"/>
  <c r="I122" i="48" s="1"/>
  <c r="I123" i="48" s="1"/>
  <c r="I124" i="48" s="1"/>
  <c r="I125" i="48" s="1"/>
  <c r="I126" i="48" s="1"/>
  <c r="I127" i="48" s="1"/>
  <c r="I128" i="48" s="1"/>
  <c r="I129" i="48" s="1"/>
  <c r="I130" i="48" s="1"/>
  <c r="J269" i="39" l="1"/>
  <c r="J268" i="39"/>
  <c r="J267" i="39"/>
  <c r="J266" i="39"/>
  <c r="K144" i="48"/>
  <c r="K143" i="48"/>
  <c r="K141" i="48"/>
  <c r="K132" i="48"/>
  <c r="K142" i="48"/>
  <c r="N264" i="39"/>
  <c r="N263" i="39"/>
  <c r="N262" i="39"/>
  <c r="N261" i="39"/>
  <c r="T4" i="39"/>
  <c r="T5" i="39" s="1"/>
  <c r="T6" i="39" s="1"/>
  <c r="T7" i="39" s="1"/>
  <c r="T8" i="39" s="1"/>
  <c r="T9" i="39" s="1"/>
  <c r="T10" i="39" s="1"/>
  <c r="T11" i="39" s="1"/>
  <c r="T12" i="39" s="1"/>
  <c r="T13" i="39" s="1"/>
  <c r="T14" i="39" s="1"/>
  <c r="T15" i="39" s="1"/>
  <c r="T16" i="39" s="1"/>
  <c r="T17" i="39" s="1"/>
  <c r="T18" i="39" s="1"/>
  <c r="T19" i="39" s="1"/>
  <c r="T20" i="39" s="1"/>
  <c r="T21" i="39" s="1"/>
  <c r="T22" i="39" s="1"/>
  <c r="T23" i="39" s="1"/>
  <c r="T24" i="39" s="1"/>
  <c r="T25" i="39" s="1"/>
  <c r="T26" i="39" s="1"/>
  <c r="T27" i="39" s="1"/>
  <c r="T28" i="39" s="1"/>
  <c r="T29" i="39" s="1"/>
  <c r="T30" i="39" s="1"/>
  <c r="T31" i="39" s="1"/>
  <c r="T32" i="39" s="1"/>
  <c r="T33" i="39" s="1"/>
  <c r="T34" i="39" s="1"/>
  <c r="T35" i="39" s="1"/>
  <c r="T36" i="39" s="1"/>
  <c r="T37" i="39" s="1"/>
  <c r="T38" i="39" s="1"/>
  <c r="T39" i="39" s="1"/>
  <c r="T40" i="39" s="1"/>
  <c r="T41" i="39" s="1"/>
  <c r="T42" i="39" s="1"/>
  <c r="T43" i="39" s="1"/>
  <c r="T44" i="39" s="1"/>
  <c r="T45" i="39" s="1"/>
  <c r="T46" i="39" s="1"/>
  <c r="T47" i="39" s="1"/>
  <c r="T48" i="39" s="1"/>
  <c r="T49" i="39" s="1"/>
  <c r="T50" i="39" s="1"/>
  <c r="T51" i="39" s="1"/>
  <c r="T52" i="39" s="1"/>
  <c r="T53" i="39" s="1"/>
  <c r="T54" i="39" s="1"/>
  <c r="T55" i="39" s="1"/>
  <c r="T56" i="39" s="1"/>
  <c r="T57" i="39" s="1"/>
  <c r="T58" i="39" s="1"/>
  <c r="T59" i="39" s="1"/>
  <c r="T60" i="39" s="1"/>
  <c r="T61" i="39" s="1"/>
  <c r="T62" i="39" s="1"/>
  <c r="T63" i="39" s="1"/>
  <c r="T64" i="39" s="1"/>
  <c r="T65" i="39" s="1"/>
  <c r="T66" i="39" s="1"/>
  <c r="T67" i="39" s="1"/>
  <c r="T68" i="39" s="1"/>
  <c r="T69" i="39" s="1"/>
  <c r="T70" i="39" s="1"/>
  <c r="T71" i="39" s="1"/>
  <c r="T72" i="39" s="1"/>
  <c r="T73" i="39" s="1"/>
  <c r="T74" i="39" s="1"/>
  <c r="T75" i="39" s="1"/>
  <c r="T76" i="39" s="1"/>
  <c r="T77" i="39" s="1"/>
  <c r="T78" i="39" s="1"/>
  <c r="T79" i="39" s="1"/>
  <c r="T80" i="39" s="1"/>
  <c r="T81" i="39" s="1"/>
  <c r="T82" i="39" s="1"/>
  <c r="T83" i="39" s="1"/>
  <c r="T84" i="39" s="1"/>
  <c r="T85" i="39" s="1"/>
  <c r="T86" i="39" s="1"/>
  <c r="T87" i="39" s="1"/>
  <c r="T88" i="39" s="1"/>
  <c r="T89" i="39" s="1"/>
  <c r="T90" i="39" s="1"/>
  <c r="T91" i="39" s="1"/>
  <c r="T92" i="39" s="1"/>
  <c r="T93" i="39" s="1"/>
  <c r="T94" i="39" s="1"/>
  <c r="T95" i="39" s="1"/>
  <c r="T96" i="39" s="1"/>
  <c r="T97" i="39" s="1"/>
  <c r="T98" i="39" s="1"/>
  <c r="T99" i="39" s="1"/>
  <c r="T100" i="39" s="1"/>
  <c r="T101" i="39" s="1"/>
  <c r="T102" i="39" s="1"/>
  <c r="T103" i="39" s="1"/>
  <c r="T104" i="39" s="1"/>
  <c r="T105" i="39" s="1"/>
  <c r="T106" i="39" s="1"/>
  <c r="T107" i="39" s="1"/>
  <c r="T108" i="39" s="1"/>
  <c r="T109" i="39" s="1"/>
  <c r="T110" i="39" s="1"/>
  <c r="T111" i="39" s="1"/>
  <c r="T112" i="39" s="1"/>
  <c r="T113" i="39" s="1"/>
  <c r="T114" i="39" s="1"/>
  <c r="T115" i="39" s="1"/>
  <c r="T116" i="39" s="1"/>
  <c r="T117" i="39" s="1"/>
  <c r="T118" i="39" s="1"/>
  <c r="T119" i="39" s="1"/>
  <c r="T120" i="39" s="1"/>
  <c r="T121" i="39" s="1"/>
  <c r="T122" i="39" s="1"/>
  <c r="T123" i="39" s="1"/>
  <c r="T124" i="39" s="1"/>
  <c r="T125" i="39" s="1"/>
  <c r="T126" i="39" s="1"/>
  <c r="T127" i="39" s="1"/>
  <c r="T128" i="39" s="1"/>
  <c r="T129" i="39" s="1"/>
  <c r="T130" i="39" s="1"/>
  <c r="M5" i="39"/>
  <c r="M6" i="39" s="1"/>
  <c r="M7" i="39" s="1"/>
  <c r="M8" i="39" s="1"/>
  <c r="M9" i="39" s="1"/>
  <c r="M10" i="39" s="1"/>
  <c r="M11" i="39" s="1"/>
  <c r="M12" i="39" s="1"/>
  <c r="M13" i="39" s="1"/>
  <c r="M14" i="39" s="1"/>
  <c r="M15" i="39" s="1"/>
  <c r="M16" i="39" s="1"/>
  <c r="M17" i="39" s="1"/>
  <c r="M18" i="39" s="1"/>
  <c r="M19" i="39" s="1"/>
  <c r="M20" i="39" s="1"/>
  <c r="M21" i="39" s="1"/>
  <c r="M22" i="39" s="1"/>
  <c r="M23" i="39" s="1"/>
  <c r="M24" i="39" s="1"/>
  <c r="M25" i="39" s="1"/>
  <c r="M26" i="39" s="1"/>
  <c r="M27" i="39" s="1"/>
  <c r="M28" i="39" s="1"/>
  <c r="M29" i="39" s="1"/>
  <c r="M30" i="39" s="1"/>
  <c r="M31" i="39" s="1"/>
  <c r="M32" i="39" s="1"/>
  <c r="M33" i="39" s="1"/>
  <c r="M34" i="39" s="1"/>
  <c r="M35" i="39" s="1"/>
  <c r="M36" i="39" s="1"/>
  <c r="M37" i="39" s="1"/>
  <c r="M38" i="39" s="1"/>
  <c r="M39" i="39" s="1"/>
  <c r="M40" i="39" s="1"/>
  <c r="M41" i="39" s="1"/>
  <c r="M42" i="39" s="1"/>
  <c r="M43" i="39" s="1"/>
  <c r="M44" i="39" s="1"/>
  <c r="M45" i="39" s="1"/>
  <c r="M46" i="39" s="1"/>
  <c r="M47" i="39" s="1"/>
  <c r="M48" i="39" s="1"/>
  <c r="M49" i="39" s="1"/>
  <c r="M50" i="39" s="1"/>
  <c r="M51" i="39" s="1"/>
  <c r="M52" i="39" s="1"/>
  <c r="M53" i="39" s="1"/>
  <c r="M54" i="39" s="1"/>
  <c r="M55" i="39" s="1"/>
  <c r="M56" i="39" s="1"/>
  <c r="M57" i="39" s="1"/>
  <c r="M58" i="39" s="1"/>
  <c r="M59" i="39" s="1"/>
  <c r="M60" i="39" s="1"/>
  <c r="M61" i="39" s="1"/>
  <c r="M62" i="39" s="1"/>
  <c r="M63" i="39" s="1"/>
  <c r="M64" i="39" s="1"/>
  <c r="M65" i="39" s="1"/>
  <c r="M66" i="39" s="1"/>
  <c r="M67" i="39" s="1"/>
  <c r="M68" i="39" s="1"/>
  <c r="M69" i="39" s="1"/>
  <c r="M70" i="39" s="1"/>
  <c r="M71" i="39" s="1"/>
  <c r="M72" i="39" s="1"/>
  <c r="M73" i="39" s="1"/>
  <c r="M74" i="39" s="1"/>
  <c r="M75" i="39" s="1"/>
  <c r="M76" i="39" s="1"/>
  <c r="M77" i="39" s="1"/>
  <c r="M78" i="39" s="1"/>
  <c r="M79" i="39" s="1"/>
  <c r="M80" i="39" s="1"/>
  <c r="M81" i="39" s="1"/>
  <c r="M82" i="39" s="1"/>
  <c r="M83" i="39" s="1"/>
  <c r="M84" i="39" s="1"/>
  <c r="M85" i="39" s="1"/>
  <c r="M86" i="39" s="1"/>
  <c r="M87" i="39" s="1"/>
  <c r="M88" i="39" s="1"/>
  <c r="M89" i="39" s="1"/>
  <c r="M90" i="39" s="1"/>
  <c r="M91" i="39" s="1"/>
  <c r="M92" i="39" s="1"/>
  <c r="M93" i="39" s="1"/>
  <c r="M94" i="39" s="1"/>
  <c r="M95" i="39" s="1"/>
  <c r="M96" i="39" s="1"/>
  <c r="M97" i="39" s="1"/>
  <c r="M98" i="39" s="1"/>
  <c r="M99" i="39" s="1"/>
  <c r="M100" i="39" s="1"/>
  <c r="M101" i="39" s="1"/>
  <c r="M102" i="39" s="1"/>
  <c r="M103" i="39" s="1"/>
  <c r="M104" i="39" s="1"/>
  <c r="M105" i="39" s="1"/>
  <c r="M106" i="39" s="1"/>
  <c r="M107" i="39" s="1"/>
  <c r="M108" i="39" s="1"/>
  <c r="M109" i="39" s="1"/>
  <c r="M110" i="39" s="1"/>
  <c r="M111" i="39" s="1"/>
  <c r="M112" i="39" s="1"/>
  <c r="M113" i="39" s="1"/>
  <c r="M114" i="39" s="1"/>
  <c r="M115" i="39" s="1"/>
  <c r="M116" i="39" s="1"/>
  <c r="M117" i="39" s="1"/>
  <c r="M118" i="39" s="1"/>
  <c r="M119" i="39" s="1"/>
  <c r="M120" i="39" s="1"/>
  <c r="M121" i="39" s="1"/>
  <c r="M122" i="39" s="1"/>
  <c r="M123" i="39" s="1"/>
  <c r="M124" i="39" s="1"/>
  <c r="M125" i="39" s="1"/>
  <c r="M126" i="39" s="1"/>
  <c r="M127" i="39" s="1"/>
  <c r="M128" i="39" s="1"/>
  <c r="M129" i="39" s="1"/>
  <c r="M130" i="39" s="1"/>
  <c r="P132" i="39"/>
  <c r="Q132" i="39"/>
  <c r="R132" i="39"/>
  <c r="S132" i="39"/>
  <c r="T132" i="39"/>
  <c r="U132" i="39"/>
  <c r="V132" i="39" l="1"/>
  <c r="T147" i="39" l="1"/>
  <c r="S146" i="39"/>
  <c r="S145" i="39"/>
  <c r="Q150" i="39"/>
  <c r="Q149" i="39"/>
  <c r="Q148" i="39"/>
  <c r="Q147" i="39"/>
  <c r="Q146" i="39"/>
  <c r="Q145" i="39"/>
  <c r="Q144" i="39"/>
  <c r="L220" i="47" l="1"/>
  <c r="G164" i="45" l="1"/>
  <c r="F164" i="45"/>
  <c r="E164" i="45"/>
  <c r="D164" i="45"/>
  <c r="O116" i="45"/>
  <c r="O115" i="45"/>
  <c r="B6" i="45"/>
  <c r="B7" i="45" s="1"/>
  <c r="B8" i="45" s="1"/>
  <c r="B9" i="45" s="1"/>
  <c r="B10" i="45" s="1"/>
  <c r="B11" i="45" s="1"/>
  <c r="B12" i="45" s="1"/>
  <c r="B13" i="45" s="1"/>
  <c r="B14" i="45" s="1"/>
  <c r="B15" i="45" s="1"/>
  <c r="B16" i="45" s="1"/>
  <c r="B17" i="45" s="1"/>
  <c r="B18" i="45" s="1"/>
  <c r="B19" i="45" s="1"/>
  <c r="B20" i="45" s="1"/>
  <c r="B21" i="45" s="1"/>
  <c r="B22" i="45" s="1"/>
  <c r="B23" i="45" s="1"/>
  <c r="B24" i="45" s="1"/>
  <c r="B25" i="45" s="1"/>
  <c r="B26" i="45" s="1"/>
  <c r="B27" i="45" s="1"/>
  <c r="B28" i="45" s="1"/>
  <c r="B29" i="45" s="1"/>
  <c r="B30" i="45" s="1"/>
  <c r="B31" i="45" s="1"/>
  <c r="B32" i="45" s="1"/>
  <c r="B33" i="45" s="1"/>
  <c r="B34" i="45" s="1"/>
  <c r="B35" i="45" s="1"/>
  <c r="B36" i="45" s="1"/>
  <c r="B37" i="45" s="1"/>
  <c r="B38" i="45" s="1"/>
  <c r="B39" i="45" s="1"/>
  <c r="B40" i="45" s="1"/>
  <c r="B41" i="45" s="1"/>
  <c r="B42" i="45" s="1"/>
  <c r="B43" i="45" s="1"/>
  <c r="B44" i="45" s="1"/>
  <c r="B45" i="45" s="1"/>
  <c r="B46" i="45" s="1"/>
  <c r="B47" i="45" s="1"/>
  <c r="B48" i="45" s="1"/>
  <c r="B49" i="45" s="1"/>
  <c r="B50" i="45" s="1"/>
  <c r="B51" i="45" s="1"/>
  <c r="B52" i="45" s="1"/>
  <c r="B53" i="45" s="1"/>
  <c r="B54" i="45" s="1"/>
  <c r="B55" i="45" s="1"/>
  <c r="B56" i="45" s="1"/>
  <c r="B57" i="45" s="1"/>
  <c r="B58" i="45" s="1"/>
  <c r="B59" i="45" s="1"/>
  <c r="B60" i="45" s="1"/>
  <c r="B61" i="45" s="1"/>
  <c r="B62" i="45" s="1"/>
  <c r="B63" i="45" s="1"/>
  <c r="B64" i="45" s="1"/>
  <c r="B65" i="45" s="1"/>
  <c r="B66" i="45" s="1"/>
  <c r="B67" i="45" s="1"/>
  <c r="B68" i="45" s="1"/>
  <c r="B69" i="45" s="1"/>
  <c r="B70" i="45" s="1"/>
  <c r="B71" i="45" s="1"/>
  <c r="B72" i="45" s="1"/>
  <c r="B73" i="45" s="1"/>
  <c r="B74" i="45" s="1"/>
  <c r="B75" i="45" s="1"/>
  <c r="B76" i="45" s="1"/>
  <c r="B77" i="45" s="1"/>
  <c r="B78" i="45" s="1"/>
  <c r="B79" i="45" s="1"/>
  <c r="B80" i="45" s="1"/>
  <c r="B81" i="45" s="1"/>
  <c r="B82" i="45" s="1"/>
  <c r="B83" i="45" s="1"/>
  <c r="B84" i="45" s="1"/>
  <c r="B85" i="45" s="1"/>
  <c r="B86" i="45" s="1"/>
  <c r="B87" i="45" s="1"/>
  <c r="B88" i="45" s="1"/>
  <c r="B89" i="45" s="1"/>
  <c r="B90" i="45" s="1"/>
  <c r="B91" i="45" s="1"/>
  <c r="B92" i="45" s="1"/>
  <c r="B93" i="45" s="1"/>
  <c r="B94" i="45" s="1"/>
  <c r="B95" i="45" s="1"/>
  <c r="B96" i="45" s="1"/>
  <c r="B97" i="45" s="1"/>
  <c r="B98" i="45" s="1"/>
  <c r="B99" i="45" s="1"/>
  <c r="B100" i="45" s="1"/>
  <c r="B101" i="45" s="1"/>
  <c r="B102" i="45" s="1"/>
  <c r="B103" i="45" s="1"/>
  <c r="B104" i="45" s="1"/>
  <c r="B105" i="45" s="1"/>
  <c r="B106" i="45" s="1"/>
  <c r="B107" i="45" s="1"/>
  <c r="B108" i="45" s="1"/>
  <c r="B109" i="45" s="1"/>
  <c r="B110" i="45" s="1"/>
  <c r="B111" i="45" s="1"/>
  <c r="B112" i="45" s="1"/>
  <c r="B113" i="45" s="1"/>
  <c r="B114" i="45" s="1"/>
  <c r="B115" i="45" s="1"/>
  <c r="B116" i="45" s="1"/>
  <c r="B117" i="45" s="1"/>
  <c r="B118" i="45" s="1"/>
  <c r="B119" i="45" s="1"/>
  <c r="B120" i="45" s="1"/>
  <c r="B121" i="45" s="1"/>
  <c r="B122" i="45" s="1"/>
  <c r="B123" i="45" s="1"/>
  <c r="B124" i="45" s="1"/>
  <c r="B125" i="45" s="1"/>
  <c r="B126" i="45" s="1"/>
  <c r="B127" i="45" s="1"/>
  <c r="B128" i="45" s="1"/>
  <c r="B129" i="45" s="1"/>
  <c r="B130" i="45" s="1"/>
  <c r="B131" i="45" s="1"/>
  <c r="B132" i="45" s="1"/>
  <c r="B133" i="45" s="1"/>
  <c r="B134" i="45" s="1"/>
  <c r="B135" i="45" s="1"/>
  <c r="B136" i="45" s="1"/>
  <c r="B137" i="45" s="1"/>
  <c r="B138" i="45" s="1"/>
  <c r="B139" i="45" s="1"/>
  <c r="B140" i="45" s="1"/>
  <c r="B141" i="45" s="1"/>
  <c r="B142" i="45" s="1"/>
  <c r="B143" i="45" s="1"/>
  <c r="B144" i="45" s="1"/>
  <c r="B145" i="45" s="1"/>
  <c r="B146" i="45" s="1"/>
  <c r="B147" i="45" s="1"/>
  <c r="B148" i="45" s="1"/>
  <c r="B149" i="45" s="1"/>
  <c r="B150" i="45" s="1"/>
  <c r="B151" i="45" s="1"/>
  <c r="B152" i="45" s="1"/>
  <c r="B153" i="45" s="1"/>
  <c r="B154" i="45" s="1"/>
  <c r="B155" i="45" s="1"/>
  <c r="B156" i="45" s="1"/>
  <c r="B157" i="45" s="1"/>
  <c r="B158" i="45" s="1"/>
  <c r="B159" i="45" s="1"/>
  <c r="B160" i="45" s="1"/>
  <c r="B161" i="45" s="1"/>
  <c r="I5" i="45"/>
  <c r="I6" i="45" s="1"/>
  <c r="I7" i="45" s="1"/>
  <c r="I8" i="45" s="1"/>
  <c r="I9" i="45" s="1"/>
  <c r="I10" i="45" s="1"/>
  <c r="I11" i="45" s="1"/>
  <c r="I12" i="45" s="1"/>
  <c r="I13" i="45" s="1"/>
  <c r="I14" i="45" s="1"/>
  <c r="I15" i="45" s="1"/>
  <c r="I16" i="45" s="1"/>
  <c r="I17" i="45" s="1"/>
  <c r="I18" i="45" s="1"/>
  <c r="I19" i="45" s="1"/>
  <c r="I20" i="45" s="1"/>
  <c r="I21" i="45" s="1"/>
  <c r="I22" i="45" s="1"/>
  <c r="I23" i="45" s="1"/>
  <c r="I24" i="45" s="1"/>
  <c r="I25" i="45" s="1"/>
  <c r="I26" i="45" s="1"/>
  <c r="I27" i="45" s="1"/>
  <c r="I28" i="45" s="1"/>
  <c r="I29" i="45" s="1"/>
  <c r="I30" i="45" s="1"/>
  <c r="I31" i="45" s="1"/>
  <c r="I32" i="45" s="1"/>
  <c r="I33" i="45" s="1"/>
  <c r="I34" i="45" s="1"/>
  <c r="I35" i="45" s="1"/>
  <c r="I36" i="45" s="1"/>
  <c r="I37" i="45" s="1"/>
  <c r="I38" i="45" s="1"/>
  <c r="I39" i="45" s="1"/>
  <c r="I40" i="45" s="1"/>
  <c r="I41" i="45" s="1"/>
  <c r="I42" i="45" s="1"/>
  <c r="I43" i="45" s="1"/>
  <c r="I44" i="45" s="1"/>
  <c r="I45" i="45" s="1"/>
  <c r="I46" i="45" s="1"/>
  <c r="I47" i="45" s="1"/>
  <c r="I48" i="45" s="1"/>
  <c r="I49" i="45" s="1"/>
  <c r="I50" i="45" s="1"/>
  <c r="I51" i="45" s="1"/>
  <c r="I52" i="45" s="1"/>
  <c r="I53" i="45" s="1"/>
  <c r="I54" i="45" s="1"/>
  <c r="I55" i="45" s="1"/>
  <c r="I56" i="45" s="1"/>
  <c r="I57" i="45" s="1"/>
  <c r="I58" i="45" s="1"/>
  <c r="I59" i="45" s="1"/>
  <c r="I60" i="45" s="1"/>
  <c r="I61" i="45" s="1"/>
  <c r="I62" i="45" s="1"/>
  <c r="I63" i="45" s="1"/>
  <c r="I64" i="45" s="1"/>
  <c r="I65" i="45" s="1"/>
  <c r="I66" i="45" s="1"/>
  <c r="I67" i="45" s="1"/>
  <c r="I68" i="45" s="1"/>
  <c r="I69" i="45" s="1"/>
  <c r="I70" i="45" s="1"/>
  <c r="I71" i="45" s="1"/>
  <c r="I72" i="45" s="1"/>
  <c r="I73" i="45" s="1"/>
  <c r="I74" i="45" s="1"/>
  <c r="I75" i="45" s="1"/>
  <c r="I76" i="45" s="1"/>
  <c r="I77" i="45" s="1"/>
  <c r="I78" i="45" s="1"/>
  <c r="I79" i="45" s="1"/>
  <c r="I80" i="45" s="1"/>
  <c r="I81" i="45" s="1"/>
  <c r="I82" i="45" s="1"/>
  <c r="I83" i="45" s="1"/>
  <c r="I84" i="45" s="1"/>
  <c r="I85" i="45" s="1"/>
  <c r="I86" i="45" s="1"/>
  <c r="I87" i="45" s="1"/>
  <c r="I88" i="45" s="1"/>
  <c r="I89" i="45" s="1"/>
  <c r="I90" i="45" s="1"/>
  <c r="I91" i="45" s="1"/>
  <c r="I92" i="45" s="1"/>
  <c r="I93" i="45" s="1"/>
  <c r="I94" i="45" s="1"/>
  <c r="I95" i="45" s="1"/>
  <c r="I96" i="45" s="1"/>
  <c r="I97" i="45" s="1"/>
  <c r="I98" i="45" s="1"/>
  <c r="I99" i="45" s="1"/>
  <c r="I100" i="45" s="1"/>
  <c r="I101" i="45" s="1"/>
  <c r="I102" i="45" s="1"/>
  <c r="I103" i="45" s="1"/>
  <c r="I104" i="45" s="1"/>
  <c r="I105" i="45" s="1"/>
  <c r="I106" i="45" s="1"/>
  <c r="I107" i="45" s="1"/>
  <c r="I108" i="45" s="1"/>
  <c r="I109" i="45" s="1"/>
  <c r="I110" i="45" s="1"/>
  <c r="I111" i="45" s="1"/>
  <c r="I112" i="45" s="1"/>
  <c r="I113" i="45" s="1"/>
  <c r="I114" i="45" s="1"/>
  <c r="I115" i="45" s="1"/>
  <c r="I116" i="45" s="1"/>
  <c r="I117" i="45" s="1"/>
  <c r="I118" i="45" s="1"/>
  <c r="I119" i="45" s="1"/>
  <c r="I120" i="45" s="1"/>
  <c r="I121" i="45" s="1"/>
  <c r="I122" i="45" s="1"/>
  <c r="I123" i="45" s="1"/>
  <c r="I124" i="45" s="1"/>
  <c r="I125" i="45" s="1"/>
  <c r="I126" i="45" s="1"/>
  <c r="I127" i="45" s="1"/>
  <c r="I128" i="45" s="1"/>
  <c r="I129" i="45" s="1"/>
  <c r="I130" i="45" s="1"/>
  <c r="I131" i="45" s="1"/>
  <c r="I132" i="45" s="1"/>
  <c r="I133" i="45" s="1"/>
  <c r="I134" i="45" s="1"/>
  <c r="I135" i="45" s="1"/>
  <c r="I136" i="45" s="1"/>
  <c r="I137" i="45" s="1"/>
  <c r="I138" i="45" s="1"/>
  <c r="I139" i="45" s="1"/>
  <c r="I140" i="45" s="1"/>
  <c r="I141" i="45" s="1"/>
  <c r="I142" i="45" s="1"/>
  <c r="I143" i="45" s="1"/>
  <c r="I144" i="45" s="1"/>
  <c r="I145" i="45" s="1"/>
  <c r="I146" i="45" s="1"/>
  <c r="I147" i="45" s="1"/>
  <c r="I148" i="45" s="1"/>
  <c r="I149" i="45" s="1"/>
  <c r="I150" i="45" s="1"/>
  <c r="I151" i="45" s="1"/>
  <c r="I152" i="45" s="1"/>
  <c r="I153" i="45" s="1"/>
  <c r="I154" i="45" s="1"/>
  <c r="I155" i="45" s="1"/>
  <c r="I156" i="45" s="1"/>
  <c r="I157" i="45" s="1"/>
  <c r="I158" i="45" s="1"/>
  <c r="I159" i="45" s="1"/>
  <c r="I160" i="45" s="1"/>
  <c r="I161" i="45" s="1"/>
  <c r="F257" i="39"/>
  <c r="E257" i="39"/>
  <c r="G254" i="39"/>
  <c r="G257" i="39" s="1"/>
  <c r="G16" i="39"/>
  <c r="D257" i="39" s="1"/>
  <c r="A5" i="39"/>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H4" i="39"/>
  <c r="H5" i="39" s="1"/>
  <c r="H6" i="39" s="1"/>
  <c r="H7" i="39" s="1"/>
  <c r="H8" i="39" s="1"/>
  <c r="H9" i="39" s="1"/>
  <c r="H10" i="39" s="1"/>
  <c r="H11" i="39" s="1"/>
  <c r="H12" i="39" s="1"/>
  <c r="H13" i="39" s="1"/>
  <c r="H14" i="39" s="1"/>
  <c r="H15" i="39" s="1"/>
  <c r="H16" i="39" s="1"/>
  <c r="H17" i="39" s="1"/>
  <c r="H18" i="39" s="1"/>
  <c r="H19" i="39" s="1"/>
  <c r="H20" i="39" s="1"/>
  <c r="H21" i="39" s="1"/>
  <c r="H22" i="39" s="1"/>
  <c r="H23" i="39" s="1"/>
  <c r="H24" i="39" s="1"/>
  <c r="H25" i="39" s="1"/>
  <c r="H26" i="39" s="1"/>
  <c r="H27" i="39" s="1"/>
  <c r="H28" i="39" s="1"/>
  <c r="H29" i="39" s="1"/>
  <c r="H30" i="39" s="1"/>
  <c r="H31" i="39" s="1"/>
  <c r="H32" i="39" s="1"/>
  <c r="H33" i="39" s="1"/>
  <c r="H34" i="39" s="1"/>
  <c r="H35" i="39" s="1"/>
  <c r="H36" i="39" s="1"/>
  <c r="H37" i="39" s="1"/>
  <c r="H38" i="39" s="1"/>
  <c r="H39" i="39" s="1"/>
  <c r="H40" i="39" s="1"/>
  <c r="H41" i="39" s="1"/>
  <c r="H42" i="39" s="1"/>
  <c r="H43" i="39" s="1"/>
  <c r="H44" i="39" s="1"/>
  <c r="H45" i="39" s="1"/>
  <c r="H46" i="39" s="1"/>
  <c r="H47" i="39" s="1"/>
  <c r="H48" i="39" s="1"/>
  <c r="H49" i="39" s="1"/>
  <c r="H50" i="39" s="1"/>
  <c r="H51" i="39" s="1"/>
  <c r="H52" i="39" s="1"/>
  <c r="H53" i="39" s="1"/>
  <c r="H54" i="39" s="1"/>
  <c r="H55" i="39" s="1"/>
  <c r="H56" i="39" s="1"/>
  <c r="H57" i="39" s="1"/>
  <c r="H58" i="39" s="1"/>
  <c r="H59" i="39" s="1"/>
  <c r="H60" i="39" s="1"/>
  <c r="H61" i="39" s="1"/>
  <c r="H62" i="39" s="1"/>
  <c r="H63" i="39" s="1"/>
  <c r="H64" i="39" s="1"/>
  <c r="H65" i="39" s="1"/>
  <c r="H66" i="39" s="1"/>
  <c r="H67" i="39" s="1"/>
  <c r="H68" i="39" s="1"/>
  <c r="H69" i="39" s="1"/>
  <c r="H70" i="39" s="1"/>
  <c r="H71" i="39" s="1"/>
  <c r="H72" i="39" s="1"/>
  <c r="H73" i="39" s="1"/>
  <c r="H74" i="39" s="1"/>
  <c r="H75" i="39" s="1"/>
  <c r="H76" i="39" s="1"/>
  <c r="H77" i="39" s="1"/>
  <c r="H78" i="39" s="1"/>
  <c r="H79" i="39" s="1"/>
  <c r="H80" i="39" s="1"/>
  <c r="H81" i="39" s="1"/>
  <c r="H82" i="39" s="1"/>
  <c r="H83" i="39" s="1"/>
  <c r="H84" i="39" s="1"/>
  <c r="H85" i="39" s="1"/>
  <c r="H86" i="39" s="1"/>
  <c r="H87" i="39" s="1"/>
  <c r="H88" i="39" s="1"/>
  <c r="H89" i="39" s="1"/>
  <c r="H90" i="39" s="1"/>
  <c r="H91" i="39" s="1"/>
  <c r="H92" i="39" s="1"/>
  <c r="H93" i="39" s="1"/>
  <c r="H94" i="39" s="1"/>
  <c r="H95" i="39" s="1"/>
  <c r="H96" i="39" s="1"/>
  <c r="H97" i="39" s="1"/>
  <c r="H98" i="39" s="1"/>
  <c r="H99" i="39" s="1"/>
  <c r="H100" i="39" s="1"/>
  <c r="H101" i="39" s="1"/>
  <c r="H102" i="39" s="1"/>
  <c r="H103" i="39" s="1"/>
  <c r="H104" i="39" s="1"/>
  <c r="H105" i="39" s="1"/>
  <c r="H106" i="39" s="1"/>
  <c r="H107" i="39" s="1"/>
  <c r="H108" i="39" s="1"/>
  <c r="H109" i="39" s="1"/>
  <c r="H110" i="39" s="1"/>
  <c r="H111" i="39" s="1"/>
  <c r="H112" i="39" s="1"/>
  <c r="H113" i="39" s="1"/>
  <c r="H114" i="39" s="1"/>
  <c r="H115" i="39" s="1"/>
  <c r="H116" i="39" s="1"/>
  <c r="H117" i="39" s="1"/>
  <c r="H118" i="39" s="1"/>
  <c r="H119" i="39" s="1"/>
  <c r="H120" i="39" s="1"/>
  <c r="H121" i="39" s="1"/>
  <c r="H122" i="39" s="1"/>
  <c r="H123" i="39" s="1"/>
  <c r="H124" i="39" s="1"/>
  <c r="H125" i="39" s="1"/>
  <c r="H126" i="39" s="1"/>
  <c r="H127" i="39" s="1"/>
  <c r="H128" i="39" s="1"/>
  <c r="H129" i="39" s="1"/>
  <c r="H130" i="39" s="1"/>
  <c r="H131" i="39" s="1"/>
  <c r="H132" i="39" s="1"/>
  <c r="H133" i="39" s="1"/>
  <c r="H134" i="39" s="1"/>
  <c r="H135" i="39" s="1"/>
  <c r="H136" i="39" s="1"/>
  <c r="H137" i="39" s="1"/>
  <c r="H138" i="39" s="1"/>
  <c r="H139" i="39" s="1"/>
  <c r="H140" i="39" s="1"/>
  <c r="H141" i="39" s="1"/>
  <c r="H142" i="39" s="1"/>
  <c r="H143" i="39" s="1"/>
  <c r="H144" i="39" s="1"/>
  <c r="H145" i="39" s="1"/>
  <c r="H146" i="39" s="1"/>
  <c r="H147" i="39" s="1"/>
  <c r="H148" i="39" s="1"/>
  <c r="H149" i="39" s="1"/>
  <c r="H150" i="39" s="1"/>
  <c r="H151" i="39" s="1"/>
  <c r="H152" i="39" s="1"/>
  <c r="H153" i="39" s="1"/>
  <c r="H154" i="39" s="1"/>
  <c r="H155" i="39" s="1"/>
  <c r="H156" i="39" s="1"/>
  <c r="H157" i="39" s="1"/>
  <c r="H158" i="39" s="1"/>
  <c r="H159" i="39" s="1"/>
  <c r="H160" i="39" s="1"/>
  <c r="H161" i="39" s="1"/>
  <c r="H162" i="39" s="1"/>
  <c r="H163" i="39" s="1"/>
  <c r="H164" i="39" s="1"/>
  <c r="H165" i="39" s="1"/>
  <c r="H166" i="39" s="1"/>
  <c r="H167" i="39" s="1"/>
  <c r="H168" i="39" s="1"/>
  <c r="H169" i="39" s="1"/>
  <c r="H170" i="39" s="1"/>
  <c r="H171" i="39" s="1"/>
  <c r="H172" i="39" s="1"/>
  <c r="H173" i="39" s="1"/>
  <c r="H174" i="39" s="1"/>
  <c r="H175" i="39" s="1"/>
  <c r="H176" i="39" s="1"/>
  <c r="H177" i="39" s="1"/>
  <c r="H178" i="39" s="1"/>
  <c r="H179" i="39" s="1"/>
  <c r="H180" i="39" s="1"/>
  <c r="H181" i="39" s="1"/>
  <c r="H182" i="39" s="1"/>
  <c r="H183" i="39" s="1"/>
  <c r="H184" i="39" s="1"/>
  <c r="H185" i="39" s="1"/>
  <c r="H186" i="39" s="1"/>
  <c r="H187" i="39" s="1"/>
  <c r="H188" i="39" s="1"/>
  <c r="H189" i="39" s="1"/>
  <c r="H190" i="39" s="1"/>
  <c r="H191" i="39" s="1"/>
  <c r="H192" i="39" s="1"/>
  <c r="H193" i="39" s="1"/>
  <c r="H194" i="39" s="1"/>
  <c r="H195" i="39" s="1"/>
  <c r="H196" i="39" s="1"/>
  <c r="H197" i="39" s="1"/>
  <c r="H198" i="39" s="1"/>
  <c r="H199" i="39" s="1"/>
  <c r="H200" i="39" s="1"/>
  <c r="H201" i="39" s="1"/>
  <c r="H202" i="39" s="1"/>
  <c r="H203" i="39" s="1"/>
  <c r="H204" i="39" s="1"/>
  <c r="H205" i="39" s="1"/>
  <c r="H206" i="39" s="1"/>
  <c r="H207" i="39" s="1"/>
  <c r="H208" i="39" s="1"/>
  <c r="H209" i="39" s="1"/>
  <c r="H210" i="39" s="1"/>
  <c r="H211" i="39" s="1"/>
  <c r="H212" i="39" s="1"/>
  <c r="H213" i="39" s="1"/>
  <c r="H214" i="39" s="1"/>
  <c r="H215" i="39" s="1"/>
  <c r="H216" i="39" s="1"/>
  <c r="H217" i="39" s="1"/>
  <c r="H218" i="39" s="1"/>
  <c r="H219" i="39" s="1"/>
  <c r="H220" i="39" s="1"/>
  <c r="H221" i="39" s="1"/>
  <c r="H222" i="39" s="1"/>
  <c r="H223" i="39" s="1"/>
  <c r="H224" i="39" s="1"/>
  <c r="H225" i="39" s="1"/>
  <c r="H226" i="39" s="1"/>
  <c r="H227" i="39" s="1"/>
  <c r="H228" i="39" s="1"/>
  <c r="H229" i="39" s="1"/>
  <c r="H230" i="39" s="1"/>
  <c r="H231" i="39" s="1"/>
  <c r="H232" i="39" s="1"/>
  <c r="H233" i="39" s="1"/>
  <c r="H234" i="39" s="1"/>
  <c r="H235" i="39" s="1"/>
  <c r="H236" i="39" s="1"/>
  <c r="H237" i="39" s="1"/>
  <c r="H238" i="39" s="1"/>
  <c r="H239" i="39" s="1"/>
  <c r="H240" i="39" s="1"/>
  <c r="H241" i="39" s="1"/>
  <c r="H242" i="39" s="1"/>
  <c r="H243" i="39" s="1"/>
  <c r="H244" i="39" s="1"/>
  <c r="H245" i="39" s="1"/>
  <c r="H246" i="39" s="1"/>
  <c r="H247" i="39" s="1"/>
  <c r="H248" i="39" s="1"/>
  <c r="H249" i="39" s="1"/>
  <c r="H250" i="39" s="1"/>
  <c r="H251" i="39" s="1"/>
  <c r="H252" i="39" s="1"/>
  <c r="H253" i="39" s="1"/>
  <c r="H254" i="39" s="1"/>
  <c r="H255" i="39" s="1"/>
  <c r="J136" i="38"/>
  <c r="J135" i="38"/>
  <c r="J134" i="38"/>
  <c r="J133" i="38"/>
  <c r="J132" i="38"/>
  <c r="J131" i="38"/>
  <c r="J130" i="38"/>
  <c r="J129" i="38"/>
  <c r="H129" i="38"/>
  <c r="J128" i="38"/>
  <c r="J127" i="38"/>
  <c r="J126" i="38"/>
  <c r="H126" i="38"/>
  <c r="J125" i="38"/>
  <c r="J124" i="38"/>
  <c r="H124" i="38"/>
  <c r="P123" i="38"/>
  <c r="J123" i="38"/>
  <c r="J122" i="38"/>
  <c r="J121" i="38"/>
  <c r="J120" i="38"/>
  <c r="J119" i="38"/>
  <c r="H119" i="38"/>
  <c r="J118" i="38"/>
  <c r="J117" i="38"/>
  <c r="J116" i="38"/>
  <c r="J115" i="38"/>
  <c r="J114" i="38"/>
  <c r="J113" i="38"/>
  <c r="J112" i="38"/>
  <c r="J111" i="38"/>
  <c r="H111" i="38"/>
  <c r="J110" i="38"/>
  <c r="J109" i="38"/>
  <c r="J108" i="38"/>
  <c r="J107" i="38"/>
  <c r="J106" i="38"/>
  <c r="J105" i="38"/>
  <c r="J104" i="38"/>
  <c r="J103" i="38"/>
  <c r="J102" i="38"/>
  <c r="J101" i="38"/>
  <c r="J100" i="38"/>
  <c r="J99" i="38"/>
  <c r="J98" i="38"/>
  <c r="H98" i="38"/>
  <c r="J97" i="38"/>
  <c r="J96" i="38"/>
  <c r="J95" i="38"/>
  <c r="J94" i="38"/>
  <c r="J93" i="38"/>
  <c r="J92" i="38"/>
  <c r="J91" i="38"/>
  <c r="J90" i="38"/>
  <c r="J89" i="38"/>
  <c r="J88" i="38"/>
  <c r="J87" i="38"/>
  <c r="J86" i="38"/>
  <c r="J85" i="38"/>
  <c r="H85" i="38"/>
  <c r="J84" i="38"/>
  <c r="J83" i="38"/>
  <c r="J82" i="38"/>
  <c r="J81" i="38"/>
  <c r="J80" i="38"/>
  <c r="H80" i="38"/>
  <c r="J79" i="38"/>
  <c r="J78" i="38"/>
  <c r="J77" i="38"/>
  <c r="J76" i="38"/>
  <c r="J75" i="38"/>
  <c r="H75" i="38"/>
  <c r="J74" i="38"/>
  <c r="J73" i="38"/>
  <c r="J72" i="38"/>
  <c r="H72" i="38"/>
  <c r="J71" i="38"/>
  <c r="J70" i="38"/>
  <c r="J69" i="38"/>
  <c r="J68" i="38"/>
  <c r="J67" i="38"/>
  <c r="J66" i="38"/>
  <c r="J65" i="38"/>
  <c r="J64" i="38"/>
  <c r="J63" i="38"/>
  <c r="J62" i="38"/>
  <c r="J61" i="38"/>
  <c r="J60" i="38"/>
  <c r="J59" i="38"/>
  <c r="J58" i="38"/>
  <c r="J57" i="38"/>
  <c r="J56" i="38"/>
  <c r="J55" i="38"/>
  <c r="J54" i="38"/>
  <c r="J53" i="38"/>
  <c r="H53" i="38"/>
  <c r="J52" i="38"/>
  <c r="J51" i="38"/>
  <c r="J50" i="38"/>
  <c r="J49" i="38"/>
  <c r="J48" i="38"/>
  <c r="J47" i="38"/>
  <c r="J46" i="38"/>
  <c r="J45" i="38"/>
  <c r="J44" i="38"/>
  <c r="J43" i="38"/>
  <c r="J42" i="38"/>
  <c r="J41" i="38"/>
  <c r="J40" i="38"/>
  <c r="J39" i="38"/>
  <c r="J38" i="38"/>
  <c r="H38" i="38"/>
  <c r="E138" i="38" s="1"/>
  <c r="J37" i="38"/>
  <c r="J36" i="38"/>
  <c r="J35" i="38"/>
  <c r="J34" i="38"/>
  <c r="J33" i="38"/>
  <c r="J32" i="38"/>
  <c r="J31" i="38"/>
  <c r="J30" i="38"/>
  <c r="J29" i="38"/>
  <c r="J28" i="38"/>
  <c r="J27" i="38"/>
  <c r="J26" i="38"/>
  <c r="J25" i="38"/>
  <c r="J24" i="38"/>
  <c r="J23" i="38"/>
  <c r="J22" i="38"/>
  <c r="J21" i="38"/>
  <c r="J20" i="38"/>
  <c r="J19" i="38"/>
  <c r="J18" i="38"/>
  <c r="J17" i="38"/>
  <c r="J16" i="38"/>
  <c r="J15" i="38"/>
  <c r="J14" i="38"/>
  <c r="H14" i="38"/>
  <c r="J13" i="38"/>
  <c r="J12" i="38"/>
  <c r="J11" i="38"/>
  <c r="J10" i="38"/>
  <c r="J9" i="38"/>
  <c r="J8" i="38"/>
  <c r="J7" i="38"/>
  <c r="J6" i="38"/>
  <c r="B6" i="38"/>
  <c r="B7" i="38" s="1"/>
  <c r="B8" i="38" s="1"/>
  <c r="B9" i="38" s="1"/>
  <c r="B10" i="38" s="1"/>
  <c r="B11" i="38" s="1"/>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59" i="38" s="1"/>
  <c r="B60" i="38" s="1"/>
  <c r="B61" i="38" s="1"/>
  <c r="B62" i="38" s="1"/>
  <c r="B63" i="38" s="1"/>
  <c r="B64" i="38" s="1"/>
  <c r="B65" i="38" s="1"/>
  <c r="B66" i="38" s="1"/>
  <c r="B67" i="38" s="1"/>
  <c r="B68" i="38" s="1"/>
  <c r="B69" i="38" s="1"/>
  <c r="B70" i="38" s="1"/>
  <c r="B71" i="38" s="1"/>
  <c r="B72" i="38" s="1"/>
  <c r="B73" i="38" s="1"/>
  <c r="B74" i="38" s="1"/>
  <c r="B75" i="38" s="1"/>
  <c r="B76" i="38" s="1"/>
  <c r="B77" i="38" s="1"/>
  <c r="B78" i="38" s="1"/>
  <c r="B79" i="38" s="1"/>
  <c r="B80" i="38" s="1"/>
  <c r="B81" i="38" s="1"/>
  <c r="B82" i="38" s="1"/>
  <c r="B83" i="38" s="1"/>
  <c r="B84" i="38" s="1"/>
  <c r="B85" i="38" s="1"/>
  <c r="B86" i="38" s="1"/>
  <c r="B87" i="38" s="1"/>
  <c r="B88" i="38" s="1"/>
  <c r="B89" i="38" s="1"/>
  <c r="B90" i="38" s="1"/>
  <c r="B91" i="38" s="1"/>
  <c r="B92" i="38" s="1"/>
  <c r="B93" i="38" s="1"/>
  <c r="B94" i="38" s="1"/>
  <c r="B95" i="38" s="1"/>
  <c r="B96" i="38" s="1"/>
  <c r="B97" i="38" s="1"/>
  <c r="B98" i="38" s="1"/>
  <c r="B99" i="38" s="1"/>
  <c r="B100" i="38" s="1"/>
  <c r="B101" i="38" s="1"/>
  <c r="B102" i="38" s="1"/>
  <c r="B103" i="38" s="1"/>
  <c r="B104" i="38" s="1"/>
  <c r="B105" i="38" s="1"/>
  <c r="B106" i="38" s="1"/>
  <c r="B107" i="38" s="1"/>
  <c r="B108" i="38" s="1"/>
  <c r="B109" i="38" s="1"/>
  <c r="B110" i="38" s="1"/>
  <c r="B111" i="38" s="1"/>
  <c r="B112" i="38" s="1"/>
  <c r="B113" i="38" s="1"/>
  <c r="B114" i="38" s="1"/>
  <c r="B115" i="38" s="1"/>
  <c r="B116" i="38" s="1"/>
  <c r="B117" i="38" s="1"/>
  <c r="B118" i="38" s="1"/>
  <c r="B119" i="38" s="1"/>
  <c r="B120" i="38" s="1"/>
  <c r="B121" i="38" s="1"/>
  <c r="B122" i="38" s="1"/>
  <c r="B123" i="38" s="1"/>
  <c r="B124" i="38" s="1"/>
  <c r="B125" i="38" s="1"/>
  <c r="B126" i="38" s="1"/>
  <c r="B127" i="38" s="1"/>
  <c r="B128" i="38" s="1"/>
  <c r="B129" i="38" s="1"/>
  <c r="B130" i="38" s="1"/>
  <c r="B131" i="38" s="1"/>
  <c r="B132" i="38" s="1"/>
  <c r="B133" i="38" s="1"/>
  <c r="B134" i="38" s="1"/>
  <c r="B135" i="38" s="1"/>
  <c r="B136" i="38" s="1"/>
  <c r="J5" i="38"/>
  <c r="I5" i="38"/>
  <c r="I6" i="38" s="1"/>
  <c r="I7" i="38" s="1"/>
  <c r="I8" i="38" s="1"/>
  <c r="I9" i="38" s="1"/>
  <c r="I10" i="38" s="1"/>
  <c r="I11" i="38" s="1"/>
  <c r="I12" i="38" s="1"/>
  <c r="I13" i="38" s="1"/>
  <c r="I14" i="38" s="1"/>
  <c r="I15" i="38" s="1"/>
  <c r="I16" i="38" s="1"/>
  <c r="I17" i="38" s="1"/>
  <c r="I18" i="38" s="1"/>
  <c r="I19" i="38" s="1"/>
  <c r="I20" i="38" s="1"/>
  <c r="I21" i="38" s="1"/>
  <c r="I22" i="38" s="1"/>
  <c r="I23" i="38" s="1"/>
  <c r="I24" i="38" s="1"/>
  <c r="I25" i="38" s="1"/>
  <c r="I26" i="38" s="1"/>
  <c r="I27" i="38" s="1"/>
  <c r="I28" i="38" s="1"/>
  <c r="I29" i="38" s="1"/>
  <c r="I30" i="38" s="1"/>
  <c r="I31" i="38" s="1"/>
  <c r="I32" i="38" s="1"/>
  <c r="I33" i="38" s="1"/>
  <c r="I34" i="38" s="1"/>
  <c r="I35" i="38" s="1"/>
  <c r="I36" i="38" s="1"/>
  <c r="I37" i="38" s="1"/>
  <c r="G128" i="35"/>
  <c r="F128" i="35"/>
  <c r="E128" i="35"/>
  <c r="K125" i="35"/>
  <c r="G125" i="35"/>
  <c r="K124" i="35"/>
  <c r="K123" i="35"/>
  <c r="K122" i="35"/>
  <c r="K121" i="35"/>
  <c r="G121" i="35"/>
  <c r="K120" i="35"/>
  <c r="G120" i="35"/>
  <c r="K119" i="35"/>
  <c r="G119" i="35"/>
  <c r="K118" i="35"/>
  <c r="K117" i="35"/>
  <c r="K116" i="35"/>
  <c r="K115" i="35"/>
  <c r="K114" i="35"/>
  <c r="K113" i="35"/>
  <c r="K112" i="35"/>
  <c r="K111" i="35"/>
  <c r="K110" i="35"/>
  <c r="K109" i="35"/>
  <c r="K108" i="35"/>
  <c r="K107" i="35"/>
  <c r="K106" i="35"/>
  <c r="K105" i="35"/>
  <c r="G105" i="35"/>
  <c r="K104" i="35"/>
  <c r="K103" i="35"/>
  <c r="G103" i="35"/>
  <c r="K102" i="35"/>
  <c r="G102" i="35"/>
  <c r="K101" i="35"/>
  <c r="K100" i="35"/>
  <c r="K99" i="35"/>
  <c r="K98" i="35"/>
  <c r="K97" i="35"/>
  <c r="K96" i="35"/>
  <c r="K95" i="35"/>
  <c r="K94" i="35"/>
  <c r="K93" i="35"/>
  <c r="K92" i="35"/>
  <c r="G92" i="35"/>
  <c r="K91" i="35"/>
  <c r="G91" i="35"/>
  <c r="K90" i="35"/>
  <c r="G90" i="35"/>
  <c r="K89" i="35"/>
  <c r="G89" i="35"/>
  <c r="K88" i="35"/>
  <c r="K87" i="35"/>
  <c r="K86" i="35"/>
  <c r="K85" i="35"/>
  <c r="K84" i="35"/>
  <c r="G84" i="35"/>
  <c r="K83" i="35"/>
  <c r="K82" i="35"/>
  <c r="G82" i="35"/>
  <c r="K81" i="35"/>
  <c r="G81" i="35"/>
  <c r="K80" i="35"/>
  <c r="K79" i="35"/>
  <c r="K78" i="35"/>
  <c r="G78" i="35"/>
  <c r="K77" i="35"/>
  <c r="K76" i="35"/>
  <c r="K75" i="35"/>
  <c r="K74" i="35"/>
  <c r="G74" i="35"/>
  <c r="K73" i="35"/>
  <c r="K72" i="35"/>
  <c r="K71" i="35"/>
  <c r="K70" i="35"/>
  <c r="K69" i="35"/>
  <c r="G69" i="35"/>
  <c r="K68" i="35"/>
  <c r="K67" i="35"/>
  <c r="K66" i="35"/>
  <c r="K65" i="35"/>
  <c r="K64" i="35"/>
  <c r="K63" i="35"/>
  <c r="K62" i="35"/>
  <c r="K61" i="35"/>
  <c r="K60" i="35"/>
  <c r="K59" i="35"/>
  <c r="K58" i="35"/>
  <c r="K57" i="35"/>
  <c r="K56" i="35"/>
  <c r="K55" i="35"/>
  <c r="K54" i="35"/>
  <c r="K53" i="35"/>
  <c r="K52" i="35"/>
  <c r="G52" i="35"/>
  <c r="K51" i="35"/>
  <c r="K50" i="35"/>
  <c r="G50" i="35"/>
  <c r="K49" i="35"/>
  <c r="K48" i="35"/>
  <c r="K47" i="35"/>
  <c r="K46" i="35"/>
  <c r="G46" i="35"/>
  <c r="K45" i="35"/>
  <c r="K44" i="35"/>
  <c r="K43" i="35"/>
  <c r="K42" i="35"/>
  <c r="K41" i="35"/>
  <c r="K40" i="35"/>
  <c r="K39" i="35"/>
  <c r="G39" i="35"/>
  <c r="K38" i="35"/>
  <c r="K37" i="35"/>
  <c r="G37" i="35"/>
  <c r="K36" i="35"/>
  <c r="G36" i="35"/>
  <c r="K35" i="35"/>
  <c r="I35" i="35"/>
  <c r="K34" i="35"/>
  <c r="K33" i="35"/>
  <c r="K32" i="35"/>
  <c r="K31" i="35"/>
  <c r="K30" i="35"/>
  <c r="G30" i="35"/>
  <c r="K29" i="35"/>
  <c r="K28" i="35"/>
  <c r="K27" i="35"/>
  <c r="G27" i="35"/>
  <c r="K26" i="35"/>
  <c r="K25" i="35"/>
  <c r="K23" i="35"/>
  <c r="K22" i="35"/>
  <c r="G22" i="35"/>
  <c r="K21" i="35"/>
  <c r="K20" i="35"/>
  <c r="K19" i="35"/>
  <c r="K18" i="35"/>
  <c r="G18" i="35"/>
  <c r="K17" i="35"/>
  <c r="K16" i="35"/>
  <c r="K14" i="35"/>
  <c r="K13" i="35"/>
  <c r="G13" i="35"/>
  <c r="K12" i="35"/>
  <c r="G12" i="35"/>
  <c r="K11" i="35"/>
  <c r="K10" i="35"/>
  <c r="K9" i="35"/>
  <c r="K8" i="35"/>
  <c r="K7" i="35"/>
  <c r="K6" i="35"/>
  <c r="G6" i="35"/>
  <c r="C6" i="35"/>
  <c r="C7" i="35" s="1"/>
  <c r="C8" i="35" s="1"/>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C53" i="35" s="1"/>
  <c r="C54" i="35" s="1"/>
  <c r="C55" i="35" s="1"/>
  <c r="C56" i="35" s="1"/>
  <c r="C57" i="35" s="1"/>
  <c r="C58" i="35" s="1"/>
  <c r="C59" i="35" s="1"/>
  <c r="C60" i="35" s="1"/>
  <c r="C61" i="35" s="1"/>
  <c r="C62" i="35" s="1"/>
  <c r="C63" i="35" s="1"/>
  <c r="C64" i="35" s="1"/>
  <c r="C65" i="35" s="1"/>
  <c r="C66" i="35" s="1"/>
  <c r="C67" i="35" s="1"/>
  <c r="C68" i="35" s="1"/>
  <c r="C69" i="35" s="1"/>
  <c r="C70" i="35" s="1"/>
  <c r="C71" i="35" s="1"/>
  <c r="C72" i="35" s="1"/>
  <c r="C73" i="35" s="1"/>
  <c r="C74" i="35" s="1"/>
  <c r="C75" i="35" s="1"/>
  <c r="C76" i="35" s="1"/>
  <c r="C77" i="35" s="1"/>
  <c r="C78" i="35" s="1"/>
  <c r="C79" i="35" s="1"/>
  <c r="C80" i="35" s="1"/>
  <c r="C81" i="35" s="1"/>
  <c r="C82" i="35" s="1"/>
  <c r="C83" i="35" s="1"/>
  <c r="C84" i="35" s="1"/>
  <c r="C85" i="35" s="1"/>
  <c r="C86" i="35" s="1"/>
  <c r="C87" i="35" s="1"/>
  <c r="C88" i="35" s="1"/>
  <c r="C89" i="35" s="1"/>
  <c r="C90" i="35" s="1"/>
  <c r="C91" i="35" s="1"/>
  <c r="C92" i="35" s="1"/>
  <c r="C93" i="35" s="1"/>
  <c r="C94" i="35" s="1"/>
  <c r="C95" i="35" s="1"/>
  <c r="C96" i="35" s="1"/>
  <c r="C97" i="35" s="1"/>
  <c r="C98" i="35" s="1"/>
  <c r="C99" i="35" s="1"/>
  <c r="C100" i="35" s="1"/>
  <c r="C101" i="35" s="1"/>
  <c r="C102" i="35" s="1"/>
  <c r="C103" i="35" s="1"/>
  <c r="C104" i="35" s="1"/>
  <c r="C105" i="35" s="1"/>
  <c r="C106" i="35" s="1"/>
  <c r="C107" i="35" s="1"/>
  <c r="C108" i="35" s="1"/>
  <c r="C109" i="35" s="1"/>
  <c r="C110" i="35" s="1"/>
  <c r="C111" i="35" s="1"/>
  <c r="C112" i="35" s="1"/>
  <c r="C113" i="35" s="1"/>
  <c r="C114" i="35" s="1"/>
  <c r="C115" i="35" s="1"/>
  <c r="C116" i="35" s="1"/>
  <c r="C117" i="35" s="1"/>
  <c r="C118" i="35" s="1"/>
  <c r="C119" i="35" s="1"/>
  <c r="C120" i="35" s="1"/>
  <c r="C121" i="35" s="1"/>
  <c r="C122" i="35" s="1"/>
  <c r="C123" i="35" s="1"/>
  <c r="C124" i="35" s="1"/>
  <c r="C125" i="35" s="1"/>
  <c r="K5" i="35"/>
  <c r="J5" i="35"/>
  <c r="J6" i="35" s="1"/>
  <c r="J7" i="35" s="1"/>
  <c r="J8" i="35" s="1"/>
  <c r="J9" i="35" s="1"/>
  <c r="J10" i="35" s="1"/>
  <c r="J11" i="35" s="1"/>
  <c r="J12" i="35" s="1"/>
  <c r="J13" i="35" s="1"/>
  <c r="J14" i="35" s="1"/>
  <c r="J15" i="35" s="1"/>
  <c r="J16" i="35" s="1"/>
  <c r="J17" i="35" s="1"/>
  <c r="J18" i="35" s="1"/>
  <c r="J19" i="35" s="1"/>
  <c r="J20" i="35" s="1"/>
  <c r="J21" i="35" s="1"/>
  <c r="J22" i="35" s="1"/>
  <c r="J23" i="35" s="1"/>
  <c r="J24" i="35" s="1"/>
  <c r="J25" i="35" s="1"/>
  <c r="J26" i="35" s="1"/>
  <c r="J27" i="35" s="1"/>
  <c r="J28" i="35" s="1"/>
  <c r="J29" i="35" s="1"/>
  <c r="J30" i="35" s="1"/>
  <c r="J31" i="35" s="1"/>
  <c r="J32" i="35" s="1"/>
  <c r="J33" i="35" s="1"/>
  <c r="J34" i="35" s="1"/>
  <c r="J35" i="35" s="1"/>
  <c r="J36" i="35" s="1"/>
  <c r="J37" i="35" s="1"/>
  <c r="J38" i="35" s="1"/>
  <c r="J39" i="35" s="1"/>
  <c r="J40" i="35" s="1"/>
  <c r="J41" i="35" s="1"/>
  <c r="J42" i="35" s="1"/>
  <c r="J43" i="35" s="1"/>
  <c r="J44" i="35" s="1"/>
  <c r="J45" i="35" s="1"/>
  <c r="J46" i="35" s="1"/>
  <c r="J47" i="35" s="1"/>
  <c r="J48" i="35" s="1"/>
  <c r="J49" i="35" s="1"/>
  <c r="J50" i="35" s="1"/>
  <c r="J51" i="35" s="1"/>
  <c r="J52" i="35" s="1"/>
  <c r="J53" i="35" s="1"/>
  <c r="J54" i="35" s="1"/>
  <c r="J55" i="35" s="1"/>
  <c r="J56" i="35" s="1"/>
  <c r="J57" i="35" s="1"/>
  <c r="J58" i="35" s="1"/>
  <c r="J59" i="35" s="1"/>
  <c r="J60" i="35" s="1"/>
  <c r="J61" i="35" s="1"/>
  <c r="J62" i="35" s="1"/>
  <c r="J63" i="35" s="1"/>
  <c r="J64" i="35" s="1"/>
  <c r="J65" i="35" s="1"/>
  <c r="J66" i="35" s="1"/>
  <c r="J67" i="35" s="1"/>
  <c r="J68" i="35" s="1"/>
  <c r="J69" i="35" s="1"/>
  <c r="J70" i="35" s="1"/>
  <c r="J71" i="35" s="1"/>
  <c r="J72" i="35" s="1"/>
  <c r="J73" i="35" s="1"/>
  <c r="J74" i="35" s="1"/>
  <c r="J75" i="35" s="1"/>
  <c r="J76" i="35" s="1"/>
  <c r="J77" i="35" s="1"/>
  <c r="J78" i="35" s="1"/>
  <c r="J79" i="35" s="1"/>
  <c r="J80" i="35" s="1"/>
  <c r="J81" i="35" s="1"/>
  <c r="J82" i="35" s="1"/>
  <c r="J83" i="35" s="1"/>
  <c r="J84" i="35" s="1"/>
  <c r="J85" i="35" s="1"/>
  <c r="J86" i="35" s="1"/>
  <c r="J87" i="35" s="1"/>
  <c r="J88" i="35" s="1"/>
  <c r="J89" i="35" s="1"/>
  <c r="J90" i="35" s="1"/>
  <c r="J91" i="35" s="1"/>
  <c r="J92" i="35" s="1"/>
  <c r="J93" i="35" s="1"/>
  <c r="J94" i="35" s="1"/>
  <c r="J95" i="35" s="1"/>
  <c r="J96" i="35" s="1"/>
  <c r="J97" i="35" s="1"/>
  <c r="J98" i="35" s="1"/>
  <c r="J99" i="35" s="1"/>
  <c r="J100" i="35" s="1"/>
  <c r="J101" i="35" s="1"/>
  <c r="J102" i="35" s="1"/>
  <c r="J103" i="35" s="1"/>
  <c r="J104" i="35" s="1"/>
  <c r="J105" i="35" s="1"/>
  <c r="J106" i="35" s="1"/>
  <c r="J107" i="35" s="1"/>
  <c r="J108" i="35" s="1"/>
  <c r="J109" i="35" s="1"/>
  <c r="J110" i="35" s="1"/>
  <c r="J111" i="35" s="1"/>
  <c r="J112" i="35" s="1"/>
  <c r="J113" i="35" s="1"/>
  <c r="J114" i="35" s="1"/>
  <c r="J115" i="35" s="1"/>
  <c r="J116" i="35" s="1"/>
  <c r="J117" i="35" s="1"/>
  <c r="J118" i="35" s="1"/>
  <c r="J119" i="35" s="1"/>
  <c r="J120" i="35" s="1"/>
  <c r="J121" i="35" s="1"/>
  <c r="J122" i="35" s="1"/>
  <c r="J123" i="35" s="1"/>
  <c r="J124" i="35" s="1"/>
  <c r="J125" i="35" s="1"/>
  <c r="I189" i="34"/>
  <c r="H189" i="34"/>
  <c r="G189" i="34"/>
  <c r="F189" i="34"/>
  <c r="E189" i="34"/>
  <c r="L187" i="34"/>
  <c r="L186" i="34"/>
  <c r="L185" i="34"/>
  <c r="L184" i="34"/>
  <c r="L183" i="34"/>
  <c r="L182" i="34"/>
  <c r="H182" i="34"/>
  <c r="L181" i="34"/>
  <c r="L180" i="34"/>
  <c r="H180" i="34"/>
  <c r="L179" i="34"/>
  <c r="H179" i="34"/>
  <c r="L178" i="34"/>
  <c r="H178" i="34"/>
  <c r="L177" i="34"/>
  <c r="H177" i="34"/>
  <c r="L176" i="34"/>
  <c r="H176" i="34"/>
  <c r="L175" i="34"/>
  <c r="H175" i="34"/>
  <c r="L174" i="34"/>
  <c r="H174" i="34"/>
  <c r="L173" i="34"/>
  <c r="H173" i="34"/>
  <c r="L172" i="34"/>
  <c r="H172" i="34"/>
  <c r="L171" i="34"/>
  <c r="H171" i="34"/>
  <c r="P170" i="34"/>
  <c r="L170" i="34"/>
  <c r="L169" i="34"/>
  <c r="L168" i="34"/>
  <c r="L167" i="34"/>
  <c r="P166" i="34"/>
  <c r="L166" i="34"/>
  <c r="L165" i="34"/>
  <c r="H165" i="34"/>
  <c r="L164" i="34"/>
  <c r="P163" i="34"/>
  <c r="L163" i="34"/>
  <c r="H163" i="34"/>
  <c r="P162" i="34"/>
  <c r="L162" i="34"/>
  <c r="L161" i="34"/>
  <c r="H161" i="34"/>
  <c r="L160" i="34"/>
  <c r="H160" i="34"/>
  <c r="L159" i="34"/>
  <c r="L158" i="34"/>
  <c r="L157" i="34"/>
  <c r="L156" i="34"/>
  <c r="H156" i="34"/>
  <c r="L155" i="34"/>
  <c r="L154" i="34"/>
  <c r="H154" i="34"/>
  <c r="L153" i="34"/>
  <c r="L152" i="34"/>
  <c r="H152" i="34"/>
  <c r="L151" i="34"/>
  <c r="H151" i="34"/>
  <c r="L150" i="34"/>
  <c r="L149" i="34"/>
  <c r="L148" i="34"/>
  <c r="H148" i="34"/>
  <c r="L147" i="34"/>
  <c r="L146" i="34"/>
  <c r="H146" i="34"/>
  <c r="L145" i="34"/>
  <c r="H145" i="34"/>
  <c r="L144" i="34"/>
  <c r="H144" i="34"/>
  <c r="L143" i="34"/>
  <c r="H143" i="34"/>
  <c r="L142" i="34"/>
  <c r="H142" i="34"/>
  <c r="L141" i="34"/>
  <c r="H141" i="34"/>
  <c r="L140" i="34"/>
  <c r="L139" i="34"/>
  <c r="L138" i="34"/>
  <c r="L137" i="34"/>
  <c r="L136" i="34"/>
  <c r="H136" i="34"/>
  <c r="L135" i="34"/>
  <c r="L134" i="34"/>
  <c r="L133" i="34"/>
  <c r="L132" i="34"/>
  <c r="H132" i="34"/>
  <c r="L131" i="34"/>
  <c r="H131" i="34"/>
  <c r="L130" i="34"/>
  <c r="H130" i="34"/>
  <c r="L129" i="34"/>
  <c r="L128" i="34"/>
  <c r="L127" i="34"/>
  <c r="L126" i="34"/>
  <c r="L125" i="34"/>
  <c r="L124" i="34"/>
  <c r="H124" i="34"/>
  <c r="L123" i="34"/>
  <c r="L122" i="34"/>
  <c r="L121" i="34"/>
  <c r="L120" i="34"/>
  <c r="L119" i="34"/>
  <c r="H119" i="34"/>
  <c r="L118" i="34"/>
  <c r="L117" i="34"/>
  <c r="L116" i="34"/>
  <c r="L115" i="34"/>
  <c r="L114" i="34"/>
  <c r="L113" i="34"/>
  <c r="L112" i="34"/>
  <c r="L111" i="34"/>
  <c r="H111" i="34"/>
  <c r="L110" i="34"/>
  <c r="L109" i="34"/>
  <c r="L108" i="34"/>
  <c r="L107" i="34"/>
  <c r="L106" i="34"/>
  <c r="L105" i="34"/>
  <c r="L104" i="34"/>
  <c r="L103" i="34"/>
  <c r="L102" i="34"/>
  <c r="L101" i="34"/>
  <c r="L100" i="34"/>
  <c r="H100" i="34"/>
  <c r="L99" i="34"/>
  <c r="L98" i="34"/>
  <c r="H98" i="34"/>
  <c r="L97" i="34"/>
  <c r="L96" i="34"/>
  <c r="L95" i="34"/>
  <c r="H95" i="34"/>
  <c r="L94" i="34"/>
  <c r="L93" i="34"/>
  <c r="H93" i="34"/>
  <c r="L92" i="34"/>
  <c r="L91" i="34"/>
  <c r="H91" i="34"/>
  <c r="L90" i="34"/>
  <c r="H90" i="34"/>
  <c r="L89" i="34"/>
  <c r="H89" i="34"/>
  <c r="L88" i="34"/>
  <c r="L87" i="34"/>
  <c r="H87" i="34"/>
  <c r="L86" i="34"/>
  <c r="L85" i="34"/>
  <c r="H85" i="34"/>
  <c r="L84" i="34"/>
  <c r="H84" i="34"/>
  <c r="L83" i="34"/>
  <c r="L82" i="34"/>
  <c r="H82" i="34"/>
  <c r="L81" i="34"/>
  <c r="L80" i="34"/>
  <c r="L79" i="34"/>
  <c r="L78" i="34"/>
  <c r="H78" i="34"/>
  <c r="L77" i="34"/>
  <c r="L76" i="34"/>
  <c r="L75" i="34"/>
  <c r="L74" i="34"/>
  <c r="L73" i="34"/>
  <c r="L72" i="34"/>
  <c r="L71" i="34"/>
  <c r="L70" i="34"/>
  <c r="L69" i="34"/>
  <c r="H69" i="34"/>
  <c r="L68" i="34"/>
  <c r="L67" i="34"/>
  <c r="L66" i="34"/>
  <c r="L65" i="34"/>
  <c r="L64" i="34"/>
  <c r="H64" i="34"/>
  <c r="L63" i="34"/>
  <c r="H63" i="34"/>
  <c r="L62" i="34"/>
  <c r="L61" i="34"/>
  <c r="H61" i="34"/>
  <c r="L60" i="34"/>
  <c r="L59" i="34"/>
  <c r="H59" i="34"/>
  <c r="L58" i="34"/>
  <c r="L57" i="34"/>
  <c r="H57" i="34"/>
  <c r="L56" i="34"/>
  <c r="L55" i="34"/>
  <c r="L54" i="34"/>
  <c r="L53" i="34"/>
  <c r="L52" i="34"/>
  <c r="L51" i="34"/>
  <c r="L50" i="34"/>
  <c r="L49" i="34"/>
  <c r="L48" i="34"/>
  <c r="L47" i="34"/>
  <c r="L46" i="34"/>
  <c r="L45" i="34"/>
  <c r="L44" i="34"/>
  <c r="L43" i="34"/>
  <c r="L42" i="34"/>
  <c r="H42" i="34"/>
  <c r="L41" i="34"/>
  <c r="H41" i="34"/>
  <c r="L40" i="34"/>
  <c r="H40" i="34"/>
  <c r="L39" i="34"/>
  <c r="H39" i="34"/>
  <c r="L38" i="34"/>
  <c r="H38" i="34"/>
  <c r="L37" i="34"/>
  <c r="L36" i="34"/>
  <c r="L35" i="34"/>
  <c r="H35" i="34"/>
  <c r="L34" i="34"/>
  <c r="L33" i="34"/>
  <c r="L32" i="34"/>
  <c r="L31" i="34"/>
  <c r="L30" i="34"/>
  <c r="L29" i="34"/>
  <c r="L28" i="34"/>
  <c r="L27" i="34"/>
  <c r="L26" i="34"/>
  <c r="L25" i="34"/>
  <c r="L24" i="34"/>
  <c r="L23" i="34"/>
  <c r="L22" i="34"/>
  <c r="L21" i="34"/>
  <c r="L20" i="34"/>
  <c r="H20" i="34"/>
  <c r="L19" i="34"/>
  <c r="L18" i="34"/>
  <c r="L17" i="34"/>
  <c r="L16" i="34"/>
  <c r="L15" i="34"/>
  <c r="L14" i="34"/>
  <c r="L13" i="34"/>
  <c r="L12" i="34"/>
  <c r="L11" i="34"/>
  <c r="L10" i="34"/>
  <c r="L9" i="34"/>
  <c r="L8" i="34"/>
  <c r="L7" i="34"/>
  <c r="H7" i="34"/>
  <c r="L6" i="34"/>
  <c r="D6" i="34"/>
  <c r="D7" i="34" s="1"/>
  <c r="D8" i="34" s="1"/>
  <c r="D9" i="34" s="1"/>
  <c r="D10" i="34" s="1"/>
  <c r="D11" i="34" s="1"/>
  <c r="D12" i="34" s="1"/>
  <c r="D13" i="34" s="1"/>
  <c r="D14" i="34" s="1"/>
  <c r="D15" i="34" s="1"/>
  <c r="D16" i="34" s="1"/>
  <c r="D17" i="34" s="1"/>
  <c r="D18" i="34" s="1"/>
  <c r="D19" i="34" s="1"/>
  <c r="D20" i="34" s="1"/>
  <c r="D21" i="34" s="1"/>
  <c r="D22" i="34" s="1"/>
  <c r="D23" i="34" s="1"/>
  <c r="D24" i="34" s="1"/>
  <c r="D25" i="34" s="1"/>
  <c r="D26" i="34" s="1"/>
  <c r="D27" i="34" s="1"/>
  <c r="D28" i="34" s="1"/>
  <c r="D29" i="34" s="1"/>
  <c r="D30" i="34" s="1"/>
  <c r="D31" i="34" s="1"/>
  <c r="D32" i="34" s="1"/>
  <c r="D33" i="34" s="1"/>
  <c r="D34" i="34" s="1"/>
  <c r="D35" i="34" s="1"/>
  <c r="D36" i="34" s="1"/>
  <c r="D37" i="34" s="1"/>
  <c r="D38" i="34" s="1"/>
  <c r="D39" i="34" s="1"/>
  <c r="D40" i="34" s="1"/>
  <c r="D41" i="34" s="1"/>
  <c r="D42" i="34" s="1"/>
  <c r="D43" i="34" s="1"/>
  <c r="D44" i="34" s="1"/>
  <c r="D45" i="34" s="1"/>
  <c r="D46" i="34" s="1"/>
  <c r="D47" i="34" s="1"/>
  <c r="D48" i="34" s="1"/>
  <c r="D49" i="34" s="1"/>
  <c r="D50" i="34" s="1"/>
  <c r="D51" i="34" s="1"/>
  <c r="D52" i="34" s="1"/>
  <c r="D53" i="34" s="1"/>
  <c r="D54" i="34" s="1"/>
  <c r="D55" i="34" s="1"/>
  <c r="D56" i="34" s="1"/>
  <c r="D57" i="34" s="1"/>
  <c r="D58" i="34" s="1"/>
  <c r="D59" i="34" s="1"/>
  <c r="D60" i="34" s="1"/>
  <c r="D61" i="34" s="1"/>
  <c r="D62" i="34" s="1"/>
  <c r="D63" i="34" s="1"/>
  <c r="D64" i="34" s="1"/>
  <c r="D65" i="34" s="1"/>
  <c r="D66" i="34" s="1"/>
  <c r="D67" i="34" s="1"/>
  <c r="D68" i="34" s="1"/>
  <c r="D69" i="34" s="1"/>
  <c r="D70" i="34" s="1"/>
  <c r="D71" i="34" s="1"/>
  <c r="D72" i="34" s="1"/>
  <c r="D73" i="34" s="1"/>
  <c r="D74" i="34" s="1"/>
  <c r="D75" i="34" s="1"/>
  <c r="D76" i="34" s="1"/>
  <c r="D77" i="34" s="1"/>
  <c r="D78" i="34" s="1"/>
  <c r="D79" i="34" s="1"/>
  <c r="D80" i="34" s="1"/>
  <c r="D81" i="34" s="1"/>
  <c r="D82" i="34" s="1"/>
  <c r="D83" i="34" s="1"/>
  <c r="D84" i="34" s="1"/>
  <c r="D85" i="34" s="1"/>
  <c r="D86" i="34" s="1"/>
  <c r="D87" i="34" s="1"/>
  <c r="D88" i="34" s="1"/>
  <c r="D89" i="34" s="1"/>
  <c r="D90" i="34" s="1"/>
  <c r="D91" i="34" s="1"/>
  <c r="D92" i="34" s="1"/>
  <c r="D93" i="34" s="1"/>
  <c r="D94" i="34" s="1"/>
  <c r="D95" i="34" s="1"/>
  <c r="D96" i="34" s="1"/>
  <c r="D97" i="34" s="1"/>
  <c r="D98" i="34" s="1"/>
  <c r="D99" i="34" s="1"/>
  <c r="D100" i="34" s="1"/>
  <c r="D101" i="34" s="1"/>
  <c r="D102" i="34" s="1"/>
  <c r="D103" i="34" s="1"/>
  <c r="D104" i="34" s="1"/>
  <c r="D105" i="34" s="1"/>
  <c r="D106" i="34" s="1"/>
  <c r="D107" i="34" s="1"/>
  <c r="D108" i="34" s="1"/>
  <c r="D109" i="34" s="1"/>
  <c r="D110" i="34" s="1"/>
  <c r="D111" i="34" s="1"/>
  <c r="D112" i="34" s="1"/>
  <c r="D113" i="34" s="1"/>
  <c r="D114" i="34" s="1"/>
  <c r="D115" i="34" s="1"/>
  <c r="D116" i="34" s="1"/>
  <c r="D117" i="34" s="1"/>
  <c r="D118" i="34" s="1"/>
  <c r="D119" i="34" s="1"/>
  <c r="D120" i="34" s="1"/>
  <c r="D121" i="34" s="1"/>
  <c r="D122" i="34" s="1"/>
  <c r="D123" i="34" s="1"/>
  <c r="D124" i="34" s="1"/>
  <c r="D125" i="34" s="1"/>
  <c r="D126" i="34" s="1"/>
  <c r="D127" i="34" s="1"/>
  <c r="D128" i="34" s="1"/>
  <c r="D129" i="34" s="1"/>
  <c r="D130" i="34" s="1"/>
  <c r="D131" i="34" s="1"/>
  <c r="D132" i="34" s="1"/>
  <c r="D133" i="34" s="1"/>
  <c r="D134" i="34" s="1"/>
  <c r="D135" i="34" s="1"/>
  <c r="D136" i="34" s="1"/>
  <c r="D137" i="34" s="1"/>
  <c r="D138" i="34" s="1"/>
  <c r="D139" i="34" s="1"/>
  <c r="D140" i="34" s="1"/>
  <c r="D141" i="34" s="1"/>
  <c r="D142" i="34" s="1"/>
  <c r="D143" i="34" s="1"/>
  <c r="D144" i="34" s="1"/>
  <c r="D145" i="34" s="1"/>
  <c r="D146" i="34" s="1"/>
  <c r="D147" i="34" s="1"/>
  <c r="D148" i="34" s="1"/>
  <c r="D149" i="34" s="1"/>
  <c r="D150" i="34" s="1"/>
  <c r="D151" i="34" s="1"/>
  <c r="D152" i="34" s="1"/>
  <c r="D153" i="34" s="1"/>
  <c r="D154" i="34" s="1"/>
  <c r="D155" i="34" s="1"/>
  <c r="D156" i="34" s="1"/>
  <c r="D157" i="34" s="1"/>
  <c r="D158" i="34" s="1"/>
  <c r="D159" i="34" s="1"/>
  <c r="D160" i="34" s="1"/>
  <c r="D161" i="34" s="1"/>
  <c r="D162" i="34" s="1"/>
  <c r="D163" i="34" s="1"/>
  <c r="D164" i="34" s="1"/>
  <c r="D165" i="34" s="1"/>
  <c r="D166" i="34" s="1"/>
  <c r="D167" i="34" s="1"/>
  <c r="D168" i="34" s="1"/>
  <c r="D169" i="34" s="1"/>
  <c r="D170" i="34" s="1"/>
  <c r="D171" i="34" s="1"/>
  <c r="D172" i="34" s="1"/>
  <c r="D173" i="34" s="1"/>
  <c r="D174" i="34" s="1"/>
  <c r="D175" i="34" s="1"/>
  <c r="D176" i="34" s="1"/>
  <c r="D177" i="34" s="1"/>
  <c r="D178" i="34" s="1"/>
  <c r="D179" i="34" s="1"/>
  <c r="D180" i="34" s="1"/>
  <c r="D181" i="34" s="1"/>
  <c r="D182" i="34" s="1"/>
  <c r="D183" i="34" s="1"/>
  <c r="D184" i="34" s="1"/>
  <c r="D185" i="34" s="1"/>
  <c r="D186" i="34" s="1"/>
  <c r="D187" i="34" s="1"/>
  <c r="L5" i="34"/>
  <c r="K5" i="34"/>
  <c r="K6" i="34" s="1"/>
  <c r="K7" i="34" s="1"/>
  <c r="K8" i="34" s="1"/>
  <c r="K9" i="34" s="1"/>
  <c r="K10" i="34" s="1"/>
  <c r="K11" i="34" s="1"/>
  <c r="K12" i="34" s="1"/>
  <c r="K13" i="34" s="1"/>
  <c r="K14" i="34" s="1"/>
  <c r="K15" i="34" s="1"/>
  <c r="K16" i="34" s="1"/>
  <c r="K17" i="34" s="1"/>
  <c r="K18" i="34" s="1"/>
  <c r="K19" i="34" s="1"/>
  <c r="K20" i="34" s="1"/>
  <c r="K21" i="34" s="1"/>
  <c r="K22" i="34" s="1"/>
  <c r="K23" i="34" s="1"/>
  <c r="K24" i="34" s="1"/>
  <c r="K25" i="34" s="1"/>
  <c r="K26" i="34" s="1"/>
  <c r="K27" i="34" s="1"/>
  <c r="K28" i="34" s="1"/>
  <c r="K29" i="34" s="1"/>
  <c r="K30" i="34" s="1"/>
  <c r="K31" i="34" s="1"/>
  <c r="K32" i="34" s="1"/>
  <c r="K33" i="34" s="1"/>
  <c r="K34" i="34" s="1"/>
  <c r="K35" i="34" s="1"/>
  <c r="K36" i="34" s="1"/>
  <c r="K37" i="34" s="1"/>
  <c r="K38" i="34" s="1"/>
  <c r="K39" i="34" s="1"/>
  <c r="K40" i="34" s="1"/>
  <c r="K41" i="34" s="1"/>
  <c r="K42" i="34" s="1"/>
  <c r="K43" i="34" s="1"/>
  <c r="K44" i="34" s="1"/>
  <c r="K45" i="34" s="1"/>
  <c r="K46" i="34" s="1"/>
  <c r="K47" i="34" s="1"/>
  <c r="K48" i="34" s="1"/>
  <c r="K49" i="34" s="1"/>
  <c r="K50" i="34" s="1"/>
  <c r="K51" i="34" s="1"/>
  <c r="K52" i="34" s="1"/>
  <c r="K53" i="34" s="1"/>
  <c r="K54" i="34" s="1"/>
  <c r="K55" i="34" s="1"/>
  <c r="K56" i="34" s="1"/>
  <c r="K57" i="34" s="1"/>
  <c r="K58" i="34" s="1"/>
  <c r="K59" i="34" s="1"/>
  <c r="K60" i="34" s="1"/>
  <c r="K61" i="34" s="1"/>
  <c r="K62" i="34" s="1"/>
  <c r="K63" i="34" s="1"/>
  <c r="K64" i="34" s="1"/>
  <c r="K65" i="34" s="1"/>
  <c r="K66" i="34" s="1"/>
  <c r="K67" i="34" s="1"/>
  <c r="K68" i="34" s="1"/>
  <c r="K69" i="34" s="1"/>
  <c r="K70" i="34" s="1"/>
  <c r="K71" i="34" s="1"/>
  <c r="K72" i="34" s="1"/>
  <c r="K73" i="34" s="1"/>
  <c r="K74" i="34" s="1"/>
  <c r="K75" i="34" s="1"/>
  <c r="K76" i="34" s="1"/>
  <c r="K77" i="34" s="1"/>
  <c r="K78" i="34" s="1"/>
  <c r="K79" i="34" s="1"/>
  <c r="K80" i="34" s="1"/>
  <c r="K81" i="34" s="1"/>
  <c r="K82" i="34" s="1"/>
  <c r="K83" i="34" s="1"/>
  <c r="K84" i="34" s="1"/>
  <c r="K85" i="34" s="1"/>
  <c r="K86" i="34" s="1"/>
  <c r="K87" i="34" s="1"/>
  <c r="K88" i="34" s="1"/>
  <c r="K89" i="34" s="1"/>
  <c r="K90" i="34" s="1"/>
  <c r="K91" i="34" s="1"/>
  <c r="K92" i="34" s="1"/>
  <c r="K93" i="34" s="1"/>
  <c r="K94" i="34" s="1"/>
  <c r="K95" i="34" s="1"/>
  <c r="K96" i="34" s="1"/>
  <c r="K97" i="34" s="1"/>
  <c r="K98" i="34" s="1"/>
  <c r="K99" i="34" s="1"/>
  <c r="K100" i="34" s="1"/>
  <c r="K101" i="34" s="1"/>
  <c r="K102" i="34" s="1"/>
  <c r="K103" i="34" s="1"/>
  <c r="K104" i="34" s="1"/>
  <c r="K105" i="34" s="1"/>
  <c r="K106" i="34" s="1"/>
  <c r="K107" i="34" s="1"/>
  <c r="K108" i="34" s="1"/>
  <c r="K109" i="34" s="1"/>
  <c r="K110" i="34" s="1"/>
  <c r="K111" i="34" s="1"/>
  <c r="K112" i="34" s="1"/>
  <c r="K113" i="34" s="1"/>
  <c r="K114" i="34" s="1"/>
  <c r="K115" i="34" s="1"/>
  <c r="K116" i="34" s="1"/>
  <c r="K117" i="34" s="1"/>
  <c r="K118" i="34" s="1"/>
  <c r="K119" i="34" s="1"/>
  <c r="K120" i="34" s="1"/>
  <c r="K121" i="34" s="1"/>
  <c r="K122" i="34" s="1"/>
  <c r="K123" i="34" s="1"/>
  <c r="K124" i="34" s="1"/>
  <c r="K125" i="34" s="1"/>
  <c r="K126" i="34" s="1"/>
  <c r="K127" i="34" s="1"/>
  <c r="K128" i="34" s="1"/>
  <c r="K129" i="34" s="1"/>
  <c r="K130" i="34" s="1"/>
  <c r="K131" i="34" s="1"/>
  <c r="K132" i="34" s="1"/>
  <c r="K133" i="34" s="1"/>
  <c r="K134" i="34" s="1"/>
  <c r="K135" i="34" s="1"/>
  <c r="K136" i="34" s="1"/>
  <c r="K137" i="34" s="1"/>
  <c r="K138" i="34" s="1"/>
  <c r="K139" i="34" s="1"/>
  <c r="K140" i="34" s="1"/>
  <c r="K141" i="34" s="1"/>
  <c r="K142" i="34" s="1"/>
  <c r="K143" i="34" s="1"/>
  <c r="K144" i="34" s="1"/>
  <c r="K145" i="34" s="1"/>
  <c r="K146" i="34" s="1"/>
  <c r="K147" i="34" s="1"/>
  <c r="K148" i="34" s="1"/>
  <c r="K149" i="34" s="1"/>
  <c r="K150" i="34" s="1"/>
  <c r="K151" i="34" s="1"/>
  <c r="K152" i="34" s="1"/>
  <c r="K153" i="34" s="1"/>
  <c r="K154" i="34" s="1"/>
  <c r="K155" i="34" s="1"/>
  <c r="K156" i="34" s="1"/>
  <c r="K157" i="34" s="1"/>
  <c r="K158" i="34" s="1"/>
  <c r="K159" i="34" s="1"/>
  <c r="K160" i="34" s="1"/>
  <c r="K161" i="34" s="1"/>
  <c r="K162" i="34" s="1"/>
  <c r="K163" i="34" s="1"/>
  <c r="K164" i="34" s="1"/>
  <c r="K165" i="34" s="1"/>
  <c r="K166" i="34" s="1"/>
  <c r="K167" i="34" s="1"/>
  <c r="K168" i="34" s="1"/>
  <c r="K169" i="34" s="1"/>
  <c r="K170" i="34" s="1"/>
  <c r="K171" i="34" s="1"/>
  <c r="K172" i="34" s="1"/>
  <c r="K173" i="34" s="1"/>
  <c r="K174" i="34" s="1"/>
  <c r="K175" i="34" s="1"/>
  <c r="K176" i="34" s="1"/>
  <c r="K177" i="34" s="1"/>
  <c r="K178" i="34" s="1"/>
  <c r="K179" i="34" s="1"/>
  <c r="K180" i="34" s="1"/>
  <c r="K181" i="34" s="1"/>
  <c r="K182" i="34" s="1"/>
  <c r="K183" i="34" s="1"/>
  <c r="K184" i="34" s="1"/>
  <c r="K185" i="34" s="1"/>
  <c r="K186" i="34" s="1"/>
  <c r="K187" i="34" s="1"/>
  <c r="H5" i="34"/>
  <c r="O184" i="25"/>
  <c r="M178" i="25"/>
  <c r="M177" i="25"/>
  <c r="B131" i="25"/>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30" i="25"/>
  <c r="I119" i="25"/>
  <c r="P119" i="25" s="1"/>
  <c r="P120" i="25" s="1"/>
  <c r="H119" i="25"/>
  <c r="O119" i="25" s="1"/>
  <c r="O120" i="25" s="1"/>
  <c r="G119" i="25"/>
  <c r="N119" i="25" s="1"/>
  <c r="N120" i="25" s="1"/>
  <c r="F119" i="25"/>
  <c r="M119" i="25" s="1"/>
  <c r="M120" i="25" s="1"/>
  <c r="H68" i="25"/>
  <c r="H32" i="25"/>
  <c r="B6" i="25"/>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I5" i="25"/>
  <c r="I6" i="25" s="1"/>
  <c r="I7" i="25" s="1"/>
  <c r="I8" i="25" s="1"/>
  <c r="I9" i="25" s="1"/>
  <c r="I10" i="25" s="1"/>
  <c r="I11" i="25" s="1"/>
  <c r="I12" i="25" s="1"/>
  <c r="I13" i="25" s="1"/>
  <c r="I14" i="25" s="1"/>
  <c r="I15" i="25" s="1"/>
  <c r="I16" i="25" s="1"/>
  <c r="I17" i="25" s="1"/>
  <c r="I18" i="25" s="1"/>
  <c r="I19" i="25" s="1"/>
  <c r="I20" i="25" s="1"/>
  <c r="I21" i="25" s="1"/>
  <c r="I22" i="25" s="1"/>
  <c r="I23" i="25" s="1"/>
  <c r="I24" i="25" s="1"/>
  <c r="I25" i="25" s="1"/>
  <c r="I26" i="25" s="1"/>
  <c r="I27" i="25" s="1"/>
  <c r="I28" i="25" s="1"/>
  <c r="I29" i="25" s="1"/>
  <c r="I30" i="25" s="1"/>
  <c r="I31" i="25" s="1"/>
  <c r="I32" i="25" s="1"/>
  <c r="I33" i="25" s="1"/>
  <c r="I34" i="25" s="1"/>
  <c r="I35" i="25" s="1"/>
  <c r="I36" i="25" s="1"/>
  <c r="I37" i="25" s="1"/>
  <c r="I38" i="25" s="1"/>
  <c r="I39" i="25" s="1"/>
  <c r="I40" i="25" s="1"/>
  <c r="I41" i="25" s="1"/>
  <c r="I42" i="25" s="1"/>
  <c r="I43" i="25" s="1"/>
  <c r="I44" i="25" s="1"/>
  <c r="I45" i="25" s="1"/>
  <c r="I46" i="25" s="1"/>
  <c r="I47" i="25" s="1"/>
  <c r="I48" i="25" s="1"/>
  <c r="I49" i="25" s="1"/>
  <c r="I50" i="25" s="1"/>
  <c r="I51" i="25" s="1"/>
  <c r="I52" i="25" s="1"/>
  <c r="I53" i="25" s="1"/>
  <c r="I54" i="25" s="1"/>
  <c r="I55" i="25" s="1"/>
  <c r="I56" i="25" s="1"/>
  <c r="I57" i="25" s="1"/>
  <c r="I58" i="25" s="1"/>
  <c r="I59" i="25" s="1"/>
  <c r="I60" i="25" s="1"/>
  <c r="I61" i="25" s="1"/>
  <c r="I62" i="25" s="1"/>
  <c r="I63" i="25" s="1"/>
  <c r="I64" i="25" s="1"/>
  <c r="I65" i="25" s="1"/>
  <c r="I66" i="25" s="1"/>
  <c r="I67" i="25" s="1"/>
  <c r="I68" i="25" s="1"/>
  <c r="I69" i="25" s="1"/>
  <c r="I70" i="25" s="1"/>
  <c r="I71" i="25" s="1"/>
  <c r="I72" i="25" s="1"/>
  <c r="I73" i="25" s="1"/>
  <c r="I74" i="25" s="1"/>
  <c r="I75" i="25" s="1"/>
  <c r="I76" i="25" s="1"/>
  <c r="I77" i="25" s="1"/>
  <c r="I78" i="25" s="1"/>
  <c r="I79" i="25" s="1"/>
  <c r="I80" i="25" s="1"/>
  <c r="I81" i="25" s="1"/>
  <c r="I82" i="25" s="1"/>
  <c r="I83" i="25" s="1"/>
  <c r="I84" i="25" s="1"/>
  <c r="I85" i="25" s="1"/>
  <c r="I86" i="25" s="1"/>
  <c r="I87" i="25" s="1"/>
  <c r="I88" i="25" s="1"/>
  <c r="I89" i="25" s="1"/>
  <c r="I90" i="25" s="1"/>
  <c r="I91" i="25" s="1"/>
  <c r="I92" i="25" s="1"/>
  <c r="I93" i="25" s="1"/>
  <c r="I94" i="25" s="1"/>
  <c r="I95" i="25" s="1"/>
  <c r="I96" i="25" s="1"/>
  <c r="I97" i="25" s="1"/>
  <c r="I98" i="25" s="1"/>
  <c r="I99" i="25" s="1"/>
  <c r="I100" i="25" s="1"/>
  <c r="I101" i="25" s="1"/>
  <c r="I102" i="25" s="1"/>
  <c r="I103" i="25" s="1"/>
  <c r="I104" i="25" s="1"/>
  <c r="I105" i="25" s="1"/>
  <c r="I106" i="25" s="1"/>
  <c r="I107" i="25" s="1"/>
  <c r="I108" i="25" s="1"/>
  <c r="I109" i="25" s="1"/>
  <c r="I110" i="25" s="1"/>
  <c r="I111" i="25" s="1"/>
  <c r="I112" i="25" s="1"/>
  <c r="I113" i="25" s="1"/>
  <c r="I114" i="25" s="1"/>
  <c r="I115" i="25" s="1"/>
  <c r="I116" i="25" s="1"/>
  <c r="J6" i="32"/>
  <c r="J7" i="32" s="1"/>
  <c r="J8" i="32" s="1"/>
  <c r="J9" i="32" s="1"/>
  <c r="J10" i="32" s="1"/>
  <c r="J11" i="32" s="1"/>
  <c r="J12" i="32" s="1"/>
  <c r="J13" i="32" s="1"/>
  <c r="J14" i="32" s="1"/>
  <c r="J15" i="32" s="1"/>
  <c r="J16" i="32" s="1"/>
  <c r="J17" i="32" s="1"/>
  <c r="J18" i="32" s="1"/>
  <c r="J19" i="32" s="1"/>
  <c r="J20" i="32" s="1"/>
  <c r="J21" i="32" s="1"/>
  <c r="J22" i="32" s="1"/>
  <c r="J23" i="32" s="1"/>
  <c r="J24" i="32" s="1"/>
  <c r="J25" i="32" s="1"/>
  <c r="J26" i="32" s="1"/>
  <c r="J27" i="32" s="1"/>
  <c r="J28" i="32" s="1"/>
  <c r="J29" i="32" s="1"/>
  <c r="J30" i="32" s="1"/>
  <c r="J31" i="32" s="1"/>
  <c r="J32" i="32" s="1"/>
  <c r="J33" i="32" s="1"/>
  <c r="J34" i="32" s="1"/>
  <c r="J35" i="32" s="1"/>
  <c r="J36" i="32" s="1"/>
  <c r="J37" i="32" s="1"/>
  <c r="J38" i="32" s="1"/>
  <c r="J39" i="32" s="1"/>
  <c r="J40" i="32" s="1"/>
  <c r="J41" i="32" s="1"/>
  <c r="J42" i="32" s="1"/>
  <c r="J43" i="32" s="1"/>
  <c r="J44" i="32" s="1"/>
  <c r="J45" i="32" s="1"/>
  <c r="J46" i="32" s="1"/>
  <c r="J47" i="32" s="1"/>
  <c r="J48" i="32" s="1"/>
  <c r="J49" i="32" s="1"/>
  <c r="J50" i="32" s="1"/>
  <c r="J51" i="32" s="1"/>
  <c r="J52" i="32" s="1"/>
  <c r="J53" i="32" s="1"/>
  <c r="J54" i="32" s="1"/>
  <c r="J55" i="32" s="1"/>
  <c r="J56" i="32" s="1"/>
  <c r="J57" i="32" s="1"/>
  <c r="J58" i="32" s="1"/>
  <c r="J59" i="32" s="1"/>
  <c r="J60" i="32" s="1"/>
  <c r="J61" i="32" s="1"/>
  <c r="J62" i="32" s="1"/>
  <c r="J63" i="32" s="1"/>
  <c r="J64" i="32" s="1"/>
  <c r="J65" i="32" s="1"/>
  <c r="C6" i="32"/>
  <c r="C7" i="32" s="1"/>
  <c r="C8" i="32" s="1"/>
  <c r="C9" i="32" s="1"/>
  <c r="C10" i="32" s="1"/>
  <c r="C11" i="32" s="1"/>
  <c r="C12" i="32" s="1"/>
  <c r="C13" i="32" s="1"/>
  <c r="C14" i="32" s="1"/>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5" i="32" s="1"/>
  <c r="C46" i="32" s="1"/>
  <c r="C47" i="32" s="1"/>
  <c r="C48" i="32" s="1"/>
  <c r="C49" i="32" s="1"/>
  <c r="C50" i="32" s="1"/>
  <c r="C51" i="32" s="1"/>
  <c r="C52" i="32" s="1"/>
  <c r="C53" i="32" s="1"/>
  <c r="C54" i="32" s="1"/>
  <c r="C55" i="32" s="1"/>
  <c r="C56" i="32" s="1"/>
  <c r="C57" i="32" s="1"/>
  <c r="C58" i="32" s="1"/>
  <c r="C59" i="32" s="1"/>
  <c r="C60" i="32" s="1"/>
  <c r="C61" i="32" s="1"/>
  <c r="C62" i="32" s="1"/>
  <c r="C63" i="32" s="1"/>
  <c r="C64" i="32" s="1"/>
  <c r="C65" i="32" s="1"/>
  <c r="H117" i="22"/>
  <c r="G117" i="22"/>
  <c r="F117" i="22"/>
  <c r="E117" i="22"/>
  <c r="D117" i="22"/>
  <c r="P105" i="22"/>
  <c r="O89" i="22"/>
  <c r="B21" i="22"/>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I16" i="22"/>
  <c r="I17" i="22" s="1"/>
  <c r="I18" i="22" s="1"/>
  <c r="I19" i="22" s="1"/>
  <c r="I20" i="22" s="1"/>
  <c r="I21" i="22" s="1"/>
  <c r="I22" i="22" s="1"/>
  <c r="I23" i="22" s="1"/>
  <c r="I24" i="22" s="1"/>
  <c r="I25" i="22" s="1"/>
  <c r="I26" i="22" s="1"/>
  <c r="I27" i="22" s="1"/>
  <c r="I28" i="22" s="1"/>
  <c r="I29" i="22" s="1"/>
  <c r="I30" i="22" s="1"/>
  <c r="I31" i="22" s="1"/>
  <c r="I32" i="22" s="1"/>
  <c r="I33" i="22" s="1"/>
  <c r="I34" i="22" s="1"/>
  <c r="I35" i="22" s="1"/>
  <c r="I36" i="22" s="1"/>
  <c r="I37" i="22" s="1"/>
  <c r="I38" i="22" s="1"/>
  <c r="I39" i="22" s="1"/>
  <c r="I40" i="22" s="1"/>
  <c r="I41" i="22" s="1"/>
  <c r="I42" i="22" s="1"/>
  <c r="I43" i="22" s="1"/>
  <c r="I44" i="22" s="1"/>
  <c r="I45" i="22" s="1"/>
  <c r="I46" i="22" s="1"/>
  <c r="I47" i="22" s="1"/>
  <c r="I48" i="22" s="1"/>
  <c r="I49" i="22" s="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I77" i="22" s="1"/>
  <c r="I78" i="22" s="1"/>
  <c r="I79" i="22" s="1"/>
  <c r="I80" i="22" s="1"/>
  <c r="I81" i="22" s="1"/>
  <c r="I82" i="22" s="1"/>
  <c r="I83" i="22" s="1"/>
  <c r="I84" i="22" s="1"/>
  <c r="I85" i="22" s="1"/>
  <c r="I86" i="22" s="1"/>
  <c r="I87" i="22" s="1"/>
  <c r="I88" i="22" s="1"/>
  <c r="I89" i="22" s="1"/>
  <c r="I90" i="22" s="1"/>
  <c r="I91" i="22" s="1"/>
  <c r="I92" i="22" s="1"/>
  <c r="I93" i="22" s="1"/>
  <c r="I94" i="22" s="1"/>
  <c r="I95" i="22" s="1"/>
  <c r="I96" i="22" s="1"/>
  <c r="I97" i="22" s="1"/>
  <c r="I98" i="22" s="1"/>
  <c r="I99" i="22" s="1"/>
  <c r="I100" i="22" s="1"/>
  <c r="I101" i="22" s="1"/>
  <c r="I102" i="22" s="1"/>
  <c r="I103" i="22" s="1"/>
  <c r="I104" i="22" s="1"/>
  <c r="I105" i="22" s="1"/>
  <c r="I106" i="22" s="1"/>
  <c r="I107" i="22" s="1"/>
  <c r="I108" i="22" s="1"/>
  <c r="I109" i="22" s="1"/>
  <c r="I110" i="22" s="1"/>
  <c r="I111" i="22" s="1"/>
  <c r="I112" i="22" s="1"/>
  <c r="I113" i="22" s="1"/>
  <c r="I114" i="22" s="1"/>
  <c r="B12" i="22"/>
  <c r="B13" i="22" s="1"/>
  <c r="B14" i="22" s="1"/>
  <c r="B15" i="22" s="1"/>
  <c r="B16" i="22" s="1"/>
  <c r="B17" i="22" s="1"/>
  <c r="B18" i="22" s="1"/>
  <c r="B19" i="22" s="1"/>
  <c r="B20" i="22" s="1"/>
  <c r="B8" i="22"/>
  <c r="B9" i="22" s="1"/>
  <c r="B10" i="22" s="1"/>
  <c r="B11" i="22" s="1"/>
  <c r="I7" i="22"/>
  <c r="I8" i="22" s="1"/>
  <c r="I9" i="22" s="1"/>
  <c r="I10" i="22" s="1"/>
  <c r="I11" i="22" s="1"/>
  <c r="I12" i="22" s="1"/>
  <c r="I13" i="22" s="1"/>
  <c r="I14" i="22" s="1"/>
  <c r="I15" i="22" s="1"/>
  <c r="B7" i="22"/>
  <c r="B6" i="22"/>
  <c r="I5" i="22"/>
  <c r="I6" i="22" s="1"/>
  <c r="H144" i="21"/>
  <c r="G144" i="21"/>
  <c r="F144" i="21"/>
  <c r="E144" i="21"/>
  <c r="D144" i="21"/>
  <c r="B5" i="21"/>
  <c r="B6" i="21" s="1"/>
  <c r="B7" i="21" s="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I4" i="21"/>
  <c r="I5" i="21" s="1"/>
  <c r="I6" i="21" s="1"/>
  <c r="I7" i="21" s="1"/>
  <c r="I8" i="21" s="1"/>
  <c r="I9" i="21" s="1"/>
  <c r="I10" i="21" s="1"/>
  <c r="I11" i="21" s="1"/>
  <c r="I12" i="21" s="1"/>
  <c r="I13" i="21" s="1"/>
  <c r="I14" i="21" s="1"/>
  <c r="I15" i="21" s="1"/>
  <c r="I16" i="21" s="1"/>
  <c r="I17" i="21" s="1"/>
  <c r="I18" i="21" s="1"/>
  <c r="I19" i="21" s="1"/>
  <c r="I20" i="21" s="1"/>
  <c r="I21" i="21" s="1"/>
  <c r="I22" i="21" s="1"/>
  <c r="I23" i="21" s="1"/>
  <c r="I24" i="21" s="1"/>
  <c r="I25" i="21" s="1"/>
  <c r="I26" i="21" s="1"/>
  <c r="I27" i="21" s="1"/>
  <c r="I28" i="21" s="1"/>
  <c r="I29" i="21" s="1"/>
  <c r="I30" i="21" s="1"/>
  <c r="I31" i="21" s="1"/>
  <c r="I32" i="21" s="1"/>
  <c r="I33" i="21" s="1"/>
  <c r="I34" i="21" s="1"/>
  <c r="I35" i="21" s="1"/>
  <c r="I36" i="21" s="1"/>
  <c r="I37" i="21" s="1"/>
  <c r="I38" i="21" s="1"/>
  <c r="I39" i="21" s="1"/>
  <c r="I40" i="21" s="1"/>
  <c r="I41" i="21" s="1"/>
  <c r="I42" i="21" s="1"/>
  <c r="I43" i="21" s="1"/>
  <c r="I44" i="21" s="1"/>
  <c r="I45" i="21" s="1"/>
  <c r="I46" i="21" s="1"/>
  <c r="I47" i="21" s="1"/>
  <c r="I48" i="21" s="1"/>
  <c r="I49" i="21" s="1"/>
  <c r="I50" i="21" s="1"/>
  <c r="I51" i="21" s="1"/>
  <c r="I52" i="21" s="1"/>
  <c r="I53" i="21" s="1"/>
  <c r="I54" i="21" s="1"/>
  <c r="I55" i="21" s="1"/>
  <c r="I56" i="21" s="1"/>
  <c r="I57" i="21" s="1"/>
  <c r="I58" i="21" s="1"/>
  <c r="I59" i="21" s="1"/>
  <c r="I60" i="21" s="1"/>
  <c r="I61" i="21" s="1"/>
  <c r="I62" i="21" s="1"/>
  <c r="I63" i="21" s="1"/>
  <c r="I64" i="21" s="1"/>
  <c r="I65" i="21" s="1"/>
  <c r="I66" i="21" s="1"/>
  <c r="I67" i="21" s="1"/>
  <c r="I68" i="21" s="1"/>
  <c r="I69" i="21" s="1"/>
  <c r="I70" i="21" s="1"/>
  <c r="I71" i="21" s="1"/>
  <c r="I72" i="21" s="1"/>
  <c r="I73" i="21" s="1"/>
  <c r="I74" i="21" s="1"/>
  <c r="I75" i="21" s="1"/>
  <c r="I76" i="21" s="1"/>
  <c r="I77" i="21" s="1"/>
  <c r="I78" i="21" s="1"/>
  <c r="I79" i="21" s="1"/>
  <c r="I80" i="21" s="1"/>
  <c r="I81" i="21" s="1"/>
  <c r="I82" i="21" s="1"/>
  <c r="I83" i="21" s="1"/>
  <c r="I84" i="21" s="1"/>
  <c r="I85" i="21" s="1"/>
  <c r="I86" i="21" s="1"/>
  <c r="I87" i="21" s="1"/>
  <c r="I88" i="21" s="1"/>
  <c r="I89" i="21" s="1"/>
  <c r="I90" i="21" s="1"/>
  <c r="I91" i="21" s="1"/>
  <c r="I92" i="21" s="1"/>
  <c r="I93" i="21" s="1"/>
  <c r="I94" i="21" s="1"/>
  <c r="I95" i="21" s="1"/>
  <c r="I96" i="21" s="1"/>
  <c r="I97" i="21" s="1"/>
  <c r="I98" i="21" s="1"/>
  <c r="I99" i="21" s="1"/>
  <c r="I100" i="21" s="1"/>
  <c r="I101" i="21" s="1"/>
  <c r="I102" i="21" s="1"/>
  <c r="I103" i="21" s="1"/>
  <c r="I104" i="21" s="1"/>
  <c r="I105" i="21" s="1"/>
  <c r="I106" i="21" s="1"/>
  <c r="I107" i="21" s="1"/>
  <c r="I108" i="21" s="1"/>
  <c r="I109" i="21" s="1"/>
  <c r="I110" i="21" s="1"/>
  <c r="I111" i="21" s="1"/>
  <c r="I112" i="21" s="1"/>
  <c r="I113" i="21" s="1"/>
  <c r="I114" i="21" s="1"/>
  <c r="I115" i="21" s="1"/>
  <c r="I116" i="21" s="1"/>
  <c r="I117" i="21" s="1"/>
  <c r="I118" i="21" s="1"/>
  <c r="I119" i="21" s="1"/>
  <c r="I120" i="21" s="1"/>
  <c r="I121" i="21" s="1"/>
  <c r="I122" i="21" s="1"/>
  <c r="I123" i="21" s="1"/>
  <c r="I124" i="21" s="1"/>
  <c r="I125" i="21" s="1"/>
  <c r="I126" i="21" s="1"/>
  <c r="I127" i="21" s="1"/>
  <c r="I128" i="21" s="1"/>
  <c r="I129" i="21" s="1"/>
  <c r="I130" i="21" s="1"/>
  <c r="I131" i="21" s="1"/>
  <c r="I132" i="21" s="1"/>
  <c r="I133" i="21" s="1"/>
  <c r="I134" i="21" s="1"/>
  <c r="I135" i="21" s="1"/>
  <c r="I136" i="21" s="1"/>
  <c r="I137" i="21" s="1"/>
  <c r="I138" i="21" s="1"/>
  <c r="I139" i="21" s="1"/>
  <c r="I140" i="21" s="1"/>
  <c r="I141" i="21" s="1"/>
  <c r="H170" i="20"/>
  <c r="I158" i="20"/>
  <c r="H157" i="20"/>
  <c r="G157" i="20"/>
  <c r="F157" i="20"/>
  <c r="H144" i="20"/>
  <c r="H143" i="20"/>
  <c r="H130" i="20"/>
  <c r="H127" i="20"/>
  <c r="H126" i="20"/>
  <c r="H111" i="20"/>
  <c r="H110" i="20"/>
  <c r="H105" i="20"/>
  <c r="H104" i="20"/>
  <c r="H102" i="20"/>
  <c r="H100" i="20"/>
  <c r="H97" i="20"/>
  <c r="H93" i="20"/>
  <c r="H90" i="20"/>
  <c r="H75" i="20"/>
  <c r="H74" i="20"/>
  <c r="H68" i="20"/>
  <c r="H56" i="20"/>
  <c r="H52" i="20"/>
  <c r="H49" i="20"/>
  <c r="H34" i="20"/>
  <c r="H13" i="20"/>
  <c r="B5" i="20"/>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I4" i="20"/>
  <c r="I5" i="20" s="1"/>
  <c r="I6" i="20" s="1"/>
  <c r="I7" i="20" s="1"/>
  <c r="I8" i="20" s="1"/>
  <c r="I9" i="20" s="1"/>
  <c r="I10" i="20" s="1"/>
  <c r="I11" i="20" s="1"/>
  <c r="I12" i="20" s="1"/>
  <c r="I13" i="20" s="1"/>
  <c r="I14" i="20" s="1"/>
  <c r="I15" i="20" s="1"/>
  <c r="I16" i="20" s="1"/>
  <c r="I17" i="20" s="1"/>
  <c r="I18" i="20" s="1"/>
  <c r="I19" i="20" s="1"/>
  <c r="I20" i="20" s="1"/>
  <c r="I21" i="20" s="1"/>
  <c r="I22" i="20" s="1"/>
  <c r="I23" i="20" s="1"/>
  <c r="I24" i="20" s="1"/>
  <c r="I25" i="20" s="1"/>
  <c r="I26" i="20" s="1"/>
  <c r="I27" i="20" s="1"/>
  <c r="I28" i="20" s="1"/>
  <c r="I29" i="20" s="1"/>
  <c r="I30" i="20" s="1"/>
  <c r="I31" i="20" s="1"/>
  <c r="I32" i="20" s="1"/>
  <c r="I33" i="20" s="1"/>
  <c r="I34" i="20" s="1"/>
  <c r="I35" i="20" s="1"/>
  <c r="I36" i="20" s="1"/>
  <c r="I37" i="20" s="1"/>
  <c r="I38" i="20" s="1"/>
  <c r="I39" i="20" s="1"/>
  <c r="I40" i="20" s="1"/>
  <c r="I41" i="20" s="1"/>
  <c r="I42" i="20" s="1"/>
  <c r="I43" i="20" s="1"/>
  <c r="I44" i="20" s="1"/>
  <c r="I45" i="20" s="1"/>
  <c r="I46" i="20" s="1"/>
  <c r="I47" i="20" s="1"/>
  <c r="I48" i="20" s="1"/>
  <c r="I49" i="20" s="1"/>
  <c r="I50" i="20" s="1"/>
  <c r="I51" i="20" s="1"/>
  <c r="I52" i="20" s="1"/>
  <c r="I53" i="20" s="1"/>
  <c r="I54" i="20" s="1"/>
  <c r="I55" i="20" s="1"/>
  <c r="I56" i="20" s="1"/>
  <c r="I57" i="20" s="1"/>
  <c r="I58" i="20" s="1"/>
  <c r="I59" i="20" s="1"/>
  <c r="I60" i="20" s="1"/>
  <c r="I61" i="20" s="1"/>
  <c r="I62" i="20" s="1"/>
  <c r="I63" i="20" s="1"/>
  <c r="I64" i="20" s="1"/>
  <c r="I65" i="20" s="1"/>
  <c r="I66" i="20" s="1"/>
  <c r="I67" i="20" s="1"/>
  <c r="I68" i="20" s="1"/>
  <c r="I69" i="20" s="1"/>
  <c r="I70" i="20" s="1"/>
  <c r="I71" i="20" s="1"/>
  <c r="I72" i="20" s="1"/>
  <c r="I73" i="20" s="1"/>
  <c r="I74" i="20" s="1"/>
  <c r="I75" i="20" s="1"/>
  <c r="I76" i="20" s="1"/>
  <c r="I77" i="20" s="1"/>
  <c r="I78" i="20" s="1"/>
  <c r="I79" i="20" s="1"/>
  <c r="I80" i="20" s="1"/>
  <c r="I81" i="20" s="1"/>
  <c r="I82" i="20" s="1"/>
  <c r="I83" i="20" s="1"/>
  <c r="I84" i="20" s="1"/>
  <c r="I85" i="20" s="1"/>
  <c r="I86" i="20" s="1"/>
  <c r="I87" i="20" s="1"/>
  <c r="I88" i="20" s="1"/>
  <c r="I89" i="20" s="1"/>
  <c r="I90" i="20" s="1"/>
  <c r="I91" i="20" s="1"/>
  <c r="I92" i="20" s="1"/>
  <c r="I93" i="20" s="1"/>
  <c r="I94" i="20" s="1"/>
  <c r="I95" i="20" s="1"/>
  <c r="I96" i="20" s="1"/>
  <c r="I97" i="20" s="1"/>
  <c r="I98" i="20" s="1"/>
  <c r="I99" i="20" s="1"/>
  <c r="I100" i="20" s="1"/>
  <c r="I101" i="20" s="1"/>
  <c r="I102" i="20" s="1"/>
  <c r="I103" i="20" s="1"/>
  <c r="I104" i="20" s="1"/>
  <c r="I105" i="20" s="1"/>
  <c r="I106" i="20" s="1"/>
  <c r="I107" i="20" s="1"/>
  <c r="I108" i="20" s="1"/>
  <c r="I109" i="20" s="1"/>
  <c r="I110" i="20" s="1"/>
  <c r="I111" i="20" s="1"/>
  <c r="I112" i="20" s="1"/>
  <c r="I113" i="20" s="1"/>
  <c r="I114" i="20" s="1"/>
  <c r="I115" i="20" s="1"/>
  <c r="I116" i="20" s="1"/>
  <c r="I117" i="20" s="1"/>
  <c r="I118" i="20" s="1"/>
  <c r="I119" i="20" s="1"/>
  <c r="I120" i="20" s="1"/>
  <c r="I121" i="20" s="1"/>
  <c r="I122" i="20" s="1"/>
  <c r="I123" i="20" s="1"/>
  <c r="I124" i="20" s="1"/>
  <c r="I125" i="20" s="1"/>
  <c r="I126" i="20" s="1"/>
  <c r="I127" i="20" s="1"/>
  <c r="I128" i="20" s="1"/>
  <c r="I129" i="20" s="1"/>
  <c r="I130" i="20" s="1"/>
  <c r="I131" i="20" s="1"/>
  <c r="I132" i="20" s="1"/>
  <c r="I133" i="20" s="1"/>
  <c r="I134" i="20" s="1"/>
  <c r="I135" i="20" s="1"/>
  <c r="I136" i="20" s="1"/>
  <c r="I137" i="20" s="1"/>
  <c r="I138" i="20" s="1"/>
  <c r="I139" i="20" s="1"/>
  <c r="I140" i="20" s="1"/>
  <c r="I141" i="20" s="1"/>
  <c r="I142" i="20" s="1"/>
  <c r="I143" i="20" s="1"/>
  <c r="I144" i="20" s="1"/>
  <c r="I145" i="20" s="1"/>
  <c r="I146" i="20" s="1"/>
  <c r="I147" i="20" s="1"/>
  <c r="I148" i="20" s="1"/>
  <c r="I149" i="20" s="1"/>
  <c r="I150" i="20" s="1"/>
  <c r="I151" i="20" s="1"/>
  <c r="I152" i="20" s="1"/>
  <c r="I153" i="20" s="1"/>
  <c r="L268" i="19"/>
  <c r="K267" i="19"/>
  <c r="I260" i="19"/>
  <c r="J267" i="19" s="1"/>
  <c r="I259" i="19"/>
  <c r="I258" i="19"/>
  <c r="I256" i="19"/>
  <c r="I255" i="19"/>
  <c r="H267" i="19" s="1"/>
  <c r="I250" i="19"/>
  <c r="I248" i="19"/>
  <c r="I246" i="19"/>
  <c r="I245" i="19"/>
  <c r="G267" i="19" s="1"/>
  <c r="I244" i="19"/>
  <c r="I243" i="19"/>
  <c r="I242" i="19"/>
  <c r="I241" i="19"/>
  <c r="F267" i="19" s="1"/>
  <c r="I227" i="19"/>
  <c r="V160" i="19"/>
  <c r="I117" i="19"/>
  <c r="I70" i="19"/>
  <c r="I69" i="19"/>
  <c r="I19" i="19"/>
  <c r="I13" i="19"/>
  <c r="C6" i="19"/>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59" i="19" s="1"/>
  <c r="C60" i="19" s="1"/>
  <c r="C61" i="19" s="1"/>
  <c r="C62" i="19" s="1"/>
  <c r="C63" i="19" s="1"/>
  <c r="C64" i="19" s="1"/>
  <c r="C65" i="19" s="1"/>
  <c r="C66" i="19" s="1"/>
  <c r="C67" i="19" s="1"/>
  <c r="C68" i="19" s="1"/>
  <c r="C69" i="19" s="1"/>
  <c r="C70" i="19" s="1"/>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C109" i="19" s="1"/>
  <c r="C110" i="19" s="1"/>
  <c r="C111" i="19" s="1"/>
  <c r="C112" i="19" s="1"/>
  <c r="C113" i="19" s="1"/>
  <c r="C114" i="19" s="1"/>
  <c r="C115" i="19" s="1"/>
  <c r="C116" i="19" s="1"/>
  <c r="C117" i="19" s="1"/>
  <c r="C118" i="19" s="1"/>
  <c r="C119" i="19" s="1"/>
  <c r="C120" i="19" s="1"/>
  <c r="C121" i="19" s="1"/>
  <c r="C122" i="19" s="1"/>
  <c r="C123" i="19" s="1"/>
  <c r="C124" i="19" s="1"/>
  <c r="C125" i="19" s="1"/>
  <c r="C126" i="19" s="1"/>
  <c r="C127" i="19" s="1"/>
  <c r="C128" i="19" s="1"/>
  <c r="C129" i="19" s="1"/>
  <c r="C130" i="19" s="1"/>
  <c r="C131" i="19" s="1"/>
  <c r="C132" i="19" s="1"/>
  <c r="C133" i="19" s="1"/>
  <c r="C134" i="19" s="1"/>
  <c r="C135" i="19" s="1"/>
  <c r="C136" i="19" s="1"/>
  <c r="C137" i="19" s="1"/>
  <c r="C138" i="19" s="1"/>
  <c r="C139" i="19" s="1"/>
  <c r="C140" i="19" s="1"/>
  <c r="C141" i="19" s="1"/>
  <c r="C142" i="19" s="1"/>
  <c r="C143" i="19" s="1"/>
  <c r="C144" i="19" s="1"/>
  <c r="C145" i="19" s="1"/>
  <c r="C146" i="19" s="1"/>
  <c r="C147" i="19" s="1"/>
  <c r="C148"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C179" i="19" s="1"/>
  <c r="C180" i="19" s="1"/>
  <c r="C181" i="19" s="1"/>
  <c r="C182" i="19" s="1"/>
  <c r="C183" i="19" s="1"/>
  <c r="C184" i="19" s="1"/>
  <c r="C185" i="19" s="1"/>
  <c r="C186" i="19" s="1"/>
  <c r="C187" i="19" s="1"/>
  <c r="C188" i="19" s="1"/>
  <c r="C189" i="19" s="1"/>
  <c r="C190" i="19" s="1"/>
  <c r="C191" i="19" s="1"/>
  <c r="C192" i="19" s="1"/>
  <c r="C193" i="19" s="1"/>
  <c r="C194" i="19" s="1"/>
  <c r="C195" i="19" s="1"/>
  <c r="C196" i="19" s="1"/>
  <c r="C197" i="19" s="1"/>
  <c r="C198" i="19" s="1"/>
  <c r="C199" i="19" s="1"/>
  <c r="C200" i="19" s="1"/>
  <c r="C201" i="19" s="1"/>
  <c r="C202" i="19" s="1"/>
  <c r="C203" i="19" s="1"/>
  <c r="C204" i="19" s="1"/>
  <c r="C205" i="19" s="1"/>
  <c r="C206" i="19" s="1"/>
  <c r="C207" i="19" s="1"/>
  <c r="C208" i="19" s="1"/>
  <c r="C209" i="19" s="1"/>
  <c r="C210" i="19" s="1"/>
  <c r="C211" i="19" s="1"/>
  <c r="C212" i="19" s="1"/>
  <c r="C213" i="19" s="1"/>
  <c r="C214" i="19" s="1"/>
  <c r="C215" i="19" s="1"/>
  <c r="C216" i="19" s="1"/>
  <c r="C217" i="19" s="1"/>
  <c r="C218" i="19" s="1"/>
  <c r="C219" i="19" s="1"/>
  <c r="C220" i="19" s="1"/>
  <c r="C221" i="19" s="1"/>
  <c r="C222" i="19" s="1"/>
  <c r="C223" i="19" s="1"/>
  <c r="C224" i="19" s="1"/>
  <c r="C225" i="19" s="1"/>
  <c r="C226" i="19" s="1"/>
  <c r="C227" i="19" s="1"/>
  <c r="C228" i="19" s="1"/>
  <c r="C229" i="19" s="1"/>
  <c r="C230" i="19" s="1"/>
  <c r="C231" i="19" s="1"/>
  <c r="C232" i="19" s="1"/>
  <c r="C233" i="19" s="1"/>
  <c r="C234" i="19" s="1"/>
  <c r="C235" i="19" s="1"/>
  <c r="C236" i="19" s="1"/>
  <c r="C237" i="19" s="1"/>
  <c r="C238" i="19" s="1"/>
  <c r="C239" i="19" s="1"/>
  <c r="C240" i="19" s="1"/>
  <c r="C241" i="19" s="1"/>
  <c r="C242" i="19" s="1"/>
  <c r="C243" i="19" s="1"/>
  <c r="C244" i="19" s="1"/>
  <c r="C245" i="19" s="1"/>
  <c r="C246" i="19" s="1"/>
  <c r="C247" i="19" s="1"/>
  <c r="C248" i="19" s="1"/>
  <c r="C249" i="19" s="1"/>
  <c r="C250" i="19" s="1"/>
  <c r="C251" i="19" s="1"/>
  <c r="C252" i="19" s="1"/>
  <c r="C253" i="19" s="1"/>
  <c r="C254" i="19" s="1"/>
  <c r="C255" i="19" s="1"/>
  <c r="C256" i="19" s="1"/>
  <c r="C257" i="19" s="1"/>
  <c r="C258" i="19" s="1"/>
  <c r="C259" i="19" s="1"/>
  <c r="C260" i="19" s="1"/>
  <c r="C261" i="19" s="1"/>
  <c r="C262" i="19" s="1"/>
  <c r="C263" i="19" s="1"/>
  <c r="C264" i="19" s="1"/>
  <c r="L5" i="19"/>
  <c r="L6" i="19" s="1"/>
  <c r="L7" i="19" s="1"/>
  <c r="L8" i="19" s="1"/>
  <c r="L9" i="19" s="1"/>
  <c r="L10" i="19" s="1"/>
  <c r="L11" i="19" s="1"/>
  <c r="L12" i="19" s="1"/>
  <c r="H238" i="17"/>
  <c r="G238" i="17"/>
  <c r="F238" i="17"/>
  <c r="E238" i="17"/>
  <c r="D238" i="17"/>
  <c r="N236" i="17"/>
  <c r="R221" i="17"/>
  <c r="R222" i="17" s="1"/>
  <c r="H48" i="17"/>
  <c r="C238" i="17" s="1"/>
  <c r="J6" i="17"/>
  <c r="J7" i="17" s="1"/>
  <c r="J8" i="17" s="1"/>
  <c r="J9" i="17" s="1"/>
  <c r="J10" i="17" s="1"/>
  <c r="J11" i="17" s="1"/>
  <c r="J12" i="17" s="1"/>
  <c r="J13" i="17" s="1"/>
  <c r="J14" i="17" s="1"/>
  <c r="J15" i="17" s="1"/>
  <c r="J16" i="17" s="1"/>
  <c r="J17" i="17" s="1"/>
  <c r="J18" i="17" s="1"/>
  <c r="J19" i="17" s="1"/>
  <c r="J20" i="17" s="1"/>
  <c r="J21" i="17" s="1"/>
  <c r="J22" i="17" s="1"/>
  <c r="J23" i="17" s="1"/>
  <c r="J24" i="17" s="1"/>
  <c r="J25" i="17" s="1"/>
  <c r="J26" i="17" s="1"/>
  <c r="J27" i="17" s="1"/>
  <c r="J28" i="17" s="1"/>
  <c r="J29" i="17" s="1"/>
  <c r="J30" i="17" s="1"/>
  <c r="J31" i="17" s="1"/>
  <c r="J32" i="17" s="1"/>
  <c r="J33" i="17" s="1"/>
  <c r="J34" i="17" s="1"/>
  <c r="J35" i="17" s="1"/>
  <c r="J36" i="17" s="1"/>
  <c r="J37" i="17" s="1"/>
  <c r="J38" i="17" s="1"/>
  <c r="J39" i="17" s="1"/>
  <c r="J40" i="17" s="1"/>
  <c r="J41" i="17" s="1"/>
  <c r="J42" i="17" s="1"/>
  <c r="J43" i="17" s="1"/>
  <c r="J44" i="17" s="1"/>
  <c r="J45" i="17" s="1"/>
  <c r="J46" i="17" s="1"/>
  <c r="J47" i="17" s="1"/>
  <c r="J48" i="17" s="1"/>
  <c r="J49" i="17" s="1"/>
  <c r="J50" i="17" s="1"/>
  <c r="J51" i="17" s="1"/>
  <c r="J52" i="17" s="1"/>
  <c r="J53" i="17" s="1"/>
  <c r="J54" i="17" s="1"/>
  <c r="J55" i="17" s="1"/>
  <c r="J56" i="17" s="1"/>
  <c r="J57" i="17" s="1"/>
  <c r="J58" i="17" s="1"/>
  <c r="J59" i="17" s="1"/>
  <c r="J60" i="17" s="1"/>
  <c r="J61" i="17" s="1"/>
  <c r="J62" i="17" s="1"/>
  <c r="J63" i="17" s="1"/>
  <c r="J64" i="17" s="1"/>
  <c r="J65" i="17" s="1"/>
  <c r="J66" i="17" s="1"/>
  <c r="J67" i="17" s="1"/>
  <c r="J68" i="17" s="1"/>
  <c r="J69" i="17" s="1"/>
  <c r="J70" i="17" s="1"/>
  <c r="J71" i="17" s="1"/>
  <c r="J72" i="17" s="1"/>
  <c r="J73" i="17" s="1"/>
  <c r="J74" i="17" s="1"/>
  <c r="J75" i="17" s="1"/>
  <c r="J76" i="17" s="1"/>
  <c r="J77" i="17" s="1"/>
  <c r="J78" i="17" s="1"/>
  <c r="J79" i="17" s="1"/>
  <c r="J80" i="17" s="1"/>
  <c r="J81" i="17" s="1"/>
  <c r="J82" i="17" s="1"/>
  <c r="J83" i="17" s="1"/>
  <c r="J84" i="17" s="1"/>
  <c r="J85" i="17" s="1"/>
  <c r="J86" i="17" s="1"/>
  <c r="J87" i="17" s="1"/>
  <c r="J88" i="17" s="1"/>
  <c r="J89" i="17" s="1"/>
  <c r="J90" i="17" s="1"/>
  <c r="J91" i="17" s="1"/>
  <c r="J92" i="17" s="1"/>
  <c r="J93" i="17" s="1"/>
  <c r="J94" i="17" s="1"/>
  <c r="J95" i="17" s="1"/>
  <c r="J96" i="17" s="1"/>
  <c r="J97" i="17" s="1"/>
  <c r="J98" i="17" s="1"/>
  <c r="J99" i="17" s="1"/>
  <c r="J100" i="17" s="1"/>
  <c r="J101" i="17" s="1"/>
  <c r="J102" i="17" s="1"/>
  <c r="J103" i="17" s="1"/>
  <c r="J104" i="17" s="1"/>
  <c r="J105" i="17" s="1"/>
  <c r="J106" i="17" s="1"/>
  <c r="J107" i="17" s="1"/>
  <c r="J108" i="17" s="1"/>
  <c r="J109" i="17" s="1"/>
  <c r="J110" i="17" s="1"/>
  <c r="J111" i="17" s="1"/>
  <c r="J112" i="17" s="1"/>
  <c r="J113" i="17" s="1"/>
  <c r="J114" i="17" s="1"/>
  <c r="J115" i="17" s="1"/>
  <c r="J116" i="17" s="1"/>
  <c r="J117" i="17" s="1"/>
  <c r="J118" i="17" s="1"/>
  <c r="J119" i="17" s="1"/>
  <c r="J120" i="17" s="1"/>
  <c r="J121" i="17" s="1"/>
  <c r="J122" i="17" s="1"/>
  <c r="J123" i="17" s="1"/>
  <c r="J124" i="17" s="1"/>
  <c r="J125" i="17" s="1"/>
  <c r="J126" i="17" s="1"/>
  <c r="J127" i="17" s="1"/>
  <c r="J128" i="17" s="1"/>
  <c r="J129" i="17" s="1"/>
  <c r="J130" i="17" s="1"/>
  <c r="J131" i="17" s="1"/>
  <c r="J132" i="17" s="1"/>
  <c r="J133" i="17" s="1"/>
  <c r="J134" i="17" s="1"/>
  <c r="J135" i="17" s="1"/>
  <c r="J136" i="17" s="1"/>
  <c r="J137" i="17" s="1"/>
  <c r="J138" i="17" s="1"/>
  <c r="J139" i="17" s="1"/>
  <c r="J140" i="17" s="1"/>
  <c r="J141" i="17" s="1"/>
  <c r="J142" i="17" s="1"/>
  <c r="J143" i="17" s="1"/>
  <c r="J144" i="17" s="1"/>
  <c r="J145" i="17" s="1"/>
  <c r="J146" i="17" s="1"/>
  <c r="J147" i="17" s="1"/>
  <c r="J148" i="17" s="1"/>
  <c r="J149" i="17" s="1"/>
  <c r="J150" i="17" s="1"/>
  <c r="J151" i="17" s="1"/>
  <c r="J152" i="17" s="1"/>
  <c r="J153" i="17" s="1"/>
  <c r="J154" i="17" s="1"/>
  <c r="J155" i="17" s="1"/>
  <c r="J156" i="17" s="1"/>
  <c r="J157" i="17" s="1"/>
  <c r="J158" i="17" s="1"/>
  <c r="J159" i="17" s="1"/>
  <c r="J160" i="17" s="1"/>
  <c r="J161" i="17" s="1"/>
  <c r="J162" i="17" s="1"/>
  <c r="J163" i="17" s="1"/>
  <c r="J164" i="17" s="1"/>
  <c r="J165" i="17" s="1"/>
  <c r="J166" i="17" s="1"/>
  <c r="J167" i="17" s="1"/>
  <c r="J168" i="17" s="1"/>
  <c r="J169" i="17" s="1"/>
  <c r="J170" i="17" s="1"/>
  <c r="J171" i="17" s="1"/>
  <c r="J172" i="17" s="1"/>
  <c r="J173" i="17" s="1"/>
  <c r="J174" i="17" s="1"/>
  <c r="J175" i="17" s="1"/>
  <c r="J176" i="17" s="1"/>
  <c r="J177" i="17" s="1"/>
  <c r="J178" i="17" s="1"/>
  <c r="J179" i="17" s="1"/>
  <c r="J180" i="17" s="1"/>
  <c r="J181" i="17" s="1"/>
  <c r="J182" i="17" s="1"/>
  <c r="J183" i="17" s="1"/>
  <c r="J184" i="17" s="1"/>
  <c r="J185" i="17" s="1"/>
  <c r="J186" i="17" s="1"/>
  <c r="J187" i="17" s="1"/>
  <c r="J188" i="17" s="1"/>
  <c r="J189" i="17" s="1"/>
  <c r="J190" i="17" s="1"/>
  <c r="J191" i="17" s="1"/>
  <c r="J192" i="17" s="1"/>
  <c r="J193" i="17" s="1"/>
  <c r="J194" i="17" s="1"/>
  <c r="J195" i="17" s="1"/>
  <c r="J196" i="17" s="1"/>
  <c r="J197" i="17" s="1"/>
  <c r="J198" i="17" s="1"/>
  <c r="J199" i="17" s="1"/>
  <c r="J200" i="17" s="1"/>
  <c r="J201" i="17" s="1"/>
  <c r="J202" i="17" s="1"/>
  <c r="J203" i="17" s="1"/>
  <c r="J204" i="17" s="1"/>
  <c r="J205" i="17" s="1"/>
  <c r="J206" i="17" s="1"/>
  <c r="J207" i="17" s="1"/>
  <c r="J208" i="17" s="1"/>
  <c r="J209" i="17" s="1"/>
  <c r="J210" i="17" s="1"/>
  <c r="J211" i="17" s="1"/>
  <c r="J212" i="17" s="1"/>
  <c r="J213" i="17" s="1"/>
  <c r="J214" i="17" s="1"/>
  <c r="J215" i="17" s="1"/>
  <c r="J216" i="17" s="1"/>
  <c r="J217" i="17" s="1"/>
  <c r="J218" i="17" s="1"/>
  <c r="J219" i="17" s="1"/>
  <c r="J220" i="17" s="1"/>
  <c r="J221" i="17" s="1"/>
  <c r="J222" i="17" s="1"/>
  <c r="B6" i="17"/>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B124" i="17" s="1"/>
  <c r="B125" i="17" s="1"/>
  <c r="B126" i="17" s="1"/>
  <c r="B127" i="17" s="1"/>
  <c r="B128" i="17" s="1"/>
  <c r="B129" i="17" s="1"/>
  <c r="B130" i="17" s="1"/>
  <c r="B131" i="17" s="1"/>
  <c r="B132" i="17" s="1"/>
  <c r="B133" i="17" s="1"/>
  <c r="B134" i="17" s="1"/>
  <c r="B135" i="17" s="1"/>
  <c r="B136" i="17" s="1"/>
  <c r="B137" i="17" s="1"/>
  <c r="B138" i="17" s="1"/>
  <c r="B139" i="17" s="1"/>
  <c r="B140" i="17" s="1"/>
  <c r="B141" i="17" s="1"/>
  <c r="B142" i="17" s="1"/>
  <c r="B143" i="17" s="1"/>
  <c r="B144" i="17" s="1"/>
  <c r="B145" i="17" s="1"/>
  <c r="B146" i="17" s="1"/>
  <c r="B147" i="17" s="1"/>
  <c r="B148" i="17" s="1"/>
  <c r="B149" i="17" s="1"/>
  <c r="B150" i="17" s="1"/>
  <c r="B151" i="17" s="1"/>
  <c r="B152" i="17" s="1"/>
  <c r="B153" i="17" s="1"/>
  <c r="B154" i="17" s="1"/>
  <c r="B155" i="17" s="1"/>
  <c r="B156" i="17" s="1"/>
  <c r="B157" i="17" s="1"/>
  <c r="B158" i="17" s="1"/>
  <c r="B159" i="17" s="1"/>
  <c r="B160" i="17" s="1"/>
  <c r="B161" i="17" s="1"/>
  <c r="B162" i="17" s="1"/>
  <c r="B163" i="17" s="1"/>
  <c r="B164" i="17" s="1"/>
  <c r="B165" i="17" s="1"/>
  <c r="B166" i="17" s="1"/>
  <c r="B167" i="17" s="1"/>
  <c r="B168" i="17" s="1"/>
  <c r="B169" i="17" s="1"/>
  <c r="B170" i="17" s="1"/>
  <c r="B171" i="17" s="1"/>
  <c r="B172" i="17" s="1"/>
  <c r="B173" i="17" s="1"/>
  <c r="B174" i="17" s="1"/>
  <c r="B175" i="17" s="1"/>
  <c r="B176" i="17" s="1"/>
  <c r="B177" i="17" s="1"/>
  <c r="B178" i="17" s="1"/>
  <c r="B179" i="17" s="1"/>
  <c r="B180" i="17" s="1"/>
  <c r="B181" i="17" s="1"/>
  <c r="B182" i="17" s="1"/>
  <c r="B183" i="17" s="1"/>
  <c r="B184" i="17" s="1"/>
  <c r="B185" i="17" s="1"/>
  <c r="B186" i="17" s="1"/>
  <c r="B187" i="17" s="1"/>
  <c r="B188" i="17" s="1"/>
  <c r="B189" i="17" s="1"/>
  <c r="B190" i="17" s="1"/>
  <c r="B191" i="17" s="1"/>
  <c r="B192" i="17" s="1"/>
  <c r="B193" i="17" s="1"/>
  <c r="B194" i="17" s="1"/>
  <c r="B195" i="17" s="1"/>
  <c r="B196" i="17" s="1"/>
  <c r="B197" i="17" s="1"/>
  <c r="B198" i="17" s="1"/>
  <c r="B199" i="17" s="1"/>
  <c r="B200" i="17" s="1"/>
  <c r="B201" i="17" s="1"/>
  <c r="B202" i="17" s="1"/>
  <c r="B203" i="17" s="1"/>
  <c r="B204" i="17" s="1"/>
  <c r="B205" i="17" s="1"/>
  <c r="B206" i="17" s="1"/>
  <c r="B207" i="17" s="1"/>
  <c r="B208" i="17" s="1"/>
  <c r="B209" i="17" s="1"/>
  <c r="B210" i="17" s="1"/>
  <c r="B211" i="17" s="1"/>
  <c r="B212" i="17" s="1"/>
  <c r="B213" i="17" s="1"/>
  <c r="B214" i="17" s="1"/>
  <c r="B215" i="17" s="1"/>
  <c r="B216" i="17" s="1"/>
  <c r="B217" i="17" s="1"/>
  <c r="B218" i="17" s="1"/>
  <c r="B219" i="17" s="1"/>
  <c r="B220" i="17" s="1"/>
  <c r="B221" i="17" s="1"/>
  <c r="B222" i="17" s="1"/>
  <c r="B223" i="17" s="1"/>
  <c r="B224" i="17" s="1"/>
  <c r="B225" i="17" s="1"/>
  <c r="B226" i="17" s="1"/>
  <c r="B227" i="17" s="1"/>
  <c r="B228" i="17" s="1"/>
  <c r="B229" i="17" s="1"/>
  <c r="B230" i="17" s="1"/>
  <c r="B231" i="17" s="1"/>
  <c r="B232" i="17" s="1"/>
  <c r="B233" i="17" s="1"/>
  <c r="B234" i="17" s="1"/>
  <c r="B235" i="17" s="1"/>
  <c r="J5" i="17"/>
  <c r="L314" i="16"/>
  <c r="L313" i="16"/>
  <c r="L312" i="16"/>
  <c r="L311" i="16"/>
  <c r="L310" i="16"/>
  <c r="L309" i="16"/>
  <c r="L308" i="16"/>
  <c r="L307" i="16"/>
  <c r="L306" i="16"/>
  <c r="L305" i="16"/>
  <c r="F305" i="16"/>
  <c r="L304" i="16"/>
  <c r="F304" i="16"/>
  <c r="L303" i="16"/>
  <c r="F303" i="16"/>
  <c r="L302" i="16"/>
  <c r="F302" i="16"/>
  <c r="L301" i="16"/>
  <c r="F301" i="16"/>
  <c r="L300" i="16"/>
  <c r="F300" i="16"/>
  <c r="L299" i="16"/>
  <c r="F299" i="16"/>
  <c r="L298" i="16"/>
  <c r="F298" i="16"/>
  <c r="L297" i="16"/>
  <c r="F297" i="16"/>
  <c r="L296" i="16"/>
  <c r="F296" i="16"/>
  <c r="L295" i="16"/>
  <c r="F295" i="16"/>
  <c r="L294" i="16"/>
  <c r="F294" i="16"/>
  <c r="L293" i="16"/>
  <c r="F293" i="16"/>
  <c r="L292" i="16"/>
  <c r="F292" i="16"/>
  <c r="L291" i="16"/>
  <c r="F291" i="16"/>
  <c r="L290" i="16"/>
  <c r="F290" i="16"/>
  <c r="L289" i="16"/>
  <c r="F289" i="16"/>
  <c r="L288" i="16"/>
  <c r="F288" i="16"/>
  <c r="L287" i="16"/>
  <c r="F287" i="16"/>
  <c r="L286" i="16"/>
  <c r="F286" i="16"/>
  <c r="L285" i="16"/>
  <c r="F285" i="16"/>
  <c r="L284" i="16"/>
  <c r="F284" i="16"/>
  <c r="L283" i="16"/>
  <c r="F283" i="16"/>
  <c r="L282" i="16"/>
  <c r="F282" i="16"/>
  <c r="L281" i="16"/>
  <c r="F281" i="16"/>
  <c r="L280" i="16"/>
  <c r="F280" i="16"/>
  <c r="L279" i="16"/>
  <c r="F279" i="16"/>
  <c r="L278" i="16"/>
  <c r="F278" i="16"/>
  <c r="L277" i="16"/>
  <c r="F277" i="16"/>
  <c r="L276" i="16"/>
  <c r="F276" i="16"/>
  <c r="L275" i="16"/>
  <c r="F275" i="16"/>
  <c r="L274" i="16"/>
  <c r="F274" i="16"/>
  <c r="L273" i="16"/>
  <c r="F273" i="16"/>
  <c r="L272" i="16"/>
  <c r="F272" i="16"/>
  <c r="L271" i="16"/>
  <c r="F271" i="16"/>
  <c r="L270" i="16"/>
  <c r="K270" i="16"/>
  <c r="F270" i="16"/>
  <c r="L269" i="16"/>
  <c r="F269" i="16"/>
  <c r="L268" i="16"/>
  <c r="F268" i="16"/>
  <c r="L267" i="16"/>
  <c r="F267" i="16"/>
  <c r="L266" i="16"/>
  <c r="F266" i="16"/>
  <c r="L265" i="16"/>
  <c r="K265" i="16"/>
  <c r="F265" i="16"/>
  <c r="L264" i="16"/>
  <c r="F264" i="16"/>
  <c r="L263" i="16"/>
  <c r="F263" i="16"/>
  <c r="L262" i="16"/>
  <c r="F262" i="16"/>
  <c r="L261" i="16"/>
  <c r="F261" i="16"/>
  <c r="L260" i="16"/>
  <c r="F260" i="16"/>
  <c r="L259" i="16"/>
  <c r="F259" i="16"/>
  <c r="L258" i="16"/>
  <c r="F258" i="16"/>
  <c r="L257" i="16"/>
  <c r="F257" i="16"/>
  <c r="L256" i="16"/>
  <c r="F256" i="16"/>
  <c r="L255" i="16"/>
  <c r="F255" i="16"/>
  <c r="L254" i="16"/>
  <c r="F254" i="16"/>
  <c r="L253" i="16"/>
  <c r="F253" i="16"/>
  <c r="L252" i="16"/>
  <c r="F252" i="16"/>
  <c r="L251" i="16"/>
  <c r="F251" i="16"/>
  <c r="L250" i="16"/>
  <c r="F250" i="16"/>
  <c r="L249" i="16"/>
  <c r="F249" i="16"/>
  <c r="L248" i="16"/>
  <c r="F248" i="16"/>
  <c r="L247" i="16"/>
  <c r="F247" i="16"/>
  <c r="L246" i="16"/>
  <c r="F246" i="16"/>
  <c r="L245" i="16"/>
  <c r="F245" i="16"/>
  <c r="L244" i="16"/>
  <c r="F244" i="16"/>
  <c r="L243" i="16"/>
  <c r="F243" i="16"/>
  <c r="L242" i="16"/>
  <c r="F242" i="16"/>
  <c r="L241" i="16"/>
  <c r="F241" i="16"/>
  <c r="L240" i="16"/>
  <c r="F240" i="16"/>
  <c r="L239" i="16"/>
  <c r="F239" i="16"/>
  <c r="L238" i="16"/>
  <c r="K238" i="16"/>
  <c r="F238" i="16"/>
  <c r="L237" i="16"/>
  <c r="F237" i="16"/>
  <c r="L236" i="16"/>
  <c r="F236" i="16"/>
  <c r="L235" i="16"/>
  <c r="F235" i="16"/>
  <c r="L234" i="16"/>
  <c r="F234" i="16"/>
  <c r="L233" i="16"/>
  <c r="F233" i="16"/>
  <c r="L232" i="16"/>
  <c r="F232" i="16"/>
  <c r="L231" i="16"/>
  <c r="F231" i="16"/>
  <c r="L230" i="16"/>
  <c r="F230" i="16"/>
  <c r="L229" i="16"/>
  <c r="F229" i="16"/>
  <c r="L228" i="16"/>
  <c r="F228" i="16"/>
  <c r="L227" i="16"/>
  <c r="F227" i="16"/>
  <c r="L226" i="16"/>
  <c r="F226" i="16"/>
  <c r="L225" i="16"/>
  <c r="F225" i="16"/>
  <c r="L224" i="16"/>
  <c r="F224" i="16"/>
  <c r="L223" i="16"/>
  <c r="F223" i="16"/>
  <c r="L222" i="16"/>
  <c r="F222" i="16"/>
  <c r="L221" i="16"/>
  <c r="F221" i="16"/>
  <c r="L220" i="16"/>
  <c r="F220" i="16"/>
  <c r="L219" i="16"/>
  <c r="F219" i="16"/>
  <c r="L218" i="16"/>
  <c r="F218" i="16"/>
  <c r="L217" i="16"/>
  <c r="F217" i="16"/>
  <c r="L216" i="16"/>
  <c r="F216" i="16"/>
  <c r="L215" i="16"/>
  <c r="F215" i="16"/>
  <c r="L214" i="16"/>
  <c r="F214" i="16"/>
  <c r="L213" i="16"/>
  <c r="F213" i="16"/>
  <c r="L212" i="16"/>
  <c r="F212" i="16"/>
  <c r="L211" i="16"/>
  <c r="F211" i="16"/>
  <c r="L210" i="16"/>
  <c r="F210" i="16"/>
  <c r="L209" i="16"/>
  <c r="F209" i="16"/>
  <c r="L208" i="16"/>
  <c r="F208" i="16"/>
  <c r="L207" i="16"/>
  <c r="F207" i="16"/>
  <c r="L206" i="16"/>
  <c r="F206" i="16"/>
  <c r="L205" i="16"/>
  <c r="F205" i="16"/>
  <c r="L204" i="16"/>
  <c r="F204" i="16"/>
  <c r="L203" i="16"/>
  <c r="F203" i="16"/>
  <c r="L202" i="16"/>
  <c r="F202" i="16"/>
  <c r="L201" i="16"/>
  <c r="F201" i="16"/>
  <c r="L200" i="16"/>
  <c r="F200" i="16"/>
  <c r="L199" i="16"/>
  <c r="F199" i="16"/>
  <c r="L198" i="16"/>
  <c r="F198" i="16"/>
  <c r="L197" i="16"/>
  <c r="F197" i="16"/>
  <c r="L196" i="16"/>
  <c r="F196" i="16"/>
  <c r="L195" i="16"/>
  <c r="F195" i="16"/>
  <c r="L194" i="16"/>
  <c r="F194" i="16"/>
  <c r="L193" i="16"/>
  <c r="F193" i="16"/>
  <c r="L192" i="16"/>
  <c r="F192" i="16"/>
  <c r="L191" i="16"/>
  <c r="F191" i="16"/>
  <c r="L190" i="16"/>
  <c r="K190" i="16"/>
  <c r="F190" i="16"/>
  <c r="L189" i="16"/>
  <c r="F189" i="16"/>
  <c r="L188" i="16"/>
  <c r="F188" i="16"/>
  <c r="L187" i="16"/>
  <c r="F187" i="16"/>
  <c r="L186" i="16"/>
  <c r="F186" i="16"/>
  <c r="L185" i="16"/>
  <c r="F185" i="16"/>
  <c r="L184" i="16"/>
  <c r="K184" i="16"/>
  <c r="F184" i="16"/>
  <c r="L183" i="16"/>
  <c r="F183" i="16"/>
  <c r="L182" i="16"/>
  <c r="F182" i="16"/>
  <c r="L181" i="16"/>
  <c r="F181" i="16"/>
  <c r="L180" i="16"/>
  <c r="F180" i="16"/>
  <c r="L179" i="16"/>
  <c r="F179" i="16"/>
  <c r="L178" i="16"/>
  <c r="F178" i="16"/>
  <c r="L177" i="16"/>
  <c r="F177" i="16"/>
  <c r="L176" i="16"/>
  <c r="F176" i="16"/>
  <c r="L175" i="16"/>
  <c r="F175" i="16"/>
  <c r="L174" i="16"/>
  <c r="F174" i="16"/>
  <c r="L173" i="16"/>
  <c r="F173" i="16"/>
  <c r="L172" i="16"/>
  <c r="F172" i="16"/>
  <c r="L171" i="16"/>
  <c r="F171" i="16"/>
  <c r="L170" i="16"/>
  <c r="F170" i="16"/>
  <c r="L169" i="16"/>
  <c r="F169" i="16"/>
  <c r="L168" i="16"/>
  <c r="F168" i="16"/>
  <c r="L167" i="16"/>
  <c r="F167" i="16"/>
  <c r="L166" i="16"/>
  <c r="F166" i="16"/>
  <c r="L165" i="16"/>
  <c r="F165" i="16"/>
  <c r="L164" i="16"/>
  <c r="F164" i="16"/>
  <c r="L163" i="16"/>
  <c r="F163" i="16"/>
  <c r="L162" i="16"/>
  <c r="F162" i="16"/>
  <c r="L161" i="16"/>
  <c r="F161" i="16"/>
  <c r="L160" i="16"/>
  <c r="F160" i="16"/>
  <c r="L159" i="16"/>
  <c r="F159" i="16"/>
  <c r="L158" i="16"/>
  <c r="F158" i="16"/>
  <c r="L157" i="16"/>
  <c r="F157" i="16"/>
  <c r="L156" i="16"/>
  <c r="F156" i="16"/>
  <c r="L155" i="16"/>
  <c r="F155" i="16"/>
  <c r="L154" i="16"/>
  <c r="F154" i="16"/>
  <c r="L153" i="16"/>
  <c r="F153" i="16"/>
  <c r="L152" i="16"/>
  <c r="F152" i="16"/>
  <c r="L151" i="16"/>
  <c r="F151" i="16"/>
  <c r="L150" i="16"/>
  <c r="F150" i="16"/>
  <c r="L149" i="16"/>
  <c r="F149" i="16"/>
  <c r="L148" i="16"/>
  <c r="F148" i="16"/>
  <c r="L147" i="16"/>
  <c r="F147" i="16"/>
  <c r="L146" i="16"/>
  <c r="F146" i="16"/>
  <c r="L145" i="16"/>
  <c r="F145" i="16"/>
  <c r="L144" i="16"/>
  <c r="F144" i="16"/>
  <c r="L143" i="16"/>
  <c r="F143" i="16"/>
  <c r="L142" i="16"/>
  <c r="F142" i="16"/>
  <c r="L141" i="16"/>
  <c r="F141" i="16"/>
  <c r="L140" i="16"/>
  <c r="F140" i="16"/>
  <c r="L139" i="16"/>
  <c r="F139" i="16"/>
  <c r="L138" i="16"/>
  <c r="F138" i="16"/>
  <c r="L137" i="16"/>
  <c r="F137" i="16"/>
  <c r="L136" i="16"/>
  <c r="F136" i="16"/>
  <c r="L135" i="16"/>
  <c r="F135" i="16"/>
  <c r="L134" i="16"/>
  <c r="F134" i="16"/>
  <c r="L133" i="16"/>
  <c r="F133" i="16"/>
  <c r="L132" i="16"/>
  <c r="F132" i="16"/>
  <c r="L131" i="16"/>
  <c r="F131" i="16"/>
  <c r="L130" i="16"/>
  <c r="K130" i="16"/>
  <c r="F130" i="16"/>
  <c r="L129" i="16"/>
  <c r="F129" i="16"/>
  <c r="L128" i="16"/>
  <c r="F128" i="16"/>
  <c r="L127" i="16"/>
  <c r="F127" i="16"/>
  <c r="L126" i="16"/>
  <c r="F126" i="16"/>
  <c r="L125" i="16"/>
  <c r="F125" i="16"/>
  <c r="L124" i="16"/>
  <c r="F124" i="16"/>
  <c r="L123" i="16"/>
  <c r="F123" i="16"/>
  <c r="L122" i="16"/>
  <c r="F122" i="16"/>
  <c r="L121" i="16"/>
  <c r="F121" i="16"/>
  <c r="L120" i="16"/>
  <c r="F120" i="16"/>
  <c r="L119" i="16"/>
  <c r="F119" i="16"/>
  <c r="L118" i="16"/>
  <c r="F118" i="16"/>
  <c r="L117" i="16"/>
  <c r="F117" i="16"/>
  <c r="L116" i="16"/>
  <c r="F116" i="16"/>
  <c r="L115" i="16"/>
  <c r="F115" i="16"/>
  <c r="L114" i="16"/>
  <c r="F114" i="16"/>
  <c r="L113" i="16"/>
  <c r="F113" i="16"/>
  <c r="L112" i="16"/>
  <c r="F112" i="16"/>
  <c r="L111" i="16"/>
  <c r="F111" i="16"/>
  <c r="L110" i="16"/>
  <c r="F110" i="16"/>
  <c r="L109" i="16"/>
  <c r="F109" i="16"/>
  <c r="L108" i="16"/>
  <c r="F108" i="16"/>
  <c r="L107" i="16"/>
  <c r="F107" i="16"/>
  <c r="L106" i="16"/>
  <c r="F106" i="16"/>
  <c r="L105" i="16"/>
  <c r="F105" i="16"/>
  <c r="L104" i="16"/>
  <c r="F104" i="16"/>
  <c r="L103" i="16"/>
  <c r="F103" i="16"/>
  <c r="L102" i="16"/>
  <c r="F102" i="16"/>
  <c r="L101" i="16"/>
  <c r="F101" i="16"/>
  <c r="L100" i="16"/>
  <c r="F100" i="16"/>
  <c r="L99" i="16"/>
  <c r="F99" i="16"/>
  <c r="L98" i="16"/>
  <c r="F98" i="16"/>
  <c r="L97" i="16"/>
  <c r="F97" i="16"/>
  <c r="L96" i="16"/>
  <c r="F96" i="16"/>
  <c r="L95" i="16"/>
  <c r="F95" i="16"/>
  <c r="L94" i="16"/>
  <c r="F94" i="16"/>
  <c r="L93" i="16"/>
  <c r="F93" i="16"/>
  <c r="L92" i="16"/>
  <c r="F92" i="16"/>
  <c r="L91" i="16"/>
  <c r="F91" i="16"/>
  <c r="L90" i="16"/>
  <c r="F90" i="16"/>
  <c r="L89" i="16"/>
  <c r="K89" i="16"/>
  <c r="F89" i="16"/>
  <c r="L88" i="16"/>
  <c r="F88" i="16"/>
  <c r="L87" i="16"/>
  <c r="F87" i="16"/>
  <c r="L86" i="16"/>
  <c r="F86" i="16"/>
  <c r="L85" i="16"/>
  <c r="F85" i="16"/>
  <c r="L84" i="16"/>
  <c r="F84" i="16"/>
  <c r="L83" i="16"/>
  <c r="F83" i="16"/>
  <c r="L82" i="16"/>
  <c r="F82" i="16"/>
  <c r="L81" i="16"/>
  <c r="F81" i="16"/>
  <c r="L80" i="16"/>
  <c r="F80" i="16"/>
  <c r="L79" i="16"/>
  <c r="F79" i="16"/>
  <c r="L78" i="16"/>
  <c r="F78" i="16"/>
  <c r="L77" i="16"/>
  <c r="F77" i="16"/>
  <c r="L76" i="16"/>
  <c r="F76" i="16"/>
  <c r="L75" i="16"/>
  <c r="F75" i="16"/>
  <c r="L74" i="16"/>
  <c r="F74" i="16"/>
  <c r="L73" i="16"/>
  <c r="F73" i="16"/>
  <c r="L72" i="16"/>
  <c r="F72" i="16"/>
  <c r="L71" i="16"/>
  <c r="F71" i="16"/>
  <c r="L70" i="16"/>
  <c r="F70" i="16"/>
  <c r="L69" i="16"/>
  <c r="F69" i="16"/>
  <c r="L68" i="16"/>
  <c r="F68" i="16"/>
  <c r="L67" i="16"/>
  <c r="F67" i="16"/>
  <c r="L66" i="16"/>
  <c r="F66" i="16"/>
  <c r="L65" i="16"/>
  <c r="F65" i="16"/>
  <c r="L64" i="16"/>
  <c r="F64" i="16"/>
  <c r="L63" i="16"/>
  <c r="F63" i="16"/>
  <c r="L62" i="16"/>
  <c r="F62" i="16"/>
  <c r="L61" i="16"/>
  <c r="F61" i="16"/>
  <c r="L60" i="16"/>
  <c r="F60" i="16"/>
  <c r="L59" i="16"/>
  <c r="F59" i="16"/>
  <c r="L58" i="16"/>
  <c r="F58" i="16"/>
  <c r="L57" i="16"/>
  <c r="F57" i="16"/>
  <c r="L56" i="16"/>
  <c r="F56" i="16"/>
  <c r="L55" i="16"/>
  <c r="F55" i="16"/>
  <c r="L54" i="16"/>
  <c r="F54" i="16"/>
  <c r="L53" i="16"/>
  <c r="F53" i="16"/>
  <c r="L52" i="16"/>
  <c r="F52" i="16"/>
  <c r="L51" i="16"/>
  <c r="F51" i="16"/>
  <c r="L50" i="16"/>
  <c r="F50" i="16"/>
  <c r="L49" i="16"/>
  <c r="F49" i="16"/>
  <c r="L48" i="16"/>
  <c r="F48" i="16"/>
  <c r="L47" i="16"/>
  <c r="F47" i="16"/>
  <c r="L46" i="16"/>
  <c r="F46" i="16"/>
  <c r="L45" i="16"/>
  <c r="F45" i="16"/>
  <c r="L44" i="16"/>
  <c r="F44" i="16"/>
  <c r="L43" i="16"/>
  <c r="F43" i="16"/>
  <c r="L42" i="16"/>
  <c r="F42" i="16"/>
  <c r="L41" i="16"/>
  <c r="F41" i="16"/>
  <c r="L40" i="16"/>
  <c r="F40" i="16"/>
  <c r="L39" i="16"/>
  <c r="F39" i="16"/>
  <c r="P38" i="16"/>
  <c r="P39" i="16" s="1"/>
  <c r="O38" i="16"/>
  <c r="L38" i="16"/>
  <c r="F38" i="16"/>
  <c r="L37" i="16"/>
  <c r="F37" i="16"/>
  <c r="L36" i="16"/>
  <c r="F36" i="16"/>
  <c r="L35" i="16"/>
  <c r="F35" i="16"/>
  <c r="L34" i="16"/>
  <c r="F34" i="16"/>
  <c r="L33" i="16"/>
  <c r="F33" i="16"/>
  <c r="L32" i="16"/>
  <c r="F32" i="16"/>
  <c r="L31" i="16"/>
  <c r="F31" i="16"/>
  <c r="L30" i="16"/>
  <c r="F30" i="16"/>
  <c r="L29" i="16"/>
  <c r="F29" i="16"/>
  <c r="L28" i="16"/>
  <c r="F28" i="16"/>
  <c r="L27" i="16"/>
  <c r="F27" i="16"/>
  <c r="N26" i="16"/>
  <c r="L26" i="16"/>
  <c r="F26" i="16"/>
  <c r="L25" i="16"/>
  <c r="F25" i="16"/>
  <c r="Q24" i="16"/>
  <c r="L24" i="16"/>
  <c r="F24" i="16"/>
  <c r="L23" i="16"/>
  <c r="F23" i="16"/>
  <c r="L22" i="16"/>
  <c r="F22" i="16"/>
  <c r="L21" i="16"/>
  <c r="F21" i="16"/>
  <c r="L20" i="16"/>
  <c r="F20" i="16"/>
  <c r="L19" i="16"/>
  <c r="F19" i="16"/>
  <c r="L18" i="16"/>
  <c r="F18" i="16"/>
  <c r="L17" i="16"/>
  <c r="F17" i="16"/>
  <c r="L16" i="16"/>
  <c r="F16" i="16"/>
  <c r="L15" i="16"/>
  <c r="F15" i="16"/>
  <c r="L14" i="16"/>
  <c r="F14" i="16"/>
  <c r="L13" i="16"/>
  <c r="F13" i="16"/>
  <c r="L12" i="16"/>
  <c r="F12" i="16"/>
  <c r="L11" i="16"/>
  <c r="F11" i="16"/>
  <c r="L10" i="16"/>
  <c r="F10" i="16"/>
  <c r="L9" i="16"/>
  <c r="F9" i="16"/>
  <c r="L8" i="16"/>
  <c r="F8" i="16"/>
  <c r="L7" i="16"/>
  <c r="F7" i="16"/>
  <c r="L6" i="16"/>
  <c r="F6" i="16"/>
  <c r="U5" i="16"/>
  <c r="L5" i="16"/>
  <c r="F5" i="16"/>
  <c r="L4" i="16"/>
  <c r="F4" i="16"/>
  <c r="L3" i="16"/>
  <c r="F3" i="16"/>
  <c r="L2" i="16"/>
  <c r="L1" i="16"/>
  <c r="G349" i="15"/>
  <c r="H347" i="15"/>
  <c r="I339" i="15"/>
  <c r="H338" i="15"/>
  <c r="G338" i="15"/>
  <c r="H348" i="15" s="1"/>
  <c r="F338" i="15"/>
  <c r="E338" i="15"/>
  <c r="H346" i="15" s="1"/>
  <c r="D338" i="15"/>
  <c r="H345" i="15" s="1"/>
  <c r="C338" i="15"/>
  <c r="H344" i="15" s="1"/>
  <c r="B338" i="15"/>
  <c r="H343" i="15" s="1"/>
  <c r="P337" i="15"/>
  <c r="M331" i="15"/>
  <c r="M297" i="15"/>
  <c r="O283" i="15"/>
  <c r="M216" i="15"/>
  <c r="M214" i="15"/>
  <c r="M213" i="15"/>
  <c r="M134" i="15"/>
  <c r="N128" i="15"/>
  <c r="B37" i="15"/>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P34" i="15"/>
  <c r="O34" i="15"/>
  <c r="N34" i="15"/>
  <c r="I10" i="15"/>
  <c r="I11" i="15" s="1"/>
  <c r="I12" i="15" s="1"/>
  <c r="I13" i="15" s="1"/>
  <c r="I14" i="15" s="1"/>
  <c r="I15" i="15" s="1"/>
  <c r="I16" i="15" s="1"/>
  <c r="I17" i="15" s="1"/>
  <c r="I18" i="15" s="1"/>
  <c r="I19" i="15" s="1"/>
  <c r="I20" i="15" s="1"/>
  <c r="I21" i="15" s="1"/>
  <c r="I22" i="15" s="1"/>
  <c r="I23" i="15" s="1"/>
  <c r="I24" i="15" s="1"/>
  <c r="I25" i="15" s="1"/>
  <c r="I26" i="15" s="1"/>
  <c r="I27" i="15" s="1"/>
  <c r="I28" i="15" s="1"/>
  <c r="I29" i="15" s="1"/>
  <c r="I30" i="15" s="1"/>
  <c r="I31" i="15" s="1"/>
  <c r="I32" i="15" s="1"/>
  <c r="I33" i="15" s="1"/>
  <c r="I34" i="15" s="1"/>
  <c r="I35" i="15" s="1"/>
  <c r="I6" i="15"/>
  <c r="I7" i="15" s="1"/>
  <c r="I8" i="15" s="1"/>
  <c r="I9" i="15" s="1"/>
  <c r="B6" i="15"/>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I5" i="15"/>
  <c r="K129" i="12"/>
  <c r="J129" i="12"/>
  <c r="I129" i="12"/>
  <c r="H129" i="12"/>
  <c r="G129" i="12"/>
  <c r="F129" i="12"/>
  <c r="K128" i="12"/>
  <c r="H128" i="12"/>
  <c r="F128" i="12"/>
  <c r="J108" i="12"/>
  <c r="J128" i="12" s="1"/>
  <c r="J97" i="12"/>
  <c r="J93" i="12"/>
  <c r="I128" i="12" s="1"/>
  <c r="J77" i="12"/>
  <c r="G128" i="12" s="1"/>
  <c r="J75" i="12"/>
  <c r="D62" i="12"/>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D87" i="12" s="1"/>
  <c r="D88" i="12" s="1"/>
  <c r="D89" i="12" s="1"/>
  <c r="D90" i="12" s="1"/>
  <c r="D91" i="12" s="1"/>
  <c r="D92" i="12" s="1"/>
  <c r="D93" i="12" s="1"/>
  <c r="D94" i="12" s="1"/>
  <c r="D95" i="12" s="1"/>
  <c r="D96" i="12" s="1"/>
  <c r="D97" i="12" s="1"/>
  <c r="D98" i="12" s="1"/>
  <c r="D99" i="12" s="1"/>
  <c r="D100" i="12" s="1"/>
  <c r="D101" i="12" s="1"/>
  <c r="D102" i="12" s="1"/>
  <c r="D103" i="12" s="1"/>
  <c r="D104" i="12" s="1"/>
  <c r="D105" i="12" s="1"/>
  <c r="D106" i="12" s="1"/>
  <c r="D107" i="12" s="1"/>
  <c r="D108" i="12" s="1"/>
  <c r="D109" i="12" s="1"/>
  <c r="D110" i="12" s="1"/>
  <c r="D111" i="12" s="1"/>
  <c r="D112" i="12" s="1"/>
  <c r="D113" i="12" s="1"/>
  <c r="D114" i="12" s="1"/>
  <c r="D115" i="12" s="1"/>
  <c r="D116" i="12" s="1"/>
  <c r="D117" i="12" s="1"/>
  <c r="D118" i="12" s="1"/>
  <c r="D119" i="12" s="1"/>
  <c r="D120" i="12" s="1"/>
  <c r="D121" i="12" s="1"/>
  <c r="D122" i="12" s="1"/>
  <c r="D123" i="12" s="1"/>
  <c r="D61" i="12"/>
  <c r="M60" i="12"/>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S54" i="12"/>
  <c r="H52" i="12"/>
  <c r="G51" i="12"/>
  <c r="D51" i="12"/>
  <c r="C51" i="12"/>
  <c r="B51" i="12"/>
  <c r="Q46" i="12"/>
  <c r="H44" i="12"/>
  <c r="F51" i="12" s="1"/>
  <c r="H35" i="12"/>
  <c r="H31" i="12"/>
  <c r="H15" i="12"/>
  <c r="P10" i="12"/>
  <c r="B10" i="12"/>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P9" i="12"/>
  <c r="P7" i="12"/>
  <c r="P6" i="12"/>
  <c r="P5" i="12"/>
  <c r="B5" i="12"/>
  <c r="B6" i="12" s="1"/>
  <c r="B7" i="12" s="1"/>
  <c r="B8" i="12" s="1"/>
  <c r="B9" i="12" s="1"/>
  <c r="K4" i="12"/>
  <c r="K5" i="12" s="1"/>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I154" i="11"/>
  <c r="H153" i="11"/>
  <c r="G153" i="11"/>
  <c r="D153" i="11"/>
  <c r="W143" i="11"/>
  <c r="H139" i="11"/>
  <c r="H138" i="11"/>
  <c r="I153" i="11" s="1"/>
  <c r="G138" i="11"/>
  <c r="F138" i="11"/>
  <c r="C138"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H95" i="11"/>
  <c r="L94" i="11"/>
  <c r="H94" i="11"/>
  <c r="L93" i="11"/>
  <c r="L92" i="11"/>
  <c r="L91" i="11"/>
  <c r="L90" i="11"/>
  <c r="L89" i="11"/>
  <c r="L88" i="11"/>
  <c r="P87" i="11"/>
  <c r="L87" i="11"/>
  <c r="P86" i="11"/>
  <c r="L86" i="11"/>
  <c r="L85" i="11"/>
  <c r="L84" i="11"/>
  <c r="L83" i="11"/>
  <c r="L82" i="11"/>
  <c r="T81" i="11"/>
  <c r="L81" i="11"/>
  <c r="T80" i="11"/>
  <c r="L80" i="11"/>
  <c r="T79" i="11"/>
  <c r="L79" i="11"/>
  <c r="T78" i="11"/>
  <c r="L78" i="11"/>
  <c r="L77" i="11"/>
  <c r="L76" i="11"/>
  <c r="L75" i="11"/>
  <c r="L74" i="11"/>
  <c r="T73" i="11"/>
  <c r="L73" i="11"/>
  <c r="T72" i="11"/>
  <c r="L72" i="11"/>
  <c r="T71" i="11"/>
  <c r="L71" i="11"/>
  <c r="T70" i="11"/>
  <c r="L70" i="11"/>
  <c r="T69" i="11"/>
  <c r="L69" i="11"/>
  <c r="T68" i="11"/>
  <c r="L68" i="11"/>
  <c r="T67" i="11"/>
  <c r="L67" i="11"/>
  <c r="T66" i="11"/>
  <c r="L66" i="11"/>
  <c r="T65" i="11"/>
  <c r="L65" i="11"/>
  <c r="T64" i="11"/>
  <c r="L64" i="11"/>
  <c r="T63" i="11"/>
  <c r="L63" i="11"/>
  <c r="H63" i="11"/>
  <c r="T62" i="11"/>
  <c r="L62" i="11"/>
  <c r="T61" i="11"/>
  <c r="L61" i="11"/>
  <c r="T60" i="11"/>
  <c r="L60" i="11"/>
  <c r="T59" i="11"/>
  <c r="L59" i="11"/>
  <c r="T58" i="11"/>
  <c r="L58" i="11"/>
  <c r="T57" i="11"/>
  <c r="L57" i="11"/>
  <c r="T56" i="11"/>
  <c r="L56" i="11"/>
  <c r="T55" i="11"/>
  <c r="L55" i="11"/>
  <c r="T54" i="11"/>
  <c r="L54" i="11"/>
  <c r="T53" i="11"/>
  <c r="L53" i="11"/>
  <c r="T52" i="11"/>
  <c r="L52" i="11"/>
  <c r="T51" i="11"/>
  <c r="L51" i="11"/>
  <c r="T50" i="11"/>
  <c r="L50" i="11"/>
  <c r="T49" i="11"/>
  <c r="L49" i="11"/>
  <c r="T48" i="11"/>
  <c r="L48" i="11"/>
  <c r="T47" i="11"/>
  <c r="L47" i="11"/>
  <c r="T46" i="11"/>
  <c r="L46" i="11"/>
  <c r="T45" i="11"/>
  <c r="L45" i="11"/>
  <c r="T44" i="11"/>
  <c r="L44" i="11"/>
  <c r="T43" i="11"/>
  <c r="L43" i="11"/>
  <c r="T42" i="11"/>
  <c r="L42" i="11"/>
  <c r="T41" i="11"/>
  <c r="L41" i="11"/>
  <c r="T40" i="11"/>
  <c r="L40" i="11"/>
  <c r="T39" i="11"/>
  <c r="L39" i="11"/>
  <c r="T38" i="11"/>
  <c r="L38" i="11"/>
  <c r="T37" i="11"/>
  <c r="L37" i="11"/>
  <c r="T36" i="11"/>
  <c r="L36" i="11"/>
  <c r="T35" i="11"/>
  <c r="L35" i="11"/>
  <c r="T34" i="11"/>
  <c r="L34" i="11"/>
  <c r="T33" i="11"/>
  <c r="L33" i="11"/>
  <c r="T32" i="11"/>
  <c r="L32" i="11"/>
  <c r="T31" i="11"/>
  <c r="L31" i="11"/>
  <c r="T30" i="11"/>
  <c r="L30" i="11"/>
  <c r="T29" i="11"/>
  <c r="L29" i="11"/>
  <c r="T28" i="11"/>
  <c r="L28" i="11"/>
  <c r="T27" i="11"/>
  <c r="L27" i="11"/>
  <c r="T26" i="11"/>
  <c r="L26" i="11"/>
  <c r="T25" i="11"/>
  <c r="L25" i="11"/>
  <c r="T24" i="11"/>
  <c r="L24" i="11"/>
  <c r="T23" i="11"/>
  <c r="L23" i="11"/>
  <c r="T22" i="11"/>
  <c r="L22" i="11"/>
  <c r="T21" i="11"/>
  <c r="L21" i="11"/>
  <c r="T20" i="11"/>
  <c r="L20" i="11"/>
  <c r="T19" i="11"/>
  <c r="L19" i="11"/>
  <c r="T18" i="11"/>
  <c r="L18" i="11"/>
  <c r="T17" i="11"/>
  <c r="L17" i="11"/>
  <c r="T16" i="11"/>
  <c r="L16" i="11"/>
  <c r="T15" i="11"/>
  <c r="L15" i="11"/>
  <c r="T14" i="11"/>
  <c r="L14" i="11"/>
  <c r="T13" i="11"/>
  <c r="L13" i="11"/>
  <c r="T12" i="11"/>
  <c r="L12" i="11"/>
  <c r="T11" i="11"/>
  <c r="L11" i="11"/>
  <c r="T10" i="11"/>
  <c r="L10" i="11"/>
  <c r="T9" i="11"/>
  <c r="L9" i="11"/>
  <c r="T8" i="11"/>
  <c r="L8" i="11"/>
  <c r="T7" i="11"/>
  <c r="L7" i="11"/>
  <c r="T6" i="11"/>
  <c r="L6" i="11"/>
  <c r="B6" i="1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B111" i="11" s="1"/>
  <c r="B112" i="11" s="1"/>
  <c r="B113" i="11" s="1"/>
  <c r="B114" i="11" s="1"/>
  <c r="B115" i="11" s="1"/>
  <c r="B116" i="11" s="1"/>
  <c r="B117" i="11" s="1"/>
  <c r="B118" i="11" s="1"/>
  <c r="B119" i="11" s="1"/>
  <c r="B120" i="11" s="1"/>
  <c r="B121" i="11" s="1"/>
  <c r="B122" i="11" s="1"/>
  <c r="B123" i="11" s="1"/>
  <c r="B124" i="11" s="1"/>
  <c r="B125" i="11" s="1"/>
  <c r="B126" i="11" s="1"/>
  <c r="B127" i="11" s="1"/>
  <c r="B128" i="11" s="1"/>
  <c r="B129" i="11" s="1"/>
  <c r="B130" i="11" s="1"/>
  <c r="B131" i="11" s="1"/>
  <c r="B132" i="11" s="1"/>
  <c r="B133" i="11" s="1"/>
  <c r="B134" i="11" s="1"/>
  <c r="B135" i="11" s="1"/>
  <c r="T5" i="11"/>
  <c r="L5" i="11"/>
  <c r="I5" i="11"/>
  <c r="I6" i="11" s="1"/>
  <c r="I7" i="11" s="1"/>
  <c r="I8" i="11" s="1"/>
  <c r="I9" i="11" s="1"/>
  <c r="I10" i="11" s="1"/>
  <c r="I11" i="11" s="1"/>
  <c r="I12" i="11" s="1"/>
  <c r="I13" i="11" s="1"/>
  <c r="I14" i="11" s="1"/>
  <c r="I15" i="11" s="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I41" i="11" s="1"/>
  <c r="I42" i="11" s="1"/>
  <c r="I43" i="11" s="1"/>
  <c r="I44" i="11" s="1"/>
  <c r="I45" i="11" s="1"/>
  <c r="I46" i="11" s="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H139" i="8"/>
  <c r="G138" i="8"/>
  <c r="F138" i="8"/>
  <c r="H127" i="8"/>
  <c r="H116" i="8"/>
  <c r="S113" i="8"/>
  <c r="H112" i="8"/>
  <c r="S110" i="8"/>
  <c r="H97" i="8"/>
  <c r="E138" i="8" s="1"/>
  <c r="H84" i="8"/>
  <c r="D138" i="8" s="1"/>
  <c r="H73" i="8"/>
  <c r="H70" i="8"/>
  <c r="H67" i="8"/>
  <c r="S47" i="8"/>
  <c r="H39" i="8"/>
  <c r="H32" i="8"/>
  <c r="H12" i="8"/>
  <c r="H10" i="8"/>
  <c r="B138" i="8" s="1"/>
  <c r="B6" i="8"/>
  <c r="B7" i="8" s="1"/>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N5" i="8"/>
  <c r="N6" i="8" s="1"/>
  <c r="N7" i="8" s="1"/>
  <c r="N8" i="8" s="1"/>
  <c r="N9" i="8" s="1"/>
  <c r="E268" i="7"/>
  <c r="E258" i="7"/>
  <c r="E248" i="7"/>
  <c r="C246" i="7"/>
  <c r="E236" i="7"/>
  <c r="E223" i="7"/>
  <c r="C215" i="7"/>
  <c r="C216" i="7" s="1"/>
  <c r="C217" i="7" s="1"/>
  <c r="C218" i="7" s="1"/>
  <c r="N205" i="7"/>
  <c r="H204" i="7"/>
  <c r="G204" i="7"/>
  <c r="F204" i="7"/>
  <c r="B7" i="7"/>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N6" i="7"/>
  <c r="N7" i="7" s="1"/>
  <c r="N8" i="7" s="1"/>
  <c r="N9" i="7" s="1"/>
  <c r="N10" i="7" s="1"/>
  <c r="N11" i="7" s="1"/>
  <c r="N12" i="7" s="1"/>
  <c r="N13" i="7" s="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J146" i="6"/>
  <c r="I146" i="6"/>
  <c r="H146" i="6"/>
  <c r="G146" i="6"/>
  <c r="E146" i="6"/>
  <c r="J145" i="6"/>
  <c r="I145" i="6"/>
  <c r="H145" i="6"/>
  <c r="G145" i="6"/>
  <c r="F145" i="6"/>
  <c r="E145" i="6"/>
  <c r="J144" i="6"/>
  <c r="I144" i="6"/>
  <c r="H144" i="6"/>
  <c r="G144" i="6"/>
  <c r="F144" i="6"/>
  <c r="E144" i="6"/>
  <c r="J143" i="6"/>
  <c r="I143" i="6"/>
  <c r="H143" i="6"/>
  <c r="F143" i="6"/>
  <c r="E143" i="6"/>
  <c r="H135" i="6"/>
  <c r="G134" i="6"/>
  <c r="F134" i="6"/>
  <c r="E134" i="6"/>
  <c r="B134" i="6"/>
  <c r="B88" i="6"/>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H83" i="6"/>
  <c r="G143" i="6" s="1"/>
  <c r="H52" i="6"/>
  <c r="C134" i="6" s="1"/>
  <c r="N6" i="6"/>
  <c r="N7" i="6" s="1"/>
  <c r="N8" i="6" s="1"/>
  <c r="N9" i="6" s="1"/>
  <c r="N10" i="6" s="1"/>
  <c r="N11" i="6" s="1"/>
  <c r="N12" i="6" s="1"/>
  <c r="N13" i="6" s="1"/>
  <c r="N14" i="6" s="1"/>
  <c r="N15" i="6" s="1"/>
  <c r="N16" i="6" s="1"/>
  <c r="N17" i="6" s="1"/>
  <c r="N18" i="6" s="1"/>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B6" i="6"/>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K206" i="4"/>
  <c r="J206" i="4"/>
  <c r="I206" i="4"/>
  <c r="H206" i="4"/>
  <c r="G206" i="4"/>
  <c r="E206" i="4"/>
  <c r="K205" i="4"/>
  <c r="J205" i="4"/>
  <c r="I205" i="4"/>
  <c r="H205" i="4"/>
  <c r="G205" i="4"/>
  <c r="E205" i="4"/>
  <c r="K204" i="4"/>
  <c r="I204" i="4"/>
  <c r="H204" i="4"/>
  <c r="G204" i="4"/>
  <c r="N200" i="4"/>
  <c r="N199" i="4"/>
  <c r="P194" i="4"/>
  <c r="L193" i="4"/>
  <c r="K193" i="4"/>
  <c r="J193" i="4"/>
  <c r="I193" i="4"/>
  <c r="H193" i="4"/>
  <c r="G193" i="4"/>
  <c r="F193" i="4"/>
  <c r="E193" i="4"/>
  <c r="D193" i="4"/>
  <c r="C193" i="4"/>
  <c r="O193" i="4" s="1"/>
  <c r="L192" i="4"/>
  <c r="K192" i="4"/>
  <c r="J192" i="4"/>
  <c r="I192" i="4"/>
  <c r="H192" i="4"/>
  <c r="G192" i="4"/>
  <c r="F192" i="4"/>
  <c r="E192" i="4"/>
  <c r="D192" i="4"/>
  <c r="C192" i="4"/>
  <c r="L191" i="4"/>
  <c r="K191" i="4"/>
  <c r="J191" i="4"/>
  <c r="I191" i="4"/>
  <c r="H191" i="4"/>
  <c r="F191" i="4"/>
  <c r="E191" i="4"/>
  <c r="D191" i="4"/>
  <c r="U182" i="4"/>
  <c r="G182" i="4"/>
  <c r="N179" i="4"/>
  <c r="H178" i="4"/>
  <c r="H181" i="4" s="1"/>
  <c r="E178" i="4"/>
  <c r="D178" i="4"/>
  <c r="T170" i="4"/>
  <c r="AF158" i="4"/>
  <c r="AB158" i="4"/>
  <c r="L156" i="4"/>
  <c r="H156" i="4"/>
  <c r="R156" i="4" s="1"/>
  <c r="AF150" i="4"/>
  <c r="AB150" i="4"/>
  <c r="L148" i="4"/>
  <c r="J204" i="4" s="1"/>
  <c r="H148" i="4"/>
  <c r="R148" i="4" s="1"/>
  <c r="AE140" i="4"/>
  <c r="AB140" i="4"/>
  <c r="AE138" i="4"/>
  <c r="AB138" i="4"/>
  <c r="K138" i="4"/>
  <c r="H138" i="4"/>
  <c r="R138" i="4" s="1"/>
  <c r="K136" i="4"/>
  <c r="H136" i="4"/>
  <c r="R136" i="4" s="1"/>
  <c r="AC133" i="4"/>
  <c r="AB133" i="4"/>
  <c r="I131" i="4"/>
  <c r="H131" i="4"/>
  <c r="AC127" i="4"/>
  <c r="AB127" i="4"/>
  <c r="I125" i="4"/>
  <c r="H125" i="4"/>
  <c r="AH117" i="4"/>
  <c r="AH118" i="4" s="1"/>
  <c r="AH119" i="4" s="1"/>
  <c r="AH120" i="4" s="1"/>
  <c r="AH121" i="4" s="1"/>
  <c r="AH122" i="4" s="1"/>
  <c r="AH123" i="4" s="1"/>
  <c r="AH124" i="4" s="1"/>
  <c r="AH125" i="4" s="1"/>
  <c r="AH126" i="4" s="1"/>
  <c r="AH127" i="4" s="1"/>
  <c r="AH128" i="4" s="1"/>
  <c r="AH129" i="4" s="1"/>
  <c r="AH130" i="4" s="1"/>
  <c r="AH131" i="4" s="1"/>
  <c r="AH132" i="4" s="1"/>
  <c r="AH133" i="4" s="1"/>
  <c r="AH134" i="4" s="1"/>
  <c r="AH135" i="4" s="1"/>
  <c r="AH136" i="4" s="1"/>
  <c r="AH137" i="4" s="1"/>
  <c r="U117" i="4"/>
  <c r="U118" i="4" s="1"/>
  <c r="U119" i="4" s="1"/>
  <c r="U120" i="4" s="1"/>
  <c r="U121" i="4" s="1"/>
  <c r="U122" i="4" s="1"/>
  <c r="U123" i="4" s="1"/>
  <c r="U124" i="4" s="1"/>
  <c r="U125" i="4" s="1"/>
  <c r="U126" i="4" s="1"/>
  <c r="U127" i="4" s="1"/>
  <c r="U128" i="4" s="1"/>
  <c r="U129" i="4" s="1"/>
  <c r="U130" i="4" s="1"/>
  <c r="U131" i="4" s="1"/>
  <c r="U132" i="4" s="1"/>
  <c r="U133" i="4" s="1"/>
  <c r="U134" i="4" s="1"/>
  <c r="U135" i="4" s="1"/>
  <c r="U136" i="4" s="1"/>
  <c r="U137" i="4" s="1"/>
  <c r="U138" i="4" s="1"/>
  <c r="U139" i="4" s="1"/>
  <c r="U140" i="4" s="1"/>
  <c r="U141" i="4" s="1"/>
  <c r="U142" i="4" s="1"/>
  <c r="U143" i="4" s="1"/>
  <c r="U144" i="4" s="1"/>
  <c r="U145" i="4" s="1"/>
  <c r="U146" i="4" s="1"/>
  <c r="U147" i="4" s="1"/>
  <c r="U148" i="4" s="1"/>
  <c r="U149" i="4" s="1"/>
  <c r="U150" i="4" s="1"/>
  <c r="U151" i="4" s="1"/>
  <c r="U152" i="4" s="1"/>
  <c r="U153" i="4" s="1"/>
  <c r="U154" i="4" s="1"/>
  <c r="U155" i="4" s="1"/>
  <c r="U156" i="4" s="1"/>
  <c r="U157" i="4" s="1"/>
  <c r="U158" i="4" s="1"/>
  <c r="U159" i="4" s="1"/>
  <c r="U160" i="4" s="1"/>
  <c r="U161" i="4" s="1"/>
  <c r="U162" i="4" s="1"/>
  <c r="U163" i="4" s="1"/>
  <c r="U164" i="4" s="1"/>
  <c r="U165" i="4" s="1"/>
  <c r="U166" i="4" s="1"/>
  <c r="U167" i="4" s="1"/>
  <c r="U168" i="4" s="1"/>
  <c r="U169" i="4" s="1"/>
  <c r="U170" i="4" s="1"/>
  <c r="U171" i="4" s="1"/>
  <c r="U172" i="4" s="1"/>
  <c r="U173" i="4" s="1"/>
  <c r="U174" i="4" s="1"/>
  <c r="U175" i="4" s="1"/>
  <c r="U176" i="4" s="1"/>
  <c r="U177" i="4" s="1"/>
  <c r="AH111" i="4"/>
  <c r="U111" i="4"/>
  <c r="AH109" i="4"/>
  <c r="U109" i="4"/>
  <c r="H108" i="4"/>
  <c r="C178" i="4" s="1"/>
  <c r="AH107" i="4"/>
  <c r="U107" i="4"/>
  <c r="AH104" i="4"/>
  <c r="A103" i="4"/>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N102" i="4"/>
  <c r="N103" i="4" s="1"/>
  <c r="N104" i="4" s="1"/>
  <c r="N105" i="4" s="1"/>
  <c r="N106" i="4" s="1"/>
  <c r="N107" i="4" s="1"/>
  <c r="N108" i="4" s="1"/>
  <c r="N109" i="4" s="1"/>
  <c r="N110" i="4" s="1"/>
  <c r="N111" i="4" s="1"/>
  <c r="N112" i="4" s="1"/>
  <c r="N113" i="4" s="1"/>
  <c r="N114" i="4" s="1"/>
  <c r="N115" i="4" s="1"/>
  <c r="N116" i="4" s="1"/>
  <c r="N117" i="4" s="1"/>
  <c r="N118" i="4" s="1"/>
  <c r="N119" i="4" s="1"/>
  <c r="N120" i="4" s="1"/>
  <c r="N121" i="4" s="1"/>
  <c r="N122" i="4" s="1"/>
  <c r="N123" i="4" s="1"/>
  <c r="N124" i="4" s="1"/>
  <c r="N125" i="4" s="1"/>
  <c r="N126" i="4" s="1"/>
  <c r="N127" i="4" s="1"/>
  <c r="N128" i="4" s="1"/>
  <c r="N129" i="4" s="1"/>
  <c r="N130" i="4" s="1"/>
  <c r="N131" i="4" s="1"/>
  <c r="N132" i="4" s="1"/>
  <c r="N133" i="4" s="1"/>
  <c r="N134" i="4" s="1"/>
  <c r="N135" i="4" s="1"/>
  <c r="U98" i="4"/>
  <c r="Q94" i="4"/>
  <c r="O94" i="4"/>
  <c r="N94" i="4"/>
  <c r="M94" i="4"/>
  <c r="L94" i="4"/>
  <c r="K94" i="4"/>
  <c r="J94" i="4"/>
  <c r="I94" i="4"/>
  <c r="H94" i="4"/>
  <c r="G94" i="4"/>
  <c r="F94" i="4"/>
  <c r="E94" i="4"/>
  <c r="Q93" i="4"/>
  <c r="O93" i="4"/>
  <c r="N93" i="4"/>
  <c r="M93" i="4"/>
  <c r="L93" i="4"/>
  <c r="K93" i="4"/>
  <c r="J93" i="4"/>
  <c r="I93" i="4"/>
  <c r="H93" i="4"/>
  <c r="G93" i="4"/>
  <c r="F93" i="4"/>
  <c r="E93" i="4"/>
  <c r="Q92" i="4"/>
  <c r="O92" i="4"/>
  <c r="N92" i="4"/>
  <c r="M92" i="4"/>
  <c r="L92" i="4"/>
  <c r="K92" i="4"/>
  <c r="J92" i="4"/>
  <c r="I92" i="4"/>
  <c r="H92" i="4"/>
  <c r="G92" i="4"/>
  <c r="F92" i="4"/>
  <c r="AA89" i="4"/>
  <c r="Z87" i="4"/>
  <c r="Y87" i="4"/>
  <c r="X87" i="4"/>
  <c r="W87" i="4"/>
  <c r="N83" i="4"/>
  <c r="H82" i="4"/>
  <c r="G82" i="4"/>
  <c r="F82" i="4"/>
  <c r="E82" i="4"/>
  <c r="C82" i="4"/>
  <c r="I67" i="4"/>
  <c r="H67" i="4"/>
  <c r="Y65" i="4"/>
  <c r="W65" i="4"/>
  <c r="V65" i="4"/>
  <c r="U65" i="4"/>
  <c r="Z51" i="4"/>
  <c r="X65" i="4" s="1"/>
  <c r="H48" i="4"/>
  <c r="H38" i="4"/>
  <c r="U87" i="4" s="1"/>
  <c r="H36" i="4"/>
  <c r="H34" i="4"/>
  <c r="S5" i="4"/>
  <c r="S6" i="4" s="1"/>
  <c r="S7" i="4" s="1"/>
  <c r="S8" i="4" s="1"/>
  <c r="S9" i="4" s="1"/>
  <c r="S10" i="4" s="1"/>
  <c r="S11" i="4" s="1"/>
  <c r="S12" i="4" s="1"/>
  <c r="S13" i="4" s="1"/>
  <c r="S14" i="4" s="1"/>
  <c r="S15" i="4" s="1"/>
  <c r="S16" i="4" s="1"/>
  <c r="S17" i="4" s="1"/>
  <c r="S18" i="4" s="1"/>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F4" i="4"/>
  <c r="AF5" i="4" s="1"/>
  <c r="AF6" i="4" s="1"/>
  <c r="AF7" i="4" s="1"/>
  <c r="AF8" i="4" s="1"/>
  <c r="AF9" i="4" s="1"/>
  <c r="AF10" i="4" s="1"/>
  <c r="AF11" i="4" s="1"/>
  <c r="AF12" i="4" s="1"/>
  <c r="AF13" i="4" s="1"/>
  <c r="AF14" i="4" s="1"/>
  <c r="AF15" i="4" s="1"/>
  <c r="AF16" i="4" s="1"/>
  <c r="AF17" i="4" s="1"/>
  <c r="AF18" i="4" s="1"/>
  <c r="AF19" i="4" s="1"/>
  <c r="AF20" i="4" s="1"/>
  <c r="AF21" i="4" s="1"/>
  <c r="AF22" i="4" s="1"/>
  <c r="AF23" i="4" s="1"/>
  <c r="AF24" i="4" s="1"/>
  <c r="AF25" i="4" s="1"/>
  <c r="AF26" i="4" s="1"/>
  <c r="AF27" i="4" s="1"/>
  <c r="AF28" i="4" s="1"/>
  <c r="AF29" i="4" s="1"/>
  <c r="AF30" i="4" s="1"/>
  <c r="AF31" i="4" s="1"/>
  <c r="AF32" i="4" s="1"/>
  <c r="AF33" i="4" s="1"/>
  <c r="AF34" i="4" s="1"/>
  <c r="AF35" i="4" s="1"/>
  <c r="AF36" i="4" s="1"/>
  <c r="AF37" i="4" s="1"/>
  <c r="AF38" i="4" s="1"/>
  <c r="AF39" i="4" s="1"/>
  <c r="AF40" i="4" s="1"/>
  <c r="AF41" i="4" s="1"/>
  <c r="AF42" i="4" s="1"/>
  <c r="AF43" i="4" s="1"/>
  <c r="AF44" i="4" s="1"/>
  <c r="AF45" i="4" s="1"/>
  <c r="AF46" i="4" s="1"/>
  <c r="AF47" i="4" s="1"/>
  <c r="AF48" i="4" s="1"/>
  <c r="AF49" i="4" s="1"/>
  <c r="AF50" i="4" s="1"/>
  <c r="AF51" i="4" s="1"/>
  <c r="AF52" i="4" s="1"/>
  <c r="AF53" i="4" s="1"/>
  <c r="AF54" i="4" s="1"/>
  <c r="AF55" i="4" s="1"/>
  <c r="AF56" i="4" s="1"/>
  <c r="AF57" i="4" s="1"/>
  <c r="AF58" i="4" s="1"/>
  <c r="AF59" i="4" s="1"/>
  <c r="AF60" i="4" s="1"/>
  <c r="AF61" i="4" s="1"/>
  <c r="AF62" i="4" s="1"/>
  <c r="AF63" i="4" s="1"/>
  <c r="AF64" i="4" s="1"/>
  <c r="N5" i="4"/>
  <c r="N6" i="4" s="1"/>
  <c r="N7" i="4" s="1"/>
  <c r="N8" i="4" s="1"/>
  <c r="N9" i="4" s="1"/>
  <c r="N10" i="4" s="1"/>
  <c r="N11" i="4" s="1"/>
  <c r="N12" i="4" s="1"/>
  <c r="N13" i="4" s="1"/>
  <c r="N14" i="4" s="1"/>
  <c r="N15" i="4" s="1"/>
  <c r="N16" i="4" s="1"/>
  <c r="N17" i="4" s="1"/>
  <c r="N18" i="4" s="1"/>
  <c r="N19" i="4" s="1"/>
  <c r="N20" i="4" s="1"/>
  <c r="N21" i="4" s="1"/>
  <c r="N22" i="4" s="1"/>
  <c r="N23" i="4" s="1"/>
  <c r="N24" i="4" s="1"/>
  <c r="N25" i="4" s="1"/>
  <c r="N26" i="4" s="1"/>
  <c r="N27" i="4" s="1"/>
  <c r="N28" i="4" s="1"/>
  <c r="N29" i="4" s="1"/>
  <c r="N30" i="4" s="1"/>
  <c r="N31" i="4" s="1"/>
  <c r="N32" i="4" s="1"/>
  <c r="N33" i="4" s="1"/>
  <c r="N34" i="4" s="1"/>
  <c r="N35" i="4" s="1"/>
  <c r="N36" i="4" s="1"/>
  <c r="N37" i="4" s="1"/>
  <c r="N38" i="4" s="1"/>
  <c r="N39" i="4" s="1"/>
  <c r="N40" i="4" s="1"/>
  <c r="N41" i="4" s="1"/>
  <c r="N42" i="4" s="1"/>
  <c r="N43" i="4" s="1"/>
  <c r="N44" i="4" s="1"/>
  <c r="N45" i="4" s="1"/>
  <c r="N46" i="4" s="1"/>
  <c r="N47" i="4" s="1"/>
  <c r="N48" i="4" s="1"/>
  <c r="N49" i="4" s="1"/>
  <c r="N50" i="4" s="1"/>
  <c r="N51" i="4" s="1"/>
  <c r="N52" i="4" s="1"/>
  <c r="N53" i="4" s="1"/>
  <c r="N54" i="4" s="1"/>
  <c r="N55" i="4" s="1"/>
  <c r="N56" i="4" s="1"/>
  <c r="N57" i="4" s="1"/>
  <c r="N58" i="4" s="1"/>
  <c r="N59" i="4" s="1"/>
  <c r="N60" i="4" s="1"/>
  <c r="N61" i="4" s="1"/>
  <c r="N62" i="4" s="1"/>
  <c r="N63" i="4" s="1"/>
  <c r="N64" i="4" s="1"/>
  <c r="N65" i="4" s="1"/>
  <c r="N66" i="4" s="1"/>
  <c r="N67" i="4" s="1"/>
  <c r="N68" i="4" s="1"/>
  <c r="N69" i="4" s="1"/>
  <c r="N70" i="4" s="1"/>
  <c r="N71" i="4" s="1"/>
  <c r="N72" i="4" s="1"/>
  <c r="N73" i="4" s="1"/>
  <c r="N74" i="4" s="1"/>
  <c r="N75" i="4" s="1"/>
  <c r="N76" i="4" s="1"/>
  <c r="N77" i="4" s="1"/>
  <c r="N78" i="4" s="1"/>
  <c r="N79" i="4" s="1"/>
  <c r="L376" i="3"/>
  <c r="K376" i="3"/>
  <c r="J376" i="3"/>
  <c r="I376" i="3"/>
  <c r="L375" i="3"/>
  <c r="K375" i="3"/>
  <c r="J375" i="3"/>
  <c r="I375" i="3"/>
  <c r="L374" i="3"/>
  <c r="K374" i="3"/>
  <c r="J374" i="3"/>
  <c r="I374" i="3"/>
  <c r="L367" i="3"/>
  <c r="J366" i="3"/>
  <c r="I366" i="3"/>
  <c r="H366" i="3"/>
  <c r="G366" i="3"/>
  <c r="F366" i="3"/>
  <c r="K362" i="3"/>
  <c r="K331" i="3"/>
  <c r="E366" i="3" s="1"/>
  <c r="E194" i="3"/>
  <c r="E195" i="3" s="1"/>
  <c r="E196" i="3" s="1"/>
  <c r="E197" i="3" s="1"/>
  <c r="E198" i="3" s="1"/>
  <c r="E199" i="3" s="1"/>
  <c r="E200" i="3" s="1"/>
  <c r="E201" i="3" s="1"/>
  <c r="E202" i="3" s="1"/>
  <c r="E203" i="3" s="1"/>
  <c r="E204" i="3" s="1"/>
  <c r="E205" i="3" s="1"/>
  <c r="E206" i="3" s="1"/>
  <c r="E207" i="3" s="1"/>
  <c r="E208" i="3" s="1"/>
  <c r="E209" i="3" s="1"/>
  <c r="E210" i="3" s="1"/>
  <c r="E211" i="3" s="1"/>
  <c r="E212" i="3" s="1"/>
  <c r="E213" i="3" s="1"/>
  <c r="E214" i="3" s="1"/>
  <c r="E215" i="3" s="1"/>
  <c r="E216" i="3" s="1"/>
  <c r="E217" i="3" s="1"/>
  <c r="E218" i="3" s="1"/>
  <c r="E219" i="3" s="1"/>
  <c r="E220" i="3" s="1"/>
  <c r="E221" i="3" s="1"/>
  <c r="E222" i="3" s="1"/>
  <c r="E223" i="3" s="1"/>
  <c r="E224" i="3" s="1"/>
  <c r="E225" i="3" s="1"/>
  <c r="E226" i="3" s="1"/>
  <c r="E227" i="3" s="1"/>
  <c r="E228" i="3" s="1"/>
  <c r="E229" i="3" s="1"/>
  <c r="E230" i="3" s="1"/>
  <c r="E231" i="3" s="1"/>
  <c r="E232" i="3" s="1"/>
  <c r="E233" i="3" s="1"/>
  <c r="E234" i="3" s="1"/>
  <c r="E235" i="3" s="1"/>
  <c r="E236" i="3" s="1"/>
  <c r="E237" i="3" s="1"/>
  <c r="E238" i="3" s="1"/>
  <c r="E239" i="3" s="1"/>
  <c r="E240" i="3" s="1"/>
  <c r="E241" i="3" s="1"/>
  <c r="E242" i="3" s="1"/>
  <c r="E243" i="3" s="1"/>
  <c r="E244" i="3" s="1"/>
  <c r="E245" i="3" s="1"/>
  <c r="E246" i="3" s="1"/>
  <c r="E247" i="3" s="1"/>
  <c r="E248" i="3" s="1"/>
  <c r="E249" i="3" s="1"/>
  <c r="E250" i="3" s="1"/>
  <c r="E251" i="3" s="1"/>
  <c r="E252" i="3" s="1"/>
  <c r="E253" i="3" s="1"/>
  <c r="E254" i="3" s="1"/>
  <c r="E255" i="3" s="1"/>
  <c r="E256" i="3" s="1"/>
  <c r="E257" i="3" s="1"/>
  <c r="E258" i="3" s="1"/>
  <c r="E259" i="3" s="1"/>
  <c r="E260" i="3" s="1"/>
  <c r="E261" i="3" s="1"/>
  <c r="E262" i="3" s="1"/>
  <c r="E263" i="3" s="1"/>
  <c r="E264" i="3" s="1"/>
  <c r="E265" i="3" s="1"/>
  <c r="E266" i="3" s="1"/>
  <c r="E267" i="3" s="1"/>
  <c r="E268" i="3" s="1"/>
  <c r="E269" i="3" s="1"/>
  <c r="E270" i="3" s="1"/>
  <c r="E271" i="3" s="1"/>
  <c r="E272" i="3" s="1"/>
  <c r="E273" i="3" s="1"/>
  <c r="E274" i="3" s="1"/>
  <c r="E275" i="3" s="1"/>
  <c r="E276" i="3" s="1"/>
  <c r="E277" i="3" s="1"/>
  <c r="E278" i="3" s="1"/>
  <c r="E279" i="3" s="1"/>
  <c r="E280" i="3" s="1"/>
  <c r="E281" i="3" s="1"/>
  <c r="E282" i="3" s="1"/>
  <c r="E283" i="3" s="1"/>
  <c r="E284" i="3" s="1"/>
  <c r="E285" i="3" s="1"/>
  <c r="E286" i="3" s="1"/>
  <c r="E287" i="3" s="1"/>
  <c r="E288" i="3" s="1"/>
  <c r="E289" i="3" s="1"/>
  <c r="E290" i="3" s="1"/>
  <c r="E291" i="3" s="1"/>
  <c r="E292" i="3" s="1"/>
  <c r="E293" i="3" s="1"/>
  <c r="E294" i="3" s="1"/>
  <c r="E295" i="3" s="1"/>
  <c r="E296" i="3" s="1"/>
  <c r="E297" i="3" s="1"/>
  <c r="E298" i="3" s="1"/>
  <c r="E299" i="3" s="1"/>
  <c r="E300" i="3" s="1"/>
  <c r="E301" i="3" s="1"/>
  <c r="E302" i="3" s="1"/>
  <c r="E303" i="3" s="1"/>
  <c r="E304" i="3" s="1"/>
  <c r="E305" i="3" s="1"/>
  <c r="E306" i="3" s="1"/>
  <c r="E307" i="3" s="1"/>
  <c r="E308" i="3" s="1"/>
  <c r="E309" i="3" s="1"/>
  <c r="E310" i="3" s="1"/>
  <c r="E311" i="3" s="1"/>
  <c r="E312" i="3" s="1"/>
  <c r="E313" i="3" s="1"/>
  <c r="E314" i="3" s="1"/>
  <c r="E315" i="3" s="1"/>
  <c r="E316" i="3" s="1"/>
  <c r="E317" i="3" s="1"/>
  <c r="E318" i="3" s="1"/>
  <c r="E319" i="3" s="1"/>
  <c r="E320" i="3" s="1"/>
  <c r="E321" i="3" s="1"/>
  <c r="E322" i="3" s="1"/>
  <c r="E323" i="3" s="1"/>
  <c r="E324" i="3" s="1"/>
  <c r="E325" i="3" s="1"/>
  <c r="E326" i="3" s="1"/>
  <c r="E327" i="3" s="1"/>
  <c r="E328" i="3" s="1"/>
  <c r="E329" i="3" s="1"/>
  <c r="E330" i="3" s="1"/>
  <c r="E331" i="3" s="1"/>
  <c r="E332" i="3" s="1"/>
  <c r="E333" i="3" s="1"/>
  <c r="E334" i="3" s="1"/>
  <c r="E335" i="3" s="1"/>
  <c r="E336" i="3" s="1"/>
  <c r="E337" i="3" s="1"/>
  <c r="E338" i="3" s="1"/>
  <c r="E339" i="3" s="1"/>
  <c r="E340" i="3" s="1"/>
  <c r="E341" i="3" s="1"/>
  <c r="E342" i="3" s="1"/>
  <c r="E343" i="3" s="1"/>
  <c r="E344" i="3" s="1"/>
  <c r="E345" i="3" s="1"/>
  <c r="E346" i="3" s="1"/>
  <c r="E347" i="3" s="1"/>
  <c r="E348" i="3" s="1"/>
  <c r="E349" i="3" s="1"/>
  <c r="E350" i="3" s="1"/>
  <c r="E351" i="3" s="1"/>
  <c r="E352" i="3" s="1"/>
  <c r="E353" i="3" s="1"/>
  <c r="E354" i="3" s="1"/>
  <c r="E355" i="3" s="1"/>
  <c r="E356" i="3" s="1"/>
  <c r="E357" i="3" s="1"/>
  <c r="E358" i="3" s="1"/>
  <c r="E359" i="3" s="1"/>
  <c r="E360" i="3" s="1"/>
  <c r="E361" i="3" s="1"/>
  <c r="E362" i="3" s="1"/>
  <c r="E363" i="3" s="1"/>
  <c r="L193" i="3"/>
  <c r="L194" i="3" s="1"/>
  <c r="L195" i="3" s="1"/>
  <c r="L196" i="3" s="1"/>
  <c r="L197" i="3" s="1"/>
  <c r="L198" i="3" s="1"/>
  <c r="L199" i="3" s="1"/>
  <c r="L200" i="3" s="1"/>
  <c r="L201" i="3" s="1"/>
  <c r="L202" i="3" s="1"/>
  <c r="L203" i="3" s="1"/>
  <c r="L204" i="3" s="1"/>
  <c r="L205" i="3" s="1"/>
  <c r="L206" i="3" s="1"/>
  <c r="L207" i="3" s="1"/>
  <c r="L208" i="3" s="1"/>
  <c r="L209" i="3" s="1"/>
  <c r="L210" i="3" s="1"/>
  <c r="L211" i="3" s="1"/>
  <c r="L212" i="3" s="1"/>
  <c r="L213" i="3" s="1"/>
  <c r="L214" i="3" s="1"/>
  <c r="L215" i="3" s="1"/>
  <c r="L216" i="3" s="1"/>
  <c r="L217" i="3" s="1"/>
  <c r="L218" i="3" s="1"/>
  <c r="L219" i="3" s="1"/>
  <c r="L220" i="3" s="1"/>
  <c r="L221" i="3" s="1"/>
  <c r="L222" i="3" s="1"/>
  <c r="L223" i="3" s="1"/>
  <c r="L224" i="3" s="1"/>
  <c r="L225" i="3" s="1"/>
  <c r="L226" i="3" s="1"/>
  <c r="L227" i="3" s="1"/>
  <c r="L228" i="3" s="1"/>
  <c r="L229" i="3" s="1"/>
  <c r="L230" i="3" s="1"/>
  <c r="L231" i="3" s="1"/>
  <c r="L232" i="3" s="1"/>
  <c r="L233" i="3" s="1"/>
  <c r="L234" i="3" s="1"/>
  <c r="L235" i="3" s="1"/>
  <c r="L236" i="3" s="1"/>
  <c r="L237" i="3" s="1"/>
  <c r="L238" i="3" s="1"/>
  <c r="L239" i="3" s="1"/>
  <c r="L240" i="3" s="1"/>
  <c r="L241" i="3" s="1"/>
  <c r="L242" i="3" s="1"/>
  <c r="L243" i="3" s="1"/>
  <c r="L244" i="3" s="1"/>
  <c r="L245" i="3" s="1"/>
  <c r="L246" i="3" s="1"/>
  <c r="L247" i="3" s="1"/>
  <c r="L248" i="3" s="1"/>
  <c r="L249" i="3" s="1"/>
  <c r="L250" i="3" s="1"/>
  <c r="L251" i="3" s="1"/>
  <c r="L252" i="3" s="1"/>
  <c r="L253" i="3" s="1"/>
  <c r="L254" i="3" s="1"/>
  <c r="L255" i="3" s="1"/>
  <c r="L256" i="3" s="1"/>
  <c r="L257" i="3" s="1"/>
  <c r="L258" i="3" s="1"/>
  <c r="L259" i="3" s="1"/>
  <c r="L260" i="3" s="1"/>
  <c r="L261" i="3" s="1"/>
  <c r="L262" i="3" s="1"/>
  <c r="L263" i="3" s="1"/>
  <c r="L264" i="3" s="1"/>
  <c r="L265" i="3" s="1"/>
  <c r="L266" i="3" s="1"/>
  <c r="L267" i="3" s="1"/>
  <c r="L268" i="3" s="1"/>
  <c r="L269" i="3" s="1"/>
  <c r="L270" i="3" s="1"/>
  <c r="L271" i="3" s="1"/>
  <c r="L272" i="3" s="1"/>
  <c r="L273" i="3" s="1"/>
  <c r="L274" i="3" s="1"/>
  <c r="L275" i="3" s="1"/>
  <c r="L276" i="3" s="1"/>
  <c r="L277" i="3" s="1"/>
  <c r="L278" i="3" s="1"/>
  <c r="L279" i="3" s="1"/>
  <c r="L280" i="3" s="1"/>
  <c r="L281" i="3" s="1"/>
  <c r="L282" i="3" s="1"/>
  <c r="L283" i="3" s="1"/>
  <c r="L284" i="3" s="1"/>
  <c r="L285" i="3" s="1"/>
  <c r="L286" i="3" s="1"/>
  <c r="L287" i="3" s="1"/>
  <c r="L288" i="3" s="1"/>
  <c r="L289" i="3" s="1"/>
  <c r="L290" i="3" s="1"/>
  <c r="L291" i="3" s="1"/>
  <c r="L292" i="3" s="1"/>
  <c r="L293" i="3" s="1"/>
  <c r="L294" i="3" s="1"/>
  <c r="L295" i="3" s="1"/>
  <c r="L296" i="3" s="1"/>
  <c r="L297" i="3" s="1"/>
  <c r="L298" i="3" s="1"/>
  <c r="L299" i="3" s="1"/>
  <c r="L300" i="3" s="1"/>
  <c r="L301" i="3" s="1"/>
  <c r="L302" i="3" s="1"/>
  <c r="L303" i="3" s="1"/>
  <c r="L304" i="3" s="1"/>
  <c r="L305" i="3" s="1"/>
  <c r="L306" i="3" s="1"/>
  <c r="L307" i="3" s="1"/>
  <c r="L308" i="3" s="1"/>
  <c r="L309" i="3" s="1"/>
  <c r="L310" i="3" s="1"/>
  <c r="L311" i="3" s="1"/>
  <c r="L312" i="3" s="1"/>
  <c r="L313" i="3" s="1"/>
  <c r="L314" i="3" s="1"/>
  <c r="L315" i="3" s="1"/>
  <c r="L316" i="3" s="1"/>
  <c r="L317" i="3" s="1"/>
  <c r="L318" i="3" s="1"/>
  <c r="L319" i="3" s="1"/>
  <c r="L320" i="3" s="1"/>
  <c r="L321" i="3" s="1"/>
  <c r="L322" i="3" s="1"/>
  <c r="L323" i="3" s="1"/>
  <c r="L324" i="3" s="1"/>
  <c r="L325" i="3" s="1"/>
  <c r="L326" i="3" s="1"/>
  <c r="L327" i="3" s="1"/>
  <c r="L328" i="3" s="1"/>
  <c r="L329" i="3" s="1"/>
  <c r="L330" i="3" s="1"/>
  <c r="L331" i="3" s="1"/>
  <c r="L332" i="3" s="1"/>
  <c r="L333" i="3" s="1"/>
  <c r="L334" i="3" s="1"/>
  <c r="L335" i="3" s="1"/>
  <c r="L336" i="3" s="1"/>
  <c r="L337" i="3" s="1"/>
  <c r="L338" i="3" s="1"/>
  <c r="L339" i="3" s="1"/>
  <c r="L340" i="3" s="1"/>
  <c r="L341" i="3" s="1"/>
  <c r="L342" i="3" s="1"/>
  <c r="L343" i="3" s="1"/>
  <c r="L344" i="3" s="1"/>
  <c r="L345" i="3" s="1"/>
  <c r="L346" i="3" s="1"/>
  <c r="L347" i="3" s="1"/>
  <c r="L348" i="3" s="1"/>
  <c r="L349" i="3" s="1"/>
  <c r="L350" i="3" s="1"/>
  <c r="L351" i="3" s="1"/>
  <c r="L352" i="3" s="1"/>
  <c r="L353" i="3" s="1"/>
  <c r="L354" i="3" s="1"/>
  <c r="L355" i="3" s="1"/>
  <c r="L356" i="3" s="1"/>
  <c r="L357" i="3" s="1"/>
  <c r="L358" i="3" s="1"/>
  <c r="L359" i="3" s="1"/>
  <c r="L360" i="3" s="1"/>
  <c r="L361" i="3" s="1"/>
  <c r="L362" i="3" s="1"/>
  <c r="L363" i="3" s="1"/>
  <c r="H186" i="3"/>
  <c r="G186" i="3"/>
  <c r="F186" i="3"/>
  <c r="E186" i="3"/>
  <c r="H185" i="3"/>
  <c r="G185" i="3"/>
  <c r="F185" i="3"/>
  <c r="E185" i="3"/>
  <c r="D185" i="3"/>
  <c r="H184" i="3"/>
  <c r="G184" i="3"/>
  <c r="F184" i="3"/>
  <c r="E184" i="3"/>
  <c r="D184" i="3"/>
  <c r="O178" i="3"/>
  <c r="O175" i="3"/>
  <c r="N174" i="3"/>
  <c r="M174" i="3"/>
  <c r="L174" i="3"/>
  <c r="K174" i="3"/>
  <c r="J174" i="3"/>
  <c r="I174" i="3"/>
  <c r="H174" i="3"/>
  <c r="A7" i="3"/>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O6" i="3"/>
  <c r="O7" i="3" s="1"/>
  <c r="O8" i="3" s="1"/>
  <c r="O9" i="3" s="1"/>
  <c r="O10" i="3" s="1"/>
  <c r="O11" i="3" s="1"/>
  <c r="O12" i="3" s="1"/>
  <c r="O13" i="3" s="1"/>
  <c r="O14" i="3" s="1"/>
  <c r="O15" i="3" s="1"/>
  <c r="O16" i="3" s="1"/>
  <c r="O17" i="3" s="1"/>
  <c r="O18" i="3" s="1"/>
  <c r="O19" i="3" s="1"/>
  <c r="O20" i="3" s="1"/>
  <c r="O21" i="3" s="1"/>
  <c r="O22" i="3" s="1"/>
  <c r="O23" i="3" s="1"/>
  <c r="O24" i="3" s="1"/>
  <c r="O25" i="3" s="1"/>
  <c r="O26" i="3" s="1"/>
  <c r="O27" i="3" s="1"/>
  <c r="O28" i="3" s="1"/>
  <c r="O29" i="3" s="1"/>
  <c r="O30" i="3" s="1"/>
  <c r="O31" i="3" s="1"/>
  <c r="O32" i="3" s="1"/>
  <c r="O33" i="3" s="1"/>
  <c r="O34" i="3" s="1"/>
  <c r="O35" i="3" s="1"/>
  <c r="O36" i="3" s="1"/>
  <c r="O37" i="3" s="1"/>
  <c r="O38" i="3" s="1"/>
  <c r="O39" i="3" s="1"/>
  <c r="O40" i="3" s="1"/>
  <c r="O41" i="3" s="1"/>
  <c r="O42" i="3" s="1"/>
  <c r="O43" i="3" s="1"/>
  <c r="O44" i="3" s="1"/>
  <c r="O45" i="3" s="1"/>
  <c r="O46" i="3" s="1"/>
  <c r="O47" i="3" s="1"/>
  <c r="O48" i="3" s="1"/>
  <c r="O49" i="3" s="1"/>
  <c r="O50" i="3" s="1"/>
  <c r="O51" i="3" s="1"/>
  <c r="O52" i="3" s="1"/>
  <c r="O53" i="3" s="1"/>
  <c r="O54" i="3" s="1"/>
  <c r="O55" i="3" s="1"/>
  <c r="O56" i="3" s="1"/>
  <c r="O57" i="3" s="1"/>
  <c r="O58" i="3" s="1"/>
  <c r="O59" i="3" s="1"/>
  <c r="O60" i="3" s="1"/>
  <c r="O61" i="3" s="1"/>
  <c r="O62" i="3" s="1"/>
  <c r="O63" i="3" s="1"/>
  <c r="O64" i="3" s="1"/>
  <c r="O65" i="3" s="1"/>
  <c r="O66" i="3" s="1"/>
  <c r="O67" i="3" s="1"/>
  <c r="O68" i="3" s="1"/>
  <c r="O69" i="3" s="1"/>
  <c r="O70" i="3" s="1"/>
  <c r="O71" i="3" s="1"/>
  <c r="O72" i="3" s="1"/>
  <c r="O73" i="3" s="1"/>
  <c r="O74" i="3" s="1"/>
  <c r="O75" i="3" s="1"/>
  <c r="O76" i="3" s="1"/>
  <c r="O77" i="3" s="1"/>
  <c r="O78" i="3" s="1"/>
  <c r="O79" i="3" s="1"/>
  <c r="O80" i="3" s="1"/>
  <c r="O81" i="3" s="1"/>
  <c r="O82" i="3" s="1"/>
  <c r="O83" i="3" s="1"/>
  <c r="O84" i="3" s="1"/>
  <c r="O85" i="3" s="1"/>
  <c r="O86" i="3" s="1"/>
  <c r="O87" i="3" s="1"/>
  <c r="O88" i="3" s="1"/>
  <c r="O89" i="3" s="1"/>
  <c r="O90" i="3" s="1"/>
  <c r="O91" i="3" s="1"/>
  <c r="O92" i="3" s="1"/>
  <c r="O93" i="3" s="1"/>
  <c r="O94" i="3" s="1"/>
  <c r="O95" i="3" s="1"/>
  <c r="O96" i="3" s="1"/>
  <c r="O97" i="3" s="1"/>
  <c r="O98" i="3" s="1"/>
  <c r="O99" i="3" s="1"/>
  <c r="O100" i="3" s="1"/>
  <c r="O101" i="3" s="1"/>
  <c r="O102" i="3" s="1"/>
  <c r="O103" i="3" s="1"/>
  <c r="O104" i="3" s="1"/>
  <c r="O105" i="3" s="1"/>
  <c r="O106" i="3" s="1"/>
  <c r="O107" i="3" s="1"/>
  <c r="O108" i="3" s="1"/>
  <c r="O109" i="3" s="1"/>
  <c r="O110" i="3" s="1"/>
  <c r="O111" i="3" s="1"/>
  <c r="O112" i="3" s="1"/>
  <c r="O113" i="3" s="1"/>
  <c r="O114" i="3" s="1"/>
  <c r="O115" i="3" s="1"/>
  <c r="O116" i="3" s="1"/>
  <c r="O117" i="3" s="1"/>
  <c r="O118" i="3" s="1"/>
  <c r="O119" i="3" s="1"/>
  <c r="O120" i="3" s="1"/>
  <c r="O121" i="3" s="1"/>
  <c r="O122" i="3" s="1"/>
  <c r="O123" i="3" s="1"/>
  <c r="O124" i="3" s="1"/>
  <c r="O125" i="3" s="1"/>
  <c r="O126" i="3" s="1"/>
  <c r="O127" i="3" s="1"/>
  <c r="O128" i="3" s="1"/>
  <c r="O129" i="3" s="1"/>
  <c r="O130" i="3" s="1"/>
  <c r="O131" i="3" s="1"/>
  <c r="O132" i="3" s="1"/>
  <c r="O133" i="3" s="1"/>
  <c r="O134" i="3" s="1"/>
  <c r="O135" i="3" s="1"/>
  <c r="O136" i="3" s="1"/>
  <c r="O137" i="3" s="1"/>
  <c r="O138" i="3" s="1"/>
  <c r="O139" i="3" s="1"/>
  <c r="O140" i="3" s="1"/>
  <c r="O141" i="3" s="1"/>
  <c r="O142" i="3" s="1"/>
  <c r="O143" i="3" s="1"/>
  <c r="O144" i="3" s="1"/>
  <c r="O145" i="3" s="1"/>
  <c r="O146" i="3" s="1"/>
  <c r="O147" i="3" s="1"/>
  <c r="O148" i="3" s="1"/>
  <c r="O149" i="3" s="1"/>
  <c r="O150" i="3" s="1"/>
  <c r="O151" i="3" s="1"/>
  <c r="O152" i="3" s="1"/>
  <c r="O153" i="3" s="1"/>
  <c r="O154" i="3" s="1"/>
  <c r="O155" i="3" s="1"/>
  <c r="O156" i="3" s="1"/>
  <c r="O157" i="3" s="1"/>
  <c r="O158" i="3" s="1"/>
  <c r="O159" i="3" s="1"/>
  <c r="O160" i="3" s="1"/>
  <c r="O161" i="3" s="1"/>
  <c r="O162" i="3" s="1"/>
  <c r="O163" i="3" s="1"/>
  <c r="O164" i="3" s="1"/>
  <c r="O165" i="3" s="1"/>
  <c r="O166" i="3" s="1"/>
  <c r="O167" i="3" s="1"/>
  <c r="O168" i="3" s="1"/>
  <c r="O169" i="3" s="1"/>
  <c r="O170" i="3" s="1"/>
  <c r="O171" i="3" s="1"/>
  <c r="O172" i="3" s="1"/>
  <c r="H131" i="2"/>
  <c r="G131" i="2"/>
  <c r="F131" i="2"/>
  <c r="E131" i="2"/>
  <c r="D131" i="2"/>
  <c r="H130" i="2"/>
  <c r="G130" i="2"/>
  <c r="F130" i="2"/>
  <c r="E130" i="2"/>
  <c r="D130" i="2"/>
  <c r="H129" i="2"/>
  <c r="G129" i="2"/>
  <c r="F129" i="2"/>
  <c r="E129" i="2"/>
  <c r="M119" i="2"/>
  <c r="L118" i="2"/>
  <c r="K118" i="2"/>
  <c r="H118" i="2"/>
  <c r="I97" i="2"/>
  <c r="I118" i="2" s="1"/>
  <c r="J84" i="2"/>
  <c r="J118" i="2" s="1"/>
  <c r="H37" i="2"/>
  <c r="H28" i="2"/>
  <c r="T13" i="2"/>
  <c r="Z7" i="2"/>
  <c r="Y7" i="2"/>
  <c r="X7" i="2"/>
  <c r="W7" i="2"/>
  <c r="V7" i="2"/>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Z6" i="2"/>
  <c r="Y6" i="2"/>
  <c r="X6" i="2"/>
  <c r="W6" i="2"/>
  <c r="V6" i="2"/>
  <c r="M6" i="2"/>
  <c r="M7" i="2" s="1"/>
  <c r="M8" i="2" s="1"/>
  <c r="M9" i="2" s="1"/>
  <c r="M10" i="2" s="1"/>
  <c r="M11" i="2" s="1"/>
  <c r="M12" i="2" s="1"/>
  <c r="M13" i="2" s="1"/>
  <c r="M14" i="2" s="1"/>
  <c r="M15" i="2" s="1"/>
  <c r="M16" i="2" s="1"/>
  <c r="M17" i="2" s="1"/>
  <c r="M18" i="2" s="1"/>
  <c r="M19" i="2" s="1"/>
  <c r="M20" i="2" s="1"/>
  <c r="M21" i="2" s="1"/>
  <c r="M22" i="2" s="1"/>
  <c r="M23" i="2" s="1"/>
  <c r="M24" i="2" s="1"/>
  <c r="M25" i="2" s="1"/>
  <c r="M26" i="2" s="1"/>
  <c r="M27" i="2" s="1"/>
  <c r="M28" i="2" s="1"/>
  <c r="M29" i="2" s="1"/>
  <c r="M30" i="2" s="1"/>
  <c r="M31" i="2" s="1"/>
  <c r="M32" i="2" s="1"/>
  <c r="M33" i="2" s="1"/>
  <c r="M34" i="2" s="1"/>
  <c r="M35" i="2" s="1"/>
  <c r="M36" i="2" s="1"/>
  <c r="M37" i="2" s="1"/>
  <c r="M38" i="2" s="1"/>
  <c r="M39" i="2" s="1"/>
  <c r="M40" i="2" s="1"/>
  <c r="M41" i="2" s="1"/>
  <c r="M42" i="2" s="1"/>
  <c r="M43" i="2" s="1"/>
  <c r="M44" i="2" s="1"/>
  <c r="M45" i="2" s="1"/>
  <c r="M46" i="2" s="1"/>
  <c r="M47" i="2" s="1"/>
  <c r="M48" i="2" s="1"/>
  <c r="M49" i="2" s="1"/>
  <c r="M50" i="2" s="1"/>
  <c r="M51" i="2" s="1"/>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98" i="2" s="1"/>
  <c r="M99" i="2" s="1"/>
  <c r="M100" i="2" s="1"/>
  <c r="M101" i="2" s="1"/>
  <c r="M102" i="2" s="1"/>
  <c r="M103" i="2" s="1"/>
  <c r="M104" i="2" s="1"/>
  <c r="M105" i="2" s="1"/>
  <c r="M106" i="2" s="1"/>
  <c r="M107" i="2" s="1"/>
  <c r="M108" i="2" s="1"/>
  <c r="M109" i="2" s="1"/>
  <c r="M110" i="2" s="1"/>
  <c r="M111" i="2" s="1"/>
  <c r="M112" i="2" s="1"/>
  <c r="M113" i="2" s="1"/>
  <c r="M114" i="2" s="1"/>
  <c r="M115" i="2" s="1"/>
  <c r="M116" i="2" s="1"/>
  <c r="M117" i="2" s="1"/>
  <c r="Z5" i="2"/>
  <c r="Y5" i="2"/>
  <c r="X5" i="2"/>
  <c r="W5" i="2"/>
  <c r="V5" i="2"/>
  <c r="H242" i="1"/>
  <c r="G242" i="1"/>
  <c r="F242" i="1"/>
  <c r="E242" i="1"/>
  <c r="D242" i="1"/>
  <c r="C242" i="1"/>
  <c r="H241" i="1"/>
  <c r="G241" i="1"/>
  <c r="F241" i="1"/>
  <c r="E241" i="1"/>
  <c r="D241" i="1"/>
  <c r="C241" i="1"/>
  <c r="H240" i="1"/>
  <c r="G240" i="1"/>
  <c r="F240" i="1"/>
  <c r="E240" i="1"/>
  <c r="D240" i="1"/>
  <c r="C240" i="1"/>
  <c r="H239" i="1"/>
  <c r="G239" i="1"/>
  <c r="F239" i="1"/>
  <c r="E239" i="1"/>
  <c r="D239" i="1"/>
  <c r="C239" i="1"/>
  <c r="J231" i="1"/>
  <c r="G230" i="1"/>
  <c r="F230" i="1"/>
  <c r="AA84" i="1" s="1"/>
  <c r="E230" i="1"/>
  <c r="D230" i="1"/>
  <c r="B230" i="1"/>
  <c r="AA226" i="1"/>
  <c r="J217" i="1"/>
  <c r="H217" i="1"/>
  <c r="I209" i="1"/>
  <c r="H209" i="1"/>
  <c r="I196" i="1"/>
  <c r="H196" i="1"/>
  <c r="C230" i="1" s="1"/>
  <c r="H194" i="1"/>
  <c r="H191" i="1"/>
  <c r="A230" i="1" s="1"/>
  <c r="Q177" i="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A177" i="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H168" i="1"/>
  <c r="G168" i="1"/>
  <c r="F168" i="1"/>
  <c r="E168" i="1"/>
  <c r="D168" i="1"/>
  <c r="C168" i="1"/>
  <c r="H167" i="1"/>
  <c r="G167" i="1"/>
  <c r="F167" i="1"/>
  <c r="E167" i="1"/>
  <c r="D167" i="1"/>
  <c r="C167" i="1"/>
  <c r="H166" i="1"/>
  <c r="G166" i="1"/>
  <c r="F166" i="1"/>
  <c r="E166" i="1"/>
  <c r="D166" i="1"/>
  <c r="C166" i="1"/>
  <c r="H165" i="1"/>
  <c r="G165" i="1"/>
  <c r="F165" i="1"/>
  <c r="E165" i="1"/>
  <c r="D165" i="1"/>
  <c r="C165" i="1"/>
  <c r="H155" i="1"/>
  <c r="G154" i="1"/>
  <c r="F154" i="1"/>
  <c r="E154" i="1"/>
  <c r="C154" i="1"/>
  <c r="B154" i="1"/>
  <c r="J138" i="1"/>
  <c r="H138" i="1"/>
  <c r="J136" i="1"/>
  <c r="H136" i="1"/>
  <c r="D154" i="1" s="1"/>
  <c r="AB132" i="1"/>
  <c r="AA132" i="1"/>
  <c r="I121" i="1"/>
  <c r="H121" i="1"/>
  <c r="A118" i="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H114" i="1"/>
  <c r="A154" i="1" s="1"/>
  <c r="H154" i="1" s="1"/>
  <c r="Q110" i="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06" i="1"/>
  <c r="Q107" i="1" s="1"/>
  <c r="Q108" i="1" s="1"/>
  <c r="Q109" i="1" s="1"/>
  <c r="Q104" i="1"/>
  <c r="Q105" i="1" s="1"/>
  <c r="A104" i="1"/>
  <c r="A105" i="1" s="1"/>
  <c r="A106" i="1" s="1"/>
  <c r="A107" i="1" s="1"/>
  <c r="A108" i="1" s="1"/>
  <c r="A109" i="1" s="1"/>
  <c r="A110" i="1" s="1"/>
  <c r="A111" i="1" s="1"/>
  <c r="A112" i="1" s="1"/>
  <c r="A113" i="1" s="1"/>
  <c r="A114" i="1" s="1"/>
  <c r="A115" i="1" s="1"/>
  <c r="A116" i="1" s="1"/>
  <c r="A117" i="1" s="1"/>
  <c r="AF100" i="1"/>
  <c r="AF101" i="1" s="1"/>
  <c r="AF102" i="1" s="1"/>
  <c r="AF103" i="1" s="1"/>
  <c r="AF104" i="1" s="1"/>
  <c r="AF105" i="1" s="1"/>
  <c r="AF106" i="1" s="1"/>
  <c r="AF107" i="1" s="1"/>
  <c r="AF108" i="1" s="1"/>
  <c r="AF109" i="1" s="1"/>
  <c r="AF110" i="1" s="1"/>
  <c r="AF111" i="1" s="1"/>
  <c r="AF112" i="1" s="1"/>
  <c r="AF113" i="1" s="1"/>
  <c r="AF114" i="1" s="1"/>
  <c r="AF115" i="1" s="1"/>
  <c r="AF116" i="1" s="1"/>
  <c r="AF117" i="1" s="1"/>
  <c r="AF118" i="1" s="1"/>
  <c r="AF119" i="1" s="1"/>
  <c r="AF120" i="1" s="1"/>
  <c r="AF121" i="1" s="1"/>
  <c r="AF122" i="1" s="1"/>
  <c r="AF123" i="1" s="1"/>
  <c r="AF124" i="1" s="1"/>
  <c r="AF125" i="1" s="1"/>
  <c r="AF126" i="1" s="1"/>
  <c r="AF127" i="1" s="1"/>
  <c r="AF128" i="1" s="1"/>
  <c r="AF129" i="1" s="1"/>
  <c r="AF130" i="1" s="1"/>
  <c r="Y100" i="1"/>
  <c r="Y101" i="1" s="1"/>
  <c r="Y102" i="1" s="1"/>
  <c r="Y103" i="1" s="1"/>
  <c r="Y104" i="1" s="1"/>
  <c r="Y105" i="1" s="1"/>
  <c r="Y106" i="1" s="1"/>
  <c r="Y107" i="1" s="1"/>
  <c r="Y108" i="1" s="1"/>
  <c r="Y109" i="1" s="1"/>
  <c r="Y110" i="1" s="1"/>
  <c r="Y111" i="1" s="1"/>
  <c r="Y112" i="1" s="1"/>
  <c r="Y113" i="1" s="1"/>
  <c r="Y114" i="1" s="1"/>
  <c r="Y115" i="1" s="1"/>
  <c r="Y116" i="1" s="1"/>
  <c r="Y117" i="1" s="1"/>
  <c r="Y118" i="1" s="1"/>
  <c r="Y119" i="1" s="1"/>
  <c r="Y120" i="1" s="1"/>
  <c r="Y121" i="1" s="1"/>
  <c r="Y122" i="1" s="1"/>
  <c r="Y123" i="1" s="1"/>
  <c r="Y124" i="1" s="1"/>
  <c r="Y125" i="1" s="1"/>
  <c r="Y126" i="1" s="1"/>
  <c r="Y127" i="1" s="1"/>
  <c r="Y128" i="1" s="1"/>
  <c r="Y129" i="1" s="1"/>
  <c r="Y130" i="1" s="1"/>
  <c r="AF98" i="1"/>
  <c r="AF99" i="1" s="1"/>
  <c r="Y98" i="1"/>
  <c r="Y99" i="1" s="1"/>
  <c r="AF97" i="1"/>
  <c r="Y97" i="1"/>
  <c r="H96" i="1"/>
  <c r="G96" i="1"/>
  <c r="F96" i="1"/>
  <c r="E96" i="1"/>
  <c r="D96" i="1"/>
  <c r="C96" i="1"/>
  <c r="H90" i="1"/>
  <c r="G90" i="1"/>
  <c r="F90" i="1"/>
  <c r="E90" i="1"/>
  <c r="D90" i="1"/>
  <c r="C90" i="1"/>
  <c r="C93" i="1" s="1"/>
  <c r="H89" i="1"/>
  <c r="G89" i="1"/>
  <c r="F89" i="1"/>
  <c r="E89" i="1"/>
  <c r="D89" i="1"/>
  <c r="C89" i="1"/>
  <c r="C92" i="1" s="1"/>
  <c r="H88" i="1"/>
  <c r="G88" i="1"/>
  <c r="F88" i="1"/>
  <c r="E88" i="1"/>
  <c r="D88" i="1"/>
  <c r="C88" i="1"/>
  <c r="C91" i="1" s="1"/>
  <c r="C94" i="1" s="1"/>
  <c r="Z86" i="1"/>
  <c r="AB86" i="1" s="1"/>
  <c r="AA85" i="1"/>
  <c r="Z85" i="1"/>
  <c r="Z84" i="1"/>
  <c r="Z83" i="1"/>
  <c r="Z82" i="1"/>
  <c r="Z81" i="1"/>
  <c r="Z80" i="1"/>
  <c r="H80" i="1"/>
  <c r="G79" i="1"/>
  <c r="F79" i="1"/>
  <c r="E79" i="1"/>
  <c r="AA83" i="1" s="1"/>
  <c r="J53" i="1"/>
  <c r="H53" i="1"/>
  <c r="D79" i="1" s="1"/>
  <c r="I48" i="1"/>
  <c r="H48" i="1"/>
  <c r="C79" i="1" s="1"/>
  <c r="H39" i="1"/>
  <c r="A79" i="1" s="1"/>
  <c r="H15" i="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Q6" i="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AE9" i="1"/>
  <c r="AD9" i="1"/>
  <c r="AC9" i="1"/>
  <c r="AB9" i="1"/>
  <c r="AA9" i="1"/>
  <c r="Z9" i="1"/>
  <c r="Y9" i="1"/>
  <c r="AE8" i="1"/>
  <c r="AD8" i="1"/>
  <c r="AC8" i="1"/>
  <c r="AB8" i="1"/>
  <c r="AA8" i="1"/>
  <c r="Z8" i="1"/>
  <c r="Y8" i="1"/>
  <c r="AE7" i="1"/>
  <c r="AD7" i="1"/>
  <c r="AC7" i="1"/>
  <c r="AB7" i="1"/>
  <c r="AA7" i="1"/>
  <c r="Z7" i="1"/>
  <c r="Y7" i="1"/>
  <c r="AE6" i="1"/>
  <c r="AD6" i="1"/>
  <c r="AC6" i="1"/>
  <c r="AB6" i="1"/>
  <c r="AA6" i="1"/>
  <c r="Z6" i="1"/>
  <c r="Y6" i="1"/>
  <c r="I271" i="27"/>
  <c r="I266" i="27"/>
  <c r="I261" i="27"/>
  <c r="I238" i="27"/>
  <c r="I231" i="27"/>
  <c r="I206" i="27"/>
  <c r="I197" i="27"/>
  <c r="L155" i="27"/>
  <c r="L156" i="27" s="1"/>
  <c r="L157" i="27" s="1"/>
  <c r="L158" i="27" s="1"/>
  <c r="L159" i="27" s="1"/>
  <c r="L160" i="27" s="1"/>
  <c r="L161" i="27" s="1"/>
  <c r="L162" i="27" s="1"/>
  <c r="L163" i="27" s="1"/>
  <c r="L164" i="27" s="1"/>
  <c r="L165" i="27" s="1"/>
  <c r="L166" i="27" s="1"/>
  <c r="L167" i="27" s="1"/>
  <c r="L168" i="27" s="1"/>
  <c r="L169" i="27" s="1"/>
  <c r="L170" i="27" s="1"/>
  <c r="L171" i="27" s="1"/>
  <c r="L172" i="27" s="1"/>
  <c r="L173" i="27" s="1"/>
  <c r="L174" i="27" s="1"/>
  <c r="L175" i="27" s="1"/>
  <c r="L176" i="27" s="1"/>
  <c r="L177" i="27" s="1"/>
  <c r="L178" i="27" s="1"/>
  <c r="L179" i="27" s="1"/>
  <c r="L180" i="27" s="1"/>
  <c r="L181" i="27" s="1"/>
  <c r="L182" i="27" s="1"/>
  <c r="L183" i="27" s="1"/>
  <c r="L184" i="27" s="1"/>
  <c r="L185" i="27" s="1"/>
  <c r="L186" i="27" s="1"/>
  <c r="L187" i="27" s="1"/>
  <c r="L188" i="27" s="1"/>
  <c r="L189" i="27" s="1"/>
  <c r="L190" i="27" s="1"/>
  <c r="L191" i="27" s="1"/>
  <c r="L192" i="27" s="1"/>
  <c r="L193" i="27" s="1"/>
  <c r="L194" i="27" s="1"/>
  <c r="L195" i="27" s="1"/>
  <c r="L196" i="27" s="1"/>
  <c r="L197" i="27" s="1"/>
  <c r="L198" i="27" s="1"/>
  <c r="L199" i="27" s="1"/>
  <c r="L200" i="27" s="1"/>
  <c r="L201" i="27" s="1"/>
  <c r="L202" i="27" s="1"/>
  <c r="L203" i="27" s="1"/>
  <c r="L204" i="27" s="1"/>
  <c r="L205" i="27" s="1"/>
  <c r="L206" i="27" s="1"/>
  <c r="L207" i="27" s="1"/>
  <c r="L208" i="27" s="1"/>
  <c r="L209" i="27" s="1"/>
  <c r="L210" i="27" s="1"/>
  <c r="L211" i="27" s="1"/>
  <c r="L212" i="27" s="1"/>
  <c r="L213" i="27" s="1"/>
  <c r="L214" i="27" s="1"/>
  <c r="L215" i="27" s="1"/>
  <c r="L216" i="27" s="1"/>
  <c r="L217" i="27" s="1"/>
  <c r="L218" i="27" s="1"/>
  <c r="L219" i="27" s="1"/>
  <c r="L220" i="27" s="1"/>
  <c r="L221" i="27" s="1"/>
  <c r="L222" i="27" s="1"/>
  <c r="L223" i="27" s="1"/>
  <c r="L224" i="27" s="1"/>
  <c r="L225" i="27" s="1"/>
  <c r="L226" i="27" s="1"/>
  <c r="L227" i="27" s="1"/>
  <c r="L228" i="27" s="1"/>
  <c r="L229" i="27" s="1"/>
  <c r="L230" i="27" s="1"/>
  <c r="L231" i="27" s="1"/>
  <c r="L232" i="27" s="1"/>
  <c r="L233" i="27" s="1"/>
  <c r="L234" i="27" s="1"/>
  <c r="L235" i="27" s="1"/>
  <c r="L236" i="27" s="1"/>
  <c r="L237" i="27" s="1"/>
  <c r="L238" i="27" s="1"/>
  <c r="L239" i="27" s="1"/>
  <c r="L240" i="27" s="1"/>
  <c r="L241" i="27" s="1"/>
  <c r="L242" i="27" s="1"/>
  <c r="L243" i="27" s="1"/>
  <c r="L244" i="27" s="1"/>
  <c r="L245" i="27" s="1"/>
  <c r="L246" i="27" s="1"/>
  <c r="L247" i="27" s="1"/>
  <c r="L248" i="27" s="1"/>
  <c r="L249" i="27" s="1"/>
  <c r="L250" i="27" s="1"/>
  <c r="L251" i="27" s="1"/>
  <c r="L252" i="27" s="1"/>
  <c r="L253" i="27" s="1"/>
  <c r="L254" i="27" s="1"/>
  <c r="L255" i="27" s="1"/>
  <c r="L256" i="27" s="1"/>
  <c r="L257" i="27" s="1"/>
  <c r="L258" i="27" s="1"/>
  <c r="L259" i="27" s="1"/>
  <c r="L260" i="27" s="1"/>
  <c r="L261" i="27" s="1"/>
  <c r="L262" i="27" s="1"/>
  <c r="L263" i="27" s="1"/>
  <c r="L264" i="27" s="1"/>
  <c r="L265" i="27" s="1"/>
  <c r="L266" i="27" s="1"/>
  <c r="L267" i="27" s="1"/>
  <c r="L268" i="27" s="1"/>
  <c r="L269" i="27" s="1"/>
  <c r="L270" i="27" s="1"/>
  <c r="L271" i="27" s="1"/>
  <c r="L272" i="27" s="1"/>
  <c r="B153" i="27"/>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L152" i="27"/>
  <c r="L153" i="27" s="1"/>
  <c r="L154" i="27" s="1"/>
  <c r="N131" i="27"/>
  <c r="M131" i="27"/>
  <c r="G131" i="27"/>
  <c r="E131" i="27"/>
  <c r="I128" i="27"/>
  <c r="Q127" i="27"/>
  <c r="R126" i="27"/>
  <c r="I123" i="27"/>
  <c r="L131" i="27" s="1"/>
  <c r="I118" i="27"/>
  <c r="F131" i="27" s="1"/>
  <c r="S95" i="27"/>
  <c r="I93" i="27"/>
  <c r="P91" i="27"/>
  <c r="I86" i="27"/>
  <c r="I60" i="27"/>
  <c r="I51" i="27"/>
  <c r="D131" i="27" s="1"/>
  <c r="Y125" i="27" s="1"/>
  <c r="B7" i="27"/>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6" i="27"/>
  <c r="L5" i="27"/>
  <c r="L6" i="27" s="1"/>
  <c r="L7" i="27" s="1"/>
  <c r="L8" i="27" s="1"/>
  <c r="L9" i="27" s="1"/>
  <c r="L10" i="27" s="1"/>
  <c r="L11" i="27" s="1"/>
  <c r="L12" i="27" s="1"/>
  <c r="L13" i="27" s="1"/>
  <c r="L14" i="27" s="1"/>
  <c r="L15" i="27" s="1"/>
  <c r="L16" i="27" s="1"/>
  <c r="L17" i="27" s="1"/>
  <c r="L18" i="27" s="1"/>
  <c r="L19" i="27" s="1"/>
  <c r="L20" i="27" s="1"/>
  <c r="L21" i="27" s="1"/>
  <c r="L22" i="27" s="1"/>
  <c r="L23" i="27" s="1"/>
  <c r="L24" i="27" s="1"/>
  <c r="L25" i="27" s="1"/>
  <c r="L26" i="27" s="1"/>
  <c r="L27" i="27" s="1"/>
  <c r="J122" i="28"/>
  <c r="I122" i="28"/>
  <c r="H122" i="28"/>
  <c r="G122" i="28"/>
  <c r="F122" i="28"/>
  <c r="E122" i="28"/>
  <c r="D122" i="28"/>
  <c r="E114" i="28"/>
  <c r="D114" i="28"/>
  <c r="R76" i="28"/>
  <c r="Q72" i="28"/>
  <c r="R43" i="28"/>
  <c r="D8" i="28"/>
  <c r="D9" i="28" s="1"/>
  <c r="D10" i="28" s="1"/>
  <c r="D11" i="28" s="1"/>
  <c r="D12" i="28" s="1"/>
  <c r="D13" i="28" s="1"/>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O192" i="29"/>
  <c r="N190" i="29"/>
  <c r="H189" i="29"/>
  <c r="G189" i="29"/>
  <c r="F189" i="29"/>
  <c r="E189" i="29"/>
  <c r="D189" i="29"/>
  <c r="C189"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J6" i="29"/>
  <c r="I6" i="29"/>
  <c r="I7" i="29" s="1"/>
  <c r="I8" i="29" s="1"/>
  <c r="I9" i="29" s="1"/>
  <c r="I10" i="29" s="1"/>
  <c r="I11" i="29" s="1"/>
  <c r="I12" i="29" s="1"/>
  <c r="I13" i="29" s="1"/>
  <c r="I14" i="29" s="1"/>
  <c r="I15" i="29" s="1"/>
  <c r="I16" i="29" s="1"/>
  <c r="I17" i="29" s="1"/>
  <c r="I18" i="29" s="1"/>
  <c r="I19" i="29" s="1"/>
  <c r="I20" i="29" s="1"/>
  <c r="I21" i="29" s="1"/>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I42" i="29" s="1"/>
  <c r="I43" i="29" s="1"/>
  <c r="I44" i="29" s="1"/>
  <c r="I45" i="29" s="1"/>
  <c r="I46" i="29" s="1"/>
  <c r="I47" i="29" s="1"/>
  <c r="I48" i="29" s="1"/>
  <c r="I49" i="29" s="1"/>
  <c r="I50" i="29" s="1"/>
  <c r="I51" i="29" s="1"/>
  <c r="I52" i="29" s="1"/>
  <c r="I53" i="29" s="1"/>
  <c r="I54" i="29" s="1"/>
  <c r="I55" i="29" s="1"/>
  <c r="I56" i="29" s="1"/>
  <c r="I57" i="29" s="1"/>
  <c r="I58" i="29" s="1"/>
  <c r="I59" i="29" s="1"/>
  <c r="I60" i="29" s="1"/>
  <c r="I61" i="29" s="1"/>
  <c r="I62" i="29" s="1"/>
  <c r="I63" i="29" s="1"/>
  <c r="I64" i="29" s="1"/>
  <c r="I65" i="29" s="1"/>
  <c r="I66" i="29" s="1"/>
  <c r="I67" i="29" s="1"/>
  <c r="I68" i="29" s="1"/>
  <c r="I69" i="29" s="1"/>
  <c r="I70" i="29" s="1"/>
  <c r="I71" i="29" s="1"/>
  <c r="I72" i="29" s="1"/>
  <c r="I73" i="29" s="1"/>
  <c r="I74" i="29" s="1"/>
  <c r="I75" i="29" s="1"/>
  <c r="I76" i="29" s="1"/>
  <c r="I77" i="29" s="1"/>
  <c r="I78" i="29" s="1"/>
  <c r="I79" i="29" s="1"/>
  <c r="I80" i="29" s="1"/>
  <c r="I81" i="29" s="1"/>
  <c r="I82" i="29" s="1"/>
  <c r="I83" i="29" s="1"/>
  <c r="I84" i="29" s="1"/>
  <c r="I85" i="29" s="1"/>
  <c r="I86" i="29" s="1"/>
  <c r="I87" i="29" s="1"/>
  <c r="I88" i="29" s="1"/>
  <c r="I89" i="29" s="1"/>
  <c r="I90" i="29" s="1"/>
  <c r="I91" i="29" s="1"/>
  <c r="I92" i="29" s="1"/>
  <c r="I93" i="29" s="1"/>
  <c r="I94" i="29" s="1"/>
  <c r="I95" i="29" s="1"/>
  <c r="I96" i="29" s="1"/>
  <c r="I97" i="29" s="1"/>
  <c r="I98" i="29" s="1"/>
  <c r="I99" i="29" s="1"/>
  <c r="I100" i="29" s="1"/>
  <c r="I101" i="29" s="1"/>
  <c r="I102" i="29" s="1"/>
  <c r="I103" i="29" s="1"/>
  <c r="I104" i="29" s="1"/>
  <c r="I105" i="29" s="1"/>
  <c r="I106" i="29" s="1"/>
  <c r="I107" i="29" s="1"/>
  <c r="I108" i="29" s="1"/>
  <c r="I109" i="29" s="1"/>
  <c r="I110" i="29" s="1"/>
  <c r="I111" i="29" s="1"/>
  <c r="I112" i="29" s="1"/>
  <c r="I113" i="29" s="1"/>
  <c r="I114" i="29" s="1"/>
  <c r="I115" i="29" s="1"/>
  <c r="I116" i="29" s="1"/>
  <c r="I117" i="29" s="1"/>
  <c r="I118" i="29" s="1"/>
  <c r="I119" i="29" s="1"/>
  <c r="I120" i="29" s="1"/>
  <c r="I121" i="29" s="1"/>
  <c r="I122" i="29" s="1"/>
  <c r="I123" i="29" s="1"/>
  <c r="I124" i="29" s="1"/>
  <c r="I125" i="29" s="1"/>
  <c r="I126" i="29" s="1"/>
  <c r="I127" i="29" s="1"/>
  <c r="I128" i="29" s="1"/>
  <c r="I129" i="29" s="1"/>
  <c r="I130" i="29" s="1"/>
  <c r="I131" i="29" s="1"/>
  <c r="I132" i="29" s="1"/>
  <c r="I133" i="29" s="1"/>
  <c r="I134" i="29" s="1"/>
  <c r="I135" i="29" s="1"/>
  <c r="I136" i="29" s="1"/>
  <c r="I137" i="29" s="1"/>
  <c r="I138" i="29" s="1"/>
  <c r="I139" i="29" s="1"/>
  <c r="I140" i="29" s="1"/>
  <c r="I141" i="29" s="1"/>
  <c r="I142" i="29" s="1"/>
  <c r="I143" i="29" s="1"/>
  <c r="I144" i="29" s="1"/>
  <c r="I145" i="29" s="1"/>
  <c r="I146" i="29" s="1"/>
  <c r="I147" i="29" s="1"/>
  <c r="I148" i="29" s="1"/>
  <c r="I149" i="29" s="1"/>
  <c r="I150" i="29" s="1"/>
  <c r="I151" i="29" s="1"/>
  <c r="I152" i="29" s="1"/>
  <c r="I153" i="29" s="1"/>
  <c r="I154" i="29" s="1"/>
  <c r="I155" i="29" s="1"/>
  <c r="I156" i="29" s="1"/>
  <c r="I157" i="29" s="1"/>
  <c r="I158" i="29" s="1"/>
  <c r="I159" i="29" s="1"/>
  <c r="I160" i="29" s="1"/>
  <c r="I161" i="29" s="1"/>
  <c r="I162" i="29" s="1"/>
  <c r="I163" i="29" s="1"/>
  <c r="I164" i="29" s="1"/>
  <c r="I165" i="29" s="1"/>
  <c r="I166" i="29" s="1"/>
  <c r="I167" i="29" s="1"/>
  <c r="I168" i="29" s="1"/>
  <c r="I169" i="29" s="1"/>
  <c r="I170" i="29" s="1"/>
  <c r="I171" i="29" s="1"/>
  <c r="I172" i="29" s="1"/>
  <c r="I173" i="29" s="1"/>
  <c r="I174" i="29" s="1"/>
  <c r="I175" i="29" s="1"/>
  <c r="I176" i="29" s="1"/>
  <c r="I177" i="29" s="1"/>
  <c r="I178" i="29" s="1"/>
  <c r="I179" i="29" s="1"/>
  <c r="I180" i="29" s="1"/>
  <c r="I181" i="29" s="1"/>
  <c r="I182" i="29" s="1"/>
  <c r="I183" i="29" s="1"/>
  <c r="B6" i="29"/>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J5" i="29"/>
  <c r="K153" i="30"/>
  <c r="K152" i="30"/>
  <c r="K151" i="30"/>
  <c r="K150" i="30"/>
  <c r="K149" i="30"/>
  <c r="K148" i="30"/>
  <c r="K147" i="30"/>
  <c r="K146" i="30"/>
  <c r="K145" i="30"/>
  <c r="K144" i="30"/>
  <c r="K143" i="30"/>
  <c r="K142" i="30"/>
  <c r="K141" i="30"/>
  <c r="K140" i="30"/>
  <c r="K139" i="30"/>
  <c r="K138" i="30"/>
  <c r="K137" i="30"/>
  <c r="K136" i="30"/>
  <c r="K135" i="30"/>
  <c r="K134" i="30"/>
  <c r="K133" i="30"/>
  <c r="K132" i="30"/>
  <c r="K131" i="30"/>
  <c r="K130" i="30"/>
  <c r="K129" i="30"/>
  <c r="K128" i="30"/>
  <c r="K127" i="30"/>
  <c r="K126" i="30"/>
  <c r="K125" i="30"/>
  <c r="K124" i="30"/>
  <c r="K123" i="30"/>
  <c r="I123" i="30"/>
  <c r="K122" i="30"/>
  <c r="K121" i="30"/>
  <c r="K120" i="30"/>
  <c r="K119" i="30"/>
  <c r="K118" i="30"/>
  <c r="K117" i="30"/>
  <c r="K116" i="30"/>
  <c r="K115" i="30"/>
  <c r="K114" i="30"/>
  <c r="K113" i="30"/>
  <c r="K112" i="30"/>
  <c r="K111" i="30"/>
  <c r="K110" i="30"/>
  <c r="K109" i="30"/>
  <c r="K108" i="30"/>
  <c r="K107" i="30"/>
  <c r="K106" i="30"/>
  <c r="K105" i="30"/>
  <c r="K104" i="30"/>
  <c r="K103" i="30"/>
  <c r="K102" i="30"/>
  <c r="K101" i="30"/>
  <c r="K100" i="30"/>
  <c r="K99" i="30"/>
  <c r="K98" i="30"/>
  <c r="K97" i="30"/>
  <c r="G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G69" i="30"/>
  <c r="K68" i="30"/>
  <c r="K67" i="30"/>
  <c r="K66" i="30"/>
  <c r="K65" i="30"/>
  <c r="K64" i="30"/>
  <c r="K63" i="30"/>
  <c r="K62" i="30"/>
  <c r="K61" i="30"/>
  <c r="K60" i="30"/>
  <c r="K59" i="30"/>
  <c r="K58" i="30"/>
  <c r="K57" i="30"/>
  <c r="K56" i="30"/>
  <c r="K55" i="30"/>
  <c r="K54" i="30"/>
  <c r="K53" i="30"/>
  <c r="G53" i="30"/>
  <c r="K52" i="30"/>
  <c r="K51" i="30"/>
  <c r="K50" i="30"/>
  <c r="K49" i="30"/>
  <c r="K48" i="30"/>
  <c r="K47" i="30"/>
  <c r="K46" i="30"/>
  <c r="K45" i="30"/>
  <c r="K44" i="30"/>
  <c r="K43" i="30"/>
  <c r="K42" i="30"/>
  <c r="K41" i="30"/>
  <c r="K40" i="30"/>
  <c r="K39" i="30"/>
  <c r="K38" i="30"/>
  <c r="K37" i="30"/>
  <c r="G37" i="30"/>
  <c r="K36" i="30"/>
  <c r="K35" i="30"/>
  <c r="K34" i="30"/>
  <c r="K33" i="30"/>
  <c r="K32" i="30"/>
  <c r="K31" i="30"/>
  <c r="K30" i="30"/>
  <c r="K29" i="30"/>
  <c r="K28" i="30"/>
  <c r="K27" i="30"/>
  <c r="K26" i="30"/>
  <c r="K25" i="30"/>
  <c r="K24" i="30"/>
  <c r="K23" i="30"/>
  <c r="K22" i="30"/>
  <c r="K21" i="30"/>
  <c r="K20" i="30"/>
  <c r="K19" i="30"/>
  <c r="K18" i="30"/>
  <c r="K17" i="30"/>
  <c r="K16" i="30"/>
  <c r="K15" i="30"/>
  <c r="G15" i="30"/>
  <c r="K14" i="30"/>
  <c r="K13" i="30"/>
  <c r="K12" i="30"/>
  <c r="G12" i="30"/>
  <c r="K11" i="30"/>
  <c r="K10" i="30"/>
  <c r="G10" i="30"/>
  <c r="K9" i="30"/>
  <c r="K8" i="30"/>
  <c r="K7" i="30"/>
  <c r="G7" i="30"/>
  <c r="K6" i="30"/>
  <c r="K5" i="30"/>
  <c r="J5" i="30"/>
  <c r="J6" i="30" s="1"/>
  <c r="J7" i="30" s="1"/>
  <c r="J8" i="30" s="1"/>
  <c r="J9" i="30" s="1"/>
  <c r="J10" i="30" s="1"/>
  <c r="J11" i="30" s="1"/>
  <c r="J12" i="30" s="1"/>
  <c r="J13" i="30" s="1"/>
  <c r="J14" i="30" s="1"/>
  <c r="J15" i="30" s="1"/>
  <c r="J16" i="30" s="1"/>
  <c r="J17" i="30" s="1"/>
  <c r="J18" i="30" s="1"/>
  <c r="J19" i="30" s="1"/>
  <c r="J20" i="30" s="1"/>
  <c r="J21" i="30" s="1"/>
  <c r="J22" i="30" s="1"/>
  <c r="J23" i="30" s="1"/>
  <c r="J24" i="30" s="1"/>
  <c r="J25" i="30" s="1"/>
  <c r="J26" i="30" s="1"/>
  <c r="J27" i="30" s="1"/>
  <c r="J28" i="30" s="1"/>
  <c r="J29" i="30" s="1"/>
  <c r="J30" i="30" s="1"/>
  <c r="J31" i="30" s="1"/>
  <c r="J32" i="30" s="1"/>
  <c r="J33" i="30" s="1"/>
  <c r="J34" i="30" s="1"/>
  <c r="J35" i="30" s="1"/>
  <c r="J36" i="30" s="1"/>
  <c r="J37" i="30" s="1"/>
  <c r="J38" i="30" s="1"/>
  <c r="J39" i="30" s="1"/>
  <c r="J40" i="30" s="1"/>
  <c r="J41" i="30" s="1"/>
  <c r="J42" i="30" s="1"/>
  <c r="J43" i="30" s="1"/>
  <c r="J44" i="30" s="1"/>
  <c r="J45" i="30" s="1"/>
  <c r="J46" i="30" s="1"/>
  <c r="J47" i="30" s="1"/>
  <c r="J48" i="30" s="1"/>
  <c r="J49" i="30" s="1"/>
  <c r="J50" i="30" s="1"/>
  <c r="J51" i="30" s="1"/>
  <c r="J52" i="30" s="1"/>
  <c r="J53" i="30" s="1"/>
  <c r="J54" i="30" s="1"/>
  <c r="J55" i="30" s="1"/>
  <c r="J56" i="30" s="1"/>
  <c r="J57" i="30" s="1"/>
  <c r="J58" i="30" s="1"/>
  <c r="J59" i="30" s="1"/>
  <c r="J60" i="30" s="1"/>
  <c r="J61" i="30" s="1"/>
  <c r="J62" i="30" s="1"/>
  <c r="J63" i="30" s="1"/>
  <c r="J64" i="30" s="1"/>
  <c r="J65" i="30" s="1"/>
  <c r="J66" i="30" s="1"/>
  <c r="J67" i="30" s="1"/>
  <c r="J68" i="30" s="1"/>
  <c r="J69" i="30" s="1"/>
  <c r="J70" i="30" s="1"/>
  <c r="J71" i="30" s="1"/>
  <c r="J72" i="30" s="1"/>
  <c r="J73" i="30" s="1"/>
  <c r="J74" i="30" s="1"/>
  <c r="J75" i="30" s="1"/>
  <c r="J76" i="30" s="1"/>
  <c r="J77" i="30" s="1"/>
  <c r="J78" i="30" s="1"/>
  <c r="J79" i="30" s="1"/>
  <c r="J80" i="30" s="1"/>
  <c r="J81" i="30" s="1"/>
  <c r="J82" i="30" s="1"/>
  <c r="J83" i="30" s="1"/>
  <c r="J84" i="30" s="1"/>
  <c r="J85" i="30" s="1"/>
  <c r="J86" i="30" s="1"/>
  <c r="J87" i="30" s="1"/>
  <c r="J88" i="30" s="1"/>
  <c r="J89" i="30" s="1"/>
  <c r="J90" i="30" s="1"/>
  <c r="J91" i="30" s="1"/>
  <c r="J92" i="30" s="1"/>
  <c r="J93" i="30" s="1"/>
  <c r="J94" i="30" s="1"/>
  <c r="J95" i="30" s="1"/>
  <c r="J96" i="30" s="1"/>
  <c r="J97" i="30" s="1"/>
  <c r="J98" i="30" s="1"/>
  <c r="J99" i="30" s="1"/>
  <c r="J100" i="30" s="1"/>
  <c r="J101" i="30" s="1"/>
  <c r="J102" i="30" s="1"/>
  <c r="J103" i="30" s="1"/>
  <c r="J104" i="30" s="1"/>
  <c r="J105" i="30" s="1"/>
  <c r="J106" i="30" s="1"/>
  <c r="J107" i="30" s="1"/>
  <c r="J108" i="30" s="1"/>
  <c r="J109" i="30" s="1"/>
  <c r="J110" i="30" s="1"/>
  <c r="J111" i="30" s="1"/>
  <c r="J112" i="30" s="1"/>
  <c r="J113" i="30" s="1"/>
  <c r="J114" i="30" s="1"/>
  <c r="J115" i="30" s="1"/>
  <c r="J116" i="30" s="1"/>
  <c r="J117" i="30" s="1"/>
  <c r="J118" i="30" s="1"/>
  <c r="J119" i="30" s="1"/>
  <c r="J120" i="30" s="1"/>
  <c r="J121" i="30" s="1"/>
  <c r="J122" i="30" s="1"/>
  <c r="J123" i="30" s="1"/>
  <c r="J124" i="30" s="1"/>
  <c r="J125" i="30" s="1"/>
  <c r="J126" i="30" s="1"/>
  <c r="J127" i="30" s="1"/>
  <c r="J128" i="30" s="1"/>
  <c r="J129" i="30" s="1"/>
  <c r="J130" i="30" s="1"/>
  <c r="J131" i="30" s="1"/>
  <c r="J132" i="30" s="1"/>
  <c r="J133" i="30" s="1"/>
  <c r="J134" i="30" s="1"/>
  <c r="J135" i="30" s="1"/>
  <c r="J136" i="30" s="1"/>
  <c r="J137" i="30" s="1"/>
  <c r="J138" i="30" s="1"/>
  <c r="J139" i="30" s="1"/>
  <c r="J140" i="30" s="1"/>
  <c r="J141" i="30" s="1"/>
  <c r="J142" i="30" s="1"/>
  <c r="J143" i="30" s="1"/>
  <c r="J144" i="30" s="1"/>
  <c r="J145" i="30" s="1"/>
  <c r="J146" i="30" s="1"/>
  <c r="J147" i="30" s="1"/>
  <c r="J148" i="30" s="1"/>
  <c r="J149" i="30" s="1"/>
  <c r="J150" i="30" s="1"/>
  <c r="J151" i="30" s="1"/>
  <c r="J152" i="30" s="1"/>
  <c r="J153" i="30" s="1"/>
  <c r="C5" i="30"/>
  <c r="C6" i="30" s="1"/>
  <c r="C7" i="30" s="1"/>
  <c r="C8" i="30" s="1"/>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K4" i="30"/>
  <c r="G4" i="30"/>
  <c r="I292"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H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H5" i="31"/>
  <c r="I5" i="31" s="1"/>
  <c r="I6" i="31" s="1"/>
  <c r="I7" i="31" s="1"/>
  <c r="I8" i="31" s="1"/>
  <c r="I9" i="31" s="1"/>
  <c r="I10" i="31" s="1"/>
  <c r="I11" i="31" s="1"/>
  <c r="I12" i="31" s="1"/>
  <c r="I13" i="31" s="1"/>
  <c r="I14" i="31" s="1"/>
  <c r="I15" i="31" s="1"/>
  <c r="I16" i="31" s="1"/>
  <c r="I17" i="31" s="1"/>
  <c r="I18" i="31" s="1"/>
  <c r="I19" i="31" s="1"/>
  <c r="I20" i="31" s="1"/>
  <c r="I21" i="31" s="1"/>
  <c r="I22" i="31" s="1"/>
  <c r="I23" i="31" s="1"/>
  <c r="I24" i="31" s="1"/>
  <c r="I25" i="31" s="1"/>
  <c r="I26" i="31" s="1"/>
  <c r="I27" i="31" s="1"/>
  <c r="I28" i="31" s="1"/>
  <c r="I29" i="31" s="1"/>
  <c r="I30" i="31" s="1"/>
  <c r="I31" i="31" s="1"/>
  <c r="I32" i="31" s="1"/>
  <c r="I33" i="31" s="1"/>
  <c r="I34" i="31" s="1"/>
  <c r="I35" i="31" s="1"/>
  <c r="I36" i="31" s="1"/>
  <c r="I37" i="31" s="1"/>
  <c r="I38" i="31" s="1"/>
  <c r="I39" i="31" s="1"/>
  <c r="I40" i="31" s="1"/>
  <c r="I41" i="31" s="1"/>
  <c r="I42" i="31" s="1"/>
  <c r="I43" i="31" s="1"/>
  <c r="I44" i="31" s="1"/>
  <c r="I45" i="31" s="1"/>
  <c r="I46" i="31" s="1"/>
  <c r="I47" i="31" s="1"/>
  <c r="I48" i="31" s="1"/>
  <c r="I49" i="31" s="1"/>
  <c r="I50" i="31" s="1"/>
  <c r="I51" i="31" s="1"/>
  <c r="I52" i="31" s="1"/>
  <c r="I53" i="31" s="1"/>
  <c r="I54" i="31" s="1"/>
  <c r="I55" i="31" s="1"/>
  <c r="I56" i="31" s="1"/>
  <c r="I57" i="31" s="1"/>
  <c r="I58" i="31" s="1"/>
  <c r="I59" i="31" s="1"/>
  <c r="I60" i="31" s="1"/>
  <c r="I61" i="31" s="1"/>
  <c r="I62" i="31" s="1"/>
  <c r="I63" i="31" s="1"/>
  <c r="I64" i="31" s="1"/>
  <c r="I65" i="31" s="1"/>
  <c r="I66" i="31" s="1"/>
  <c r="I67" i="31" s="1"/>
  <c r="I68" i="31" s="1"/>
  <c r="I69" i="31" s="1"/>
  <c r="I70" i="31" s="1"/>
  <c r="I71" i="31" s="1"/>
  <c r="I72" i="31" s="1"/>
  <c r="I73" i="31" s="1"/>
  <c r="I74" i="31" s="1"/>
  <c r="I75" i="31" s="1"/>
  <c r="I76" i="31" s="1"/>
  <c r="I77" i="31" s="1"/>
  <c r="I78" i="31" s="1"/>
  <c r="I79" i="31" s="1"/>
  <c r="I80" i="31" s="1"/>
  <c r="I81" i="31" s="1"/>
  <c r="I82" i="31" s="1"/>
  <c r="I83" i="31" s="1"/>
  <c r="I84" i="31" s="1"/>
  <c r="I85" i="31" s="1"/>
  <c r="I86" i="31" s="1"/>
  <c r="I87" i="31" s="1"/>
  <c r="I88" i="31" s="1"/>
  <c r="I89" i="31" s="1"/>
  <c r="I90" i="31" s="1"/>
  <c r="I91" i="31" s="1"/>
  <c r="I92" i="31" s="1"/>
  <c r="I93" i="31" s="1"/>
  <c r="I94" i="31" s="1"/>
  <c r="I95" i="31" s="1"/>
  <c r="I96" i="31" s="1"/>
  <c r="I97" i="31" s="1"/>
  <c r="I98" i="31" s="1"/>
  <c r="I99" i="31" s="1"/>
  <c r="I100" i="31" s="1"/>
  <c r="I101" i="31" s="1"/>
  <c r="I102" i="31" s="1"/>
  <c r="I103" i="31" s="1"/>
  <c r="I104" i="31" s="1"/>
  <c r="I105" i="31" s="1"/>
  <c r="I106" i="31" s="1"/>
  <c r="I107" i="31" s="1"/>
  <c r="I108" i="31" s="1"/>
  <c r="I109" i="31" s="1"/>
  <c r="I110" i="31" s="1"/>
  <c r="I111" i="31" s="1"/>
  <c r="I112" i="31" s="1"/>
  <c r="I113" i="31" s="1"/>
  <c r="I114" i="31" s="1"/>
  <c r="I115" i="31" s="1"/>
  <c r="I116" i="31" s="1"/>
  <c r="I117" i="31" s="1"/>
  <c r="I118" i="31" s="1"/>
  <c r="I119" i="31" s="1"/>
  <c r="I120" i="31" s="1"/>
  <c r="I121" i="31" s="1"/>
  <c r="I122" i="31" s="1"/>
  <c r="I123" i="31" s="1"/>
  <c r="I124" i="31" s="1"/>
  <c r="I125" i="31" s="1"/>
  <c r="I126" i="31" s="1"/>
  <c r="I127" i="31" s="1"/>
  <c r="I128" i="31" s="1"/>
  <c r="I129" i="31" s="1"/>
  <c r="I130" i="31" s="1"/>
  <c r="I131" i="31" s="1"/>
  <c r="I132" i="31" s="1"/>
  <c r="I133" i="31" s="1"/>
  <c r="I134" i="31" s="1"/>
  <c r="I135" i="31" s="1"/>
  <c r="I136" i="31" s="1"/>
  <c r="I137" i="31" s="1"/>
  <c r="I138" i="31" s="1"/>
  <c r="I139" i="31" s="1"/>
  <c r="I140" i="31" s="1"/>
  <c r="I141" i="31" s="1"/>
  <c r="I142" i="31" s="1"/>
  <c r="I143" i="31" s="1"/>
  <c r="I144" i="31" s="1"/>
  <c r="I145" i="31" s="1"/>
  <c r="I146" i="31" s="1"/>
  <c r="I147" i="31" s="1"/>
  <c r="I148" i="31" s="1"/>
  <c r="I149" i="31" s="1"/>
  <c r="I150" i="31" s="1"/>
  <c r="I151" i="31" s="1"/>
  <c r="I152" i="31" s="1"/>
  <c r="I153" i="31" s="1"/>
  <c r="I154" i="31" s="1"/>
  <c r="I155" i="31" s="1"/>
  <c r="I156" i="31" s="1"/>
  <c r="I157" i="31" s="1"/>
  <c r="I158" i="31" s="1"/>
  <c r="I159" i="31" s="1"/>
  <c r="I160" i="31" s="1"/>
  <c r="I161" i="31" s="1"/>
  <c r="I162" i="31" s="1"/>
  <c r="I163" i="31" s="1"/>
  <c r="I164" i="31" s="1"/>
  <c r="I165" i="31" s="1"/>
  <c r="I166" i="31" s="1"/>
  <c r="I167" i="31" s="1"/>
  <c r="I168" i="31" s="1"/>
  <c r="I169" i="31" s="1"/>
  <c r="I170" i="31" s="1"/>
  <c r="I171" i="31" s="1"/>
  <c r="I172" i="31" s="1"/>
  <c r="I173" i="31" s="1"/>
  <c r="I174" i="31" s="1"/>
  <c r="I175" i="31" s="1"/>
  <c r="I176" i="31" s="1"/>
  <c r="I177" i="31" s="1"/>
  <c r="I178" i="31" s="1"/>
  <c r="I179" i="31" s="1"/>
  <c r="I180" i="31" s="1"/>
  <c r="I181" i="31" s="1"/>
  <c r="I182" i="31" s="1"/>
  <c r="I183" i="31" s="1"/>
  <c r="I184" i="31" s="1"/>
  <c r="I185" i="31" s="1"/>
  <c r="I186" i="31" s="1"/>
  <c r="I187" i="31" s="1"/>
  <c r="I188" i="31" s="1"/>
  <c r="I189" i="31" s="1"/>
  <c r="I190" i="31" s="1"/>
  <c r="I191" i="31" s="1"/>
  <c r="I192" i="31" s="1"/>
  <c r="I193" i="31" s="1"/>
  <c r="I194" i="31" s="1"/>
  <c r="I195" i="31" s="1"/>
  <c r="I196" i="31" s="1"/>
  <c r="I197" i="31" s="1"/>
  <c r="I198" i="31" s="1"/>
  <c r="I199" i="31" s="1"/>
  <c r="I200" i="31" s="1"/>
  <c r="I201" i="31" s="1"/>
  <c r="I202" i="31" s="1"/>
  <c r="I203" i="31" s="1"/>
  <c r="I204" i="31" s="1"/>
  <c r="I205" i="31" s="1"/>
  <c r="I206" i="31" s="1"/>
  <c r="I207" i="31" s="1"/>
  <c r="I208" i="31" s="1"/>
  <c r="I209" i="31" s="1"/>
  <c r="I210" i="31" s="1"/>
  <c r="I211" i="31" s="1"/>
  <c r="I212" i="31" s="1"/>
  <c r="I213" i="31" s="1"/>
  <c r="I214" i="31" s="1"/>
  <c r="I215" i="31" s="1"/>
  <c r="I216" i="31" s="1"/>
  <c r="I217" i="31" s="1"/>
  <c r="I218" i="31" s="1"/>
  <c r="I219" i="31" s="1"/>
  <c r="I220" i="31" s="1"/>
  <c r="I221" i="31" s="1"/>
  <c r="I222" i="31" s="1"/>
  <c r="I223" i="31" s="1"/>
  <c r="I224" i="31" s="1"/>
  <c r="I225" i="31" s="1"/>
  <c r="I226" i="31" s="1"/>
  <c r="I227" i="31" s="1"/>
  <c r="I228" i="31" s="1"/>
  <c r="I229" i="31" s="1"/>
  <c r="I230" i="31" s="1"/>
  <c r="I231" i="31" s="1"/>
  <c r="I232" i="31" s="1"/>
  <c r="I233" i="31" s="1"/>
  <c r="I234" i="31" s="1"/>
  <c r="I235" i="31" s="1"/>
  <c r="I236" i="31" s="1"/>
  <c r="I237" i="31" s="1"/>
  <c r="I238" i="31" s="1"/>
  <c r="I239" i="31" s="1"/>
  <c r="I240" i="31" s="1"/>
  <c r="I241" i="31" s="1"/>
  <c r="I242" i="31" s="1"/>
  <c r="I243" i="31" s="1"/>
  <c r="I244" i="31" s="1"/>
  <c r="I245" i="31" s="1"/>
  <c r="I246" i="31" s="1"/>
  <c r="I247" i="31" s="1"/>
  <c r="I248" i="31" s="1"/>
  <c r="I249" i="31" s="1"/>
  <c r="I250" i="31" s="1"/>
  <c r="I251" i="31" s="1"/>
  <c r="I252" i="31" s="1"/>
  <c r="I253" i="31" s="1"/>
  <c r="I254" i="31" s="1"/>
  <c r="I255" i="31" s="1"/>
  <c r="I256" i="31" s="1"/>
  <c r="I257" i="31" s="1"/>
  <c r="I258" i="31" s="1"/>
  <c r="I259" i="31" s="1"/>
  <c r="I260" i="31" s="1"/>
  <c r="I261" i="31" s="1"/>
  <c r="I262" i="31" s="1"/>
  <c r="I263" i="31" s="1"/>
  <c r="I264" i="31" s="1"/>
  <c r="I265" i="31" s="1"/>
  <c r="I266" i="31" s="1"/>
  <c r="I267" i="31" s="1"/>
  <c r="I268" i="31" s="1"/>
  <c r="I269" i="31" s="1"/>
  <c r="I270" i="31" s="1"/>
  <c r="I271" i="31" s="1"/>
  <c r="I272" i="31" s="1"/>
  <c r="I273" i="31" s="1"/>
  <c r="I274" i="31" s="1"/>
  <c r="I275" i="31" s="1"/>
  <c r="I276" i="31" s="1"/>
  <c r="I277" i="31" s="1"/>
  <c r="I278" i="31" s="1"/>
  <c r="I279" i="31" s="1"/>
  <c r="I280" i="31" s="1"/>
  <c r="I281" i="31" s="1"/>
  <c r="I282" i="31" s="1"/>
  <c r="I283" i="31" s="1"/>
  <c r="I284" i="31" s="1"/>
  <c r="I285" i="31" s="1"/>
  <c r="I286" i="31" s="1"/>
  <c r="I287" i="31" s="1"/>
  <c r="I288" i="31" s="1"/>
  <c r="I289" i="31" s="1"/>
  <c r="I290" i="31" s="1"/>
  <c r="B5" i="31"/>
  <c r="B6" i="31" s="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J4" i="31"/>
  <c r="I112" i="37"/>
  <c r="H112" i="37"/>
  <c r="G112" i="37"/>
  <c r="E112" i="37"/>
  <c r="D112" i="37"/>
  <c r="C112" i="37"/>
  <c r="B112" i="37"/>
  <c r="J108" i="37"/>
  <c r="J107" i="37"/>
  <c r="J106" i="37"/>
  <c r="F106" i="37"/>
  <c r="J105" i="37"/>
  <c r="J103" i="37"/>
  <c r="J104" i="37"/>
  <c r="F104" i="37"/>
  <c r="J102" i="37"/>
  <c r="F102" i="37"/>
  <c r="J101" i="37"/>
  <c r="F101" i="37"/>
  <c r="J100" i="37"/>
  <c r="J99" i="37"/>
  <c r="J98" i="37"/>
  <c r="J97" i="37"/>
  <c r="J96" i="37"/>
  <c r="F96" i="37"/>
  <c r="J95" i="37"/>
  <c r="F95" i="37"/>
  <c r="J94" i="37"/>
  <c r="F94" i="37"/>
  <c r="J93" i="37"/>
  <c r="F93" i="37"/>
  <c r="J92" i="37"/>
  <c r="J91" i="37"/>
  <c r="J90" i="37"/>
  <c r="J89" i="37"/>
  <c r="F89" i="37"/>
  <c r="J88" i="37"/>
  <c r="J87" i="37"/>
  <c r="F87" i="37"/>
  <c r="J86" i="37"/>
  <c r="H86" i="37"/>
  <c r="F112" i="37" s="1"/>
  <c r="J85" i="37"/>
  <c r="J84" i="37"/>
  <c r="J83" i="37"/>
  <c r="J82" i="37"/>
  <c r="F82" i="37"/>
  <c r="J80" i="37"/>
  <c r="J79" i="37"/>
  <c r="F79" i="37"/>
  <c r="J78" i="37"/>
  <c r="F78" i="37"/>
  <c r="J77" i="37"/>
  <c r="J76" i="37"/>
  <c r="F76" i="37"/>
  <c r="J75" i="37"/>
  <c r="F75" i="37"/>
  <c r="J74" i="37"/>
  <c r="J73" i="37"/>
  <c r="J72" i="37"/>
  <c r="J71" i="37"/>
  <c r="J70" i="37"/>
  <c r="J69" i="37"/>
  <c r="J68" i="37"/>
  <c r="J67" i="37"/>
  <c r="J66" i="37"/>
  <c r="J65" i="37"/>
  <c r="F65" i="37"/>
  <c r="J64" i="37"/>
  <c r="J63" i="37"/>
  <c r="J62" i="37"/>
  <c r="J61" i="37"/>
  <c r="J60" i="37"/>
  <c r="J59" i="37"/>
  <c r="J58" i="37"/>
  <c r="F58" i="37"/>
  <c r="J57" i="37"/>
  <c r="J56" i="37"/>
  <c r="J55" i="37"/>
  <c r="J54" i="37"/>
  <c r="J53" i="37"/>
  <c r="J52" i="37"/>
  <c r="F52" i="37"/>
  <c r="J51" i="37"/>
  <c r="F51" i="37"/>
  <c r="J50" i="37"/>
  <c r="J49" i="37"/>
  <c r="J48" i="37"/>
  <c r="J47" i="37"/>
  <c r="J46" i="37"/>
  <c r="J45" i="37"/>
  <c r="J44" i="37"/>
  <c r="J43" i="37"/>
  <c r="J42" i="37"/>
  <c r="J41" i="37"/>
  <c r="J40" i="37"/>
  <c r="J39" i="37"/>
  <c r="J38" i="37"/>
  <c r="F38" i="37"/>
  <c r="J37" i="37"/>
  <c r="J36" i="37"/>
  <c r="J35" i="37"/>
  <c r="J34" i="37"/>
  <c r="F34" i="37"/>
  <c r="J33" i="37"/>
  <c r="J32" i="37"/>
  <c r="J31" i="37"/>
  <c r="F31" i="37"/>
  <c r="J30" i="37"/>
  <c r="F30" i="37"/>
  <c r="J29" i="37"/>
  <c r="J28" i="37"/>
  <c r="J27" i="37"/>
  <c r="J25" i="37"/>
  <c r="J24" i="37"/>
  <c r="F24" i="37"/>
  <c r="J23" i="37"/>
  <c r="J22" i="37"/>
  <c r="J21" i="37"/>
  <c r="J20" i="37"/>
  <c r="J19" i="37"/>
  <c r="F19" i="37"/>
  <c r="J18" i="37"/>
  <c r="J17" i="37"/>
  <c r="F17" i="37"/>
  <c r="J16" i="37"/>
  <c r="F16" i="37"/>
  <c r="J15" i="37"/>
  <c r="J14" i="37"/>
  <c r="F14" i="37"/>
  <c r="J13" i="37"/>
  <c r="J12" i="37"/>
  <c r="F12" i="37"/>
  <c r="J11" i="37"/>
  <c r="J10" i="37"/>
  <c r="F10" i="37"/>
  <c r="J9" i="37"/>
  <c r="J8" i="37"/>
  <c r="J7" i="37"/>
  <c r="J6" i="37"/>
  <c r="B6" i="37"/>
  <c r="B7" i="37" s="1"/>
  <c r="B8" i="37" s="1"/>
  <c r="B9" i="37" s="1"/>
  <c r="B10" i="37" s="1"/>
  <c r="B11" i="37" s="1"/>
  <c r="B12" i="37" s="1"/>
  <c r="B13" i="37" s="1"/>
  <c r="B14" i="37" s="1"/>
  <c r="B15" i="37" s="1"/>
  <c r="B16" i="37" s="1"/>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60" i="37" s="1"/>
  <c r="B61" i="37" s="1"/>
  <c r="B62" i="37" s="1"/>
  <c r="B63" i="37" s="1"/>
  <c r="B64" i="37" s="1"/>
  <c r="B65" i="37" s="1"/>
  <c r="B66" i="37" s="1"/>
  <c r="B67" i="37" s="1"/>
  <c r="B68" i="37" s="1"/>
  <c r="B69" i="37" s="1"/>
  <c r="B70" i="37" s="1"/>
  <c r="B71" i="37" s="1"/>
  <c r="B72" i="37" s="1"/>
  <c r="B74" i="37" s="1"/>
  <c r="B75" i="37" s="1"/>
  <c r="B76" i="37" s="1"/>
  <c r="B77" i="37" s="1"/>
  <c r="B78" i="37" s="1"/>
  <c r="B79" i="37" s="1"/>
  <c r="B80" i="37" s="1"/>
  <c r="B81" i="37" s="1"/>
  <c r="B82" i="37" s="1"/>
  <c r="B83" i="37" s="1"/>
  <c r="B84" i="37" s="1"/>
  <c r="B85" i="37" s="1"/>
  <c r="B86" i="37" s="1"/>
  <c r="B87" i="37" s="1"/>
  <c r="B88" i="37" s="1"/>
  <c r="B89" i="37" s="1"/>
  <c r="B90" i="37" s="1"/>
  <c r="B91" i="37" s="1"/>
  <c r="B92" i="37" s="1"/>
  <c r="B93" i="37" s="1"/>
  <c r="B94" i="37" s="1"/>
  <c r="B95" i="37" s="1"/>
  <c r="B96" i="37" s="1"/>
  <c r="B97" i="37" s="1"/>
  <c r="B98" i="37" s="1"/>
  <c r="B99" i="37" s="1"/>
  <c r="B100" i="37" s="1"/>
  <c r="B101" i="37" s="1"/>
  <c r="B102" i="37" s="1"/>
  <c r="B103" i="37" s="1"/>
  <c r="B104" i="37" s="1"/>
  <c r="B105" i="37" s="1"/>
  <c r="B106" i="37" s="1"/>
  <c r="J5" i="37"/>
  <c r="I5" i="37"/>
  <c r="I6" i="37" s="1"/>
  <c r="I7" i="37" s="1"/>
  <c r="I8" i="37" s="1"/>
  <c r="I9" i="37" s="1"/>
  <c r="I10" i="37" s="1"/>
  <c r="I11" i="37" s="1"/>
  <c r="I12" i="37" s="1"/>
  <c r="I13" i="37" s="1"/>
  <c r="I14" i="37" s="1"/>
  <c r="I15" i="37" s="1"/>
  <c r="I16" i="37" s="1"/>
  <c r="I17" i="37" s="1"/>
  <c r="I18" i="37" s="1"/>
  <c r="I19" i="37" s="1"/>
  <c r="I20" i="37" s="1"/>
  <c r="I21" i="37" s="1"/>
  <c r="I22" i="37" s="1"/>
  <c r="I23" i="37" s="1"/>
  <c r="I24" i="37" s="1"/>
  <c r="I25" i="37" s="1"/>
  <c r="I26" i="37" s="1"/>
  <c r="I27" i="37" s="1"/>
  <c r="I28" i="37" s="1"/>
  <c r="I29" i="37" s="1"/>
  <c r="I30" i="37" s="1"/>
  <c r="I31" i="37" s="1"/>
  <c r="I32" i="37" s="1"/>
  <c r="I33" i="37" s="1"/>
  <c r="I34" i="37" s="1"/>
  <c r="I35" i="37" s="1"/>
  <c r="I36" i="37" s="1"/>
  <c r="I37" i="37" s="1"/>
  <c r="I38" i="37" s="1"/>
  <c r="I39" i="37" s="1"/>
  <c r="I40" i="37" s="1"/>
  <c r="I41" i="37" s="1"/>
  <c r="I42" i="37" s="1"/>
  <c r="I43" i="37" s="1"/>
  <c r="I44" i="37" s="1"/>
  <c r="I45" i="37" s="1"/>
  <c r="I46" i="37" s="1"/>
  <c r="I47" i="37" s="1"/>
  <c r="I48" i="37" s="1"/>
  <c r="I49" i="37" s="1"/>
  <c r="I50" i="37" s="1"/>
  <c r="I51" i="37" s="1"/>
  <c r="I52" i="37" s="1"/>
  <c r="I53" i="37" s="1"/>
  <c r="I54" i="37" s="1"/>
  <c r="I55" i="37" s="1"/>
  <c r="I56" i="37" s="1"/>
  <c r="I57" i="37" s="1"/>
  <c r="I58" i="37" s="1"/>
  <c r="I59" i="37" s="1"/>
  <c r="I60" i="37" s="1"/>
  <c r="I61" i="37" s="1"/>
  <c r="I62" i="37" s="1"/>
  <c r="I63" i="37" s="1"/>
  <c r="I64" i="37" s="1"/>
  <c r="I65" i="37" s="1"/>
  <c r="I66" i="37" s="1"/>
  <c r="I67" i="37" s="1"/>
  <c r="I68" i="37" s="1"/>
  <c r="I69" i="37" s="1"/>
  <c r="I70" i="37" s="1"/>
  <c r="I71" i="37" s="1"/>
  <c r="I72" i="37" s="1"/>
  <c r="I73" i="37" s="1"/>
  <c r="I74" i="37" s="1"/>
  <c r="I75" i="37" s="1"/>
  <c r="I76" i="37" s="1"/>
  <c r="I77" i="37" s="1"/>
  <c r="I78" i="37" s="1"/>
  <c r="I79" i="37" s="1"/>
  <c r="I80" i="37" s="1"/>
  <c r="I81" i="37" s="1"/>
  <c r="I82" i="37" s="1"/>
  <c r="I83" i="37" s="1"/>
  <c r="I84" i="37" s="1"/>
  <c r="I85" i="37" s="1"/>
  <c r="L186" i="42"/>
  <c r="M186" i="42" s="1"/>
  <c r="H186" i="42"/>
  <c r="G185" i="42"/>
  <c r="G184" i="42"/>
  <c r="G183" i="42"/>
  <c r="G182" i="42"/>
  <c r="M181" i="42"/>
  <c r="L181" i="42"/>
  <c r="L180" i="42"/>
  <c r="M180" i="42" s="1"/>
  <c r="M179" i="42"/>
  <c r="L179" i="42"/>
  <c r="M178" i="42"/>
  <c r="L178" i="42"/>
  <c r="M177" i="42"/>
  <c r="L177" i="42"/>
  <c r="H167" i="42"/>
  <c r="F180" i="42" s="1"/>
  <c r="G180" i="42" s="1"/>
  <c r="I180" i="42" s="1"/>
  <c r="F167" i="42"/>
  <c r="F178" i="42" s="1"/>
  <c r="G178" i="42" s="1"/>
  <c r="I178" i="42" s="1"/>
  <c r="N163" i="42"/>
  <c r="I159" i="42"/>
  <c r="I157" i="42"/>
  <c r="I167" i="42" s="1"/>
  <c r="F181" i="42" s="1"/>
  <c r="G181" i="42" s="1"/>
  <c r="I181" i="42" s="1"/>
  <c r="I154" i="42"/>
  <c r="I144" i="42"/>
  <c r="I142" i="42"/>
  <c r="G167" i="42" s="1"/>
  <c r="F179" i="42" s="1"/>
  <c r="G179" i="42" s="1"/>
  <c r="I179" i="42" s="1"/>
  <c r="I133" i="42"/>
  <c r="I123" i="42"/>
  <c r="I119" i="42"/>
  <c r="I117" i="42"/>
  <c r="I115" i="42"/>
  <c r="I104" i="42"/>
  <c r="I101" i="42"/>
  <c r="I99" i="42"/>
  <c r="I96" i="42"/>
  <c r="I87" i="42"/>
  <c r="I84" i="42"/>
  <c r="I81" i="42"/>
  <c r="I70" i="42"/>
  <c r="I68" i="42"/>
  <c r="I59" i="42"/>
  <c r="I57" i="42"/>
  <c r="I50" i="42"/>
  <c r="I41" i="42"/>
  <c r="I37" i="42"/>
  <c r="I31" i="42"/>
  <c r="I28" i="42"/>
  <c r="I19" i="42"/>
  <c r="E167" i="42" s="1"/>
  <c r="C7" i="42"/>
  <c r="C8" i="42" s="1"/>
  <c r="C9" i="42" s="1"/>
  <c r="C10" i="42" s="1"/>
  <c r="C11" i="42" s="1"/>
  <c r="C12" i="42" s="1"/>
  <c r="C13" i="42" s="1"/>
  <c r="C14" i="42" s="1"/>
  <c r="C15" i="42" s="1"/>
  <c r="C16" i="42" s="1"/>
  <c r="C17" i="42" s="1"/>
  <c r="C18" i="42" s="1"/>
  <c r="C19" i="42" s="1"/>
  <c r="C20" i="42" s="1"/>
  <c r="C21" i="42" s="1"/>
  <c r="C22" i="42" s="1"/>
  <c r="C23" i="42" s="1"/>
  <c r="C24" i="42" s="1"/>
  <c r="C25" i="42" s="1"/>
  <c r="C26" i="42" s="1"/>
  <c r="C27" i="42" s="1"/>
  <c r="C28" i="42" s="1"/>
  <c r="C29" i="42" s="1"/>
  <c r="C30" i="42" s="1"/>
  <c r="C31" i="42" s="1"/>
  <c r="C32" i="42" s="1"/>
  <c r="C33" i="42" s="1"/>
  <c r="C34" i="42" s="1"/>
  <c r="C35" i="42" s="1"/>
  <c r="C36" i="42" s="1"/>
  <c r="C37" i="42" s="1"/>
  <c r="C38" i="42" s="1"/>
  <c r="C39" i="42" s="1"/>
  <c r="C40" i="42" s="1"/>
  <c r="C41" i="42" s="1"/>
  <c r="C42" i="42" s="1"/>
  <c r="C43" i="42" s="1"/>
  <c r="C44" i="42" s="1"/>
  <c r="C45" i="42" s="1"/>
  <c r="C46" i="42" s="1"/>
  <c r="C47" i="42" s="1"/>
  <c r="C48" i="42" s="1"/>
  <c r="C49" i="42" s="1"/>
  <c r="C50" i="42" s="1"/>
  <c r="C51" i="42" s="1"/>
  <c r="C52" i="42" s="1"/>
  <c r="C53" i="42" s="1"/>
  <c r="C54" i="42" s="1"/>
  <c r="C55" i="42" s="1"/>
  <c r="C56" i="42" s="1"/>
  <c r="C57" i="42" s="1"/>
  <c r="C58" i="42" s="1"/>
  <c r="C59" i="42" s="1"/>
  <c r="C60" i="42" s="1"/>
  <c r="C61" i="42" s="1"/>
  <c r="C62" i="42" s="1"/>
  <c r="C63" i="42" s="1"/>
  <c r="C64" i="42" s="1"/>
  <c r="C65" i="42" s="1"/>
  <c r="C66" i="42" s="1"/>
  <c r="C67" i="42" s="1"/>
  <c r="C68" i="42" s="1"/>
  <c r="C69" i="42" s="1"/>
  <c r="C70" i="42" s="1"/>
  <c r="C71" i="42" s="1"/>
  <c r="C72" i="42" s="1"/>
  <c r="C73" i="42" s="1"/>
  <c r="C74" i="42" s="1"/>
  <c r="C75" i="42" s="1"/>
  <c r="C76" i="42" s="1"/>
  <c r="C77" i="42" s="1"/>
  <c r="C78" i="42" s="1"/>
  <c r="C79" i="42" s="1"/>
  <c r="C80" i="42" s="1"/>
  <c r="C81" i="42" s="1"/>
  <c r="C82" i="42" s="1"/>
  <c r="C83" i="42" s="1"/>
  <c r="C84" i="42" s="1"/>
  <c r="C85" i="42" s="1"/>
  <c r="C86" i="42" s="1"/>
  <c r="C87" i="42" s="1"/>
  <c r="C88" i="42" s="1"/>
  <c r="C89" i="42" s="1"/>
  <c r="C90" i="42" s="1"/>
  <c r="C91" i="42" s="1"/>
  <c r="C92" i="42" s="1"/>
  <c r="C93" i="42" s="1"/>
  <c r="C94" i="42" s="1"/>
  <c r="C95" i="42" s="1"/>
  <c r="C96" i="42" s="1"/>
  <c r="C97" i="42" s="1"/>
  <c r="C98" i="42" s="1"/>
  <c r="C99" i="42" s="1"/>
  <c r="C100" i="42" s="1"/>
  <c r="C101" i="42" s="1"/>
  <c r="C102" i="42" s="1"/>
  <c r="C103" i="42" s="1"/>
  <c r="C104" i="42" s="1"/>
  <c r="C105" i="42" s="1"/>
  <c r="C106" i="42" s="1"/>
  <c r="C107" i="42" s="1"/>
  <c r="C108" i="42" s="1"/>
  <c r="C109" i="42" s="1"/>
  <c r="C110" i="42" s="1"/>
  <c r="C111" i="42" s="1"/>
  <c r="C112" i="42" s="1"/>
  <c r="C113" i="42" s="1"/>
  <c r="C114" i="42" s="1"/>
  <c r="C115" i="42" s="1"/>
  <c r="C116" i="42" s="1"/>
  <c r="C117" i="42" s="1"/>
  <c r="C118" i="42" s="1"/>
  <c r="C119" i="42" s="1"/>
  <c r="C120" i="42" s="1"/>
  <c r="C121" i="42" s="1"/>
  <c r="C122" i="42" s="1"/>
  <c r="C123" i="42" s="1"/>
  <c r="C124" i="42" s="1"/>
  <c r="C125" i="42" s="1"/>
  <c r="C126" i="42" s="1"/>
  <c r="C127" i="42" s="1"/>
  <c r="C128" i="42" s="1"/>
  <c r="C129" i="42" s="1"/>
  <c r="C130" i="42" s="1"/>
  <c r="C131" i="42" s="1"/>
  <c r="C132" i="42" s="1"/>
  <c r="C133" i="42" s="1"/>
  <c r="C134" i="42" s="1"/>
  <c r="C135" i="42" s="1"/>
  <c r="C136" i="42" s="1"/>
  <c r="C137" i="42" s="1"/>
  <c r="C138" i="42" s="1"/>
  <c r="C139" i="42" s="1"/>
  <c r="C140" i="42" s="1"/>
  <c r="C141" i="42" s="1"/>
  <c r="C142" i="42" s="1"/>
  <c r="C143" i="42" s="1"/>
  <c r="C144" i="42" s="1"/>
  <c r="C145" i="42" s="1"/>
  <c r="C146" i="42" s="1"/>
  <c r="C147" i="42" s="1"/>
  <c r="C148" i="42" s="1"/>
  <c r="C149" i="42" s="1"/>
  <c r="C150" i="42" s="1"/>
  <c r="C151" i="42" s="1"/>
  <c r="C152" i="42" s="1"/>
  <c r="C153" i="42" s="1"/>
  <c r="C154" i="42" s="1"/>
  <c r="C155" i="42" s="1"/>
  <c r="C156" i="42" s="1"/>
  <c r="C157" i="42" s="1"/>
  <c r="C158" i="42" s="1"/>
  <c r="C159" i="42" s="1"/>
  <c r="C160" i="42" s="1"/>
  <c r="C161" i="42" s="1"/>
  <c r="C162" i="42" s="1"/>
  <c r="C163" i="42" s="1"/>
  <c r="C164" i="42" s="1"/>
  <c r="C165" i="42" s="1"/>
  <c r="J6" i="42"/>
  <c r="J7" i="42" s="1"/>
  <c r="J8" i="42" s="1"/>
  <c r="J9" i="42" s="1"/>
  <c r="J10" i="42" s="1"/>
  <c r="J11" i="42" s="1"/>
  <c r="J12" i="42" s="1"/>
  <c r="J13" i="42" s="1"/>
  <c r="J14" i="42" s="1"/>
  <c r="J15" i="42" s="1"/>
  <c r="J16" i="42" s="1"/>
  <c r="J17" i="42" s="1"/>
  <c r="J18" i="42" s="1"/>
  <c r="J19" i="42" s="1"/>
  <c r="J20" i="42" s="1"/>
  <c r="J21" i="42" s="1"/>
  <c r="J22" i="42" s="1"/>
  <c r="J23" i="42" s="1"/>
  <c r="J24" i="42" s="1"/>
  <c r="J25" i="42" s="1"/>
  <c r="J26" i="42" s="1"/>
  <c r="J27" i="42" s="1"/>
  <c r="J28" i="42" s="1"/>
  <c r="J29" i="42" s="1"/>
  <c r="J30" i="42" s="1"/>
  <c r="J31" i="42" s="1"/>
  <c r="J32" i="42" s="1"/>
  <c r="J33" i="42" s="1"/>
  <c r="J34" i="42" s="1"/>
  <c r="J35" i="42" s="1"/>
  <c r="J36" i="42" s="1"/>
  <c r="J37" i="42" s="1"/>
  <c r="J38" i="42" s="1"/>
  <c r="J39" i="42" s="1"/>
  <c r="J40" i="42" s="1"/>
  <c r="J41" i="42" s="1"/>
  <c r="J42" i="42" s="1"/>
  <c r="J43" i="42" s="1"/>
  <c r="J44" i="42" s="1"/>
  <c r="J45" i="42" s="1"/>
  <c r="J46" i="42" s="1"/>
  <c r="J47" i="42" s="1"/>
  <c r="J48" i="42" s="1"/>
  <c r="J49" i="42" s="1"/>
  <c r="J50" i="42" s="1"/>
  <c r="J51" i="42" s="1"/>
  <c r="J52" i="42" s="1"/>
  <c r="J53" i="42" s="1"/>
  <c r="J54" i="42" s="1"/>
  <c r="J55" i="42" s="1"/>
  <c r="J56" i="42" s="1"/>
  <c r="J57" i="42" s="1"/>
  <c r="J58" i="42" s="1"/>
  <c r="J59" i="42" s="1"/>
  <c r="J60" i="42" s="1"/>
  <c r="J61" i="42" s="1"/>
  <c r="J62" i="42" s="1"/>
  <c r="J63" i="42" s="1"/>
  <c r="J64" i="42" s="1"/>
  <c r="J65" i="42" s="1"/>
  <c r="J66" i="42" s="1"/>
  <c r="J67" i="42" s="1"/>
  <c r="J68" i="42" s="1"/>
  <c r="J69" i="42" s="1"/>
  <c r="J70" i="42" s="1"/>
  <c r="J71" i="42" s="1"/>
  <c r="J72" i="42" s="1"/>
  <c r="J73" i="42" s="1"/>
  <c r="J74" i="42" s="1"/>
  <c r="J75" i="42" s="1"/>
  <c r="J76" i="42" s="1"/>
  <c r="J77" i="42" s="1"/>
  <c r="J78" i="42" s="1"/>
  <c r="J79" i="42" s="1"/>
  <c r="J80" i="42" s="1"/>
  <c r="J81" i="42" s="1"/>
  <c r="J82" i="42" s="1"/>
  <c r="J83" i="42" s="1"/>
  <c r="J84" i="42" s="1"/>
  <c r="J85" i="42" s="1"/>
  <c r="J86" i="42" s="1"/>
  <c r="J87" i="42" s="1"/>
  <c r="J88" i="42" s="1"/>
  <c r="J89" i="42" s="1"/>
  <c r="J90" i="42" s="1"/>
  <c r="J91" i="42" s="1"/>
  <c r="J92" i="42" s="1"/>
  <c r="J93" i="42" s="1"/>
  <c r="J94" i="42" s="1"/>
  <c r="J95" i="42" s="1"/>
  <c r="J96" i="42" s="1"/>
  <c r="J97" i="42" s="1"/>
  <c r="J98" i="42" s="1"/>
  <c r="J99" i="42" s="1"/>
  <c r="J100" i="42" s="1"/>
  <c r="J101" i="42" s="1"/>
  <c r="J102" i="42" s="1"/>
  <c r="J103" i="42" s="1"/>
  <c r="J104" i="42" s="1"/>
  <c r="J105" i="42" s="1"/>
  <c r="J106" i="42" s="1"/>
  <c r="J107" i="42" s="1"/>
  <c r="J108" i="42" s="1"/>
  <c r="J109" i="42" s="1"/>
  <c r="J110" i="42" s="1"/>
  <c r="J111" i="42" s="1"/>
  <c r="J112" i="42" s="1"/>
  <c r="J113" i="42" s="1"/>
  <c r="J114" i="42" s="1"/>
  <c r="J115" i="42" s="1"/>
  <c r="J116" i="42" s="1"/>
  <c r="J117" i="42" s="1"/>
  <c r="J118" i="42" s="1"/>
  <c r="J119" i="42" s="1"/>
  <c r="J120" i="42" s="1"/>
  <c r="J121" i="42" s="1"/>
  <c r="J122" i="42" s="1"/>
  <c r="J123" i="42" s="1"/>
  <c r="J124" i="42" s="1"/>
  <c r="J125" i="42" s="1"/>
  <c r="J126" i="42" s="1"/>
  <c r="J127" i="42" s="1"/>
  <c r="J128" i="42" s="1"/>
  <c r="J129" i="42" s="1"/>
  <c r="J130" i="42" s="1"/>
  <c r="J131" i="42" s="1"/>
  <c r="J132" i="42" s="1"/>
  <c r="J133" i="42" s="1"/>
  <c r="J134" i="42" s="1"/>
  <c r="J135" i="42" s="1"/>
  <c r="J136" i="42" s="1"/>
  <c r="J137" i="42" s="1"/>
  <c r="J138" i="42" s="1"/>
  <c r="J139" i="42" s="1"/>
  <c r="J140" i="42" s="1"/>
  <c r="J141" i="42" s="1"/>
  <c r="J142" i="42" s="1"/>
  <c r="J143" i="42" s="1"/>
  <c r="J144" i="42" s="1"/>
  <c r="J145" i="42" s="1"/>
  <c r="J146" i="42" s="1"/>
  <c r="J147" i="42" s="1"/>
  <c r="J148" i="42" s="1"/>
  <c r="J149" i="42" s="1"/>
  <c r="J150" i="42" s="1"/>
  <c r="J151" i="42" s="1"/>
  <c r="J152" i="42" s="1"/>
  <c r="J153" i="42" s="1"/>
  <c r="J154" i="42" s="1"/>
  <c r="J155" i="42" s="1"/>
  <c r="J156" i="42" s="1"/>
  <c r="J157" i="42" s="1"/>
  <c r="J158" i="42" s="1"/>
  <c r="J159" i="42" s="1"/>
  <c r="J160" i="42" s="1"/>
  <c r="J161" i="42" s="1"/>
  <c r="J162" i="42" s="1"/>
  <c r="J163" i="42" s="1"/>
  <c r="J164" i="42" s="1"/>
  <c r="J165" i="42" s="1"/>
  <c r="P208" i="43"/>
  <c r="O208" i="43"/>
  <c r="N208" i="43"/>
  <c r="M208" i="43"/>
  <c r="L208" i="43"/>
  <c r="K208" i="43"/>
  <c r="L201" i="43"/>
  <c r="I199" i="43"/>
  <c r="H199" i="43"/>
  <c r="M198" i="43"/>
  <c r="N198" i="43" s="1"/>
  <c r="I198" i="43"/>
  <c r="H198" i="43"/>
  <c r="G198" i="43"/>
  <c r="I197" i="43"/>
  <c r="H197" i="43"/>
  <c r="I196" i="43"/>
  <c r="H196" i="43"/>
  <c r="M195" i="43"/>
  <c r="N195" i="43" s="1"/>
  <c r="H195" i="43"/>
  <c r="J195" i="43" s="1"/>
  <c r="G195" i="43"/>
  <c r="I194" i="43"/>
  <c r="H194" i="43"/>
  <c r="I193" i="43"/>
  <c r="H193" i="43"/>
  <c r="M192" i="43"/>
  <c r="N192" i="43" s="1"/>
  <c r="I192" i="43"/>
  <c r="H192" i="43"/>
  <c r="F192" i="43"/>
  <c r="I191" i="43"/>
  <c r="H191" i="43"/>
  <c r="M190" i="43"/>
  <c r="N190" i="43" s="1"/>
  <c r="I190" i="43"/>
  <c r="H190" i="43"/>
  <c r="I189" i="43"/>
  <c r="H189" i="43"/>
  <c r="F189" i="43"/>
  <c r="I188" i="43"/>
  <c r="H188" i="43"/>
  <c r="I187" i="43"/>
  <c r="H187" i="43"/>
  <c r="I186" i="43"/>
  <c r="H186" i="43"/>
  <c r="I185" i="43"/>
  <c r="H185" i="43"/>
  <c r="I184" i="43"/>
  <c r="H184" i="43"/>
  <c r="I183" i="43"/>
  <c r="H183" i="43"/>
  <c r="M182" i="43"/>
  <c r="N182" i="43" s="1"/>
  <c r="I182" i="43"/>
  <c r="H182" i="43"/>
  <c r="M181" i="43"/>
  <c r="N181" i="43" s="1"/>
  <c r="I181" i="43"/>
  <c r="H181" i="43"/>
  <c r="I180" i="43"/>
  <c r="H180" i="43"/>
  <c r="F180" i="43"/>
  <c r="I179" i="43"/>
  <c r="H179" i="43"/>
  <c r="I178" i="43"/>
  <c r="H178" i="43"/>
  <c r="F178" i="43"/>
  <c r="M177" i="43"/>
  <c r="N177" i="43" s="1"/>
  <c r="I177" i="43"/>
  <c r="H177" i="43"/>
  <c r="M176" i="43"/>
  <c r="N176" i="43" s="1"/>
  <c r="I176" i="43"/>
  <c r="H176" i="43"/>
  <c r="M175" i="43"/>
  <c r="N175" i="43" s="1"/>
  <c r="I175" i="43"/>
  <c r="H175" i="43"/>
  <c r="I174" i="43"/>
  <c r="H174" i="43"/>
  <c r="I173" i="43"/>
  <c r="H173" i="43"/>
  <c r="I172" i="43"/>
  <c r="H172" i="43"/>
  <c r="I171" i="43"/>
  <c r="H171" i="43"/>
  <c r="I170" i="43"/>
  <c r="H170" i="43"/>
  <c r="I169" i="43"/>
  <c r="H169" i="43"/>
  <c r="I168" i="43"/>
  <c r="H168" i="43"/>
  <c r="I167" i="43"/>
  <c r="H167" i="43"/>
  <c r="I166" i="43"/>
  <c r="H166" i="43"/>
  <c r="I165" i="43"/>
  <c r="H165" i="43"/>
  <c r="G165" i="43"/>
  <c r="I164" i="43"/>
  <c r="H164" i="43"/>
  <c r="I163" i="43"/>
  <c r="H163" i="43"/>
  <c r="I162" i="43"/>
  <c r="H162" i="43"/>
  <c r="I161" i="43"/>
  <c r="H161" i="43"/>
  <c r="M160" i="43"/>
  <c r="N160" i="43" s="1"/>
  <c r="I160" i="43"/>
  <c r="H160" i="43"/>
  <c r="I159" i="43"/>
  <c r="H159" i="43"/>
  <c r="F159" i="43"/>
  <c r="I158" i="43"/>
  <c r="H158" i="43"/>
  <c r="F158" i="43"/>
  <c r="I157" i="43"/>
  <c r="H157" i="43"/>
  <c r="M156" i="43"/>
  <c r="N156" i="43" s="1"/>
  <c r="I156" i="43"/>
  <c r="H156" i="43"/>
  <c r="I155" i="43"/>
  <c r="H155" i="43"/>
  <c r="I154" i="43"/>
  <c r="H154" i="43"/>
  <c r="N153" i="43"/>
  <c r="I153" i="43"/>
  <c r="H153" i="43"/>
  <c r="N152" i="43"/>
  <c r="I152" i="43"/>
  <c r="H152" i="43"/>
  <c r="G152" i="43"/>
  <c r="M151" i="43"/>
  <c r="N151" i="43" s="1"/>
  <c r="I151" i="43"/>
  <c r="H151" i="43"/>
  <c r="I150" i="43"/>
  <c r="H150" i="43"/>
  <c r="M149" i="43"/>
  <c r="N149" i="43" s="1"/>
  <c r="I149" i="43"/>
  <c r="H149" i="43"/>
  <c r="I148" i="43"/>
  <c r="H148" i="43"/>
  <c r="M147" i="43"/>
  <c r="N147" i="43" s="1"/>
  <c r="I147" i="43"/>
  <c r="H147" i="43"/>
  <c r="I146" i="43"/>
  <c r="H146" i="43"/>
  <c r="M145" i="43"/>
  <c r="N145" i="43" s="1"/>
  <c r="I145" i="43"/>
  <c r="H145" i="43"/>
  <c r="M144" i="43"/>
  <c r="N144" i="43" s="1"/>
  <c r="I144" i="43"/>
  <c r="H144" i="43"/>
  <c r="M143" i="43"/>
  <c r="N143" i="43" s="1"/>
  <c r="I143" i="43"/>
  <c r="H143" i="43"/>
  <c r="M142" i="43"/>
  <c r="N142" i="43" s="1"/>
  <c r="I142" i="43"/>
  <c r="H142" i="43"/>
  <c r="I141" i="43"/>
  <c r="H141" i="43"/>
  <c r="I140" i="43"/>
  <c r="H140" i="43"/>
  <c r="I139" i="43"/>
  <c r="H139" i="43"/>
  <c r="I138" i="43"/>
  <c r="H138" i="43"/>
  <c r="M137" i="43"/>
  <c r="N137" i="43" s="1"/>
  <c r="I137" i="43"/>
  <c r="H137" i="43"/>
  <c r="I136" i="43"/>
  <c r="H136" i="43"/>
  <c r="I135" i="43"/>
  <c r="H135" i="43"/>
  <c r="I134" i="43"/>
  <c r="H134" i="43"/>
  <c r="G134" i="43"/>
  <c r="N133" i="43"/>
  <c r="L133" i="43"/>
  <c r="I133" i="43"/>
  <c r="H133" i="43"/>
  <c r="G133" i="43"/>
  <c r="I132" i="43"/>
  <c r="H132" i="43"/>
  <c r="M131" i="43"/>
  <c r="N131" i="43" s="1"/>
  <c r="I131" i="43"/>
  <c r="H131" i="43"/>
  <c r="N130" i="43"/>
  <c r="I130" i="43"/>
  <c r="H130" i="43"/>
  <c r="M129" i="43"/>
  <c r="N129" i="43" s="1"/>
  <c r="I129" i="43"/>
  <c r="H129" i="43"/>
  <c r="I128" i="43"/>
  <c r="H128" i="43"/>
  <c r="I127" i="43"/>
  <c r="H127" i="43"/>
  <c r="I126" i="43"/>
  <c r="H126" i="43"/>
  <c r="I125" i="43"/>
  <c r="H125" i="43"/>
  <c r="I124" i="43"/>
  <c r="H124" i="43"/>
  <c r="G124" i="43"/>
  <c r="I123" i="43"/>
  <c r="H123" i="43"/>
  <c r="N122" i="43"/>
  <c r="I122" i="43"/>
  <c r="H122" i="43"/>
  <c r="M121" i="43"/>
  <c r="N121" i="43" s="1"/>
  <c r="I121" i="43"/>
  <c r="H121" i="43"/>
  <c r="G121" i="43"/>
  <c r="F121" i="43"/>
  <c r="I120" i="43"/>
  <c r="H120" i="43"/>
  <c r="N119" i="43"/>
  <c r="I119" i="43"/>
  <c r="H119" i="43"/>
  <c r="I118" i="43"/>
  <c r="H118" i="43"/>
  <c r="I117" i="43"/>
  <c r="H117" i="43"/>
  <c r="I116" i="43"/>
  <c r="H116" i="43"/>
  <c r="I115" i="43"/>
  <c r="H115" i="43"/>
  <c r="I114" i="43"/>
  <c r="H114" i="43"/>
  <c r="I113" i="43"/>
  <c r="H113" i="43"/>
  <c r="I112" i="43"/>
  <c r="H112" i="43"/>
  <c r="F112" i="43"/>
  <c r="I111" i="43"/>
  <c r="H111" i="43"/>
  <c r="I110" i="43"/>
  <c r="H110" i="43"/>
  <c r="I109" i="43"/>
  <c r="H109" i="43"/>
  <c r="I108" i="43"/>
  <c r="H108" i="43"/>
  <c r="I107" i="43"/>
  <c r="H107" i="43"/>
  <c r="I106" i="43"/>
  <c r="H106" i="43"/>
  <c r="F106" i="43"/>
  <c r="I105" i="43"/>
  <c r="H105" i="43"/>
  <c r="I104" i="43"/>
  <c r="H104" i="43"/>
  <c r="I103" i="43"/>
  <c r="H103" i="43"/>
  <c r="I102" i="43"/>
  <c r="H102" i="43"/>
  <c r="I101" i="43"/>
  <c r="H101" i="43"/>
  <c r="I100" i="43"/>
  <c r="H100" i="43"/>
  <c r="I99" i="43"/>
  <c r="H99" i="43"/>
  <c r="I98" i="43"/>
  <c r="H98" i="43"/>
  <c r="M97" i="43"/>
  <c r="N97" i="43" s="1"/>
  <c r="I97" i="43"/>
  <c r="H97" i="43"/>
  <c r="F97" i="43"/>
  <c r="M96" i="43"/>
  <c r="N96" i="43" s="1"/>
  <c r="I96" i="43"/>
  <c r="H96" i="43"/>
  <c r="F96" i="43"/>
  <c r="I95" i="43"/>
  <c r="H95" i="43"/>
  <c r="I94" i="43"/>
  <c r="H94" i="43"/>
  <c r="I93" i="43"/>
  <c r="H93" i="43"/>
  <c r="M92" i="43"/>
  <c r="N92" i="43" s="1"/>
  <c r="I92" i="43"/>
  <c r="H92" i="43"/>
  <c r="I91" i="43"/>
  <c r="H91" i="43"/>
  <c r="M90" i="43"/>
  <c r="N90" i="43" s="1"/>
  <c r="I90" i="43"/>
  <c r="H90" i="43"/>
  <c r="M89" i="43"/>
  <c r="N89" i="43" s="1"/>
  <c r="I89" i="43"/>
  <c r="H89" i="43"/>
  <c r="F89" i="43"/>
  <c r="M88" i="43"/>
  <c r="N88" i="43" s="1"/>
  <c r="I88" i="43"/>
  <c r="H88" i="43"/>
  <c r="M87" i="43"/>
  <c r="N87" i="43" s="1"/>
  <c r="I87" i="43"/>
  <c r="H87" i="43"/>
  <c r="I86" i="43"/>
  <c r="H86" i="43"/>
  <c r="N85" i="43"/>
  <c r="I85" i="43"/>
  <c r="H85" i="43"/>
  <c r="F85" i="43"/>
  <c r="I84" i="43"/>
  <c r="H84" i="43"/>
  <c r="N83" i="43"/>
  <c r="I83" i="43"/>
  <c r="H83" i="43"/>
  <c r="N82" i="43"/>
  <c r="I82" i="43"/>
  <c r="H82" i="43"/>
  <c r="N81" i="43"/>
  <c r="H81" i="43"/>
  <c r="J81" i="43" s="1"/>
  <c r="M80" i="43"/>
  <c r="N80" i="43" s="1"/>
  <c r="I80" i="43"/>
  <c r="H80" i="43"/>
  <c r="I79" i="43"/>
  <c r="H79" i="43"/>
  <c r="I78" i="43"/>
  <c r="H78" i="43"/>
  <c r="M77" i="43"/>
  <c r="N77" i="43" s="1"/>
  <c r="I77" i="43"/>
  <c r="H77" i="43"/>
  <c r="I76" i="43"/>
  <c r="H76" i="43"/>
  <c r="I75" i="43"/>
  <c r="H75" i="43"/>
  <c r="M74" i="43"/>
  <c r="N74" i="43" s="1"/>
  <c r="I74" i="43"/>
  <c r="H74" i="43"/>
  <c r="G74" i="43"/>
  <c r="I73" i="43"/>
  <c r="H73" i="43"/>
  <c r="M72" i="43"/>
  <c r="N72" i="43" s="1"/>
  <c r="I72" i="43"/>
  <c r="H72" i="43"/>
  <c r="I71" i="43"/>
  <c r="H71" i="43"/>
  <c r="F71" i="43"/>
  <c r="I70" i="43"/>
  <c r="H70" i="43"/>
  <c r="I69" i="43"/>
  <c r="H69" i="43"/>
  <c r="I68" i="43"/>
  <c r="H68" i="43"/>
  <c r="I67" i="43"/>
  <c r="H67" i="43"/>
  <c r="F67" i="43"/>
  <c r="I66" i="43"/>
  <c r="H66" i="43"/>
  <c r="F66" i="43"/>
  <c r="I65" i="43"/>
  <c r="H65" i="43"/>
  <c r="I64" i="43"/>
  <c r="H64" i="43"/>
  <c r="I63" i="43"/>
  <c r="H63" i="43"/>
  <c r="I62" i="43"/>
  <c r="H62" i="43"/>
  <c r="I61" i="43"/>
  <c r="H61" i="43"/>
  <c r="M60" i="43"/>
  <c r="N60" i="43" s="1"/>
  <c r="I60" i="43"/>
  <c r="H60" i="43"/>
  <c r="I59" i="43"/>
  <c r="H59" i="43"/>
  <c r="M58" i="43"/>
  <c r="N58" i="43" s="1"/>
  <c r="I58" i="43"/>
  <c r="H58" i="43"/>
  <c r="I57" i="43"/>
  <c r="H57" i="43"/>
  <c r="I56" i="43"/>
  <c r="H56" i="43"/>
  <c r="F56" i="43"/>
  <c r="M55" i="43"/>
  <c r="N55" i="43" s="1"/>
  <c r="I55" i="43"/>
  <c r="H55" i="43"/>
  <c r="I54" i="43"/>
  <c r="H54" i="43"/>
  <c r="I53" i="43"/>
  <c r="H53" i="43"/>
  <c r="M52" i="43"/>
  <c r="N52" i="43" s="1"/>
  <c r="I52" i="43"/>
  <c r="H52" i="43"/>
  <c r="M51" i="43"/>
  <c r="N51" i="43" s="1"/>
  <c r="I51" i="43"/>
  <c r="H51" i="43"/>
  <c r="I50" i="43"/>
  <c r="H50" i="43"/>
  <c r="I49" i="43"/>
  <c r="H49" i="43"/>
  <c r="F49" i="43"/>
  <c r="I48" i="43"/>
  <c r="H48" i="43"/>
  <c r="I47" i="43"/>
  <c r="H47" i="43"/>
  <c r="I46" i="43"/>
  <c r="H46" i="43"/>
  <c r="I45" i="43"/>
  <c r="H45" i="43"/>
  <c r="F45" i="43"/>
  <c r="M44" i="43"/>
  <c r="N44" i="43" s="1"/>
  <c r="I44" i="43"/>
  <c r="H44" i="43"/>
  <c r="I43" i="43"/>
  <c r="H43" i="43"/>
  <c r="M42" i="43"/>
  <c r="N42" i="43" s="1"/>
  <c r="I42" i="43"/>
  <c r="H42" i="43"/>
  <c r="M41" i="43"/>
  <c r="N41" i="43" s="1"/>
  <c r="I41" i="43"/>
  <c r="H41" i="43"/>
  <c r="M40" i="43"/>
  <c r="N40" i="43" s="1"/>
  <c r="I40" i="43"/>
  <c r="H40" i="43"/>
  <c r="I39" i="43"/>
  <c r="H39" i="43"/>
  <c r="I38" i="43"/>
  <c r="H38" i="43"/>
  <c r="I37" i="43"/>
  <c r="H37" i="43"/>
  <c r="I36" i="43"/>
  <c r="H36" i="43"/>
  <c r="I35" i="43"/>
  <c r="H35" i="43"/>
  <c r="M34" i="43"/>
  <c r="N34" i="43" s="1"/>
  <c r="I34" i="43"/>
  <c r="H34" i="43"/>
  <c r="I33" i="43"/>
  <c r="H33" i="43"/>
  <c r="I32" i="43"/>
  <c r="H32" i="43"/>
  <c r="I31" i="43"/>
  <c r="H31" i="43"/>
  <c r="F31" i="43"/>
  <c r="F201" i="43" s="1"/>
  <c r="I30" i="43"/>
  <c r="H30" i="43"/>
  <c r="M29" i="43"/>
  <c r="N29" i="43" s="1"/>
  <c r="I29" i="43"/>
  <c r="H29" i="43"/>
  <c r="I28" i="43"/>
  <c r="H28" i="43"/>
  <c r="M27" i="43"/>
  <c r="N27" i="43" s="1"/>
  <c r="I27" i="43"/>
  <c r="H27" i="43"/>
  <c r="I26" i="43"/>
  <c r="H26" i="43"/>
  <c r="I25" i="43"/>
  <c r="H25" i="43"/>
  <c r="I24" i="43"/>
  <c r="H24" i="43"/>
  <c r="I23" i="43"/>
  <c r="H23" i="43"/>
  <c r="I22" i="43"/>
  <c r="H22" i="43"/>
  <c r="I21" i="43"/>
  <c r="H21" i="43"/>
  <c r="I20" i="43"/>
  <c r="H20" i="43"/>
  <c r="I19" i="43"/>
  <c r="H19" i="43"/>
  <c r="I18" i="43"/>
  <c r="H18" i="43"/>
  <c r="I17" i="43"/>
  <c r="H17" i="43"/>
  <c r="I16" i="43"/>
  <c r="H16" i="43"/>
  <c r="I15" i="43"/>
  <c r="H15" i="43"/>
  <c r="B15" i="43"/>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56" i="43" s="1"/>
  <c r="B57" i="43" s="1"/>
  <c r="B58" i="43" s="1"/>
  <c r="B59" i="43" s="1"/>
  <c r="B60" i="43" s="1"/>
  <c r="B61" i="43" s="1"/>
  <c r="B62" i="43" s="1"/>
  <c r="B63" i="43" s="1"/>
  <c r="B64" i="43" s="1"/>
  <c r="B65" i="43" s="1"/>
  <c r="B66" i="43" s="1"/>
  <c r="B67" i="43" s="1"/>
  <c r="B68" i="43" s="1"/>
  <c r="B69" i="43" s="1"/>
  <c r="B70" i="43" s="1"/>
  <c r="B71" i="43" s="1"/>
  <c r="B72" i="43" s="1"/>
  <c r="B73" i="43" s="1"/>
  <c r="B74" i="43" s="1"/>
  <c r="B75" i="43" s="1"/>
  <c r="B76" i="43" s="1"/>
  <c r="B77" i="43" s="1"/>
  <c r="B78" i="43" s="1"/>
  <c r="B79" i="43" s="1"/>
  <c r="B80" i="43" s="1"/>
  <c r="B81" i="43" s="1"/>
  <c r="B82" i="43" s="1"/>
  <c r="B83" i="43" s="1"/>
  <c r="B84" i="43" s="1"/>
  <c r="B85" i="43" s="1"/>
  <c r="B86" i="43" s="1"/>
  <c r="B87" i="43" s="1"/>
  <c r="B88" i="43" s="1"/>
  <c r="B89" i="43" s="1"/>
  <c r="B90" i="43" s="1"/>
  <c r="B91" i="43" s="1"/>
  <c r="B92" i="43" s="1"/>
  <c r="B93" i="43" s="1"/>
  <c r="B94" i="43" s="1"/>
  <c r="B95" i="43" s="1"/>
  <c r="B96" i="43" s="1"/>
  <c r="B97" i="43" s="1"/>
  <c r="B98" i="43" s="1"/>
  <c r="B99" i="43" s="1"/>
  <c r="B100" i="43" s="1"/>
  <c r="B101" i="43" s="1"/>
  <c r="B102" i="43" s="1"/>
  <c r="B103" i="43" s="1"/>
  <c r="B104" i="43" s="1"/>
  <c r="B105" i="43" s="1"/>
  <c r="B106" i="43" s="1"/>
  <c r="B107" i="43" s="1"/>
  <c r="B108" i="43" s="1"/>
  <c r="B109" i="43" s="1"/>
  <c r="B110" i="43" s="1"/>
  <c r="B111" i="43" s="1"/>
  <c r="B112" i="43" s="1"/>
  <c r="B113" i="43" s="1"/>
  <c r="B114" i="43" s="1"/>
  <c r="B115" i="43" s="1"/>
  <c r="B116" i="43" s="1"/>
  <c r="B117" i="43" s="1"/>
  <c r="B118" i="43" s="1"/>
  <c r="B119" i="43" s="1"/>
  <c r="B120" i="43" s="1"/>
  <c r="B121" i="43" s="1"/>
  <c r="B122" i="43" s="1"/>
  <c r="B123" i="43" s="1"/>
  <c r="B124" i="43" s="1"/>
  <c r="B125" i="43" s="1"/>
  <c r="B126" i="43" s="1"/>
  <c r="B127" i="43" s="1"/>
  <c r="B128" i="43" s="1"/>
  <c r="B129" i="43" s="1"/>
  <c r="B130" i="43" s="1"/>
  <c r="B131" i="43" s="1"/>
  <c r="B132" i="43" s="1"/>
  <c r="B133" i="43" s="1"/>
  <c r="B134" i="43" s="1"/>
  <c r="B135" i="43" s="1"/>
  <c r="B136" i="43" s="1"/>
  <c r="B137" i="43" s="1"/>
  <c r="B138" i="43" s="1"/>
  <c r="B139" i="43" s="1"/>
  <c r="B140" i="43" s="1"/>
  <c r="B141" i="43" s="1"/>
  <c r="B142" i="43" s="1"/>
  <c r="B143" i="43" s="1"/>
  <c r="B144" i="43" s="1"/>
  <c r="B145" i="43" s="1"/>
  <c r="B146" i="43" s="1"/>
  <c r="B147" i="43" s="1"/>
  <c r="B148" i="43" s="1"/>
  <c r="B149" i="43" s="1"/>
  <c r="B150" i="43" s="1"/>
  <c r="B151" i="43" s="1"/>
  <c r="B152" i="43" s="1"/>
  <c r="B153" i="43" s="1"/>
  <c r="B154" i="43" s="1"/>
  <c r="B155" i="43" s="1"/>
  <c r="B156" i="43" s="1"/>
  <c r="B157" i="43" s="1"/>
  <c r="B158" i="43" s="1"/>
  <c r="B159" i="43" s="1"/>
  <c r="B160" i="43" s="1"/>
  <c r="B161" i="43" s="1"/>
  <c r="B162" i="43" s="1"/>
  <c r="B163" i="43" s="1"/>
  <c r="B164" i="43" s="1"/>
  <c r="B165" i="43" s="1"/>
  <c r="B166" i="43" s="1"/>
  <c r="B167" i="43" s="1"/>
  <c r="B168" i="43" s="1"/>
  <c r="B169" i="43" s="1"/>
  <c r="B170" i="43" s="1"/>
  <c r="B171" i="43" s="1"/>
  <c r="B172" i="43" s="1"/>
  <c r="B173" i="43" s="1"/>
  <c r="B174" i="43" s="1"/>
  <c r="B175" i="43" s="1"/>
  <c r="B176" i="43" s="1"/>
  <c r="B177" i="43" s="1"/>
  <c r="B178" i="43" s="1"/>
  <c r="B179" i="43" s="1"/>
  <c r="B180" i="43" s="1"/>
  <c r="B181" i="43" s="1"/>
  <c r="B182" i="43" s="1"/>
  <c r="B183" i="43" s="1"/>
  <c r="B184" i="43" s="1"/>
  <c r="B185" i="43" s="1"/>
  <c r="B186" i="43" s="1"/>
  <c r="B187" i="43" s="1"/>
  <c r="B188" i="43" s="1"/>
  <c r="B189" i="43" s="1"/>
  <c r="B190" i="43" s="1"/>
  <c r="B191" i="43" s="1"/>
  <c r="B192" i="43" s="1"/>
  <c r="B193" i="43" s="1"/>
  <c r="B194" i="43" s="1"/>
  <c r="B195" i="43" s="1"/>
  <c r="B196" i="43" s="1"/>
  <c r="B197" i="43" s="1"/>
  <c r="B198" i="43" s="1"/>
  <c r="B199" i="43" s="1"/>
  <c r="I14" i="43"/>
  <c r="H14" i="43"/>
  <c r="J253" i="46"/>
  <c r="I252" i="46"/>
  <c r="G252" i="46"/>
  <c r="F252" i="46"/>
  <c r="D252" i="46"/>
  <c r="I249" i="46"/>
  <c r="I248" i="46"/>
  <c r="I247" i="46"/>
  <c r="I246" i="46"/>
  <c r="I245" i="46"/>
  <c r="I244" i="46"/>
  <c r="I243" i="46"/>
  <c r="I242" i="46"/>
  <c r="I240" i="46"/>
  <c r="I234" i="46"/>
  <c r="I233" i="46"/>
  <c r="I231" i="46"/>
  <c r="I229" i="46"/>
  <c r="I226" i="46"/>
  <c r="I224" i="46"/>
  <c r="I223" i="46"/>
  <c r="I221" i="46"/>
  <c r="I219" i="46"/>
  <c r="I217" i="46"/>
  <c r="H252" i="46" s="1"/>
  <c r="I147" i="46"/>
  <c r="I139" i="46"/>
  <c r="I84" i="46"/>
  <c r="I75" i="46"/>
  <c r="I70" i="46"/>
  <c r="I54" i="46"/>
  <c r="I48" i="46"/>
  <c r="I47" i="46"/>
  <c r="I34" i="46"/>
  <c r="I32" i="46"/>
  <c r="I30" i="46"/>
  <c r="I26" i="46"/>
  <c r="I25" i="46"/>
  <c r="I24" i="46"/>
  <c r="I22" i="46"/>
  <c r="I16" i="46"/>
  <c r="I11" i="46"/>
  <c r="C6" i="46"/>
  <c r="C7" i="46" s="1"/>
  <c r="C8" i="46" s="1"/>
  <c r="C9" i="46" s="1"/>
  <c r="C10" i="46" s="1"/>
  <c r="C11" i="46" s="1"/>
  <c r="C12" i="46" s="1"/>
  <c r="C13" i="46" s="1"/>
  <c r="C14" i="46" s="1"/>
  <c r="C15" i="46" s="1"/>
  <c r="C16" i="46" s="1"/>
  <c r="C17" i="46" s="1"/>
  <c r="C18" i="46" s="1"/>
  <c r="C19" i="46" s="1"/>
  <c r="C20" i="46" s="1"/>
  <c r="C21" i="46" s="1"/>
  <c r="C22" i="46" s="1"/>
  <c r="C23" i="46" s="1"/>
  <c r="C24" i="46" s="1"/>
  <c r="C25" i="46" s="1"/>
  <c r="C26" i="46" s="1"/>
  <c r="C27" i="46" s="1"/>
  <c r="C28" i="46" s="1"/>
  <c r="C29" i="46" s="1"/>
  <c r="C30" i="46" s="1"/>
  <c r="C31" i="46" s="1"/>
  <c r="C32" i="46" s="1"/>
  <c r="C33" i="46" s="1"/>
  <c r="C34" i="46" s="1"/>
  <c r="C35" i="46" s="1"/>
  <c r="C36" i="46" s="1"/>
  <c r="C37" i="46" s="1"/>
  <c r="C38" i="46" s="1"/>
  <c r="C39" i="46" s="1"/>
  <c r="C40" i="46" s="1"/>
  <c r="C41" i="46" s="1"/>
  <c r="C42" i="46" s="1"/>
  <c r="C43" i="46" s="1"/>
  <c r="C44" i="46" s="1"/>
  <c r="C45" i="46" s="1"/>
  <c r="C46" i="46" s="1"/>
  <c r="C47" i="46" s="1"/>
  <c r="C48" i="46" s="1"/>
  <c r="C49" i="46" s="1"/>
  <c r="C50" i="46" s="1"/>
  <c r="C51" i="46" s="1"/>
  <c r="C52" i="46" s="1"/>
  <c r="C53" i="46" s="1"/>
  <c r="C54" i="46" s="1"/>
  <c r="C55" i="46" s="1"/>
  <c r="C56" i="46" s="1"/>
  <c r="C57" i="46" s="1"/>
  <c r="C58" i="46" s="1"/>
  <c r="C59" i="46" s="1"/>
  <c r="C60" i="46" s="1"/>
  <c r="C61" i="46" s="1"/>
  <c r="C62" i="46" s="1"/>
  <c r="C63" i="46" s="1"/>
  <c r="C64" i="46" s="1"/>
  <c r="C65" i="46" s="1"/>
  <c r="C66" i="46" s="1"/>
  <c r="C67" i="46" s="1"/>
  <c r="C68" i="46" s="1"/>
  <c r="C69" i="46" s="1"/>
  <c r="C70" i="46" s="1"/>
  <c r="C71" i="46" s="1"/>
  <c r="C72" i="46" s="1"/>
  <c r="C73" i="46" s="1"/>
  <c r="C74" i="46" s="1"/>
  <c r="C75" i="46" s="1"/>
  <c r="C76" i="46" s="1"/>
  <c r="C77" i="46" s="1"/>
  <c r="C78" i="46" s="1"/>
  <c r="C79" i="46" s="1"/>
  <c r="C80" i="46" s="1"/>
  <c r="C81" i="46" s="1"/>
  <c r="C82" i="46" s="1"/>
  <c r="C83" i="46" s="1"/>
  <c r="C84" i="46" s="1"/>
  <c r="C85" i="46" s="1"/>
  <c r="C86" i="46" s="1"/>
  <c r="C87" i="46" s="1"/>
  <c r="C88" i="46" s="1"/>
  <c r="C89" i="46" s="1"/>
  <c r="C90" i="46" s="1"/>
  <c r="C91" i="46" s="1"/>
  <c r="C92" i="46" s="1"/>
  <c r="C93" i="46" s="1"/>
  <c r="C94" i="46" s="1"/>
  <c r="C95" i="46" s="1"/>
  <c r="C96" i="46" s="1"/>
  <c r="C97" i="46" s="1"/>
  <c r="C98" i="46" s="1"/>
  <c r="C99" i="46" s="1"/>
  <c r="C100" i="46" s="1"/>
  <c r="C101" i="46" s="1"/>
  <c r="C102" i="46" s="1"/>
  <c r="C103" i="46" s="1"/>
  <c r="C104" i="46" s="1"/>
  <c r="C105" i="46" s="1"/>
  <c r="C106" i="46" s="1"/>
  <c r="C107" i="46" s="1"/>
  <c r="C108" i="46" s="1"/>
  <c r="C109" i="46" s="1"/>
  <c r="C110" i="46" s="1"/>
  <c r="C111" i="46" s="1"/>
  <c r="C112" i="46" s="1"/>
  <c r="C113" i="46" s="1"/>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213" i="46" s="1"/>
  <c r="C214" i="46" s="1"/>
  <c r="C215" i="46" s="1"/>
  <c r="C216" i="46" s="1"/>
  <c r="C217" i="46" s="1"/>
  <c r="C218" i="46" s="1"/>
  <c r="C219" i="46" s="1"/>
  <c r="C220" i="46" s="1"/>
  <c r="C221" i="46" s="1"/>
  <c r="C222" i="46" s="1"/>
  <c r="C223" i="46" s="1"/>
  <c r="C224" i="46" s="1"/>
  <c r="C225" i="46" s="1"/>
  <c r="C226" i="46" s="1"/>
  <c r="C227" i="46" s="1"/>
  <c r="C228" i="46" s="1"/>
  <c r="C229" i="46" s="1"/>
  <c r="C230" i="46" s="1"/>
  <c r="C231" i="46" s="1"/>
  <c r="C232" i="46" s="1"/>
  <c r="C233" i="46" s="1"/>
  <c r="C234" i="46" s="1"/>
  <c r="C235" i="46" s="1"/>
  <c r="C236" i="46" s="1"/>
  <c r="C237" i="46" s="1"/>
  <c r="C238" i="46" s="1"/>
  <c r="C239" i="46" s="1"/>
  <c r="C240" i="46" s="1"/>
  <c r="C241" i="46" s="1"/>
  <c r="C242" i="46" s="1"/>
  <c r="C243" i="46" s="1"/>
  <c r="C244" i="46" s="1"/>
  <c r="C245" i="46" s="1"/>
  <c r="C246" i="46" s="1"/>
  <c r="C247" i="46" s="1"/>
  <c r="C248" i="46" s="1"/>
  <c r="C249" i="46" s="1"/>
  <c r="J5" i="46"/>
  <c r="J6" i="46" s="1"/>
  <c r="J7" i="46" s="1"/>
  <c r="J8" i="46" s="1"/>
  <c r="J9" i="46" s="1"/>
  <c r="J10" i="46" s="1"/>
  <c r="J11" i="46" s="1"/>
  <c r="J12" i="46" s="1"/>
  <c r="J13" i="46" s="1"/>
  <c r="J14" i="46" s="1"/>
  <c r="J15" i="46" s="1"/>
  <c r="J16" i="46" s="1"/>
  <c r="J17" i="46" s="1"/>
  <c r="J18" i="46" s="1"/>
  <c r="J19" i="46" s="1"/>
  <c r="J20" i="46" s="1"/>
  <c r="J21" i="46" s="1"/>
  <c r="J22" i="46" s="1"/>
  <c r="J23" i="46" s="1"/>
  <c r="J24" i="46" s="1"/>
  <c r="J25" i="46" s="1"/>
  <c r="J26" i="46" s="1"/>
  <c r="J27" i="46" s="1"/>
  <c r="J28" i="46" s="1"/>
  <c r="J29" i="46" s="1"/>
  <c r="J30" i="46" s="1"/>
  <c r="J31" i="46" s="1"/>
  <c r="J32" i="46" s="1"/>
  <c r="J33" i="46" s="1"/>
  <c r="J34" i="46" s="1"/>
  <c r="J35" i="46" s="1"/>
  <c r="J36" i="46" s="1"/>
  <c r="J37" i="46" s="1"/>
  <c r="J38" i="46" s="1"/>
  <c r="J39" i="46" s="1"/>
  <c r="J40" i="46" s="1"/>
  <c r="J41" i="46" s="1"/>
  <c r="J42" i="46" s="1"/>
  <c r="J43" i="46" s="1"/>
  <c r="J44" i="46" s="1"/>
  <c r="J45" i="46" s="1"/>
  <c r="J46" i="46" s="1"/>
  <c r="J47" i="46" s="1"/>
  <c r="J48" i="46" s="1"/>
  <c r="J49" i="46" s="1"/>
  <c r="J50" i="46" s="1"/>
  <c r="J51" i="46" s="1"/>
  <c r="J52" i="46" s="1"/>
  <c r="J53" i="46" s="1"/>
  <c r="J54" i="46" s="1"/>
  <c r="J55" i="46" s="1"/>
  <c r="J56" i="46" s="1"/>
  <c r="J57" i="46" s="1"/>
  <c r="J58" i="46" s="1"/>
  <c r="J59" i="46" s="1"/>
  <c r="J60" i="46" s="1"/>
  <c r="J61" i="46" s="1"/>
  <c r="J62" i="46" s="1"/>
  <c r="J63" i="46" s="1"/>
  <c r="J64" i="46" s="1"/>
  <c r="J65" i="46" s="1"/>
  <c r="J66" i="46" s="1"/>
  <c r="J67" i="46" s="1"/>
  <c r="J68" i="46" s="1"/>
  <c r="J69" i="46" s="1"/>
  <c r="J70" i="46" s="1"/>
  <c r="J71" i="46" s="1"/>
  <c r="J72" i="46" s="1"/>
  <c r="J73" i="46" s="1"/>
  <c r="J74" i="46" s="1"/>
  <c r="J75" i="46" s="1"/>
  <c r="J76" i="46" s="1"/>
  <c r="J77" i="46" s="1"/>
  <c r="J78" i="46" s="1"/>
  <c r="J79" i="46" s="1"/>
  <c r="J80" i="46" s="1"/>
  <c r="J81" i="46" s="1"/>
  <c r="J82" i="46" s="1"/>
  <c r="J83" i="46" s="1"/>
  <c r="J84" i="46" s="1"/>
  <c r="J85" i="46" s="1"/>
  <c r="J86" i="46" s="1"/>
  <c r="J87" i="46" s="1"/>
  <c r="J88" i="46" s="1"/>
  <c r="J89" i="46" s="1"/>
  <c r="J90" i="46" s="1"/>
  <c r="J91" i="46" s="1"/>
  <c r="J92" i="46" s="1"/>
  <c r="J93" i="46" s="1"/>
  <c r="J94" i="46" s="1"/>
  <c r="J95" i="46" s="1"/>
  <c r="J96" i="46" s="1"/>
  <c r="J97" i="46" s="1"/>
  <c r="J98" i="46" s="1"/>
  <c r="J99" i="46" s="1"/>
  <c r="J100" i="46" s="1"/>
  <c r="J101" i="46" s="1"/>
  <c r="J102" i="46" s="1"/>
  <c r="J103" i="46" s="1"/>
  <c r="J104" i="46" s="1"/>
  <c r="J105" i="46" s="1"/>
  <c r="J106" i="46" s="1"/>
  <c r="J107" i="46" s="1"/>
  <c r="J108" i="46" s="1"/>
  <c r="J109" i="46" s="1"/>
  <c r="J110" i="46" s="1"/>
  <c r="J111" i="46" s="1"/>
  <c r="J112" i="46" s="1"/>
  <c r="J113" i="46" s="1"/>
  <c r="J114" i="46" s="1"/>
  <c r="J115" i="46" s="1"/>
  <c r="J116" i="46" s="1"/>
  <c r="J117" i="46" s="1"/>
  <c r="J118" i="46" s="1"/>
  <c r="J119" i="46" s="1"/>
  <c r="J120" i="46" s="1"/>
  <c r="J121" i="46" s="1"/>
  <c r="J122" i="46" s="1"/>
  <c r="J123" i="46" s="1"/>
  <c r="J124" i="46" s="1"/>
  <c r="J125" i="46" s="1"/>
  <c r="J126" i="46" s="1"/>
  <c r="J127" i="46" s="1"/>
  <c r="J128" i="46" s="1"/>
  <c r="J129" i="46" s="1"/>
  <c r="J130" i="46" s="1"/>
  <c r="J131" i="46" s="1"/>
  <c r="J132" i="46" s="1"/>
  <c r="J133" i="46" s="1"/>
  <c r="J134" i="46" s="1"/>
  <c r="J135" i="46" s="1"/>
  <c r="J136" i="46" s="1"/>
  <c r="J137" i="46" s="1"/>
  <c r="J138" i="46" s="1"/>
  <c r="J139" i="46" s="1"/>
  <c r="J140" i="46" s="1"/>
  <c r="J141" i="46" s="1"/>
  <c r="J142" i="46" s="1"/>
  <c r="J143" i="46" s="1"/>
  <c r="J144" i="46" s="1"/>
  <c r="J145" i="46" s="1"/>
  <c r="J146" i="46" s="1"/>
  <c r="J147" i="46" s="1"/>
  <c r="J148" i="46" s="1"/>
  <c r="J149" i="46" s="1"/>
  <c r="J150" i="46" s="1"/>
  <c r="J151" i="46" s="1"/>
  <c r="J152" i="46" s="1"/>
  <c r="J153" i="46" s="1"/>
  <c r="J154" i="46" s="1"/>
  <c r="J155" i="46" s="1"/>
  <c r="J156" i="46" s="1"/>
  <c r="J157" i="46" s="1"/>
  <c r="J158" i="46" s="1"/>
  <c r="J159" i="46" s="1"/>
  <c r="J160" i="46" s="1"/>
  <c r="J161" i="46" s="1"/>
  <c r="J162" i="46" s="1"/>
  <c r="J163" i="46" s="1"/>
  <c r="J164" i="46" s="1"/>
  <c r="J165" i="46" s="1"/>
  <c r="J166" i="46" s="1"/>
  <c r="J167" i="46" s="1"/>
  <c r="J168" i="46" s="1"/>
  <c r="J169" i="46" s="1"/>
  <c r="J170" i="46" s="1"/>
  <c r="J171" i="46" s="1"/>
  <c r="J172" i="46" s="1"/>
  <c r="J173" i="46" s="1"/>
  <c r="J174" i="46" s="1"/>
  <c r="J175" i="46" s="1"/>
  <c r="J176" i="46" s="1"/>
  <c r="J177" i="46" s="1"/>
  <c r="J178" i="46" s="1"/>
  <c r="J179" i="46" s="1"/>
  <c r="J180" i="46" s="1"/>
  <c r="J181" i="46" s="1"/>
  <c r="J182" i="46" s="1"/>
  <c r="J183" i="46" s="1"/>
  <c r="J184" i="46" s="1"/>
  <c r="J185" i="46" s="1"/>
  <c r="J186" i="46" s="1"/>
  <c r="J187" i="46" s="1"/>
  <c r="J188" i="46" s="1"/>
  <c r="J189" i="46" s="1"/>
  <c r="J190" i="46" s="1"/>
  <c r="J191" i="46" s="1"/>
  <c r="J192" i="46" s="1"/>
  <c r="J193" i="46" s="1"/>
  <c r="J194" i="46" s="1"/>
  <c r="J195" i="46" s="1"/>
  <c r="J196" i="46" s="1"/>
  <c r="J197" i="46" s="1"/>
  <c r="J198" i="46" s="1"/>
  <c r="J199" i="46" s="1"/>
  <c r="J200" i="46" s="1"/>
  <c r="J201" i="46" s="1"/>
  <c r="J202" i="46" s="1"/>
  <c r="J203" i="46" s="1"/>
  <c r="J204" i="46" s="1"/>
  <c r="J205" i="46" s="1"/>
  <c r="J206" i="46" s="1"/>
  <c r="J207" i="46" s="1"/>
  <c r="J208" i="46" s="1"/>
  <c r="J209" i="46" s="1"/>
  <c r="J210" i="46" s="1"/>
  <c r="J211" i="46" s="1"/>
  <c r="J212" i="46" s="1"/>
  <c r="J213" i="46" s="1"/>
  <c r="J214" i="46" s="1"/>
  <c r="J215" i="46" s="1"/>
  <c r="J216" i="46" s="1"/>
  <c r="J217" i="46" s="1"/>
  <c r="J218" i="46" s="1"/>
  <c r="J219" i="46" s="1"/>
  <c r="J220" i="46" s="1"/>
  <c r="J221" i="46" s="1"/>
  <c r="J222" i="46" s="1"/>
  <c r="J223" i="46" s="1"/>
  <c r="J224" i="46" s="1"/>
  <c r="J225" i="46" s="1"/>
  <c r="J226" i="46" s="1"/>
  <c r="J227" i="46" s="1"/>
  <c r="J228" i="46" s="1"/>
  <c r="J229" i="46" s="1"/>
  <c r="J230" i="46" s="1"/>
  <c r="J231" i="46" s="1"/>
  <c r="J232" i="46" s="1"/>
  <c r="J233" i="46" s="1"/>
  <c r="J234" i="46" s="1"/>
  <c r="J235" i="46" s="1"/>
  <c r="J236" i="46" s="1"/>
  <c r="J237" i="46" s="1"/>
  <c r="J238" i="46" s="1"/>
  <c r="J239" i="46" s="1"/>
  <c r="J240" i="46" s="1"/>
  <c r="J241" i="46" s="1"/>
  <c r="J242" i="46" s="1"/>
  <c r="J243" i="46" s="1"/>
  <c r="J244" i="46" s="1"/>
  <c r="J245" i="46" s="1"/>
  <c r="J246" i="46" s="1"/>
  <c r="J247" i="46" s="1"/>
  <c r="J248" i="46" s="1"/>
  <c r="J249" i="46" s="1"/>
  <c r="L224" i="47"/>
  <c r="K224" i="47"/>
  <c r="J224" i="47"/>
  <c r="I224" i="47"/>
  <c r="O220" i="47"/>
  <c r="H224" i="47"/>
  <c r="F220" i="47"/>
  <c r="N52" i="6" l="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K35" i="12"/>
  <c r="K36" i="12" s="1"/>
  <c r="K37" i="12" s="1"/>
  <c r="K38" i="12" s="1"/>
  <c r="K39" i="12" s="1"/>
  <c r="K40" i="12" s="1"/>
  <c r="K41" i="12" s="1"/>
  <c r="K42" i="12" s="1"/>
  <c r="K43" i="12" s="1"/>
  <c r="K44" i="12" s="1"/>
  <c r="K45" i="12" s="1"/>
  <c r="K46" i="12" s="1"/>
  <c r="K47" i="12" s="1"/>
  <c r="K48" i="12" s="1"/>
  <c r="E51" i="12"/>
  <c r="H51" i="12" s="1"/>
  <c r="F138" i="38"/>
  <c r="I38" i="38"/>
  <c r="I39" i="38" s="1"/>
  <c r="I40" i="38" s="1"/>
  <c r="I41" i="38" s="1"/>
  <c r="I42" i="38" s="1"/>
  <c r="I43" i="38" s="1"/>
  <c r="I44" i="38" s="1"/>
  <c r="I45" i="38" s="1"/>
  <c r="I46" i="38" s="1"/>
  <c r="I47" i="38" s="1"/>
  <c r="I48" i="38" s="1"/>
  <c r="I49" i="38" s="1"/>
  <c r="I50" i="38" s="1"/>
  <c r="I51" i="38" s="1"/>
  <c r="I52" i="38" s="1"/>
  <c r="I53" i="38" s="1"/>
  <c r="I54" i="38" s="1"/>
  <c r="I55" i="38" s="1"/>
  <c r="I56" i="38" s="1"/>
  <c r="I57" i="38" s="1"/>
  <c r="I58" i="38" s="1"/>
  <c r="I59" i="38" s="1"/>
  <c r="I60" i="38" s="1"/>
  <c r="I61" i="38" s="1"/>
  <c r="I62" i="38" s="1"/>
  <c r="I63" i="38" s="1"/>
  <c r="I64" i="38" s="1"/>
  <c r="I65" i="38" s="1"/>
  <c r="I66" i="38" s="1"/>
  <c r="I67" i="38" s="1"/>
  <c r="I68" i="38" s="1"/>
  <c r="I69" i="38" s="1"/>
  <c r="I70" i="38" s="1"/>
  <c r="I71" i="38" s="1"/>
  <c r="I72" i="38" s="1"/>
  <c r="I73" i="38" s="1"/>
  <c r="I74" i="38" s="1"/>
  <c r="I75" i="38" s="1"/>
  <c r="I76" i="38" s="1"/>
  <c r="I77" i="38" s="1"/>
  <c r="I78" i="38" s="1"/>
  <c r="I79" i="38" s="1"/>
  <c r="I80" i="38" s="1"/>
  <c r="I81" i="38" s="1"/>
  <c r="I82" i="38" s="1"/>
  <c r="I83" i="38" s="1"/>
  <c r="I84" i="38" s="1"/>
  <c r="I85" i="38" s="1"/>
  <c r="I86" i="38" s="1"/>
  <c r="I87" i="38" s="1"/>
  <c r="I88" i="38" s="1"/>
  <c r="I89" i="38" s="1"/>
  <c r="I90" i="38" s="1"/>
  <c r="I91" i="38" s="1"/>
  <c r="I92" i="38" s="1"/>
  <c r="I93" i="38" s="1"/>
  <c r="I94" i="38" s="1"/>
  <c r="I95" i="38" s="1"/>
  <c r="I96" i="38" s="1"/>
  <c r="I97" i="38" s="1"/>
  <c r="I98" i="38" s="1"/>
  <c r="I99" i="38" s="1"/>
  <c r="I100" i="38" s="1"/>
  <c r="I101" i="38" s="1"/>
  <c r="I102" i="38" s="1"/>
  <c r="I103" i="38" s="1"/>
  <c r="I104" i="38" s="1"/>
  <c r="I105" i="38" s="1"/>
  <c r="I106" i="38" s="1"/>
  <c r="I107" i="38" s="1"/>
  <c r="I108" i="38" s="1"/>
  <c r="I109" i="38" s="1"/>
  <c r="I110" i="38" s="1"/>
  <c r="I111" i="38" s="1"/>
  <c r="I112" i="38" s="1"/>
  <c r="I113" i="38" s="1"/>
  <c r="I114" i="38" s="1"/>
  <c r="I115" i="38" s="1"/>
  <c r="I116" i="38" s="1"/>
  <c r="I117" i="38" s="1"/>
  <c r="I118" i="38" s="1"/>
  <c r="I119" i="38" s="1"/>
  <c r="I120" i="38" s="1"/>
  <c r="I121" i="38" s="1"/>
  <c r="I122" i="38" s="1"/>
  <c r="I123" i="38" s="1"/>
  <c r="I124" i="38" s="1"/>
  <c r="I125" i="38" s="1"/>
  <c r="I126" i="38" s="1"/>
  <c r="I127" i="38" s="1"/>
  <c r="I128" i="38" s="1"/>
  <c r="I129" i="38" s="1"/>
  <c r="I130" i="38" s="1"/>
  <c r="I131" i="38" s="1"/>
  <c r="I132" i="38" s="1"/>
  <c r="I133" i="38" s="1"/>
  <c r="I134" i="38" s="1"/>
  <c r="I135" i="38" s="1"/>
  <c r="I136" i="38" s="1"/>
  <c r="G138" i="38"/>
  <c r="H138" i="38" s="1"/>
  <c r="AB85" i="1"/>
  <c r="Q39" i="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AB84" i="1"/>
  <c r="B79" i="1"/>
  <c r="R77" i="1" s="1"/>
  <c r="U77" i="1" s="1"/>
  <c r="J92" i="1"/>
  <c r="G92" i="1"/>
  <c r="E92" i="1"/>
  <c r="D92" i="1"/>
  <c r="H79" i="1"/>
  <c r="AB83" i="1"/>
  <c r="AF9" i="1"/>
  <c r="AF8" i="1"/>
  <c r="AF7" i="1"/>
  <c r="AA82" i="1"/>
  <c r="AB82" i="1" s="1"/>
  <c r="AF6" i="1"/>
  <c r="E138" i="11"/>
  <c r="K143" i="6"/>
  <c r="N10" i="8"/>
  <c r="N11" i="8" s="1"/>
  <c r="N12" i="8" s="1"/>
  <c r="N13" i="8" s="1"/>
  <c r="N14" i="8" s="1"/>
  <c r="N15" i="8" s="1"/>
  <c r="N16" i="8" s="1"/>
  <c r="N17" i="8" s="1"/>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N62" i="8" s="1"/>
  <c r="N63" i="8" s="1"/>
  <c r="N64" i="8" s="1"/>
  <c r="N65" i="8" s="1"/>
  <c r="N66" i="8" s="1"/>
  <c r="N67" i="8" s="1"/>
  <c r="N68" i="8" s="1"/>
  <c r="N69" i="8" s="1"/>
  <c r="N70" i="8" s="1"/>
  <c r="N71" i="8" s="1"/>
  <c r="N72" i="8" s="1"/>
  <c r="N73" i="8" s="1"/>
  <c r="N74" i="8" s="1"/>
  <c r="N75" i="8" s="1"/>
  <c r="N76" i="8" s="1"/>
  <c r="N77" i="8" s="1"/>
  <c r="N78" i="8" s="1"/>
  <c r="N79" i="8" s="1"/>
  <c r="N80" i="8" s="1"/>
  <c r="N81" i="8" s="1"/>
  <c r="N82" i="8" s="1"/>
  <c r="N83" i="8" s="1"/>
  <c r="N84" i="8" s="1"/>
  <c r="N85" i="8" s="1"/>
  <c r="N86" i="8" s="1"/>
  <c r="N87" i="8" s="1"/>
  <c r="N88" i="8" s="1"/>
  <c r="N89" i="8" s="1"/>
  <c r="N90" i="8" s="1"/>
  <c r="N91" i="8" s="1"/>
  <c r="N92" i="8" s="1"/>
  <c r="N93" i="8" s="1"/>
  <c r="N94" i="8" s="1"/>
  <c r="N95" i="8" s="1"/>
  <c r="N96" i="8" s="1"/>
  <c r="N97" i="8" s="1"/>
  <c r="N98" i="8" s="1"/>
  <c r="N99" i="8" s="1"/>
  <c r="N100" i="8" s="1"/>
  <c r="N101" i="8" s="1"/>
  <c r="N102" i="8" s="1"/>
  <c r="N103" i="8" s="1"/>
  <c r="N104" i="8" s="1"/>
  <c r="N105" i="8" s="1"/>
  <c r="N106" i="8" s="1"/>
  <c r="N107" i="8" s="1"/>
  <c r="N108" i="8" s="1"/>
  <c r="N109" i="8" s="1"/>
  <c r="N110" i="8" s="1"/>
  <c r="N111" i="8" s="1"/>
  <c r="N112" i="8" s="1"/>
  <c r="N113" i="8" s="1"/>
  <c r="N114" i="8" s="1"/>
  <c r="N115" i="8" s="1"/>
  <c r="N116" i="8" s="1"/>
  <c r="N117" i="8" s="1"/>
  <c r="N118" i="8" s="1"/>
  <c r="N119" i="8" s="1"/>
  <c r="N120" i="8" s="1"/>
  <c r="N121" i="8" s="1"/>
  <c r="N122" i="8" s="1"/>
  <c r="N123" i="8" s="1"/>
  <c r="N124" i="8" s="1"/>
  <c r="N125" i="8" s="1"/>
  <c r="N126" i="8" s="1"/>
  <c r="N127" i="8" s="1"/>
  <c r="N128" i="8" s="1"/>
  <c r="N129" i="8" s="1"/>
  <c r="N130" i="8" s="1"/>
  <c r="N131" i="8" s="1"/>
  <c r="N132" i="8" s="1"/>
  <c r="N133" i="8" s="1"/>
  <c r="N134" i="8" s="1"/>
  <c r="N135" i="8" s="1"/>
  <c r="C138" i="8"/>
  <c r="H138" i="8" s="1"/>
  <c r="F153" i="11"/>
  <c r="K145" i="6"/>
  <c r="F146" i="6"/>
  <c r="K146" i="6" s="1"/>
  <c r="K144" i="6"/>
  <c r="I144" i="21"/>
  <c r="AA5" i="2"/>
  <c r="I130" i="2"/>
  <c r="L366" i="3"/>
  <c r="I164" i="45"/>
  <c r="J252" i="46"/>
  <c r="M224" i="47"/>
  <c r="I186" i="3"/>
  <c r="K186" i="3" s="1"/>
  <c r="M375" i="3"/>
  <c r="I184" i="3"/>
  <c r="K184" i="3" s="1"/>
  <c r="O174" i="3"/>
  <c r="M374" i="3"/>
  <c r="I185" i="3"/>
  <c r="K185" i="3" s="1"/>
  <c r="J90" i="43"/>
  <c r="E267" i="19"/>
  <c r="L13" i="19"/>
  <c r="L14" i="19" s="1"/>
  <c r="L15" i="19" s="1"/>
  <c r="L16" i="19" s="1"/>
  <c r="L17" i="19" s="1"/>
  <c r="L18" i="19" s="1"/>
  <c r="L19" i="19" s="1"/>
  <c r="L20" i="19" s="1"/>
  <c r="L21" i="19" s="1"/>
  <c r="L22" i="19" s="1"/>
  <c r="L23" i="19" s="1"/>
  <c r="L24" i="19" s="1"/>
  <c r="L25" i="19" s="1"/>
  <c r="L26" i="19" s="1"/>
  <c r="L27" i="19" s="1"/>
  <c r="L28" i="19" s="1"/>
  <c r="L29" i="19" s="1"/>
  <c r="L30" i="19" s="1"/>
  <c r="L31" i="19" s="1"/>
  <c r="L32" i="19" s="1"/>
  <c r="L33" i="19" s="1"/>
  <c r="L34" i="19" s="1"/>
  <c r="L35" i="19" s="1"/>
  <c r="L36" i="19" s="1"/>
  <c r="L37" i="19" s="1"/>
  <c r="L38" i="19" s="1"/>
  <c r="L39" i="19" s="1"/>
  <c r="L40" i="19" s="1"/>
  <c r="L41" i="19" s="1"/>
  <c r="L42" i="19" s="1"/>
  <c r="L43" i="19" s="1"/>
  <c r="L44" i="19" s="1"/>
  <c r="L45" i="19" s="1"/>
  <c r="L46" i="19" s="1"/>
  <c r="L47" i="19" s="1"/>
  <c r="L48" i="19" s="1"/>
  <c r="L49" i="19" s="1"/>
  <c r="L50" i="19" s="1"/>
  <c r="L51" i="19" s="1"/>
  <c r="L52" i="19" s="1"/>
  <c r="L53" i="19" s="1"/>
  <c r="L54" i="19" s="1"/>
  <c r="L55" i="19" s="1"/>
  <c r="L56" i="19" s="1"/>
  <c r="L57" i="19" s="1"/>
  <c r="L58" i="19" s="1"/>
  <c r="L59" i="19" s="1"/>
  <c r="L60" i="19" s="1"/>
  <c r="L61" i="19" s="1"/>
  <c r="L62" i="19" s="1"/>
  <c r="L63" i="19" s="1"/>
  <c r="L64" i="19" s="1"/>
  <c r="L65" i="19" s="1"/>
  <c r="L66" i="19" s="1"/>
  <c r="L67" i="19" s="1"/>
  <c r="L68" i="19" s="1"/>
  <c r="L69" i="19" s="1"/>
  <c r="L70" i="19" s="1"/>
  <c r="L71" i="19" s="1"/>
  <c r="L72" i="19" s="1"/>
  <c r="L73" i="19" s="1"/>
  <c r="L74" i="19" s="1"/>
  <c r="L75" i="19" s="1"/>
  <c r="L76" i="19" s="1"/>
  <c r="L77" i="19" s="1"/>
  <c r="L78" i="19" s="1"/>
  <c r="L79" i="19" s="1"/>
  <c r="L80" i="19" s="1"/>
  <c r="L81" i="19" s="1"/>
  <c r="L82" i="19" s="1"/>
  <c r="L83" i="19" s="1"/>
  <c r="L84" i="19" s="1"/>
  <c r="L85" i="19" s="1"/>
  <c r="L86" i="19" s="1"/>
  <c r="L87" i="19" s="1"/>
  <c r="L88" i="19" s="1"/>
  <c r="L89" i="19" s="1"/>
  <c r="L90" i="19" s="1"/>
  <c r="L91" i="19" s="1"/>
  <c r="L92" i="19" s="1"/>
  <c r="L93" i="19" s="1"/>
  <c r="L94" i="19" s="1"/>
  <c r="L95" i="19" s="1"/>
  <c r="L96" i="19" s="1"/>
  <c r="L97" i="19" s="1"/>
  <c r="L98" i="19" s="1"/>
  <c r="L99" i="19" s="1"/>
  <c r="L100" i="19" s="1"/>
  <c r="L101" i="19" s="1"/>
  <c r="L102" i="19" s="1"/>
  <c r="L103" i="19" s="1"/>
  <c r="L104" i="19" s="1"/>
  <c r="L105" i="19" s="1"/>
  <c r="L106" i="19" s="1"/>
  <c r="L107" i="19" s="1"/>
  <c r="L108" i="19" s="1"/>
  <c r="L109" i="19" s="1"/>
  <c r="L110" i="19" s="1"/>
  <c r="L111" i="19" s="1"/>
  <c r="L112" i="19" s="1"/>
  <c r="L113" i="19" s="1"/>
  <c r="L114" i="19" s="1"/>
  <c r="L115" i="19" s="1"/>
  <c r="L116" i="19" s="1"/>
  <c r="L117" i="19" s="1"/>
  <c r="L118" i="19" s="1"/>
  <c r="L119" i="19" s="1"/>
  <c r="L120" i="19" s="1"/>
  <c r="L121" i="19" s="1"/>
  <c r="L122" i="19" s="1"/>
  <c r="L123" i="19" s="1"/>
  <c r="L124" i="19" s="1"/>
  <c r="L125" i="19" s="1"/>
  <c r="L126" i="19" s="1"/>
  <c r="L127" i="19" s="1"/>
  <c r="L128" i="19" s="1"/>
  <c r="L129" i="19" s="1"/>
  <c r="L130" i="19" s="1"/>
  <c r="L131" i="19" s="1"/>
  <c r="L132" i="19" s="1"/>
  <c r="L133" i="19" s="1"/>
  <c r="L134" i="19" s="1"/>
  <c r="L135" i="19" s="1"/>
  <c r="L136" i="19" s="1"/>
  <c r="L137" i="19" s="1"/>
  <c r="L138" i="19" s="1"/>
  <c r="L139" i="19" s="1"/>
  <c r="L140" i="19" s="1"/>
  <c r="L141" i="19" s="1"/>
  <c r="L142" i="19" s="1"/>
  <c r="L143" i="19" s="1"/>
  <c r="L144" i="19" s="1"/>
  <c r="L145" i="19" s="1"/>
  <c r="L146" i="19" s="1"/>
  <c r="L147" i="19" s="1"/>
  <c r="L148" i="19" s="1"/>
  <c r="L149" i="19" s="1"/>
  <c r="L150" i="19" s="1"/>
  <c r="L151" i="19" s="1"/>
  <c r="L152" i="19" s="1"/>
  <c r="L153" i="19" s="1"/>
  <c r="L154" i="19" s="1"/>
  <c r="L155" i="19" s="1"/>
  <c r="L156" i="19" s="1"/>
  <c r="L157" i="19" s="1"/>
  <c r="L158" i="19" s="1"/>
  <c r="L159" i="19" s="1"/>
  <c r="L160" i="19" s="1"/>
  <c r="L161" i="19" s="1"/>
  <c r="L162" i="19" s="1"/>
  <c r="L163" i="19" s="1"/>
  <c r="L164" i="19" s="1"/>
  <c r="L165" i="19" s="1"/>
  <c r="L166" i="19" s="1"/>
  <c r="L167" i="19" s="1"/>
  <c r="L168" i="19" s="1"/>
  <c r="L169" i="19" s="1"/>
  <c r="L170" i="19" s="1"/>
  <c r="L171" i="19" s="1"/>
  <c r="L172" i="19" s="1"/>
  <c r="L173" i="19" s="1"/>
  <c r="L174" i="19" s="1"/>
  <c r="L175" i="19" s="1"/>
  <c r="L176" i="19" s="1"/>
  <c r="L177" i="19" s="1"/>
  <c r="L178" i="19" s="1"/>
  <c r="L179" i="19" s="1"/>
  <c r="L180" i="19" s="1"/>
  <c r="L181" i="19" s="1"/>
  <c r="L182" i="19" s="1"/>
  <c r="L183" i="19" s="1"/>
  <c r="L184" i="19" s="1"/>
  <c r="L185" i="19" s="1"/>
  <c r="L186" i="19" s="1"/>
  <c r="L187" i="19" s="1"/>
  <c r="L188" i="19" s="1"/>
  <c r="L189" i="19" s="1"/>
  <c r="L190" i="19" s="1"/>
  <c r="L191" i="19" s="1"/>
  <c r="L192" i="19" s="1"/>
  <c r="L193" i="19" s="1"/>
  <c r="L194" i="19" s="1"/>
  <c r="L195" i="19" s="1"/>
  <c r="L196" i="19" s="1"/>
  <c r="L197" i="19" s="1"/>
  <c r="L198" i="19" s="1"/>
  <c r="L199" i="19" s="1"/>
  <c r="L200" i="19" s="1"/>
  <c r="L201" i="19" s="1"/>
  <c r="L202" i="19" s="1"/>
  <c r="L203" i="19" s="1"/>
  <c r="L204" i="19" s="1"/>
  <c r="L205" i="19" s="1"/>
  <c r="L206" i="19" s="1"/>
  <c r="L207" i="19" s="1"/>
  <c r="L208" i="19" s="1"/>
  <c r="L209" i="19" s="1"/>
  <c r="L210" i="19" s="1"/>
  <c r="L211" i="19" s="1"/>
  <c r="L212" i="19" s="1"/>
  <c r="L213" i="19" s="1"/>
  <c r="L214" i="19" s="1"/>
  <c r="L215" i="19" s="1"/>
  <c r="L216" i="19" s="1"/>
  <c r="L217" i="19" s="1"/>
  <c r="L218" i="19" s="1"/>
  <c r="L219" i="19" s="1"/>
  <c r="L220" i="19" s="1"/>
  <c r="L221" i="19" s="1"/>
  <c r="L222" i="19" s="1"/>
  <c r="L223" i="19" s="1"/>
  <c r="L224" i="19" s="1"/>
  <c r="L225" i="19" s="1"/>
  <c r="L226" i="19" s="1"/>
  <c r="L227" i="19" s="1"/>
  <c r="L228" i="19" s="1"/>
  <c r="L229" i="19" s="1"/>
  <c r="L230" i="19" s="1"/>
  <c r="L231" i="19" s="1"/>
  <c r="L232" i="19" s="1"/>
  <c r="L233" i="19" s="1"/>
  <c r="L234" i="19" s="1"/>
  <c r="L235" i="19" s="1"/>
  <c r="L236" i="19" s="1"/>
  <c r="L237" i="19" s="1"/>
  <c r="L238" i="19" s="1"/>
  <c r="L239" i="19" s="1"/>
  <c r="L240" i="19" s="1"/>
  <c r="L241" i="19" s="1"/>
  <c r="L242" i="19" s="1"/>
  <c r="L243" i="19" s="1"/>
  <c r="L244" i="19" s="1"/>
  <c r="L245" i="19" s="1"/>
  <c r="L246" i="19" s="1"/>
  <c r="L247" i="19" s="1"/>
  <c r="L248" i="19" s="1"/>
  <c r="L249" i="19" s="1"/>
  <c r="L250" i="19" s="1"/>
  <c r="L251" i="19" s="1"/>
  <c r="L252" i="19" s="1"/>
  <c r="L253" i="19" s="1"/>
  <c r="L254" i="19" s="1"/>
  <c r="L255" i="19" s="1"/>
  <c r="L256" i="19" s="1"/>
  <c r="L257" i="19" s="1"/>
  <c r="L258" i="19" s="1"/>
  <c r="L259" i="19" s="1"/>
  <c r="L260" i="19" s="1"/>
  <c r="L261" i="19" s="1"/>
  <c r="L262" i="19" s="1"/>
  <c r="L263" i="19" s="1"/>
  <c r="L264" i="19" s="1"/>
  <c r="J198" i="43"/>
  <c r="J48" i="43"/>
  <c r="J74" i="43"/>
  <c r="J112" i="43"/>
  <c r="J59" i="43"/>
  <c r="J85" i="43"/>
  <c r="J88" i="43"/>
  <c r="J93" i="43"/>
  <c r="J143" i="43"/>
  <c r="J149" i="43"/>
  <c r="J26" i="43"/>
  <c r="J116" i="43"/>
  <c r="J144" i="43"/>
  <c r="J159" i="43"/>
  <c r="J36" i="43"/>
  <c r="J40" i="43"/>
  <c r="J47" i="43"/>
  <c r="J121" i="43"/>
  <c r="J119" i="43"/>
  <c r="J146" i="43"/>
  <c r="J155" i="43"/>
  <c r="J29" i="43"/>
  <c r="J61" i="43"/>
  <c r="J95" i="43"/>
  <c r="J179" i="43"/>
  <c r="J136" i="43"/>
  <c r="J45" i="43"/>
  <c r="J52" i="43"/>
  <c r="J120" i="43"/>
  <c r="J27" i="43"/>
  <c r="J130" i="43"/>
  <c r="J145" i="43"/>
  <c r="J63" i="43"/>
  <c r="J118" i="43"/>
  <c r="J16" i="43"/>
  <c r="J34" i="43"/>
  <c r="J38" i="43"/>
  <c r="J56" i="43"/>
  <c r="J60" i="43"/>
  <c r="J73" i="43"/>
  <c r="J96" i="43"/>
  <c r="J132" i="43"/>
  <c r="J156" i="43"/>
  <c r="J176" i="43"/>
  <c r="J162" i="43"/>
  <c r="J39" i="43"/>
  <c r="J42" i="43"/>
  <c r="J71" i="43"/>
  <c r="J177" i="43"/>
  <c r="J21" i="43"/>
  <c r="J18" i="43"/>
  <c r="J32" i="43"/>
  <c r="J58" i="43"/>
  <c r="J65" i="43"/>
  <c r="J91" i="43"/>
  <c r="J157" i="43"/>
  <c r="J183" i="43"/>
  <c r="J187" i="43"/>
  <c r="J193" i="43"/>
  <c r="J19" i="43"/>
  <c r="J23" i="43"/>
  <c r="J62" i="43"/>
  <c r="J87" i="43"/>
  <c r="J101" i="43"/>
  <c r="J105" i="43"/>
  <c r="J137" i="43"/>
  <c r="J194" i="43"/>
  <c r="J14" i="43"/>
  <c r="J17" i="43"/>
  <c r="N201" i="43"/>
  <c r="J30" i="43"/>
  <c r="J37" i="43"/>
  <c r="J70" i="43"/>
  <c r="J94" i="43"/>
  <c r="J106" i="43"/>
  <c r="J110" i="43"/>
  <c r="J113" i="43"/>
  <c r="J117" i="43"/>
  <c r="J125" i="43"/>
  <c r="J129" i="43"/>
  <c r="J133" i="43"/>
  <c r="J168" i="43"/>
  <c r="J172" i="43"/>
  <c r="J25" i="43"/>
  <c r="J148" i="43"/>
  <c r="J15" i="43"/>
  <c r="J77" i="43"/>
  <c r="J178" i="43"/>
  <c r="J184" i="43"/>
  <c r="J188" i="43"/>
  <c r="J191" i="43"/>
  <c r="J199" i="43"/>
  <c r="J78" i="43"/>
  <c r="J135" i="43"/>
  <c r="J142" i="43"/>
  <c r="J147" i="43"/>
  <c r="J158" i="43"/>
  <c r="J164" i="43"/>
  <c r="J82" i="43"/>
  <c r="J114" i="43"/>
  <c r="J181" i="43"/>
  <c r="J46" i="43"/>
  <c r="J22" i="43"/>
  <c r="J35" i="43"/>
  <c r="J50" i="43"/>
  <c r="J68" i="43"/>
  <c r="J97" i="43"/>
  <c r="J115" i="43"/>
  <c r="J123" i="43"/>
  <c r="J160" i="43"/>
  <c r="J75" i="43"/>
  <c r="J128" i="43"/>
  <c r="J138" i="43"/>
  <c r="J69" i="43"/>
  <c r="J72" i="43"/>
  <c r="J152" i="43"/>
  <c r="J182" i="43"/>
  <c r="I86" i="37"/>
  <c r="I87" i="37" s="1"/>
  <c r="I88" i="37" s="1"/>
  <c r="I89" i="37" s="1"/>
  <c r="I90" i="37" s="1"/>
  <c r="I91" i="37" s="1"/>
  <c r="I92" i="37" s="1"/>
  <c r="I93" i="37" s="1"/>
  <c r="I94" i="37" s="1"/>
  <c r="I95" i="37" s="1"/>
  <c r="I96" i="37" s="1"/>
  <c r="I97" i="37" s="1"/>
  <c r="I98" i="37" s="1"/>
  <c r="I99" i="37" s="1"/>
  <c r="I100" i="37" s="1"/>
  <c r="I101" i="37" s="1"/>
  <c r="I102" i="37" s="1"/>
  <c r="I104" i="37" s="1"/>
  <c r="I103" i="37" s="1"/>
  <c r="I105" i="37" s="1"/>
  <c r="I106" i="37" s="1"/>
  <c r="I107" i="37" s="1"/>
  <c r="I108" i="37" s="1"/>
  <c r="E181" i="4"/>
  <c r="AH138" i="4"/>
  <c r="AH139" i="4" s="1"/>
  <c r="AH140" i="4" s="1"/>
  <c r="AH141" i="4" s="1"/>
  <c r="AH142" i="4" s="1"/>
  <c r="AH143" i="4" s="1"/>
  <c r="AH144" i="4" s="1"/>
  <c r="AH145" i="4" s="1"/>
  <c r="AH146" i="4" s="1"/>
  <c r="AH147" i="4" s="1"/>
  <c r="AH148" i="4" s="1"/>
  <c r="AH149" i="4" s="1"/>
  <c r="AH150" i="4" s="1"/>
  <c r="AH151" i="4" s="1"/>
  <c r="AH152" i="4" s="1"/>
  <c r="AH153" i="4" s="1"/>
  <c r="AH154" i="4" s="1"/>
  <c r="AH155" i="4" s="1"/>
  <c r="AH156" i="4" s="1"/>
  <c r="AH157" i="4" s="1"/>
  <c r="AH158" i="4" s="1"/>
  <c r="AH159" i="4" s="1"/>
  <c r="AH160" i="4" s="1"/>
  <c r="AH161" i="4" s="1"/>
  <c r="AH162" i="4" s="1"/>
  <c r="AH163" i="4" s="1"/>
  <c r="AH164" i="4" s="1"/>
  <c r="AH165" i="4" s="1"/>
  <c r="AH166" i="4" s="1"/>
  <c r="AH167" i="4" s="1"/>
  <c r="AH168" i="4" s="1"/>
  <c r="AH169" i="4" s="1"/>
  <c r="AH170" i="4" s="1"/>
  <c r="AH171" i="4" s="1"/>
  <c r="AH172" i="4" s="1"/>
  <c r="AH173" i="4" s="1"/>
  <c r="AH174" i="4" s="1"/>
  <c r="AH175" i="4" s="1"/>
  <c r="AH176" i="4" s="1"/>
  <c r="AH177" i="4" s="1"/>
  <c r="F178" i="4"/>
  <c r="V102" i="4" s="1"/>
  <c r="N136" i="4"/>
  <c r="N137" i="4" s="1"/>
  <c r="N138" i="4" s="1"/>
  <c r="N139" i="4" s="1"/>
  <c r="N140" i="4" s="1"/>
  <c r="N141" i="4" s="1"/>
  <c r="N142" i="4" s="1"/>
  <c r="N143" i="4" s="1"/>
  <c r="N144" i="4" s="1"/>
  <c r="N145" i="4" s="1"/>
  <c r="N146" i="4" s="1"/>
  <c r="N147" i="4" s="1"/>
  <c r="N148" i="4" s="1"/>
  <c r="N149" i="4" s="1"/>
  <c r="N150" i="4" s="1"/>
  <c r="N151" i="4" s="1"/>
  <c r="N152" i="4" s="1"/>
  <c r="N153" i="4" s="1"/>
  <c r="N154" i="4" s="1"/>
  <c r="N155" i="4" s="1"/>
  <c r="N156" i="4" s="1"/>
  <c r="N157" i="4" s="1"/>
  <c r="N158" i="4" s="1"/>
  <c r="N159" i="4" s="1"/>
  <c r="N160" i="4" s="1"/>
  <c r="N161" i="4" s="1"/>
  <c r="N162" i="4" s="1"/>
  <c r="N163" i="4" s="1"/>
  <c r="N164" i="4" s="1"/>
  <c r="N165" i="4" s="1"/>
  <c r="N166" i="4" s="1"/>
  <c r="N167" i="4" s="1"/>
  <c r="N168" i="4" s="1"/>
  <c r="N169" i="4" s="1"/>
  <c r="N170" i="4" s="1"/>
  <c r="N171" i="4" s="1"/>
  <c r="N172" i="4" s="1"/>
  <c r="N173" i="4" s="1"/>
  <c r="N174" i="4" s="1"/>
  <c r="N175" i="4" s="1"/>
  <c r="P193" i="4"/>
  <c r="L206" i="4"/>
  <c r="L205" i="4"/>
  <c r="R94" i="4"/>
  <c r="S94" i="4" s="1"/>
  <c r="T94" i="4" s="1"/>
  <c r="P192" i="4"/>
  <c r="R92" i="4"/>
  <c r="S92" i="4" s="1"/>
  <c r="R93" i="4"/>
  <c r="S93" i="4" s="1"/>
  <c r="T93" i="4" s="1"/>
  <c r="N204" i="7"/>
  <c r="I129" i="2"/>
  <c r="AA7" i="2"/>
  <c r="AA6" i="2"/>
  <c r="I131" i="2"/>
  <c r="J53" i="43"/>
  <c r="J64" i="43"/>
  <c r="J67" i="43"/>
  <c r="J122" i="43"/>
  <c r="J151" i="43"/>
  <c r="J161" i="43"/>
  <c r="J185" i="43"/>
  <c r="J189" i="43"/>
  <c r="J196" i="43"/>
  <c r="J28" i="43"/>
  <c r="J43" i="43"/>
  <c r="J54" i="43"/>
  <c r="J76" i="43"/>
  <c r="J79" i="43"/>
  <c r="J84" i="43"/>
  <c r="J86" i="43"/>
  <c r="J99" i="43"/>
  <c r="J103" i="43"/>
  <c r="J107" i="43"/>
  <c r="J111" i="43"/>
  <c r="J126" i="43"/>
  <c r="J180" i="43"/>
  <c r="J186" i="43"/>
  <c r="J190" i="43"/>
  <c r="J192" i="43"/>
  <c r="J197" i="43"/>
  <c r="J127" i="43"/>
  <c r="J134" i="43"/>
  <c r="J154" i="43"/>
  <c r="J44" i="43"/>
  <c r="J55" i="43"/>
  <c r="J24" i="43"/>
  <c r="J31" i="43"/>
  <c r="J80" i="43"/>
  <c r="J108" i="43"/>
  <c r="J140" i="43"/>
  <c r="J163" i="43"/>
  <c r="J166" i="43"/>
  <c r="J170" i="43"/>
  <c r="J174" i="43"/>
  <c r="J20" i="43"/>
  <c r="J57" i="43"/>
  <c r="J109" i="43"/>
  <c r="G220" i="47"/>
  <c r="F224" i="47"/>
  <c r="Q220" i="47"/>
  <c r="N220" i="47"/>
  <c r="G201" i="43"/>
  <c r="J83" i="43"/>
  <c r="J89" i="43"/>
  <c r="J220" i="47"/>
  <c r="J41" i="43"/>
  <c r="J104" i="43"/>
  <c r="J173" i="43"/>
  <c r="J167" i="42"/>
  <c r="F177" i="42"/>
  <c r="J51" i="43"/>
  <c r="J66" i="43"/>
  <c r="J100" i="43"/>
  <c r="J141" i="43"/>
  <c r="J169" i="43"/>
  <c r="J33" i="43"/>
  <c r="J92" i="43"/>
  <c r="J124" i="43"/>
  <c r="J150" i="43"/>
  <c r="J165" i="43"/>
  <c r="J49" i="43"/>
  <c r="J98" i="43"/>
  <c r="J102" i="43"/>
  <c r="J131" i="43"/>
  <c r="J139" i="43"/>
  <c r="J153" i="43"/>
  <c r="J167" i="43"/>
  <c r="J171" i="43"/>
  <c r="J175" i="43"/>
  <c r="J208" i="43"/>
  <c r="L28" i="27"/>
  <c r="L29" i="27" s="1"/>
  <c r="L30" i="27" s="1"/>
  <c r="L31" i="27" s="1"/>
  <c r="L32" i="27" s="1"/>
  <c r="L33" i="27" s="1"/>
  <c r="L34" i="27" s="1"/>
  <c r="L35" i="27" s="1"/>
  <c r="L36" i="27" s="1"/>
  <c r="L37" i="27" s="1"/>
  <c r="L38" i="27" s="1"/>
  <c r="L39" i="27" s="1"/>
  <c r="L40" i="27" s="1"/>
  <c r="L41" i="27" s="1"/>
  <c r="L42" i="27" s="1"/>
  <c r="L43" i="27" s="1"/>
  <c r="L44" i="27" s="1"/>
  <c r="L45" i="27" s="1"/>
  <c r="L46" i="27" s="1"/>
  <c r="L47" i="27" s="1"/>
  <c r="L48" i="27" s="1"/>
  <c r="L49" i="27" s="1"/>
  <c r="L50" i="27" s="1"/>
  <c r="L51" i="27" s="1"/>
  <c r="L52" i="27" s="1"/>
  <c r="L53" i="27" s="1"/>
  <c r="L54" i="27" s="1"/>
  <c r="L55" i="27" s="1"/>
  <c r="L56" i="27" s="1"/>
  <c r="L57" i="27" s="1"/>
  <c r="L58" i="27" s="1"/>
  <c r="L59" i="27" s="1"/>
  <c r="L60" i="27" s="1"/>
  <c r="L61" i="27" s="1"/>
  <c r="L62" i="27" s="1"/>
  <c r="L63" i="27" s="1"/>
  <c r="L64" i="27" s="1"/>
  <c r="L65" i="27" s="1"/>
  <c r="L66" i="27" s="1"/>
  <c r="L67" i="27" s="1"/>
  <c r="L68" i="27" s="1"/>
  <c r="L69" i="27" s="1"/>
  <c r="L70" i="27" s="1"/>
  <c r="L71" i="27" s="1"/>
  <c r="L72" i="27" s="1"/>
  <c r="L73" i="27" s="1"/>
  <c r="L74" i="27" s="1"/>
  <c r="L75" i="27" s="1"/>
  <c r="L76" i="27" s="1"/>
  <c r="L77" i="27" s="1"/>
  <c r="L78" i="27" s="1"/>
  <c r="L79" i="27" s="1"/>
  <c r="L80" i="27" s="1"/>
  <c r="L81" i="27" s="1"/>
  <c r="L82" i="27" s="1"/>
  <c r="L83" i="27" s="1"/>
  <c r="L84" i="27" s="1"/>
  <c r="L85" i="27" s="1"/>
  <c r="L86" i="27" s="1"/>
  <c r="L87" i="27" s="1"/>
  <c r="L88" i="27" s="1"/>
  <c r="L89" i="27" s="1"/>
  <c r="L90" i="27" s="1"/>
  <c r="L91" i="27" s="1"/>
  <c r="L92" i="27" s="1"/>
  <c r="L93" i="27" s="1"/>
  <c r="L94" i="27" s="1"/>
  <c r="L95" i="27" s="1"/>
  <c r="L96" i="27" s="1"/>
  <c r="L97" i="27" s="1"/>
  <c r="L98" i="27" s="1"/>
  <c r="L99" i="27" s="1"/>
  <c r="L100" i="27" s="1"/>
  <c r="L101" i="27" s="1"/>
  <c r="L102" i="27" s="1"/>
  <c r="L103" i="27" s="1"/>
  <c r="L104" i="27" s="1"/>
  <c r="L105" i="27" s="1"/>
  <c r="L106" i="27" s="1"/>
  <c r="L107" i="27" s="1"/>
  <c r="L108" i="27" s="1"/>
  <c r="L109" i="27" s="1"/>
  <c r="L110" i="27" s="1"/>
  <c r="L111" i="27" s="1"/>
  <c r="L112" i="27" s="1"/>
  <c r="L113" i="27" s="1"/>
  <c r="L114" i="27" s="1"/>
  <c r="L115" i="27" s="1"/>
  <c r="L116" i="27" s="1"/>
  <c r="L117" i="27" s="1"/>
  <c r="L118" i="27" s="1"/>
  <c r="L119" i="27" s="1"/>
  <c r="L120" i="27" s="1"/>
  <c r="L121" i="27" s="1"/>
  <c r="L122" i="27" s="1"/>
  <c r="L123" i="27" s="1"/>
  <c r="L124" i="27" s="1"/>
  <c r="L125" i="27" s="1"/>
  <c r="L126" i="27" s="1"/>
  <c r="L127" i="27" s="1"/>
  <c r="L128" i="27" s="1"/>
  <c r="L129" i="27" s="1"/>
  <c r="Y26" i="27"/>
  <c r="J112" i="37"/>
  <c r="G94" i="1"/>
  <c r="F94" i="1"/>
  <c r="D94" i="1"/>
  <c r="J94" i="1"/>
  <c r="I94" i="1"/>
  <c r="H94" i="1"/>
  <c r="E94" i="1"/>
  <c r="AA80" i="1"/>
  <c r="AB80" i="1" s="1"/>
  <c r="H93" i="1"/>
  <c r="G93" i="1"/>
  <c r="E93" i="1"/>
  <c r="I93" i="1"/>
  <c r="F93" i="1"/>
  <c r="D93" i="1"/>
  <c r="S77" i="1"/>
  <c r="I189" i="29"/>
  <c r="J93" i="1"/>
  <c r="AA81" i="1"/>
  <c r="AB81" i="1" s="1"/>
  <c r="M118" i="2"/>
  <c r="T77" i="1"/>
  <c r="I92" i="1"/>
  <c r="H92" i="1"/>
  <c r="C95" i="1"/>
  <c r="F92" i="1"/>
  <c r="J230" i="1"/>
  <c r="H230" i="1"/>
  <c r="M376" i="3"/>
  <c r="S19" i="4"/>
  <c r="S20" i="4" s="1"/>
  <c r="S21" i="4" s="1"/>
  <c r="S22" i="4" s="1"/>
  <c r="S23" i="4" s="1"/>
  <c r="S24" i="4" s="1"/>
  <c r="S25" i="4" s="1"/>
  <c r="S26" i="4" s="1"/>
  <c r="S27" i="4" s="1"/>
  <c r="S28" i="4" s="1"/>
  <c r="S29" i="4" s="1"/>
  <c r="S30" i="4" s="1"/>
  <c r="S31" i="4" s="1"/>
  <c r="S32" i="4" s="1"/>
  <c r="S33" i="4" s="1"/>
  <c r="S34" i="4" s="1"/>
  <c r="S35" i="4" s="1"/>
  <c r="S36" i="4" s="1"/>
  <c r="S37" i="4" s="1"/>
  <c r="Z65" i="4"/>
  <c r="AF65" i="4" s="1"/>
  <c r="AF66" i="4" s="1"/>
  <c r="AF67" i="4" s="1"/>
  <c r="AF68" i="4" s="1"/>
  <c r="AF69" i="4" s="1"/>
  <c r="AF70" i="4" s="1"/>
  <c r="AF71" i="4" s="1"/>
  <c r="AF72" i="4" s="1"/>
  <c r="AF73" i="4" s="1"/>
  <c r="AF74" i="4" s="1"/>
  <c r="AF75" i="4" s="1"/>
  <c r="AF76" i="4" s="1"/>
  <c r="AF77" i="4" s="1"/>
  <c r="AF78" i="4" s="1"/>
  <c r="AF79" i="4" s="1"/>
  <c r="V87" i="4"/>
  <c r="D82" i="4"/>
  <c r="D181" i="4" s="1"/>
  <c r="C181" i="4"/>
  <c r="O192" i="4"/>
  <c r="N192" i="4"/>
  <c r="R192" i="4" s="1"/>
  <c r="M192" i="4"/>
  <c r="O191" i="4"/>
  <c r="I74" i="11"/>
  <c r="I75" i="11" s="1"/>
  <c r="I76" i="11" s="1"/>
  <c r="I77" i="11" s="1"/>
  <c r="I78" i="1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I125" i="11" s="1"/>
  <c r="I126" i="11" s="1"/>
  <c r="I127" i="11" s="1"/>
  <c r="I128" i="11" s="1"/>
  <c r="I129" i="11" s="1"/>
  <c r="I130" i="11" s="1"/>
  <c r="I131" i="11" s="1"/>
  <c r="I132" i="11" s="1"/>
  <c r="I133" i="11" s="1"/>
  <c r="I134" i="11" s="1"/>
  <c r="I135" i="11" s="1"/>
  <c r="E204" i="4"/>
  <c r="L204" i="4" s="1"/>
  <c r="G191" i="4"/>
  <c r="N191" i="4" s="1"/>
  <c r="R191" i="4" s="1"/>
  <c r="G178" i="4"/>
  <c r="G181" i="4" s="1"/>
  <c r="M191" i="4"/>
  <c r="D134" i="6"/>
  <c r="H134" i="6" s="1"/>
  <c r="M193" i="4"/>
  <c r="M128" i="12"/>
  <c r="N193" i="4"/>
  <c r="R193" i="4" s="1"/>
  <c r="M129" i="12"/>
  <c r="E153" i="11"/>
  <c r="D138" i="11"/>
  <c r="I338" i="15"/>
  <c r="P8" i="12"/>
  <c r="H236" i="17"/>
  <c r="E157" i="20"/>
  <c r="I267" i="19"/>
  <c r="L267" i="19" s="1"/>
  <c r="D157" i="20"/>
  <c r="J119" i="25"/>
  <c r="I117" i="22"/>
  <c r="A197" i="39"/>
  <c r="A198" i="39"/>
  <c r="A199" i="39" s="1"/>
  <c r="A200" i="39" s="1"/>
  <c r="A201" i="39" s="1"/>
  <c r="A202" i="39" s="1"/>
  <c r="A203" i="39" s="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J128" i="35"/>
  <c r="K189" i="34"/>
  <c r="H257" i="39"/>
  <c r="K92" i="1" l="1"/>
  <c r="K147" i="6"/>
  <c r="L199" i="34"/>
  <c r="I68" i="53"/>
  <c r="I69" i="53" s="1"/>
  <c r="B107" i="37"/>
  <c r="B108" i="37" s="1"/>
  <c r="F181" i="4"/>
  <c r="N178" i="4"/>
  <c r="U82" i="4" s="1"/>
  <c r="T92" i="4"/>
  <c r="T95" i="4" s="1"/>
  <c r="J201" i="43"/>
  <c r="M266" i="39"/>
  <c r="U138" i="39"/>
  <c r="U139" i="39"/>
  <c r="I157" i="20"/>
  <c r="N82" i="4"/>
  <c r="K94" i="1"/>
  <c r="F95" i="1"/>
  <c r="E95" i="1"/>
  <c r="J95" i="1"/>
  <c r="I95" i="1"/>
  <c r="H95" i="1"/>
  <c r="G95" i="1"/>
  <c r="D95" i="1"/>
  <c r="S38" i="4"/>
  <c r="S39" i="4" s="1"/>
  <c r="F186" i="42"/>
  <c r="G186" i="42" s="1"/>
  <c r="G177" i="42"/>
  <c r="I177" i="42" s="1"/>
  <c r="I186" i="42" s="1"/>
  <c r="P191" i="4"/>
  <c r="P195" i="4" s="1"/>
  <c r="K93" i="1"/>
  <c r="S40" i="4" l="1"/>
  <c r="P93" i="4"/>
  <c r="K95" i="1"/>
  <c r="S41" i="4" l="1"/>
  <c r="S42" i="4" s="1"/>
  <c r="S43" i="4" s="1"/>
  <c r="S44" i="4" s="1"/>
  <c r="S45" i="4" s="1"/>
  <c r="S46" i="4" s="1"/>
  <c r="S47" i="4" s="1"/>
  <c r="S48" i="4" s="1"/>
  <c r="S49" i="4" s="1"/>
  <c r="S50" i="4" s="1"/>
  <c r="S51" i="4" s="1"/>
  <c r="S52" i="4" l="1"/>
  <c r="S53" i="4" s="1"/>
  <c r="S54" i="4" s="1"/>
  <c r="S55" i="4" s="1"/>
  <c r="S56" i="4" s="1"/>
  <c r="S57" i="4" l="1"/>
  <c r="S58" i="4" s="1"/>
  <c r="S59" i="4" s="1"/>
  <c r="S60" i="4" s="1"/>
  <c r="S61" i="4" s="1"/>
  <c r="P94" i="4"/>
  <c r="S62" i="4" l="1"/>
  <c r="P92" i="4"/>
  <c r="O208" i="52" l="1"/>
</calcChain>
</file>

<file path=xl/sharedStrings.xml><?xml version="1.0" encoding="utf-8"?>
<sst xmlns="http://schemas.openxmlformats.org/spreadsheetml/2006/main" count="20220" uniqueCount="2011">
  <si>
    <t xml:space="preserve">GOVERNMENT OF UTTAR PRADESH </t>
  </si>
  <si>
    <t xml:space="preserve">STATE WATER &amp; SANITATION MISSION ( SWSM ) </t>
  </si>
  <si>
    <t xml:space="preserve">Joint Measurement Report of Pipe Line  </t>
  </si>
  <si>
    <t>Name of the Work :- Survey , Design Preparation of DPR , Construction , Commissioning and O&amp;M for 10 Years of Various Rural Water Supply Projects in the state of Uttar Pradesh as Per Request for Proposal for Division " Prayagraj "</t>
  </si>
  <si>
    <t>Name of the Agency : POWER MECH PROJECTS LIMITED – BHOORATHNOM CONSTRUCTIONS COMPANY PRIVATE LIMITED (JV), Hyderabad.</t>
  </si>
  <si>
    <t>Name OF Scheme</t>
  </si>
  <si>
    <t>Block</t>
  </si>
  <si>
    <t>Total Scope</t>
  </si>
  <si>
    <t>:</t>
  </si>
  <si>
    <t>JMR No.</t>
  </si>
  <si>
    <t>Date of JMR</t>
  </si>
  <si>
    <t>Sr. No.</t>
  </si>
  <si>
    <t xml:space="preserve">Start Node </t>
  </si>
  <si>
    <t>End Node</t>
  </si>
  <si>
    <t>Dia</t>
  </si>
  <si>
    <t>Pipe Length
(as per Drawing)</t>
  </si>
  <si>
    <t>Pipe Length
(as per Site)</t>
  </si>
  <si>
    <t>Width</t>
  </si>
  <si>
    <t>Depth</t>
  </si>
  <si>
    <t>Quantity</t>
  </si>
  <si>
    <t xml:space="preserve">Type OF Road </t>
  </si>
  <si>
    <t>Dismantling Length</t>
  </si>
  <si>
    <t>Dismantling Width</t>
  </si>
  <si>
    <t>Dismantling Quantity</t>
  </si>
  <si>
    <t>Restoration Length</t>
  </si>
  <si>
    <t>Restoration Width</t>
  </si>
  <si>
    <t>Restoration Quantity</t>
  </si>
  <si>
    <t>Restoration Status</t>
  </si>
  <si>
    <t>Remark</t>
  </si>
  <si>
    <t>j55</t>
  </si>
  <si>
    <t>j56</t>
  </si>
  <si>
    <t>j68</t>
  </si>
  <si>
    <t>j63</t>
  </si>
  <si>
    <t>j69</t>
  </si>
  <si>
    <t>j76</t>
  </si>
  <si>
    <t>j78</t>
  </si>
  <si>
    <t>j66</t>
  </si>
  <si>
    <t>j74</t>
  </si>
  <si>
    <t>culvert</t>
  </si>
  <si>
    <t>j64</t>
  </si>
  <si>
    <t>j82</t>
  </si>
  <si>
    <t>j86</t>
  </si>
  <si>
    <t>j88</t>
  </si>
  <si>
    <t>j90</t>
  </si>
  <si>
    <t>j89</t>
  </si>
  <si>
    <t>brick road</t>
  </si>
  <si>
    <t>j91</t>
  </si>
  <si>
    <t>j96</t>
  </si>
  <si>
    <t>j105</t>
  </si>
  <si>
    <t>j108</t>
  </si>
  <si>
    <t>j109</t>
  </si>
  <si>
    <t>j111</t>
  </si>
  <si>
    <t>j124</t>
  </si>
  <si>
    <t>j125</t>
  </si>
  <si>
    <t>j126</t>
  </si>
  <si>
    <t>j116</t>
  </si>
  <si>
    <t>j113</t>
  </si>
  <si>
    <t>j115</t>
  </si>
  <si>
    <t>j114</t>
  </si>
  <si>
    <t>j112</t>
  </si>
  <si>
    <t>j104</t>
  </si>
  <si>
    <t>j102</t>
  </si>
  <si>
    <t>j75</t>
  </si>
  <si>
    <t>j70</t>
  </si>
  <si>
    <t>j71</t>
  </si>
  <si>
    <t>j72</t>
  </si>
  <si>
    <t>j73</t>
  </si>
  <si>
    <t>j128</t>
  </si>
  <si>
    <t>j136</t>
  </si>
  <si>
    <t>j133</t>
  </si>
  <si>
    <t>j131</t>
  </si>
  <si>
    <t>j132</t>
  </si>
  <si>
    <t>j84</t>
  </si>
  <si>
    <t>j139</t>
  </si>
  <si>
    <t>j147</t>
  </si>
  <si>
    <t>j153</t>
  </si>
  <si>
    <t>j159</t>
  </si>
  <si>
    <t>j158</t>
  </si>
  <si>
    <t>j160</t>
  </si>
  <si>
    <t>j174</t>
  </si>
  <si>
    <t>j173</t>
  </si>
  <si>
    <t>j175</t>
  </si>
  <si>
    <t>j178</t>
  </si>
  <si>
    <t>j177</t>
  </si>
  <si>
    <t>j152</t>
  </si>
  <si>
    <t>j127</t>
  </si>
  <si>
    <t>j129</t>
  </si>
  <si>
    <t>j150</t>
  </si>
  <si>
    <t>j151</t>
  </si>
  <si>
    <t>j155</t>
  </si>
  <si>
    <t>j161</t>
  </si>
  <si>
    <t>j162</t>
  </si>
  <si>
    <t>j184</t>
  </si>
  <si>
    <t>j181</t>
  </si>
  <si>
    <t>j182</t>
  </si>
  <si>
    <t>j179</t>
  </si>
  <si>
    <t>j171</t>
  </si>
  <si>
    <t>j152(1)</t>
  </si>
  <si>
    <t>j152(2)</t>
  </si>
  <si>
    <t>j152(3)</t>
  </si>
  <si>
    <t>j152(4)</t>
  </si>
  <si>
    <t>j152(5)</t>
  </si>
  <si>
    <t>b.t road</t>
  </si>
  <si>
    <t>j164</t>
  </si>
  <si>
    <t>j165</t>
  </si>
  <si>
    <t>j166</t>
  </si>
  <si>
    <t>j167</t>
  </si>
  <si>
    <t>j169</t>
  </si>
  <si>
    <t>j95</t>
  </si>
  <si>
    <t>j61</t>
  </si>
  <si>
    <t>j47</t>
  </si>
  <si>
    <t>j53</t>
  </si>
  <si>
    <t>j59</t>
  </si>
  <si>
    <t>j46</t>
  </si>
  <si>
    <t>j62</t>
  </si>
  <si>
    <t>j2</t>
  </si>
  <si>
    <t>j13</t>
  </si>
  <si>
    <t>j14</t>
  </si>
  <si>
    <t>j11</t>
  </si>
  <si>
    <t>j12</t>
  </si>
  <si>
    <t>j33</t>
  </si>
  <si>
    <t>j32</t>
  </si>
  <si>
    <t>j9</t>
  </si>
  <si>
    <t>j10</t>
  </si>
  <si>
    <t>j137</t>
  </si>
  <si>
    <t>j140</t>
  </si>
  <si>
    <t>j143</t>
  </si>
  <si>
    <t>j141</t>
  </si>
  <si>
    <t>j138</t>
  </si>
  <si>
    <t>j144</t>
  </si>
  <si>
    <t>j134</t>
  </si>
  <si>
    <t>j135</t>
  </si>
  <si>
    <t>j146</t>
  </si>
  <si>
    <t>j156</t>
  </si>
  <si>
    <t>j163</t>
  </si>
  <si>
    <t>j163a</t>
  </si>
  <si>
    <t>j163b</t>
  </si>
  <si>
    <t>j183</t>
  </si>
  <si>
    <t>j5</t>
  </si>
  <si>
    <t>j6</t>
  </si>
  <si>
    <t>j1</t>
  </si>
  <si>
    <t>j3</t>
  </si>
  <si>
    <t>oht</t>
  </si>
  <si>
    <t>j4</t>
  </si>
  <si>
    <t>j7</t>
  </si>
  <si>
    <t>j15</t>
  </si>
  <si>
    <t>j42</t>
  </si>
  <si>
    <t>cc</t>
  </si>
  <si>
    <t>j79</t>
  </si>
  <si>
    <t>interlocking</t>
  </si>
  <si>
    <t>j81</t>
  </si>
  <si>
    <t>j34</t>
  </si>
  <si>
    <t>j16</t>
  </si>
  <si>
    <t>j17</t>
  </si>
  <si>
    <t>j23</t>
  </si>
  <si>
    <t>j25</t>
  </si>
  <si>
    <t>j28</t>
  </si>
  <si>
    <t>j23a</t>
  </si>
  <si>
    <t>j23b</t>
  </si>
  <si>
    <t>j35</t>
  </si>
  <si>
    <t>j36</t>
  </si>
  <si>
    <t>j37</t>
  </si>
  <si>
    <t>j38</t>
  </si>
  <si>
    <t>j43</t>
  </si>
  <si>
    <t>j45</t>
  </si>
  <si>
    <t>j44</t>
  </si>
  <si>
    <t>j48</t>
  </si>
  <si>
    <t>j49</t>
  </si>
  <si>
    <t>j50</t>
  </si>
  <si>
    <t>j51</t>
  </si>
  <si>
    <t>j60</t>
  </si>
  <si>
    <t>j65</t>
  </si>
  <si>
    <t>j65a</t>
  </si>
  <si>
    <t>j65b</t>
  </si>
  <si>
    <t>Total</t>
  </si>
  <si>
    <t>Representative
PMPL - BRCCPL (JV)
Pratapgarh</t>
  </si>
  <si>
    <t>Representative
Medhaj Techno Concept Pvt Ltd (TPI)
Pratapgarh</t>
  </si>
  <si>
    <t>Representative
UP Jal Nigam (Rural)
Pratapgarh</t>
  </si>
  <si>
    <t xml:space="preserve">CHOUMARI (JMR) BLOCK-MANGRAURA </t>
  </si>
  <si>
    <t>s.no</t>
  </si>
  <si>
    <t>Start Node</t>
  </si>
  <si>
    <t>Type of Road</t>
  </si>
  <si>
    <t>WIDTH OF EXCAVATION</t>
  </si>
  <si>
    <t>Dia of pipe(MM)</t>
  </si>
  <si>
    <t>Pipe Length (M)</t>
  </si>
  <si>
    <t>CUMMULATIVE</t>
  </si>
  <si>
    <t>Depth(M)</t>
  </si>
  <si>
    <t>REMARK</t>
  </si>
  <si>
    <t>J142</t>
  </si>
  <si>
    <t>J155</t>
  </si>
  <si>
    <t>J154</t>
  </si>
  <si>
    <t>J183</t>
  </si>
  <si>
    <t>J183A</t>
  </si>
  <si>
    <t>B.T ROAD</t>
  </si>
  <si>
    <t>J183B</t>
  </si>
  <si>
    <t>J184</t>
  </si>
  <si>
    <t>J184A</t>
  </si>
  <si>
    <t>J71</t>
  </si>
  <si>
    <t>J78</t>
  </si>
  <si>
    <t>BRICK ROAD</t>
  </si>
  <si>
    <t xml:space="preserve">J32 </t>
  </si>
  <si>
    <t>J31A</t>
  </si>
  <si>
    <t>J184B</t>
  </si>
  <si>
    <t>J208</t>
  </si>
  <si>
    <t>J198</t>
  </si>
  <si>
    <t>J201</t>
  </si>
  <si>
    <t>J202</t>
  </si>
  <si>
    <t>J201A</t>
  </si>
  <si>
    <t>J201B</t>
  </si>
  <si>
    <t>J201C</t>
  </si>
  <si>
    <t>J196</t>
  </si>
  <si>
    <t>J197</t>
  </si>
  <si>
    <t>J194</t>
  </si>
  <si>
    <t>J195</t>
  </si>
  <si>
    <t>J189</t>
  </si>
  <si>
    <t>J190</t>
  </si>
  <si>
    <t>J188</t>
  </si>
  <si>
    <t>J186</t>
  </si>
  <si>
    <t>J187</t>
  </si>
  <si>
    <t>J186A</t>
  </si>
  <si>
    <t>J186B</t>
  </si>
  <si>
    <t>J186C</t>
  </si>
  <si>
    <t>J186D</t>
  </si>
  <si>
    <t>J186E</t>
  </si>
  <si>
    <t>J186F</t>
  </si>
  <si>
    <t>J150</t>
  </si>
  <si>
    <t>J151</t>
  </si>
  <si>
    <t>J150A</t>
  </si>
  <si>
    <t>J149</t>
  </si>
  <si>
    <t>J138</t>
  </si>
  <si>
    <t>J185</t>
  </si>
  <si>
    <t>J185A</t>
  </si>
  <si>
    <t>J185B</t>
  </si>
  <si>
    <t>J192</t>
  </si>
  <si>
    <t>J130</t>
  </si>
  <si>
    <t>J129</t>
  </si>
  <si>
    <t>J122</t>
  </si>
  <si>
    <t>J121</t>
  </si>
  <si>
    <t>J115</t>
  </si>
  <si>
    <t>J116</t>
  </si>
  <si>
    <t>J136</t>
  </si>
  <si>
    <t>J137</t>
  </si>
  <si>
    <t>J139</t>
  </si>
  <si>
    <t>J107</t>
  </si>
  <si>
    <t>J108</t>
  </si>
  <si>
    <t>J94</t>
  </si>
  <si>
    <t>J95</t>
  </si>
  <si>
    <t>J39</t>
  </si>
  <si>
    <t>J40</t>
  </si>
  <si>
    <t>J3</t>
  </si>
  <si>
    <t>J4</t>
  </si>
  <si>
    <t>J48</t>
  </si>
  <si>
    <t>J63</t>
  </si>
  <si>
    <t>J66</t>
  </si>
  <si>
    <t>J64</t>
  </si>
  <si>
    <t>J74</t>
  </si>
  <si>
    <t>J76</t>
  </si>
  <si>
    <t>J73</t>
  </si>
  <si>
    <t>J72</t>
  </si>
  <si>
    <t>J59</t>
  </si>
  <si>
    <t>J60</t>
  </si>
  <si>
    <t>J57</t>
  </si>
  <si>
    <t>J58</t>
  </si>
  <si>
    <t>J57A</t>
  </si>
  <si>
    <t>J55</t>
  </si>
  <si>
    <t>J36</t>
  </si>
  <si>
    <t>J26</t>
  </si>
  <si>
    <t>J45</t>
  </si>
  <si>
    <t>J46</t>
  </si>
  <si>
    <t>J81</t>
  </si>
  <si>
    <t>J82</t>
  </si>
  <si>
    <t>J85</t>
  </si>
  <si>
    <t>J83</t>
  </si>
  <si>
    <t>J86</t>
  </si>
  <si>
    <t>J88</t>
  </si>
  <si>
    <t>J84</t>
  </si>
  <si>
    <t>J79</t>
  </si>
  <si>
    <t>J49</t>
  </si>
  <si>
    <t>J18</t>
  </si>
  <si>
    <t>J19</t>
  </si>
  <si>
    <t>J32A</t>
  </si>
  <si>
    <t>J23</t>
  </si>
  <si>
    <t>J21</t>
  </si>
  <si>
    <t>J22</t>
  </si>
  <si>
    <t>J21A</t>
  </si>
  <si>
    <t>J31</t>
  </si>
  <si>
    <t>J56</t>
  </si>
  <si>
    <t>J181</t>
  </si>
  <si>
    <t>J178</t>
  </si>
  <si>
    <t>J180</t>
  </si>
  <si>
    <t>J179</t>
  </si>
  <si>
    <t>J156</t>
  </si>
  <si>
    <t>J160</t>
  </si>
  <si>
    <t>J159</t>
  </si>
  <si>
    <t>J161</t>
  </si>
  <si>
    <t>J162</t>
  </si>
  <si>
    <t>J163</t>
  </si>
  <si>
    <t>J164</t>
  </si>
  <si>
    <t>J167</t>
  </si>
  <si>
    <t>J156A</t>
  </si>
  <si>
    <t>J156B</t>
  </si>
  <si>
    <t>INTERLOCKING</t>
  </si>
  <si>
    <t>J175</t>
  </si>
  <si>
    <t>J177</t>
  </si>
  <si>
    <t>CULVERT</t>
  </si>
  <si>
    <t>J176</t>
  </si>
  <si>
    <t>J93</t>
  </si>
  <si>
    <t>J99</t>
  </si>
  <si>
    <t>J100</t>
  </si>
  <si>
    <t>J127</t>
  </si>
  <si>
    <t>J140</t>
  </si>
  <si>
    <t>J141</t>
  </si>
  <si>
    <t>J3A</t>
  </si>
  <si>
    <t>J3B</t>
  </si>
  <si>
    <t>J5</t>
  </si>
  <si>
    <t>J11</t>
  </si>
  <si>
    <t>J38</t>
  </si>
  <si>
    <t>J47</t>
  </si>
  <si>
    <t>J52</t>
  </si>
  <si>
    <t>J53</t>
  </si>
  <si>
    <t>J175A</t>
  </si>
  <si>
    <t>J175B</t>
  </si>
  <si>
    <t>J105</t>
  </si>
  <si>
    <t>J106</t>
  </si>
  <si>
    <t>J126</t>
  </si>
  <si>
    <t>J125</t>
  </si>
  <si>
    <t>J132A</t>
  </si>
  <si>
    <t>J132B</t>
  </si>
  <si>
    <t>J132C</t>
  </si>
  <si>
    <t>J132E</t>
  </si>
  <si>
    <t>J132D</t>
  </si>
  <si>
    <t>J132F</t>
  </si>
  <si>
    <t>J132G</t>
  </si>
  <si>
    <t>J143</t>
  </si>
  <si>
    <t>J147</t>
  </si>
  <si>
    <t>J128</t>
  </si>
  <si>
    <t>J131</t>
  </si>
  <si>
    <t>J135</t>
  </si>
  <si>
    <t>J132</t>
  </si>
  <si>
    <t>J123</t>
  </si>
  <si>
    <t>J124</t>
  </si>
  <si>
    <t>J119</t>
  </si>
  <si>
    <t>J120</t>
  </si>
  <si>
    <t>J118</t>
  </si>
  <si>
    <t>J114</t>
  </si>
  <si>
    <t>J112</t>
  </si>
  <si>
    <t>J111</t>
  </si>
  <si>
    <t>J104</t>
  </si>
  <si>
    <t>J113</t>
  </si>
  <si>
    <t>J14</t>
  </si>
  <si>
    <t>J24</t>
  </si>
  <si>
    <t>J80</t>
  </si>
  <si>
    <t>J103</t>
  </si>
  <si>
    <t>J14A</t>
  </si>
  <si>
    <t>J14B</t>
  </si>
  <si>
    <t>J2</t>
  </si>
  <si>
    <t>J10</t>
  </si>
  <si>
    <t>J12</t>
  </si>
  <si>
    <t>J101</t>
  </si>
  <si>
    <t>J98</t>
  </si>
  <si>
    <t>J96</t>
  </si>
  <si>
    <t>J91</t>
  </si>
  <si>
    <t>J1</t>
  </si>
  <si>
    <t>J13</t>
  </si>
  <si>
    <t>J9</t>
  </si>
  <si>
    <t>POWER MECH PROJECT LIMITED -BRCPCL(JV).</t>
  </si>
  <si>
    <t>MEDHAJ CONSULTANCY (THIRD PARTY INS.)</t>
  </si>
  <si>
    <t>UTTAR PRADESH JAL NIGAM(RURAL)-CLIENT.</t>
  </si>
  <si>
    <t xml:space="preserve">DESIGNATION </t>
  </si>
  <si>
    <t>NAME</t>
  </si>
  <si>
    <t>SIGN.with date</t>
  </si>
  <si>
    <t>: BHAIDPUR</t>
  </si>
  <si>
    <t>: MANGRAURA</t>
  </si>
  <si>
    <t>: 1</t>
  </si>
  <si>
    <t>Excavation Width</t>
  </si>
  <si>
    <t>J7</t>
  </si>
  <si>
    <t>j93</t>
  </si>
  <si>
    <t>J105A</t>
  </si>
  <si>
    <t>J105B</t>
  </si>
  <si>
    <t>J130A</t>
  </si>
  <si>
    <t>J132(1)</t>
  </si>
  <si>
    <t>J132(2)</t>
  </si>
  <si>
    <t>J8</t>
  </si>
  <si>
    <t>B.T. ROAD</t>
  </si>
  <si>
    <t>J94A</t>
  </si>
  <si>
    <t>J94B</t>
  </si>
  <si>
    <t>J92</t>
  </si>
  <si>
    <t>C.C.</t>
  </si>
  <si>
    <t xml:space="preserve">J11 </t>
  </si>
  <si>
    <t>J13A</t>
  </si>
  <si>
    <t>J13B</t>
  </si>
  <si>
    <t>J25</t>
  </si>
  <si>
    <t>J34</t>
  </si>
  <si>
    <t>J39A</t>
  </si>
  <si>
    <t>J44</t>
  </si>
  <si>
    <t>J62</t>
  </si>
  <si>
    <t>J77</t>
  </si>
  <si>
    <t>J84A</t>
  </si>
  <si>
    <t>J68</t>
  </si>
  <si>
    <t>J65</t>
  </si>
  <si>
    <t>J17</t>
  </si>
  <si>
    <t>J21B</t>
  </si>
  <si>
    <t>J28</t>
  </si>
  <si>
    <t>J27</t>
  </si>
  <si>
    <t>J53A</t>
  </si>
  <si>
    <t>J53B</t>
  </si>
  <si>
    <t>J42</t>
  </si>
  <si>
    <t>J49A</t>
  </si>
  <si>
    <t>J28A</t>
  </si>
  <si>
    <t>J12A</t>
  </si>
  <si>
    <t>J12B</t>
  </si>
  <si>
    <t>J12C</t>
  </si>
  <si>
    <t>J43</t>
  </si>
  <si>
    <t>J75</t>
  </si>
  <si>
    <t>J50</t>
  </si>
  <si>
    <t>J64A</t>
  </si>
  <si>
    <t>J37</t>
  </si>
  <si>
    <t>J33</t>
  </si>
  <si>
    <t>J32</t>
  </si>
  <si>
    <t>J69</t>
  </si>
  <si>
    <t>J80A</t>
  </si>
  <si>
    <t>J80B</t>
  </si>
  <si>
    <t>J71A</t>
  </si>
  <si>
    <t>J71B</t>
  </si>
  <si>
    <t>J72A</t>
  </si>
  <si>
    <t>J72B</t>
  </si>
  <si>
    <t>J70</t>
  </si>
  <si>
    <t>J129A</t>
  </si>
  <si>
    <t>J136A</t>
  </si>
  <si>
    <t>142A</t>
  </si>
  <si>
    <t>J142A</t>
  </si>
  <si>
    <t>J142B</t>
  </si>
  <si>
    <t>J146</t>
  </si>
  <si>
    <t xml:space="preserve">J129 </t>
  </si>
  <si>
    <t>J152</t>
  </si>
  <si>
    <t>J133</t>
  </si>
  <si>
    <t>J134</t>
  </si>
  <si>
    <t>J130B</t>
  </si>
  <si>
    <t>J129B</t>
  </si>
  <si>
    <t>J97A</t>
  </si>
  <si>
    <t>J115A</t>
  </si>
  <si>
    <t>J115B</t>
  </si>
  <si>
    <t>J118A</t>
  </si>
  <si>
    <t>J109</t>
  </si>
  <si>
    <t>J102A</t>
  </si>
  <si>
    <t>J102B</t>
  </si>
  <si>
    <t>J102</t>
  </si>
  <si>
    <t xml:space="preserve">DARAOULI(JMR) BLOCK-MANGRAURA </t>
  </si>
  <si>
    <t>Sl.No</t>
  </si>
  <si>
    <t>WIDTH OF DISMATLING</t>
  </si>
  <si>
    <t>KC</t>
  </si>
  <si>
    <t>BOE</t>
  </si>
  <si>
    <t>173A</t>
  </si>
  <si>
    <t>173B</t>
  </si>
  <si>
    <t xml:space="preserve">B.T. ROAD </t>
  </si>
  <si>
    <t>ROAD CROSSING</t>
  </si>
  <si>
    <t>J169</t>
  </si>
  <si>
    <t>B.T</t>
  </si>
  <si>
    <t>J220</t>
  </si>
  <si>
    <t>J229</t>
  </si>
  <si>
    <t>J218</t>
  </si>
  <si>
    <t>J165</t>
  </si>
  <si>
    <t>J244</t>
  </si>
  <si>
    <t>J204</t>
  </si>
  <si>
    <t>J230</t>
  </si>
  <si>
    <t>`</t>
  </si>
  <si>
    <t>Abstract (Bill Breakup)</t>
  </si>
  <si>
    <t>Dia of Pipe</t>
  </si>
  <si>
    <t>WO/DPR Qty's</t>
  </si>
  <si>
    <t>Laying, Jointing, Backfilling - 60%</t>
  </si>
  <si>
    <t>Gap Closing- 5%</t>
  </si>
  <si>
    <t>Hydro Test - 15%</t>
  </si>
  <si>
    <t>FHTC Stretch - 10%</t>
  </si>
  <si>
    <t>Laying Up to Date</t>
  </si>
  <si>
    <t>Laying Qty Billed up to Date</t>
  </si>
  <si>
    <t>Qty Billed Up to Previous</t>
  </si>
  <si>
    <t xml:space="preserve">This Bill Qty (Laying) </t>
  </si>
  <si>
    <t>GAP Closing Billed Qty up to Date</t>
  </si>
  <si>
    <t>GAP Closing Qty Up to Previous</t>
  </si>
  <si>
    <t xml:space="preserve">This Bill Qty (GAP Closing) </t>
  </si>
  <si>
    <t>Hydro Test Qty Billed up to Date</t>
  </si>
  <si>
    <t>Hydro Test Qty Up to Previous</t>
  </si>
  <si>
    <t xml:space="preserve">This Bill Qty (Hydro Test ) </t>
  </si>
  <si>
    <t>FHTC Stretch Qty Billed  up to Date</t>
  </si>
  <si>
    <t>FHTC Stretch Qty Billed Up to Previous</t>
  </si>
  <si>
    <t xml:space="preserve">This Bill Qty (FHTC Stretch Billed ) </t>
  </si>
  <si>
    <t>63 mm HDPE</t>
  </si>
  <si>
    <t>75 mm HDPE</t>
  </si>
  <si>
    <t>90 mm HDPE</t>
  </si>
  <si>
    <t>110mm HDPE</t>
  </si>
  <si>
    <t>125mm HDPE</t>
  </si>
  <si>
    <t>140mm HDPE</t>
  </si>
  <si>
    <t>160mm HDPE</t>
  </si>
  <si>
    <t>180mm HDPE</t>
  </si>
  <si>
    <t>200mm HDPE</t>
  </si>
  <si>
    <t>Sub Total =</t>
  </si>
  <si>
    <t xml:space="preserve">                                                                                                 </t>
  </si>
  <si>
    <t xml:space="preserve">Sub-Contractor                Site Engineer                (Sr.Eng/ DY.M-SMX )                 (Dy.M-PMX )                   AGM                Project Incharge </t>
  </si>
  <si>
    <t xml:space="preserve">Parsanda(JMR) BLOCK-MANGRAURA </t>
  </si>
  <si>
    <t>j56A</t>
  </si>
  <si>
    <t>J56B</t>
  </si>
  <si>
    <t>j52</t>
  </si>
  <si>
    <t>j30</t>
  </si>
  <si>
    <t>j31</t>
  </si>
  <si>
    <t>J30</t>
  </si>
  <si>
    <t>J29A</t>
  </si>
  <si>
    <t>J29</t>
  </si>
  <si>
    <t>J41</t>
  </si>
  <si>
    <t>J29B</t>
  </si>
  <si>
    <t>J87</t>
  </si>
  <si>
    <t>J90A</t>
  </si>
  <si>
    <t>J90B</t>
  </si>
  <si>
    <t>J77A</t>
  </si>
  <si>
    <t>J75A</t>
  </si>
  <si>
    <t>J75B</t>
  </si>
  <si>
    <t>J84B</t>
  </si>
  <si>
    <t>J90</t>
  </si>
  <si>
    <t>J92A</t>
  </si>
  <si>
    <t>J92B</t>
  </si>
  <si>
    <t>J152A</t>
  </si>
  <si>
    <t>J152B</t>
  </si>
  <si>
    <t>J51</t>
  </si>
  <si>
    <t>J56A</t>
  </si>
  <si>
    <t>J20</t>
  </si>
  <si>
    <t>J67</t>
  </si>
  <si>
    <t>J35</t>
  </si>
  <si>
    <t>BT.ROAD</t>
  </si>
  <si>
    <t xml:space="preserve">LAULI POKHTAKHAM(JMR) BLOCK-MANGRAURA </t>
  </si>
  <si>
    <t>S.NO.</t>
  </si>
  <si>
    <t>Dia of pipe(mm)</t>
  </si>
  <si>
    <t>J293</t>
  </si>
  <si>
    <t>J296</t>
  </si>
  <si>
    <t>J296A</t>
  </si>
  <si>
    <t>J296B</t>
  </si>
  <si>
    <t>J296C</t>
  </si>
  <si>
    <t>J116A</t>
  </si>
  <si>
    <t>J116B</t>
  </si>
  <si>
    <t>J97</t>
  </si>
  <si>
    <t>J89</t>
  </si>
  <si>
    <t>J39B</t>
  </si>
  <si>
    <t>J15</t>
  </si>
  <si>
    <t>J157</t>
  </si>
  <si>
    <t>J143A</t>
  </si>
  <si>
    <t>J143B</t>
  </si>
  <si>
    <t>J173</t>
  </si>
  <si>
    <t>J190A</t>
  </si>
  <si>
    <t>J267</t>
  </si>
  <si>
    <t>J265</t>
  </si>
  <si>
    <t>J253</t>
  </si>
  <si>
    <t>J166</t>
  </si>
  <si>
    <t>J289</t>
  </si>
  <si>
    <t>J295</t>
  </si>
  <si>
    <t xml:space="preserve">J152 </t>
  </si>
  <si>
    <t>J262</t>
  </si>
  <si>
    <t>J264</t>
  </si>
  <si>
    <t>J256</t>
  </si>
  <si>
    <t>J261</t>
  </si>
  <si>
    <t>J261A</t>
  </si>
  <si>
    <t>J271</t>
  </si>
  <si>
    <t>J242</t>
  </si>
  <si>
    <t>J249</t>
  </si>
  <si>
    <t>J294</t>
  </si>
  <si>
    <t>J288</t>
  </si>
  <si>
    <t>J188A</t>
  </si>
  <si>
    <t>J188B</t>
  </si>
  <si>
    <t>J170</t>
  </si>
  <si>
    <t>J247</t>
  </si>
  <si>
    <t>J251</t>
  </si>
  <si>
    <t>J172</t>
  </si>
  <si>
    <t>J252</t>
  </si>
  <si>
    <t>J215</t>
  </si>
  <si>
    <t>J273</t>
  </si>
  <si>
    <t>J171</t>
  </si>
  <si>
    <t>J171A</t>
  </si>
  <si>
    <t>J171B</t>
  </si>
  <si>
    <t>J199</t>
  </si>
  <si>
    <t>J193</t>
  </si>
  <si>
    <t>J222A</t>
  </si>
  <si>
    <t>J222</t>
  </si>
  <si>
    <t xml:space="preserve">J222 </t>
  </si>
  <si>
    <t>J203</t>
  </si>
  <si>
    <t>J210</t>
  </si>
  <si>
    <t>J236</t>
  </si>
  <si>
    <t>J238</t>
  </si>
  <si>
    <t>J224</t>
  </si>
  <si>
    <t>J219</t>
  </si>
  <si>
    <t>J240</t>
  </si>
  <si>
    <t>J257</t>
  </si>
  <si>
    <t>J224A</t>
  </si>
  <si>
    <t>J190B</t>
  </si>
  <si>
    <t>J207</t>
  </si>
  <si>
    <t>J174</t>
  </si>
  <si>
    <t>J197A</t>
  </si>
  <si>
    <t>J197B</t>
  </si>
  <si>
    <t>J224B</t>
  </si>
  <si>
    <t>J6</t>
  </si>
  <si>
    <t>J25A</t>
  </si>
  <si>
    <t>J25B</t>
  </si>
  <si>
    <t>J25C</t>
  </si>
  <si>
    <t>J25D</t>
  </si>
  <si>
    <t xml:space="preserve">J7 </t>
  </si>
  <si>
    <t>J69A</t>
  </si>
  <si>
    <t>J5A</t>
  </si>
  <si>
    <t>J70(1)</t>
  </si>
  <si>
    <t>J65(1)</t>
  </si>
  <si>
    <t xml:space="preserve">J70 </t>
  </si>
  <si>
    <t xml:space="preserve">J65 </t>
  </si>
  <si>
    <t>J50A</t>
  </si>
  <si>
    <t>J50B</t>
  </si>
  <si>
    <t>J225</t>
  </si>
  <si>
    <t>J194A</t>
  </si>
  <si>
    <t>J194B</t>
  </si>
  <si>
    <t>J212</t>
  </si>
  <si>
    <t>J217</t>
  </si>
  <si>
    <t>J206</t>
  </si>
  <si>
    <t>J239</t>
  </si>
  <si>
    <t>J168</t>
  </si>
  <si>
    <t>J227</t>
  </si>
  <si>
    <t>J233</t>
  </si>
  <si>
    <t>J61A</t>
  </si>
  <si>
    <t>J61B</t>
  </si>
  <si>
    <t>J61C</t>
  </si>
  <si>
    <t>J52A</t>
  </si>
  <si>
    <t>J52B</t>
  </si>
  <si>
    <t>J52C</t>
  </si>
  <si>
    <t>J61</t>
  </si>
  <si>
    <t xml:space="preserve">KANSAPATTI(JMR) BLOCK-MANGRAURA </t>
  </si>
  <si>
    <t>CROSSING</t>
  </si>
  <si>
    <t>J16</t>
  </si>
  <si>
    <t>J63A</t>
  </si>
  <si>
    <t>J63B</t>
  </si>
  <si>
    <t>J76A</t>
  </si>
  <si>
    <t>J76B</t>
  </si>
  <si>
    <t>J89A</t>
  </si>
  <si>
    <t>J89B</t>
  </si>
  <si>
    <t>J89C</t>
  </si>
  <si>
    <t>J89D</t>
  </si>
  <si>
    <t>J89E</t>
  </si>
  <si>
    <t>J89F</t>
  </si>
  <si>
    <t>J110</t>
  </si>
  <si>
    <t>J117</t>
  </si>
  <si>
    <t>J85A</t>
  </si>
  <si>
    <t>J85B</t>
  </si>
  <si>
    <t>J44A</t>
  </si>
  <si>
    <t>J70A</t>
  </si>
  <si>
    <t>J70B</t>
  </si>
  <si>
    <t>J20A</t>
  </si>
  <si>
    <t>J20B</t>
  </si>
  <si>
    <t xml:space="preserve">PUREMANIKANTH(JMR) BLOCK-MANGRAURA </t>
  </si>
  <si>
    <t>J54</t>
  </si>
  <si>
    <t>J29C</t>
  </si>
  <si>
    <t>J29D</t>
  </si>
  <si>
    <t>J29E</t>
  </si>
  <si>
    <t>C.C. ROAD</t>
  </si>
  <si>
    <t>J74A</t>
  </si>
  <si>
    <t>J74B</t>
  </si>
  <si>
    <t xml:space="preserve">J3 </t>
  </si>
  <si>
    <t xml:space="preserve">J4 </t>
  </si>
  <si>
    <t xml:space="preserve">J22 </t>
  </si>
  <si>
    <t>J17A</t>
  </si>
  <si>
    <t>J17B</t>
  </si>
  <si>
    <t xml:space="preserve">J9 </t>
  </si>
  <si>
    <t>J148</t>
  </si>
  <si>
    <t>PR</t>
  </si>
  <si>
    <t>J128A</t>
  </si>
  <si>
    <t>J153</t>
  </si>
  <si>
    <t>J79A</t>
  </si>
  <si>
    <t>J79B</t>
  </si>
  <si>
    <t>J79C</t>
  </si>
  <si>
    <t>J79D</t>
  </si>
  <si>
    <t>J24A</t>
  </si>
  <si>
    <t>J24B</t>
  </si>
  <si>
    <t>J56C</t>
  </si>
  <si>
    <t>J56D</t>
  </si>
  <si>
    <t>J5B</t>
  </si>
  <si>
    <t xml:space="preserve">J2 </t>
  </si>
  <si>
    <t>J2A</t>
  </si>
  <si>
    <t xml:space="preserve">J74 </t>
  </si>
  <si>
    <t>DEHRI DIGAR(JMR) BLOCK-MANGRAURA</t>
  </si>
  <si>
    <t>REMARKS</t>
  </si>
  <si>
    <t>J223</t>
  </si>
  <si>
    <t>J221A</t>
  </si>
  <si>
    <t>J221B</t>
  </si>
  <si>
    <t>J221</t>
  </si>
  <si>
    <t>J221C</t>
  </si>
  <si>
    <t>J221D</t>
  </si>
  <si>
    <t>J213</t>
  </si>
  <si>
    <t>J214</t>
  </si>
  <si>
    <t>BT ROAD</t>
  </si>
  <si>
    <t>Road Crossing</t>
  </si>
  <si>
    <t>J243</t>
  </si>
  <si>
    <t>J241</t>
  </si>
  <si>
    <t>J241A</t>
  </si>
  <si>
    <t>J241B</t>
  </si>
  <si>
    <t>J245</t>
  </si>
  <si>
    <t>J235</t>
  </si>
  <si>
    <t>J234</t>
  </si>
  <si>
    <t xml:space="preserve">J221 </t>
  </si>
  <si>
    <t>J248</t>
  </si>
  <si>
    <t>J250</t>
  </si>
  <si>
    <t>J258</t>
  </si>
  <si>
    <t>J259</t>
  </si>
  <si>
    <t>J263</t>
  </si>
  <si>
    <t>J254</t>
  </si>
  <si>
    <t>J216</t>
  </si>
  <si>
    <t>J209</t>
  </si>
  <si>
    <t>J231</t>
  </si>
  <si>
    <t>J232</t>
  </si>
  <si>
    <t>J237</t>
  </si>
  <si>
    <t>J210A</t>
  </si>
  <si>
    <t>J210B</t>
  </si>
  <si>
    <t>J211</t>
  </si>
  <si>
    <t>J246</t>
  </si>
  <si>
    <t>J247A</t>
  </si>
  <si>
    <t>J247B</t>
  </si>
  <si>
    <t>J205</t>
  </si>
  <si>
    <t>j202</t>
  </si>
  <si>
    <t>J182</t>
  </si>
  <si>
    <t>PADAMPUR(JMR)</t>
  </si>
  <si>
    <t>Dia of pipe</t>
  </si>
  <si>
    <t>J140A</t>
  </si>
  <si>
    <t xml:space="preserve">C.C. </t>
  </si>
  <si>
    <t>j57</t>
  </si>
  <si>
    <t>j54</t>
  </si>
  <si>
    <t>j94</t>
  </si>
  <si>
    <t>j120</t>
  </si>
  <si>
    <t>j149</t>
  </si>
  <si>
    <t>j8</t>
  </si>
  <si>
    <t>j92</t>
  </si>
  <si>
    <t>j26</t>
  </si>
  <si>
    <t>cc road</t>
  </si>
  <si>
    <t>j117</t>
  </si>
  <si>
    <t>j110</t>
  </si>
  <si>
    <t>J93A</t>
  </si>
  <si>
    <t>extra 2.4m culvert</t>
  </si>
  <si>
    <t>DIA</t>
  </si>
  <si>
    <t>TOTALSCOPE</t>
  </si>
  <si>
    <t>Issue (M)</t>
  </si>
  <si>
    <t>Laid (M)</t>
  </si>
  <si>
    <t>Balance Against Issue (M)</t>
  </si>
  <si>
    <t xml:space="preserve"> </t>
  </si>
  <si>
    <t>INCOMPLETE</t>
  </si>
  <si>
    <t>SAKRA</t>
  </si>
  <si>
    <t>Date</t>
  </si>
  <si>
    <t>DI/HDPE</t>
  </si>
  <si>
    <t>Cumulative Length (M)</t>
  </si>
  <si>
    <t>LHS/RHS</t>
  </si>
  <si>
    <t>Distance from Road C/L</t>
  </si>
  <si>
    <t xml:space="preserve">  Site Engineer Sign</t>
  </si>
  <si>
    <t>FITTINGS</t>
  </si>
  <si>
    <t>RESTORATION</t>
  </si>
  <si>
    <t>75mm</t>
  </si>
  <si>
    <t>90mm</t>
  </si>
  <si>
    <t xml:space="preserve">110mm </t>
  </si>
  <si>
    <t xml:space="preserve">125mm </t>
  </si>
  <si>
    <t>140mm</t>
  </si>
  <si>
    <t>160mm</t>
  </si>
  <si>
    <t>TYPE OF ROAD</t>
  </si>
  <si>
    <t>63mm</t>
  </si>
  <si>
    <t>Cumulative</t>
  </si>
  <si>
    <t>lhs</t>
  </si>
  <si>
    <t>SHASHIRANJAN</t>
  </si>
  <si>
    <t>JN6-63 ENDCAP</t>
  </si>
  <si>
    <t>bt road</t>
  </si>
  <si>
    <t>ccroad</t>
  </si>
  <si>
    <t>I.L road</t>
  </si>
  <si>
    <t>RHS</t>
  </si>
  <si>
    <t>J7-63 TEE,RED-90*63</t>
  </si>
  <si>
    <t>J11-63ENDCAP</t>
  </si>
  <si>
    <t>KACHA</t>
  </si>
  <si>
    <t>J171-63ENDCAP</t>
  </si>
  <si>
    <t>B.T road</t>
  </si>
  <si>
    <t>J101-63EQUAL TEE</t>
  </si>
  <si>
    <t>J178-ENDCAP</t>
  </si>
  <si>
    <t>J132-ENDCAP</t>
  </si>
  <si>
    <t>90*90*90,90*63,ENDCAP</t>
  </si>
  <si>
    <t>ENDCAP</t>
  </si>
  <si>
    <t>90*63REDUCER</t>
  </si>
  <si>
    <t>END CAP</t>
  </si>
  <si>
    <t>110*110*110,110*63,ENDCAP</t>
  </si>
  <si>
    <t>63*63*63</t>
  </si>
  <si>
    <t>PRIVATELAND-ENDCAP</t>
  </si>
  <si>
    <t>75*75*75,75*63</t>
  </si>
  <si>
    <t>90*63</t>
  </si>
  <si>
    <t>J12-75*63RED</t>
  </si>
  <si>
    <t>75*75*75,75*63-2NOS</t>
  </si>
  <si>
    <t>75*75*63</t>
  </si>
  <si>
    <t>110*110*110,110*75</t>
  </si>
  <si>
    <t>J22,J72</t>
  </si>
  <si>
    <t>J32-90*90*63</t>
  </si>
  <si>
    <t>J13-90*90*63</t>
  </si>
  <si>
    <t>J9-90TEE,90*75RED</t>
  </si>
  <si>
    <t>90*90*63</t>
  </si>
  <si>
    <t>110*110*110,110*63</t>
  </si>
  <si>
    <t>J69/A</t>
  </si>
  <si>
    <t>140*140*110</t>
  </si>
  <si>
    <t>110*90REDUCER</t>
  </si>
  <si>
    <t>110*110*110,63*63*63,110*63</t>
  </si>
  <si>
    <t>110*110*110</t>
  </si>
  <si>
    <t>110*110*110,110*63RED</t>
  </si>
  <si>
    <t>cummulative</t>
  </si>
  <si>
    <t>J159A</t>
  </si>
  <si>
    <t>J228</t>
  </si>
  <si>
    <t>J16,J152</t>
  </si>
  <si>
    <t>Cummulative</t>
  </si>
  <si>
    <t>J139,J191</t>
  </si>
  <si>
    <t>J157,J117</t>
  </si>
  <si>
    <t>J97,J107,J140</t>
  </si>
  <si>
    <t>HARDOI</t>
  </si>
  <si>
    <t>Remarks</t>
  </si>
  <si>
    <t>HDPE</t>
  </si>
  <si>
    <t>LHS</t>
  </si>
  <si>
    <t>J29(A)</t>
  </si>
  <si>
    <t>J47(A)</t>
  </si>
  <si>
    <t>84(A)</t>
  </si>
  <si>
    <t>J96(A)</t>
  </si>
  <si>
    <t>95(A)</t>
  </si>
  <si>
    <t>J99(A)</t>
  </si>
  <si>
    <t>92(A)</t>
  </si>
  <si>
    <t>J82(A)</t>
  </si>
  <si>
    <t>63(A)</t>
  </si>
  <si>
    <t>OHT</t>
  </si>
  <si>
    <t>Gehrauli</t>
  </si>
  <si>
    <t>125mm</t>
  </si>
  <si>
    <t>Nikhil</t>
  </si>
  <si>
    <t>j122</t>
  </si>
  <si>
    <t>j39</t>
  </si>
  <si>
    <t>j18</t>
  </si>
  <si>
    <t>j24</t>
  </si>
  <si>
    <t>j29</t>
  </si>
  <si>
    <t>j29(1)</t>
  </si>
  <si>
    <t>j29(2)</t>
  </si>
  <si>
    <t>j27</t>
  </si>
  <si>
    <t>j142</t>
  </si>
  <si>
    <t>j154</t>
  </si>
  <si>
    <t>j20</t>
  </si>
  <si>
    <t>j21</t>
  </si>
  <si>
    <t>Brick road</t>
  </si>
  <si>
    <t>j123</t>
  </si>
  <si>
    <t>j41</t>
  </si>
  <si>
    <t>j98</t>
  </si>
  <si>
    <t>j2(b)</t>
  </si>
  <si>
    <t>j5(1)</t>
  </si>
  <si>
    <t>j2(a)</t>
  </si>
  <si>
    <t>j100</t>
  </si>
  <si>
    <t>I.L.</t>
  </si>
  <si>
    <t>J144</t>
  </si>
  <si>
    <t>J145</t>
  </si>
  <si>
    <t>SQMETER</t>
  </si>
  <si>
    <t>pipe length</t>
  </si>
  <si>
    <t>j2a</t>
  </si>
  <si>
    <t>j2b</t>
  </si>
  <si>
    <t>seshpur adharganj</t>
  </si>
  <si>
    <t>DIA/HDPE</t>
  </si>
  <si>
    <t>SITE ENGINEER</t>
  </si>
  <si>
    <t>Road restoration</t>
  </si>
  <si>
    <t>J92(A)</t>
  </si>
  <si>
    <t>J113(1)</t>
  </si>
  <si>
    <t>J113(2)</t>
  </si>
  <si>
    <t>J75(1)</t>
  </si>
  <si>
    <t>J75(2)</t>
  </si>
  <si>
    <t>J92(B)</t>
  </si>
  <si>
    <t>J158</t>
  </si>
  <si>
    <t>j104(a)</t>
  </si>
  <si>
    <t>j104(b)</t>
  </si>
  <si>
    <t>J68(1)</t>
  </si>
  <si>
    <t>j165A</t>
  </si>
  <si>
    <t>j165B</t>
  </si>
  <si>
    <t>J2(A)</t>
  </si>
  <si>
    <t>J5(B)</t>
  </si>
  <si>
    <t>J12(1)</t>
  </si>
  <si>
    <t>J39(1)</t>
  </si>
  <si>
    <t>dia of pipe</t>
  </si>
  <si>
    <t>avg width-0.390</t>
  </si>
  <si>
    <t>Cummilative</t>
  </si>
  <si>
    <t>sqm</t>
  </si>
  <si>
    <t>rupees</t>
  </si>
  <si>
    <t>average width-0.419</t>
  </si>
  <si>
    <t>total rupees</t>
  </si>
  <si>
    <t>ATTARSAND AND PARASPUR</t>
  </si>
  <si>
    <t>200mm</t>
  </si>
  <si>
    <t>KACHA ROAD</t>
  </si>
  <si>
    <t>j85</t>
  </si>
  <si>
    <t>j241</t>
  </si>
  <si>
    <t>j655</t>
  </si>
  <si>
    <t>j634</t>
  </si>
  <si>
    <t>j731</t>
  </si>
  <si>
    <t>j747</t>
  </si>
  <si>
    <t>j471</t>
  </si>
  <si>
    <t>j575</t>
  </si>
  <si>
    <t>j399</t>
  </si>
  <si>
    <t>j735</t>
  </si>
  <si>
    <t>j708</t>
  </si>
  <si>
    <t>j80</t>
  </si>
  <si>
    <t>j97</t>
  </si>
  <si>
    <t>j274</t>
  </si>
  <si>
    <t>j378</t>
  </si>
  <si>
    <t>j474</t>
  </si>
  <si>
    <t>j384</t>
  </si>
  <si>
    <t>j694</t>
  </si>
  <si>
    <t>j700</t>
  </si>
  <si>
    <t>j301</t>
  </si>
  <si>
    <t>j604</t>
  </si>
  <si>
    <t>j505</t>
  </si>
  <si>
    <t>J534</t>
  </si>
  <si>
    <t>j499</t>
  </si>
  <si>
    <t>j170</t>
  </si>
  <si>
    <t>j252</t>
  </si>
  <si>
    <t>j725</t>
  </si>
  <si>
    <t>j340</t>
  </si>
  <si>
    <t>j488</t>
  </si>
  <si>
    <t>j145</t>
  </si>
  <si>
    <t>j373</t>
  </si>
  <si>
    <t>j456</t>
  </si>
  <si>
    <t>j228</t>
  </si>
  <si>
    <t>j723</t>
  </si>
  <si>
    <t>j748</t>
  </si>
  <si>
    <t>j0</t>
  </si>
  <si>
    <t>MANGRAURA</t>
  </si>
  <si>
    <t>J191</t>
  </si>
  <si>
    <t>C .C ROAD</t>
  </si>
  <si>
    <t>J193(1)</t>
  </si>
  <si>
    <t>JJ168</t>
  </si>
  <si>
    <t>J150(A)</t>
  </si>
  <si>
    <t xml:space="preserve">BRICK ROAD </t>
  </si>
  <si>
    <t>j19</t>
  </si>
  <si>
    <t>j40</t>
  </si>
  <si>
    <t>j192</t>
  </si>
  <si>
    <t>j188</t>
  </si>
  <si>
    <t>j195</t>
  </si>
  <si>
    <t>j118</t>
  </si>
  <si>
    <t>j203</t>
  </si>
  <si>
    <t>J200</t>
  </si>
  <si>
    <t>Mangraura</t>
  </si>
  <si>
    <t>JJ88</t>
  </si>
  <si>
    <t>GP</t>
  </si>
  <si>
    <t>mangraura</t>
  </si>
  <si>
    <t>Agency Name/    Work Order No</t>
  </si>
  <si>
    <t>Unity Infra</t>
  </si>
  <si>
    <t>63MM</t>
  </si>
  <si>
    <t>TOTAL</t>
  </si>
  <si>
    <t>90MM</t>
  </si>
  <si>
    <t>110MM</t>
  </si>
  <si>
    <t>125MM</t>
  </si>
  <si>
    <t>140MM</t>
  </si>
  <si>
    <t>ATTARASAND AND PARASPUR</t>
  </si>
  <si>
    <t>J610</t>
  </si>
  <si>
    <t>J667</t>
  </si>
  <si>
    <t>J630</t>
  </si>
  <si>
    <t>J554</t>
  </si>
  <si>
    <t>J411</t>
  </si>
  <si>
    <t>J428</t>
  </si>
  <si>
    <t>J322</t>
  </si>
  <si>
    <t>J549</t>
  </si>
  <si>
    <t>J568</t>
  </si>
  <si>
    <t>J517</t>
  </si>
  <si>
    <t>J611</t>
  </si>
  <si>
    <t>J587</t>
  </si>
  <si>
    <t>J594</t>
  </si>
  <si>
    <t>J504</t>
  </si>
  <si>
    <t>CC ROAD</t>
  </si>
  <si>
    <t>J490</t>
  </si>
  <si>
    <t>J663</t>
  </si>
  <si>
    <t>J653</t>
  </si>
  <si>
    <t>J503</t>
  </si>
  <si>
    <t>J666</t>
  </si>
  <si>
    <t>J642A</t>
  </si>
  <si>
    <t>J647</t>
  </si>
  <si>
    <t>J681</t>
  </si>
  <si>
    <t>J631</t>
  </si>
  <si>
    <t>J556</t>
  </si>
  <si>
    <t>J651</t>
  </si>
  <si>
    <t>J573</t>
  </si>
  <si>
    <t>J458</t>
  </si>
  <si>
    <t>J599A</t>
  </si>
  <si>
    <t>J599B</t>
  </si>
  <si>
    <t>J599</t>
  </si>
  <si>
    <t>J318</t>
  </si>
  <si>
    <t>J323</t>
  </si>
  <si>
    <t>J380</t>
  </si>
  <si>
    <t>J522</t>
  </si>
  <si>
    <t>J578</t>
  </si>
  <si>
    <t>J475</t>
  </si>
  <si>
    <t>J658</t>
  </si>
  <si>
    <t>J475A</t>
  </si>
  <si>
    <t>J658A</t>
  </si>
  <si>
    <t>J532</t>
  </si>
  <si>
    <t>J758</t>
  </si>
  <si>
    <t>J710</t>
  </si>
  <si>
    <t>J727</t>
  </si>
  <si>
    <t>J304</t>
  </si>
  <si>
    <t>J309</t>
  </si>
  <si>
    <t>J580</t>
  </si>
  <si>
    <t>J676</t>
  </si>
  <si>
    <t>J643</t>
  </si>
  <si>
    <t>J357</t>
  </si>
  <si>
    <t>J570</t>
  </si>
  <si>
    <t>J440</t>
  </si>
  <si>
    <t>J536</t>
  </si>
  <si>
    <t>J660</t>
  </si>
  <si>
    <t>J349</t>
  </si>
  <si>
    <t>J459</t>
  </si>
  <si>
    <t>J227A</t>
  </si>
  <si>
    <t>J368</t>
  </si>
  <si>
    <t>J368A</t>
  </si>
  <si>
    <t>J454</t>
  </si>
  <si>
    <t>J628</t>
  </si>
  <si>
    <t>J219A</t>
  </si>
  <si>
    <t>J219B</t>
  </si>
  <si>
    <t>J246A</t>
  </si>
  <si>
    <t>J246B</t>
  </si>
  <si>
    <t>J481</t>
  </si>
  <si>
    <t>J460</t>
  </si>
  <si>
    <t>J391</t>
  </si>
  <si>
    <t>J461</t>
  </si>
  <si>
    <t>J561</t>
  </si>
  <si>
    <t>J680</t>
  </si>
  <si>
    <t>J328</t>
  </si>
  <si>
    <t>J339</t>
  </si>
  <si>
    <t>J624</t>
  </si>
  <si>
    <t>J619</t>
  </si>
  <si>
    <t>BALANCE</t>
  </si>
  <si>
    <t>J269</t>
  </si>
  <si>
    <t>J316</t>
  </si>
  <si>
    <t>J299</t>
  </si>
  <si>
    <t>J362</t>
  </si>
  <si>
    <t>J733</t>
  </si>
  <si>
    <t>J717</t>
  </si>
  <si>
    <t>J433</t>
  </si>
  <si>
    <t>J527</t>
  </si>
  <si>
    <t>J494</t>
  </si>
  <si>
    <t>J450</t>
  </si>
  <si>
    <t>J566</t>
  </si>
  <si>
    <t>J738</t>
  </si>
  <si>
    <t>J757</t>
  </si>
  <si>
    <t>J754</t>
  </si>
  <si>
    <t>J684</t>
  </si>
  <si>
    <t>J593</t>
  </si>
  <si>
    <t>J640</t>
  </si>
  <si>
    <t>J689</t>
  </si>
  <si>
    <t>J465</t>
  </si>
  <si>
    <t>J616</t>
  </si>
  <si>
    <t>J574</t>
  </si>
  <si>
    <t>J559</t>
  </si>
  <si>
    <t>J599(A)</t>
  </si>
  <si>
    <t>J682</t>
  </si>
  <si>
    <t>J742</t>
  </si>
  <si>
    <t>J695</t>
  </si>
  <si>
    <t>J703</t>
  </si>
  <si>
    <t>B .T ROAD</t>
  </si>
  <si>
    <t>J690</t>
  </si>
  <si>
    <t>J310</t>
  </si>
  <si>
    <t>j626</t>
  </si>
  <si>
    <t>j574</t>
  </si>
  <si>
    <t>J751</t>
  </si>
  <si>
    <t>J659</t>
  </si>
  <si>
    <t>J307</t>
  </si>
  <si>
    <t>j610</t>
  </si>
  <si>
    <t>j450</t>
  </si>
  <si>
    <t>j616</t>
  </si>
  <si>
    <t>j552</t>
  </si>
  <si>
    <t>j433</t>
  </si>
  <si>
    <t>J698</t>
  </si>
  <si>
    <t>J714</t>
  </si>
  <si>
    <t>J718</t>
  </si>
  <si>
    <t>J448</t>
  </si>
  <si>
    <t>J462</t>
  </si>
  <si>
    <t>J374</t>
  </si>
  <si>
    <t>J479</t>
  </si>
  <si>
    <t>J524</t>
  </si>
  <si>
    <t>J382</t>
  </si>
  <si>
    <t>J394</t>
  </si>
  <si>
    <t>J469</t>
  </si>
  <si>
    <t>J379</t>
  </si>
  <si>
    <t>J338</t>
  </si>
  <si>
    <t>J410</t>
  </si>
  <si>
    <t>J567</t>
  </si>
  <si>
    <t>J358</t>
  </si>
  <si>
    <t>J439</t>
  </si>
  <si>
    <t>J544</t>
  </si>
  <si>
    <t>J484</t>
  </si>
  <si>
    <t>JJ166</t>
  </si>
  <si>
    <t>J463</t>
  </si>
  <si>
    <t>J589</t>
  </si>
  <si>
    <t>J467</t>
  </si>
  <si>
    <t>J638</t>
  </si>
  <si>
    <t>J266</t>
  </si>
  <si>
    <t>J478</t>
  </si>
  <si>
    <t>J597</t>
  </si>
  <si>
    <t>J605</t>
  </si>
  <si>
    <t>J383</t>
  </si>
  <si>
    <t>J543</t>
  </si>
  <si>
    <t>J606</t>
  </si>
  <si>
    <t>ROUTE CHANGE</t>
  </si>
  <si>
    <t>J547</t>
  </si>
  <si>
    <t>J588</t>
  </si>
  <si>
    <t>j614</t>
  </si>
  <si>
    <t>j418</t>
  </si>
  <si>
    <t>B.T CROSSING</t>
  </si>
  <si>
    <t>j194</t>
  </si>
  <si>
    <t>j680</t>
  </si>
  <si>
    <t>J423</t>
  </si>
  <si>
    <t>J509</t>
  </si>
  <si>
    <t>J596</t>
  </si>
  <si>
    <t>J405</t>
  </si>
  <si>
    <t>J508</t>
  </si>
  <si>
    <t>J650</t>
  </si>
  <si>
    <t>J270</t>
  </si>
  <si>
    <t>J286</t>
  </si>
  <si>
    <t>J489</t>
  </si>
  <si>
    <t>J300</t>
  </si>
  <si>
    <t>J652</t>
  </si>
  <si>
    <t>J696</t>
  </si>
  <si>
    <t>J507</t>
  </si>
  <si>
    <t>J501</t>
  </si>
  <si>
    <t>JJ548</t>
  </si>
  <si>
    <t>J511</t>
  </si>
  <si>
    <t>J563</t>
  </si>
  <si>
    <t>J491</t>
  </si>
  <si>
    <t>J427</t>
  </si>
  <si>
    <t>j264</t>
  </si>
  <si>
    <t>J564</t>
  </si>
  <si>
    <t>j420</t>
  </si>
  <si>
    <t>J432</t>
  </si>
  <si>
    <t>J277</t>
  </si>
  <si>
    <t>J614</t>
  </si>
  <si>
    <t>J418</t>
  </si>
  <si>
    <t>J372</t>
  </si>
  <si>
    <t>J311</t>
  </si>
  <si>
    <t>J287</t>
  </si>
  <si>
    <t>j383</t>
  </si>
  <si>
    <t>j243</t>
  </si>
  <si>
    <t>j358</t>
  </si>
  <si>
    <t>j201</t>
  </si>
  <si>
    <t>J693</t>
  </si>
  <si>
    <t>J603</t>
  </si>
  <si>
    <t>J313</t>
  </si>
  <si>
    <t>J341</t>
  </si>
  <si>
    <t>j489</t>
  </si>
  <si>
    <t>j597</t>
  </si>
  <si>
    <t>J424</t>
  </si>
  <si>
    <t>j543</t>
  </si>
  <si>
    <t>j547</t>
  </si>
  <si>
    <t>J395</t>
  </si>
  <si>
    <t>j564</t>
  </si>
  <si>
    <t>j588</t>
  </si>
  <si>
    <t>J457</t>
  </si>
  <si>
    <t>J496</t>
  </si>
  <si>
    <t>j432</t>
  </si>
  <si>
    <t>J557</t>
  </si>
  <si>
    <t>j311</t>
  </si>
  <si>
    <t>j529</t>
  </si>
  <si>
    <t>J530</t>
  </si>
  <si>
    <t>J325</t>
  </si>
  <si>
    <t>J699</t>
  </si>
  <si>
    <t>j395</t>
  </si>
  <si>
    <t>j270</t>
  </si>
  <si>
    <t>J453</t>
  </si>
  <si>
    <t>j650</t>
  </si>
  <si>
    <t>j737</t>
  </si>
  <si>
    <t>J672</t>
  </si>
  <si>
    <t>J529</t>
  </si>
  <si>
    <t>j696</t>
  </si>
  <si>
    <t>LAST</t>
  </si>
  <si>
    <t>j211</t>
  </si>
  <si>
    <t>J633</t>
  </si>
  <si>
    <t>J711</t>
  </si>
  <si>
    <t>j121</t>
  </si>
  <si>
    <t>j106</t>
  </si>
  <si>
    <t>j397</t>
  </si>
  <si>
    <t>j434</t>
  </si>
  <si>
    <t>J719</t>
  </si>
  <si>
    <t>j229</t>
  </si>
  <si>
    <t>j216</t>
  </si>
  <si>
    <t>J612</t>
  </si>
  <si>
    <t>J526</t>
  </si>
  <si>
    <t>J618</t>
  </si>
  <si>
    <t>J632</t>
  </si>
  <si>
    <t>J434</t>
  </si>
  <si>
    <t>j718</t>
  </si>
  <si>
    <t>j218</t>
  </si>
  <si>
    <t>J538</t>
  </si>
  <si>
    <t>J546</t>
  </si>
  <si>
    <t>j693</t>
  </si>
  <si>
    <t>j603</t>
  </si>
  <si>
    <t>j313</t>
  </si>
  <si>
    <t>j424</t>
  </si>
  <si>
    <t>j454</t>
  </si>
  <si>
    <t>j496</t>
  </si>
  <si>
    <t>j495</t>
  </si>
  <si>
    <t>j557</t>
  </si>
  <si>
    <t>j508</t>
  </si>
  <si>
    <t>j325</t>
  </si>
  <si>
    <t>j453</t>
  </si>
  <si>
    <t>j672</t>
  </si>
  <si>
    <t>j633</t>
  </si>
  <si>
    <t>j711</t>
  </si>
  <si>
    <t>j457</t>
  </si>
  <si>
    <t>j719</t>
  </si>
  <si>
    <t>j652</t>
  </si>
  <si>
    <t>j612</t>
  </si>
  <si>
    <t>j526</t>
  </si>
  <si>
    <t>j538</t>
  </si>
  <si>
    <t>j546</t>
  </si>
  <si>
    <t>j400</t>
  </si>
  <si>
    <t>j662</t>
  </si>
  <si>
    <t>j509</t>
  </si>
  <si>
    <t>j649</t>
  </si>
  <si>
    <t>j361</t>
  </si>
  <si>
    <t>j462</t>
  </si>
  <si>
    <t>j394</t>
  </si>
  <si>
    <t>j341</t>
  </si>
  <si>
    <t>j567</t>
  </si>
  <si>
    <t>j544</t>
  </si>
  <si>
    <t>j484</t>
  </si>
  <si>
    <t>j589</t>
  </si>
  <si>
    <t>j638</t>
  </si>
  <si>
    <t>j372</t>
  </si>
  <si>
    <t>j287</t>
  </si>
  <si>
    <t>j707</t>
  </si>
  <si>
    <t>j620</t>
  </si>
  <si>
    <t>j688</t>
  </si>
  <si>
    <t>j750</t>
  </si>
  <si>
    <t>j640</t>
  </si>
  <si>
    <t>j507</t>
  </si>
  <si>
    <t>j501</t>
  </si>
  <si>
    <t>j548</t>
  </si>
  <si>
    <t>j563</t>
  </si>
  <si>
    <t>j427</t>
  </si>
  <si>
    <t>j746</t>
  </si>
  <si>
    <t>D.I</t>
  </si>
  <si>
    <t>J749</t>
  </si>
  <si>
    <t>KHAYATHI ENTERPRISES JMR QUANTITY</t>
  </si>
  <si>
    <t xml:space="preserve">DIA </t>
  </si>
  <si>
    <t>AS PER SITE</t>
  </si>
  <si>
    <t>DPR QUANTITY</t>
  </si>
  <si>
    <t>Sarai jammuvari</t>
  </si>
  <si>
    <t>j103</t>
  </si>
  <si>
    <t>j101</t>
  </si>
  <si>
    <t>j258</t>
  </si>
  <si>
    <t>J280</t>
  </si>
  <si>
    <t>j107</t>
  </si>
  <si>
    <t>j281</t>
  </si>
  <si>
    <t>J275</t>
  </si>
  <si>
    <t>J276</t>
  </si>
  <si>
    <t>J260</t>
  </si>
  <si>
    <t>J272</t>
  </si>
  <si>
    <t>PUREBHIKA AND RAIGARH</t>
  </si>
  <si>
    <t>Pipe Length (M) AS PER SITE</t>
  </si>
  <si>
    <t>INTERLOACKING</t>
  </si>
  <si>
    <t>J331</t>
  </si>
  <si>
    <t>J291</t>
  </si>
  <si>
    <t xml:space="preserve">  </t>
  </si>
  <si>
    <t>13`</t>
  </si>
  <si>
    <t>J356</t>
  </si>
  <si>
    <t>J292</t>
  </si>
  <si>
    <t>J332</t>
  </si>
  <si>
    <t>J308</t>
  </si>
  <si>
    <t>J314</t>
  </si>
  <si>
    <t>J268</t>
  </si>
  <si>
    <t>J283</t>
  </si>
  <si>
    <t>J281</t>
  </si>
  <si>
    <t>J306</t>
  </si>
  <si>
    <t>J305</t>
  </si>
  <si>
    <t>J340</t>
  </si>
  <si>
    <t>J335</t>
  </si>
  <si>
    <t>J319</t>
  </si>
  <si>
    <t>J315</t>
  </si>
  <si>
    <t>J333</t>
  </si>
  <si>
    <t>J326</t>
  </si>
  <si>
    <t>J317</t>
  </si>
  <si>
    <t>J366</t>
  </si>
  <si>
    <t>J360</t>
  </si>
  <si>
    <t>J321</t>
  </si>
  <si>
    <t>J348</t>
  </si>
  <si>
    <t>J345</t>
  </si>
  <si>
    <t>J327</t>
  </si>
  <si>
    <t>J342</t>
  </si>
  <si>
    <t>J353</t>
  </si>
  <si>
    <t>J359</t>
  </si>
  <si>
    <t>J367</t>
  </si>
  <si>
    <t>J354</t>
  </si>
  <si>
    <t>J334</t>
  </si>
  <si>
    <t>J344</t>
  </si>
  <si>
    <t>J371</t>
  </si>
  <si>
    <t>J369</t>
  </si>
  <si>
    <t>J347</t>
  </si>
  <si>
    <t>J370</t>
  </si>
  <si>
    <t>J365</t>
  </si>
  <si>
    <t>J301</t>
  </si>
  <si>
    <t>J285</t>
  </si>
  <si>
    <t>J303</t>
  </si>
  <si>
    <t>J320</t>
  </si>
  <si>
    <t>J298</t>
  </si>
  <si>
    <t>J302</t>
  </si>
  <si>
    <t>J279</t>
  </si>
  <si>
    <t>J274</t>
  </si>
  <si>
    <t>j200</t>
  </si>
  <si>
    <t>j187</t>
  </si>
  <si>
    <t>j221</t>
  </si>
  <si>
    <t>j168</t>
  </si>
  <si>
    <t>j225</t>
  </si>
  <si>
    <t>j190</t>
  </si>
  <si>
    <t>j257</t>
  </si>
  <si>
    <t>j199</t>
  </si>
  <si>
    <t>j227</t>
  </si>
  <si>
    <t>j239</t>
  </si>
  <si>
    <t>j238</t>
  </si>
  <si>
    <t>j247</t>
  </si>
  <si>
    <t>j272</t>
  </si>
  <si>
    <t>j237</t>
  </si>
  <si>
    <t>j236</t>
  </si>
  <si>
    <t>j172</t>
  </si>
  <si>
    <t>j255</t>
  </si>
  <si>
    <t>j244</t>
  </si>
  <si>
    <t>j245</t>
  </si>
  <si>
    <t>j250</t>
  </si>
  <si>
    <t>j256</t>
  </si>
  <si>
    <t>j253</t>
  </si>
  <si>
    <t>j248</t>
  </si>
  <si>
    <t>J278</t>
  </si>
  <si>
    <t>J226</t>
  </si>
  <si>
    <t>J343</t>
  </si>
  <si>
    <t>J297</t>
  </si>
  <si>
    <t>EXTRA LINE</t>
  </si>
  <si>
    <t>J290</t>
  </si>
  <si>
    <t>kc road</t>
  </si>
  <si>
    <t>j223</t>
  </si>
  <si>
    <t>j310</t>
  </si>
  <si>
    <t>j368</t>
  </si>
  <si>
    <t>j266</t>
  </si>
  <si>
    <t>j99</t>
  </si>
  <si>
    <t>j196</t>
  </si>
  <si>
    <t>j215</t>
  </si>
  <si>
    <t>j198</t>
  </si>
  <si>
    <t>j283</t>
  </si>
  <si>
    <t>KC ROAD</t>
  </si>
  <si>
    <t>J255</t>
  </si>
  <si>
    <t>BARASARAI(JMR)</t>
  </si>
  <si>
    <t>As per dpr</t>
  </si>
  <si>
    <t>J144A</t>
  </si>
  <si>
    <t>J144B</t>
  </si>
  <si>
    <t>J141A</t>
  </si>
  <si>
    <t>J141B</t>
  </si>
  <si>
    <t>J226A</t>
  </si>
  <si>
    <t>J226B</t>
  </si>
  <si>
    <t>J226C</t>
  </si>
  <si>
    <t>J209A</t>
  </si>
  <si>
    <t>J209B</t>
  </si>
  <si>
    <t>j201A</t>
  </si>
  <si>
    <t>J233A</t>
  </si>
  <si>
    <t>J233B</t>
  </si>
  <si>
    <t>j157</t>
  </si>
  <si>
    <t>J82A</t>
  </si>
  <si>
    <t>J82B</t>
  </si>
  <si>
    <t>Malaak(JMR) BLOCK-MANGRAURA (25-08-2023)</t>
  </si>
  <si>
    <t>j58</t>
  </si>
  <si>
    <t>j224</t>
  </si>
  <si>
    <t>j212</t>
  </si>
  <si>
    <t>j213</t>
  </si>
  <si>
    <t>j206</t>
  </si>
  <si>
    <t>j232</t>
  </si>
  <si>
    <t>j235</t>
  </si>
  <si>
    <t>j77</t>
  </si>
  <si>
    <t>j229a</t>
  </si>
  <si>
    <t>j241a</t>
  </si>
  <si>
    <t>j234</t>
  </si>
  <si>
    <t>brickroad</t>
  </si>
  <si>
    <t>j67</t>
  </si>
  <si>
    <t>j83</t>
  </si>
  <si>
    <t>CULVERT(9.3m)</t>
  </si>
  <si>
    <t>j119</t>
  </si>
  <si>
    <t>btroad</t>
  </si>
  <si>
    <t>j116a</t>
  </si>
  <si>
    <t>j122a</t>
  </si>
  <si>
    <t>j230</t>
  </si>
  <si>
    <t>j231</t>
  </si>
  <si>
    <t>j186</t>
  </si>
  <si>
    <t>j226</t>
  </si>
  <si>
    <t>j233</t>
  </si>
  <si>
    <t>j210</t>
  </si>
  <si>
    <t>j219</t>
  </si>
  <si>
    <t>j240</t>
  </si>
  <si>
    <t>j242</t>
  </si>
  <si>
    <t>j197</t>
  </si>
  <si>
    <t>j111a</t>
  </si>
  <si>
    <t>j230a</t>
  </si>
  <si>
    <t>j89a</t>
  </si>
  <si>
    <t>j217</t>
  </si>
  <si>
    <t>CULVERT(4.2m)</t>
  </si>
  <si>
    <t>j236a</t>
  </si>
  <si>
    <t>j236b</t>
  </si>
  <si>
    <t>j220</t>
  </si>
  <si>
    <t>j110a</t>
  </si>
  <si>
    <t>j110b</t>
  </si>
  <si>
    <t>j100b</t>
  </si>
  <si>
    <t>CULVERT(4m)</t>
  </si>
  <si>
    <t>total</t>
  </si>
  <si>
    <t>j204</t>
  </si>
  <si>
    <t>j193</t>
  </si>
  <si>
    <t>j191</t>
  </si>
  <si>
    <t>j185</t>
  </si>
  <si>
    <t>j223a</t>
  </si>
  <si>
    <t>j189</t>
  </si>
  <si>
    <t>j222</t>
  </si>
  <si>
    <t>j87</t>
  </si>
  <si>
    <t>CULVERT(6.6m)</t>
  </si>
  <si>
    <t>j148</t>
  </si>
  <si>
    <t>j208</t>
  </si>
  <si>
    <t>j81a</t>
  </si>
  <si>
    <t>j81b</t>
  </si>
  <si>
    <t>j207</t>
  </si>
  <si>
    <t>j150a</t>
  </si>
  <si>
    <t>j150b</t>
  </si>
  <si>
    <t>j150c</t>
  </si>
  <si>
    <t>j150d</t>
  </si>
  <si>
    <t>J131A</t>
  </si>
  <si>
    <t>J131B</t>
  </si>
  <si>
    <t>j130</t>
  </si>
  <si>
    <t>CULVERT(3.6m)</t>
  </si>
  <si>
    <t>CULVERT(3.1m)</t>
  </si>
  <si>
    <t>CULVERT(4.4m)</t>
  </si>
  <si>
    <t xml:space="preserve">shivapur khurd(JMR) BLOCK-MANGRAURA </t>
  </si>
  <si>
    <t>J9(A)</t>
  </si>
  <si>
    <t>J9(b)</t>
  </si>
  <si>
    <t>J75(A)</t>
  </si>
  <si>
    <t>J75(B)</t>
  </si>
  <si>
    <t>J67(A)</t>
  </si>
  <si>
    <t>j58(1)</t>
  </si>
  <si>
    <t>j64a</t>
  </si>
  <si>
    <t>j64b</t>
  </si>
  <si>
    <t>j35(a)</t>
  </si>
  <si>
    <t>j35a</t>
  </si>
  <si>
    <t>j35b</t>
  </si>
  <si>
    <t>j35(1a)</t>
  </si>
  <si>
    <t>j35(2b)</t>
  </si>
  <si>
    <t>j35(3b)</t>
  </si>
  <si>
    <t>j35(4b)</t>
  </si>
  <si>
    <t>j30a</t>
  </si>
  <si>
    <t>j30(1)</t>
  </si>
  <si>
    <t>j30(2)</t>
  </si>
  <si>
    <t>j73a</t>
  </si>
  <si>
    <t>j73b</t>
  </si>
  <si>
    <t>j67(a)</t>
  </si>
  <si>
    <t>j99a</t>
  </si>
  <si>
    <t>j99b</t>
  </si>
  <si>
    <t>j99(a)</t>
  </si>
  <si>
    <t>j33a</t>
  </si>
  <si>
    <t>j33b</t>
  </si>
  <si>
    <t>j17a</t>
  </si>
  <si>
    <t>j17b</t>
  </si>
  <si>
    <t>J73C</t>
  </si>
  <si>
    <t>J73D</t>
  </si>
  <si>
    <t>j9a</t>
  </si>
  <si>
    <t>j9(1)</t>
  </si>
  <si>
    <t>j9(2)</t>
  </si>
  <si>
    <t>75(a)</t>
  </si>
  <si>
    <t>j75a</t>
  </si>
  <si>
    <t xml:space="preserve">ATTARASAND(JMR) BLOCK-MANGRAURA </t>
  </si>
  <si>
    <t>J363</t>
  </si>
  <si>
    <t>J482</t>
  </si>
  <si>
    <t>J160A</t>
  </si>
  <si>
    <t>J485</t>
  </si>
  <si>
    <t>J621</t>
  </si>
  <si>
    <t>J713</t>
  </si>
  <si>
    <t>J585</t>
  </si>
  <si>
    <t>J401</t>
  </si>
  <si>
    <t>J706</t>
  </si>
  <si>
    <t>J656</t>
  </si>
  <si>
    <t>J678</t>
  </si>
  <si>
    <t>J497</t>
  </si>
  <si>
    <t>J408</t>
  </si>
  <si>
    <t>J518</t>
  </si>
  <si>
    <t>J525</t>
  </si>
  <si>
    <t>J402</t>
  </si>
  <si>
    <t>J351</t>
  </si>
  <si>
    <t>J350A</t>
  </si>
  <si>
    <t>J350B</t>
  </si>
  <si>
    <t>J350C</t>
  </si>
  <si>
    <t>J350</t>
  </si>
  <si>
    <t>J531</t>
  </si>
  <si>
    <t>J523</t>
  </si>
  <si>
    <t>J728</t>
  </si>
  <si>
    <t>J446</t>
  </si>
  <si>
    <t>J679</t>
  </si>
  <si>
    <t>J470</t>
  </si>
  <si>
    <t>J441</t>
  </si>
  <si>
    <t>J500</t>
  </si>
  <si>
    <t>J415</t>
  </si>
  <si>
    <t>J436</t>
  </si>
  <si>
    <t>J627</t>
  </si>
  <si>
    <t>J617</t>
  </si>
  <si>
    <t>J445</t>
  </si>
  <si>
    <t>J601</t>
  </si>
  <si>
    <t>J449</t>
  </si>
  <si>
    <t>J477</t>
  </si>
  <si>
    <t>J569</t>
  </si>
  <si>
    <t>J413</t>
  </si>
  <si>
    <t>J533</t>
  </si>
  <si>
    <t>J438</t>
  </si>
  <si>
    <t>J422</t>
  </si>
  <si>
    <t>J646</t>
  </si>
  <si>
    <t>J713A</t>
  </si>
  <si>
    <t>J608</t>
  </si>
  <si>
    <t>J590</t>
  </si>
  <si>
    <t>J577</t>
  </si>
  <si>
    <t>J602</t>
  </si>
  <si>
    <t>J740</t>
  </si>
  <si>
    <t>J736</t>
  </si>
  <si>
    <t>J730</t>
  </si>
  <si>
    <t>J705</t>
  </si>
  <si>
    <t>350A</t>
  </si>
  <si>
    <t xml:space="preserve">Sarsidhi(JMR) BLOCK-MANGRAURA </t>
  </si>
  <si>
    <t>kc raod</t>
  </si>
  <si>
    <t>j180</t>
  </si>
  <si>
    <t>j176</t>
  </si>
  <si>
    <t>j22</t>
  </si>
  <si>
    <t xml:space="preserve">AMUWAHI(JMR) BLOCK-MANGRAURA </t>
  </si>
  <si>
    <t>Crossing</t>
  </si>
  <si>
    <t>Interlocking</t>
  </si>
  <si>
    <t>WIDTH OF Excavation</t>
  </si>
  <si>
    <t>BR/I.L</t>
  </si>
  <si>
    <t xml:space="preserve">AMUWAHI(RESTORATION JMR) BLOCK-MANGRAURA </t>
  </si>
  <si>
    <t xml:space="preserve">HATHSARA (JMR) BLOCK-MANGRAURA </t>
  </si>
  <si>
    <t>j168(1)</t>
  </si>
  <si>
    <t>j168(2)</t>
  </si>
  <si>
    <t>J136(1)</t>
  </si>
  <si>
    <t>J12(2)</t>
  </si>
  <si>
    <t>J28(1)</t>
  </si>
  <si>
    <t>J28(2)</t>
  </si>
  <si>
    <t>J31(1)</t>
  </si>
  <si>
    <t>J31(2)</t>
  </si>
  <si>
    <t>J33(1)</t>
  </si>
  <si>
    <t>J33(2)</t>
  </si>
  <si>
    <t>J192(1)</t>
  </si>
  <si>
    <t>J215(1)</t>
  </si>
  <si>
    <t>J141(1)</t>
  </si>
  <si>
    <t>J242(1)</t>
  </si>
  <si>
    <t>J242(2)</t>
  </si>
  <si>
    <t>J242(3)</t>
  </si>
  <si>
    <t>J242(4)</t>
  </si>
  <si>
    <t>J242(5)</t>
  </si>
  <si>
    <t>J242(6)</t>
  </si>
  <si>
    <t>J249(1)</t>
  </si>
  <si>
    <t>J250(1)</t>
  </si>
  <si>
    <t>J250(2)</t>
  </si>
  <si>
    <t>J125(1)</t>
  </si>
  <si>
    <t xml:space="preserve">UTRAS(JMR) BLOCK-MANGRAURA </t>
  </si>
  <si>
    <t>Dia of pipe (MM)</t>
  </si>
  <si>
    <t>J324</t>
  </si>
  <si>
    <t>J221(1)</t>
  </si>
  <si>
    <t>J103(1)</t>
  </si>
  <si>
    <t>J103(2)</t>
  </si>
  <si>
    <t>J198(1)</t>
  </si>
  <si>
    <t>J197(1)</t>
  </si>
  <si>
    <t xml:space="preserve">SAKRA(JMR) BLOCK-MANGRAURA </t>
  </si>
  <si>
    <t xml:space="preserve">MADHURA RANI GANJ AND SARAOULI(JMR) BLOCK-MANGRAURA </t>
  </si>
  <si>
    <t>j542</t>
  </si>
  <si>
    <t>j491</t>
  </si>
  <si>
    <t>j380</t>
  </si>
  <si>
    <t>j403</t>
  </si>
  <si>
    <t>j411</t>
  </si>
  <si>
    <t>J148A</t>
  </si>
  <si>
    <t>J148B</t>
  </si>
  <si>
    <t>j447a</t>
  </si>
  <si>
    <t>j447b</t>
  </si>
  <si>
    <t>J91A</t>
  </si>
  <si>
    <t>J91B</t>
  </si>
  <si>
    <t>j27a</t>
  </si>
  <si>
    <t>J103A</t>
  </si>
  <si>
    <t>j441</t>
  </si>
  <si>
    <t>j459</t>
  </si>
  <si>
    <t>j448</t>
  </si>
  <si>
    <t>j425</t>
  </si>
  <si>
    <t>j437</t>
  </si>
  <si>
    <t>j451</t>
  </si>
  <si>
    <t>j447</t>
  </si>
  <si>
    <t>j442</t>
  </si>
  <si>
    <t>J32B</t>
  </si>
  <si>
    <t xml:space="preserve"> j23</t>
  </si>
  <si>
    <t>J15A</t>
  </si>
  <si>
    <t>j309</t>
  </si>
  <si>
    <t>J644</t>
  </si>
  <si>
    <t>J576</t>
  </si>
  <si>
    <t>J657</t>
  </si>
  <si>
    <t>J620</t>
  </si>
  <si>
    <t>J595</t>
  </si>
  <si>
    <t>J525A</t>
  </si>
  <si>
    <t>J525B</t>
  </si>
  <si>
    <t>J511A</t>
  </si>
  <si>
    <t>J511B</t>
  </si>
  <si>
    <t>J639</t>
  </si>
  <si>
    <t>J648</t>
  </si>
  <si>
    <t>J537</t>
  </si>
  <si>
    <t>J545</t>
  </si>
  <si>
    <t>J634</t>
  </si>
  <si>
    <t>J562</t>
  </si>
  <si>
    <t>J552</t>
  </si>
  <si>
    <t>j558</t>
  </si>
  <si>
    <t>j559</t>
  </si>
  <si>
    <t>j593</t>
  </si>
  <si>
    <t>j601</t>
  </si>
  <si>
    <t>j530</t>
  </si>
  <si>
    <t>j504</t>
  </si>
  <si>
    <t>j506</t>
  </si>
  <si>
    <t>j590a</t>
  </si>
  <si>
    <t>j585</t>
  </si>
  <si>
    <t>j570a</t>
  </si>
  <si>
    <t>j570b</t>
  </si>
  <si>
    <t>j570c</t>
  </si>
  <si>
    <t>j578</t>
  </si>
  <si>
    <t>j580</t>
  </si>
  <si>
    <t>j581</t>
  </si>
  <si>
    <t>j379</t>
  </si>
  <si>
    <t>j502</t>
  </si>
  <si>
    <t>j514</t>
  </si>
  <si>
    <t>j619</t>
  </si>
  <si>
    <t>j401</t>
  </si>
  <si>
    <t>j414</t>
  </si>
  <si>
    <t>j419</t>
  </si>
  <si>
    <t>j422</t>
  </si>
  <si>
    <t>j416</t>
  </si>
  <si>
    <t>j417</t>
  </si>
  <si>
    <t>j423</t>
  </si>
  <si>
    <t>j382</t>
  </si>
  <si>
    <t>j386</t>
  </si>
  <si>
    <t>j387</t>
  </si>
  <si>
    <t>j388</t>
  </si>
  <si>
    <t>j407</t>
  </si>
  <si>
    <t>j408</t>
  </si>
  <si>
    <t>j455a</t>
  </si>
  <si>
    <t>j455b</t>
  </si>
  <si>
    <t>j455c</t>
  </si>
  <si>
    <t>j466</t>
  </si>
  <si>
    <t>j464</t>
  </si>
  <si>
    <t>j468</t>
  </si>
  <si>
    <t>j469</t>
  </si>
  <si>
    <t>j440</t>
  </si>
  <si>
    <t>j440a</t>
  </si>
  <si>
    <t>j440b</t>
  </si>
  <si>
    <t>j440c</t>
  </si>
  <si>
    <t>j487</t>
  </si>
  <si>
    <t>j476</t>
  </si>
  <si>
    <t>j478</t>
  </si>
  <si>
    <t>j479a</t>
  </si>
  <si>
    <t>j479</t>
  </si>
  <si>
    <t>j479b</t>
  </si>
  <si>
    <t>j480</t>
  </si>
  <si>
    <t>j476a</t>
  </si>
  <si>
    <t>j398</t>
  </si>
  <si>
    <t>j477</t>
  </si>
  <si>
    <t>j485</t>
  </si>
  <si>
    <t>j482</t>
  </si>
  <si>
    <t>j486</t>
  </si>
  <si>
    <t>j500</t>
  </si>
  <si>
    <t>j498</t>
  </si>
  <si>
    <t>j552a</t>
  </si>
  <si>
    <t>j552b</t>
  </si>
  <si>
    <t>j519</t>
  </si>
  <si>
    <t>j523</t>
  </si>
  <si>
    <t>j521</t>
  </si>
  <si>
    <t>j525</t>
  </si>
  <si>
    <t>j594</t>
  </si>
  <si>
    <t>j598</t>
  </si>
  <si>
    <t>j608</t>
  </si>
  <si>
    <t>j609</t>
  </si>
  <si>
    <t>j527</t>
  </si>
  <si>
    <t>j513</t>
  </si>
  <si>
    <t>j553</t>
  </si>
  <si>
    <t>j554</t>
  </si>
  <si>
    <t>j553a</t>
  </si>
  <si>
    <t>j553b</t>
  </si>
  <si>
    <t>j520</t>
  </si>
  <si>
    <t>j522</t>
  </si>
  <si>
    <t>j531a</t>
  </si>
  <si>
    <t>j531b</t>
  </si>
  <si>
    <t>j493</t>
  </si>
  <si>
    <t>j494</t>
  </si>
  <si>
    <t>j600</t>
  </si>
  <si>
    <t>j602</t>
  </si>
  <si>
    <t>j645</t>
  </si>
  <si>
    <t>j635</t>
  </si>
  <si>
    <t>j606</t>
  </si>
  <si>
    <t>j605</t>
  </si>
  <si>
    <t>j625</t>
  </si>
  <si>
    <t>j570</t>
  </si>
  <si>
    <t>j572</t>
  </si>
  <si>
    <t>j576a</t>
  </si>
  <si>
    <t>j576b</t>
  </si>
  <si>
    <t>j381</t>
  </si>
  <si>
    <t>j391</t>
  </si>
  <si>
    <t>j435</t>
  </si>
  <si>
    <t>j439</t>
  </si>
  <si>
    <t>j428</t>
  </si>
  <si>
    <t>j438</t>
  </si>
  <si>
    <t>j443</t>
  </si>
  <si>
    <t>j444</t>
  </si>
  <si>
    <t>j429</t>
  </si>
  <si>
    <t>j427a</t>
  </si>
  <si>
    <t>j427b</t>
  </si>
  <si>
    <t>j430</t>
  </si>
  <si>
    <t>j426</t>
  </si>
  <si>
    <t>j409</t>
  </si>
  <si>
    <t>j510</t>
  </si>
  <si>
    <t>j536</t>
  </si>
  <si>
    <t>j537</t>
  </si>
  <si>
    <t>j431</t>
  </si>
  <si>
    <t>j406</t>
  </si>
  <si>
    <t>j511</t>
  </si>
  <si>
    <t>j376</t>
  </si>
  <si>
    <t>j371</t>
  </si>
  <si>
    <t>j316</t>
  </si>
  <si>
    <t>j354</t>
  </si>
  <si>
    <t>j344</t>
  </si>
  <si>
    <t>j337</t>
  </si>
  <si>
    <t>j337a</t>
  </si>
  <si>
    <t>j347</t>
  </si>
  <si>
    <t>j366</t>
  </si>
  <si>
    <t>J355</t>
  </si>
  <si>
    <t>J336</t>
  </si>
  <si>
    <t xml:space="preserve">    j333</t>
  </si>
  <si>
    <t>j324</t>
  </si>
  <si>
    <t>j322</t>
  </si>
  <si>
    <t>j289</t>
  </si>
  <si>
    <t>j306</t>
  </si>
  <si>
    <t>j304</t>
  </si>
  <si>
    <t>j305</t>
  </si>
  <si>
    <t>j302a</t>
  </si>
  <si>
    <t>j302b</t>
  </si>
  <si>
    <t>j302</t>
  </si>
  <si>
    <t>j303</t>
  </si>
  <si>
    <t>j299</t>
  </si>
  <si>
    <t>j300</t>
  </si>
  <si>
    <t>j297</t>
  </si>
  <si>
    <t>j298</t>
  </si>
  <si>
    <t>j298a</t>
  </si>
  <si>
    <t>j298b</t>
  </si>
  <si>
    <t>j295</t>
  </si>
  <si>
    <t>j293</t>
  </si>
  <si>
    <t>j288</t>
  </si>
  <si>
    <t>j290</t>
  </si>
  <si>
    <t>j286</t>
  </si>
  <si>
    <t>j285</t>
  </si>
  <si>
    <t>j294</t>
  </si>
  <si>
    <t>j265</t>
  </si>
  <si>
    <t>j267</t>
  </si>
  <si>
    <t>j267a</t>
  </si>
  <si>
    <t>j267b</t>
  </si>
  <si>
    <t>j268</t>
  </si>
  <si>
    <t>j262</t>
  </si>
  <si>
    <t>j263</t>
  </si>
  <si>
    <t>j260</t>
  </si>
  <si>
    <t>j249</t>
  </si>
  <si>
    <t>j251</t>
  </si>
  <si>
    <t>j250a</t>
  </si>
  <si>
    <t>j250b</t>
  </si>
  <si>
    <t>j273</t>
  </si>
  <si>
    <t>j277</t>
  </si>
  <si>
    <t>j275</t>
  </si>
  <si>
    <t>j276</t>
  </si>
  <si>
    <t>j278</t>
  </si>
  <si>
    <t>j278a</t>
  </si>
  <si>
    <t>j278b</t>
  </si>
  <si>
    <t>j269</t>
  </si>
  <si>
    <t>j296</t>
  </si>
  <si>
    <t>j246</t>
  </si>
  <si>
    <t>j246a</t>
  </si>
  <si>
    <t>j246b</t>
  </si>
  <si>
    <t>j246c</t>
  </si>
  <si>
    <t>j246d</t>
  </si>
  <si>
    <t>j337a(1)</t>
  </si>
  <si>
    <t>j315</t>
  </si>
  <si>
    <t>j481</t>
  </si>
  <si>
    <t>j483</t>
  </si>
  <si>
    <t>j492</t>
  </si>
  <si>
    <t>j590</t>
  </si>
  <si>
    <t>j490</t>
  </si>
  <si>
    <t>j393</t>
  </si>
  <si>
    <t>j587</t>
  </si>
  <si>
    <t>j639</t>
  </si>
  <si>
    <t>j7a</t>
  </si>
  <si>
    <t>ROAD RESTORATION</t>
  </si>
  <si>
    <t>AVG WIDTH</t>
  </si>
  <si>
    <t>: Bhausiya</t>
  </si>
  <si>
    <t>: Mangraura</t>
  </si>
  <si>
    <t xml:space="preserve">dia </t>
  </si>
  <si>
    <t xml:space="preserve">actual </t>
  </si>
  <si>
    <t>excuted</t>
  </si>
  <si>
    <t>balance</t>
  </si>
  <si>
    <t>sirsidhi</t>
  </si>
  <si>
    <t>135a</t>
  </si>
  <si>
    <t>135b</t>
  </si>
  <si>
    <t>130a</t>
  </si>
  <si>
    <t>130b</t>
  </si>
  <si>
    <t>b.t road crossing</t>
  </si>
  <si>
    <t>124a</t>
  </si>
  <si>
    <t>124b</t>
  </si>
  <si>
    <t>b.t crossing</t>
  </si>
  <si>
    <t>166a</t>
  </si>
  <si>
    <t>227a</t>
  </si>
  <si>
    <t>230a</t>
  </si>
  <si>
    <t>223a</t>
  </si>
  <si>
    <t>223b</t>
  </si>
  <si>
    <t>234a</t>
  </si>
  <si>
    <t>234b</t>
  </si>
  <si>
    <t>234c</t>
  </si>
  <si>
    <t>234d</t>
  </si>
  <si>
    <t>192a</t>
  </si>
  <si>
    <t>192b</t>
  </si>
  <si>
    <t>interlockng</t>
  </si>
  <si>
    <t>37a</t>
  </si>
  <si>
    <t>37b</t>
  </si>
  <si>
    <t>43a</t>
  </si>
  <si>
    <t>:aurangabad</t>
  </si>
  <si>
    <t>:brahapur</t>
  </si>
  <si>
    <t>j254</t>
  </si>
  <si>
    <t>j271</t>
  </si>
  <si>
    <t>j321</t>
  </si>
  <si>
    <t>j161a</t>
  </si>
  <si>
    <t>j319</t>
  </si>
  <si>
    <t>j292</t>
  </si>
  <si>
    <t>j309a</t>
  </si>
  <si>
    <t>j322a</t>
  </si>
  <si>
    <t>j339</t>
  </si>
  <si>
    <t>j259</t>
  </si>
  <si>
    <t>j279</t>
  </si>
  <si>
    <t>j355</t>
  </si>
  <si>
    <t>j326</t>
  </si>
  <si>
    <t>j291</t>
  </si>
  <si>
    <t>j338</t>
  </si>
  <si>
    <t>j346</t>
  </si>
  <si>
    <t>j330</t>
  </si>
  <si>
    <t>j327</t>
  </si>
  <si>
    <t>j323</t>
  </si>
  <si>
    <t>j349</t>
  </si>
  <si>
    <t>j327a</t>
  </si>
  <si>
    <t>j327b</t>
  </si>
  <si>
    <t>j345</t>
  </si>
  <si>
    <t>j350</t>
  </si>
  <si>
    <t>j318</t>
  </si>
  <si>
    <t>j356</t>
  </si>
  <si>
    <t>j314</t>
  </si>
  <si>
    <t>j357</t>
  </si>
  <si>
    <t>j342</t>
  </si>
  <si>
    <t>181a</t>
  </si>
  <si>
    <t>181b</t>
  </si>
  <si>
    <t>108a</t>
  </si>
  <si>
    <t>108b</t>
  </si>
  <si>
    <t>253a</t>
  </si>
  <si>
    <t>253b</t>
  </si>
  <si>
    <t>231a</t>
  </si>
  <si>
    <t>231b</t>
  </si>
  <si>
    <t>33a</t>
  </si>
  <si>
    <t>33b</t>
  </si>
  <si>
    <t>88a</t>
  </si>
  <si>
    <t>88b</t>
  </si>
  <si>
    <t>77a</t>
  </si>
  <si>
    <t>77b</t>
  </si>
  <si>
    <t>61a</t>
  </si>
  <si>
    <t>61b</t>
  </si>
  <si>
    <t>64a</t>
  </si>
  <si>
    <t>64b</t>
  </si>
  <si>
    <t>60a</t>
  </si>
  <si>
    <t>60b</t>
  </si>
  <si>
    <t>38a</t>
  </si>
  <si>
    <t>38b</t>
  </si>
  <si>
    <t>249a</t>
  </si>
  <si>
    <t>249b</t>
  </si>
  <si>
    <t>49a</t>
  </si>
  <si>
    <t>49b</t>
  </si>
  <si>
    <t>98a</t>
  </si>
  <si>
    <t>98b</t>
  </si>
  <si>
    <t>97a</t>
  </si>
  <si>
    <t>97b</t>
  </si>
  <si>
    <t>5a</t>
  </si>
  <si>
    <t>5b</t>
  </si>
  <si>
    <t>43b</t>
  </si>
  <si>
    <t>j282</t>
  </si>
  <si>
    <t>j365</t>
  </si>
  <si>
    <t>j315a</t>
  </si>
  <si>
    <t>j134a</t>
  </si>
  <si>
    <t>j205</t>
  </si>
  <si>
    <t>j209</t>
  </si>
  <si>
    <t>j181a</t>
  </si>
  <si>
    <t>:brahapur 2</t>
  </si>
  <si>
    <t>j7b</t>
  </si>
  <si>
    <t>road crossing</t>
  </si>
  <si>
    <t>:mandah &amp; bhoji</t>
  </si>
  <si>
    <t>i.l</t>
  </si>
  <si>
    <t>j200a</t>
  </si>
  <si>
    <t>c.c road crossing</t>
  </si>
  <si>
    <t>j200b</t>
  </si>
  <si>
    <t>j158(1)</t>
  </si>
  <si>
    <t>j101(1)</t>
  </si>
  <si>
    <t>brick road crossing</t>
  </si>
  <si>
    <t>j134(1)</t>
  </si>
  <si>
    <t>j141(1)</t>
  </si>
  <si>
    <t>i.l road crossing</t>
  </si>
  <si>
    <t>j121a</t>
  </si>
  <si>
    <t>j121b</t>
  </si>
  <si>
    <t>j56(1)</t>
  </si>
  <si>
    <t>j119a</t>
  </si>
  <si>
    <t>j119b</t>
  </si>
  <si>
    <t>j329</t>
  </si>
  <si>
    <t>j271(1)</t>
  </si>
  <si>
    <t>j271(2)</t>
  </si>
  <si>
    <t>j155(1)</t>
  </si>
  <si>
    <t>j284</t>
  </si>
  <si>
    <t>j280</t>
  </si>
  <si>
    <t>j47(1)</t>
  </si>
  <si>
    <t>j41(1)</t>
  </si>
  <si>
    <t>j5a</t>
  </si>
  <si>
    <t>j5b</t>
  </si>
  <si>
    <t>j18(1)</t>
  </si>
  <si>
    <t xml:space="preserve">b.t </t>
  </si>
  <si>
    <t>:madhura rani ganj</t>
  </si>
  <si>
    <t>j1(1)</t>
  </si>
  <si>
    <t>j592</t>
  </si>
  <si>
    <t>j44(1)</t>
  </si>
  <si>
    <t>j112(1)</t>
  </si>
  <si>
    <t>j307</t>
  </si>
  <si>
    <t>j308</t>
  </si>
  <si>
    <t>j6(1)</t>
  </si>
  <si>
    <t>j6(2)</t>
  </si>
  <si>
    <t>j20(1)</t>
  </si>
  <si>
    <t>j351</t>
  </si>
  <si>
    <t xml:space="preserve">                                                                                                                                                         </t>
  </si>
  <si>
    <t>J77U5:V26U5:V31U5:V36N86U5:V22U5:V41N86U5:V22U5:V46N86U5:V22U5:V51N86U5:V22U5:V56N86U5:V22U5:V61N86U5:V22U5:V66N86U5:V22U5:V69N86U5:V22</t>
  </si>
  <si>
    <t>: 2</t>
  </si>
  <si>
    <t>j91(1)</t>
  </si>
  <si>
    <t>done</t>
  </si>
  <si>
    <t>: utras 2</t>
  </si>
  <si>
    <t>j261</t>
  </si>
  <si>
    <t xml:space="preserve">j261 </t>
  </si>
  <si>
    <t>BOE road</t>
  </si>
  <si>
    <t>CC road</t>
  </si>
  <si>
    <t>j666</t>
  </si>
  <si>
    <t>j328</t>
  </si>
  <si>
    <t>j331</t>
  </si>
  <si>
    <t>j332</t>
  </si>
  <si>
    <t>j333</t>
  </si>
  <si>
    <t>j335</t>
  </si>
  <si>
    <t>BT road</t>
  </si>
  <si>
    <t>BT raod</t>
  </si>
  <si>
    <t>tank</t>
  </si>
  <si>
    <t>interlock</t>
  </si>
  <si>
    <t>j28a</t>
  </si>
  <si>
    <t>j28b</t>
  </si>
  <si>
    <t>j24a</t>
  </si>
  <si>
    <t>j24b</t>
  </si>
  <si>
    <t>j16a</t>
  </si>
  <si>
    <t>j16b</t>
  </si>
  <si>
    <t>extra</t>
  </si>
  <si>
    <t>j43a</t>
  </si>
  <si>
    <t>j43b</t>
  </si>
  <si>
    <t>j214</t>
  </si>
  <si>
    <t>j40a</t>
  </si>
  <si>
    <t>j40b</t>
  </si>
  <si>
    <t>j169a</t>
  </si>
  <si>
    <t>j169b</t>
  </si>
  <si>
    <t>j192a</t>
  </si>
  <si>
    <t>j192b</t>
  </si>
  <si>
    <t>j218a</t>
  </si>
  <si>
    <t>j218b</t>
  </si>
  <si>
    <t>j223b</t>
  </si>
  <si>
    <t>: Barasarai 2</t>
  </si>
  <si>
    <t>B.t crossing</t>
  </si>
  <si>
    <t>j260(1)</t>
  </si>
  <si>
    <t>j260(2)</t>
  </si>
  <si>
    <t>: madhura rani ganj 5</t>
  </si>
  <si>
    <t xml:space="preserve">Project :- </t>
  </si>
  <si>
    <t>Rural water Supply project under JJM, Pratapgarh, Uttar Pradesh</t>
  </si>
  <si>
    <t>Client:-</t>
  </si>
  <si>
    <t>State Water &amp; Sanitation Mission Govt Of Uttar Pradesh</t>
  </si>
  <si>
    <t>TPI:-</t>
  </si>
  <si>
    <t>Medhaj Techno Concept Pvt. Ltd.</t>
  </si>
  <si>
    <t>Contractor:-</t>
  </si>
  <si>
    <t>Power Mech Project Ltd.</t>
  </si>
  <si>
    <t xml:space="preserve">      Block :-          </t>
  </si>
  <si>
    <t xml:space="preserve">GP :- </t>
  </si>
  <si>
    <t>Appliede test pressure (kg /cm'2)</t>
  </si>
  <si>
    <t>Pressure test rising time (Hrs)</t>
  </si>
  <si>
    <t>Pressure Released time(Hrs)</t>
  </si>
  <si>
    <t>Total Duration Hrs</t>
  </si>
  <si>
    <t xml:space="preserve">Observation </t>
  </si>
  <si>
    <t>no</t>
  </si>
  <si>
    <t>madhura rani ganj</t>
  </si>
  <si>
    <t>j78(1)</t>
  </si>
  <si>
    <t>j43(1)</t>
  </si>
  <si>
    <t>j128(1)</t>
  </si>
  <si>
    <t>I.L</t>
  </si>
  <si>
    <t>J114A</t>
  </si>
  <si>
    <t>J114B</t>
  </si>
  <si>
    <t>J119A</t>
  </si>
  <si>
    <t>J119B</t>
  </si>
  <si>
    <t>J119C</t>
  </si>
  <si>
    <t>J240A</t>
  </si>
  <si>
    <t>J230A</t>
  </si>
  <si>
    <t>J230B</t>
  </si>
  <si>
    <t>I.L CROSSING</t>
  </si>
  <si>
    <t>J137A</t>
  </si>
  <si>
    <t>J137B</t>
  </si>
  <si>
    <t>J137C</t>
  </si>
  <si>
    <t>J137D</t>
  </si>
  <si>
    <t>JJ159</t>
  </si>
  <si>
    <t>J159B</t>
  </si>
  <si>
    <t>J153A</t>
  </si>
  <si>
    <t>J153B</t>
  </si>
  <si>
    <t>=</t>
  </si>
  <si>
    <t>Brick crossing</t>
  </si>
  <si>
    <t>: suryagarh jaganath</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</si>
</sst>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 #,##0_ ;_ * \-#,##0_ ;_ * &quot;-&quot;_ ;_ @_ "/>
    <numFmt numFmtId="43" formatCode="_ * #,##0.00_ ;_ * \-#,##0.00_ ;_ * &quot;-&quot;??_ ;_ @_ "/>
    <numFmt numFmtId="164" formatCode="_(* #,##0.00_);_(* \(#,##0.00\);_(* &quot;-&quot;??_);_(@_)"/>
    <numFmt numFmtId="165" formatCode="0.0"/>
    <numFmt numFmtId="166" formatCode="_(* #,##0.0_);_(* \(#,##0.0\);_(* &quot;-&quot;??_);_(@_)"/>
    <numFmt numFmtId="167" formatCode="_ * #,##0.00_ ;_ * \-#,##0.00_ ;_ * &quot;-&quot;_ ;_ @_ "/>
    <numFmt numFmtId="168" formatCode="0\4"/>
    <numFmt numFmtId="169" formatCode="00"/>
  </numFmts>
  <fonts count="35">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b/>
      <sz val="12"/>
      <color theme="1"/>
      <name val="Cambria"/>
      <family val="1"/>
      <scheme val="major"/>
    </font>
    <font>
      <sz val="12"/>
      <color theme="1"/>
      <name val="Calibri"/>
      <family val="2"/>
      <scheme val="minor"/>
    </font>
    <font>
      <sz val="14"/>
      <color theme="1"/>
      <name val="Calibri"/>
      <family val="2"/>
      <scheme val="minor"/>
    </font>
    <font>
      <b/>
      <sz val="11"/>
      <color theme="1"/>
      <name val="Calibri"/>
      <family val="2"/>
      <scheme val="minor"/>
    </font>
    <font>
      <b/>
      <sz val="11"/>
      <color rgb="FFFF0000"/>
      <name val="Calibri"/>
      <family val="2"/>
      <scheme val="minor"/>
    </font>
    <font>
      <b/>
      <sz val="14"/>
      <color rgb="FFFF0000"/>
      <name val="Calibri"/>
      <family val="2"/>
      <scheme val="minor"/>
    </font>
    <font>
      <b/>
      <sz val="16"/>
      <color rgb="FFFF0000"/>
      <name val="Calibri"/>
      <family val="2"/>
      <scheme val="minor"/>
    </font>
    <font>
      <b/>
      <sz val="14"/>
      <color rgb="FFFF0000"/>
      <name val="Cambria"/>
      <family val="1"/>
      <scheme val="major"/>
    </font>
    <font>
      <b/>
      <sz val="12"/>
      <color theme="1"/>
      <name val="Calibri"/>
      <family val="2"/>
      <scheme val="minor"/>
    </font>
    <font>
      <sz val="11"/>
      <name val="Calibri"/>
      <family val="2"/>
      <scheme val="minor"/>
    </font>
    <font>
      <sz val="11"/>
      <color rgb="FFFF0000"/>
      <name val="Calibri"/>
      <family val="2"/>
      <scheme val="minor"/>
    </font>
    <font>
      <b/>
      <sz val="12"/>
      <name val="Calibri"/>
      <family val="2"/>
      <scheme val="minor"/>
    </font>
    <font>
      <b/>
      <sz val="14"/>
      <color theme="1"/>
      <name val="Cambria"/>
      <family val="1"/>
      <scheme val="major"/>
    </font>
    <font>
      <b/>
      <sz val="20"/>
      <color theme="1"/>
      <name val="Calibri"/>
      <family val="2"/>
      <scheme val="minor"/>
    </font>
    <font>
      <b/>
      <sz val="18"/>
      <color theme="1"/>
      <name val="Cambria"/>
      <family val="1"/>
      <scheme val="major"/>
    </font>
    <font>
      <b/>
      <sz val="11"/>
      <color rgb="FF000000"/>
      <name val="Calibri"/>
      <family val="2"/>
    </font>
    <font>
      <b/>
      <sz val="12"/>
      <color rgb="FF000000"/>
      <name val="Calibri"/>
      <family val="2"/>
    </font>
    <font>
      <sz val="10"/>
      <color rgb="FF000000"/>
      <name val="Calibri"/>
      <family val="2"/>
    </font>
    <font>
      <b/>
      <sz val="10"/>
      <color rgb="FF000000"/>
      <name val="Calibri"/>
      <family val="2"/>
    </font>
    <font>
      <b/>
      <sz val="14"/>
      <color rgb="FF000000"/>
      <name val="Calibri"/>
      <family val="2"/>
    </font>
    <font>
      <b/>
      <sz val="12"/>
      <color rgb="FF000000"/>
      <name val="Verdana"/>
      <family val="2"/>
    </font>
    <font>
      <sz val="12"/>
      <name val="Calibri"/>
      <family val="2"/>
      <scheme val="minor"/>
    </font>
    <font>
      <sz val="22"/>
      <name val="Calibri"/>
      <family val="2"/>
      <scheme val="minor"/>
    </font>
    <font>
      <sz val="14"/>
      <name val="Calibri"/>
      <family val="2"/>
      <scheme val="minor"/>
    </font>
    <font>
      <b/>
      <sz val="16"/>
      <name val="Calibri"/>
      <family val="2"/>
      <scheme val="minor"/>
    </font>
    <font>
      <b/>
      <sz val="14"/>
      <name val="Calibri"/>
      <family val="2"/>
      <scheme val="minor"/>
    </font>
    <font>
      <sz val="10"/>
      <name val="Arial"/>
      <family val="2"/>
    </font>
    <font>
      <sz val="10"/>
      <color rgb="FF000000"/>
      <name val="Times New Roman"/>
      <family val="1"/>
    </font>
    <font>
      <sz val="11"/>
      <color theme="1"/>
      <name val="Calibri"/>
      <family val="2"/>
      <scheme val="minor"/>
    </font>
    <font>
      <sz val="11"/>
      <color theme="1"/>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39994506668294322"/>
        <bgColor indexed="64"/>
      </patternFill>
    </fill>
    <fill>
      <patternFill patternType="solid">
        <fgColor theme="5" tint="0.39994506668294322"/>
        <bgColor indexed="64"/>
      </patternFill>
    </fill>
    <fill>
      <patternFill patternType="solid">
        <fgColor theme="6" tint="-0.249977111117893"/>
        <bgColor indexed="64"/>
      </patternFill>
    </fill>
    <fill>
      <patternFill patternType="solid">
        <fgColor rgb="FF7030A0"/>
        <bgColor indexed="64"/>
      </patternFill>
    </fill>
    <fill>
      <patternFill patternType="solid">
        <fgColor theme="9"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FF0000"/>
        <bgColor indexed="64"/>
      </patternFill>
    </fill>
    <fill>
      <patternFill patternType="solid">
        <fgColor theme="3" tint="0.79995117038483843"/>
        <bgColor indexed="64"/>
      </patternFill>
    </fill>
    <fill>
      <patternFill patternType="solid">
        <fgColor theme="3" tint="0.59999389629810485"/>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9" tint="0.79995117038483843"/>
        <bgColor indexed="64"/>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diagonal/>
    </border>
    <border>
      <left/>
      <right style="thin">
        <color auto="1"/>
      </right>
      <top/>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style="thin">
        <color auto="1"/>
      </bottom>
      <diagonal/>
    </border>
    <border>
      <left/>
      <right/>
      <top style="thin">
        <color auto="1"/>
      </top>
      <bottom style="medium">
        <color auto="1"/>
      </bottom>
      <diagonal/>
    </border>
  </borders>
  <cellStyleXfs count="10">
    <xf numFmtId="0" fontId="0" fillId="0" borderId="0"/>
    <xf numFmtId="164" fontId="33" fillId="0" borderId="0" applyFont="0" applyFill="0" applyBorder="0" applyAlignment="0" applyProtection="0"/>
    <xf numFmtId="0" fontId="33" fillId="0" borderId="0"/>
    <xf numFmtId="0" fontId="31" fillId="0" borderId="0"/>
    <xf numFmtId="0" fontId="33" fillId="0" borderId="0"/>
    <xf numFmtId="0" fontId="32" fillId="0" borderId="0"/>
    <xf numFmtId="0" fontId="34" fillId="0" borderId="0"/>
    <xf numFmtId="0" fontId="3" fillId="0" borderId="0"/>
    <xf numFmtId="0" fontId="3" fillId="0" borderId="0"/>
    <xf numFmtId="0" fontId="1" fillId="0" borderId="0"/>
  </cellStyleXfs>
  <cellXfs count="754">
    <xf numFmtId="0" fontId="0" fillId="0" borderId="0" xfId="0"/>
    <xf numFmtId="0" fontId="4" fillId="0" borderId="1" xfId="2" applyFont="1" applyBorder="1" applyAlignment="1">
      <alignment horizontal="center" vertical="center"/>
    </xf>
    <xf numFmtId="0" fontId="5" fillId="0" borderId="1" xfId="2" applyFont="1" applyBorder="1" applyAlignment="1">
      <alignment horizontal="center" vertical="center" wrapText="1"/>
    </xf>
    <xf numFmtId="0" fontId="4" fillId="0" borderId="1" xfId="2" applyFont="1" applyBorder="1" applyAlignment="1">
      <alignment horizontal="center" vertical="center" wrapText="1"/>
    </xf>
    <xf numFmtId="0" fontId="4" fillId="2" borderId="1" xfId="2" applyFont="1" applyFill="1" applyBorder="1" applyAlignment="1">
      <alignment horizontal="center" vertical="center" wrapText="1"/>
    </xf>
    <xf numFmtId="0" fontId="0" fillId="0" borderId="1" xfId="0" applyBorder="1" applyAlignment="1">
      <alignment horizontal="center"/>
    </xf>
    <xf numFmtId="0" fontId="0" fillId="2" borderId="1" xfId="0" applyFill="1" applyBorder="1" applyAlignment="1">
      <alignment horizontal="center"/>
    </xf>
    <xf numFmtId="0" fontId="6" fillId="0" borderId="1" xfId="0" applyFont="1" applyBorder="1"/>
    <xf numFmtId="0" fontId="0" fillId="0" borderId="1" xfId="0" applyBorder="1"/>
    <xf numFmtId="0" fontId="4" fillId="2" borderId="1" xfId="2" applyFont="1" applyFill="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 xfId="0" applyFont="1" applyFill="1" applyBorder="1" applyAlignment="1">
      <alignment horizontal="center"/>
    </xf>
    <xf numFmtId="0" fontId="0" fillId="0" borderId="1" xfId="0" applyNumberFormat="1" applyFont="1" applyFill="1" applyBorder="1" applyAlignment="1">
      <alignment horizontal="center"/>
    </xf>
    <xf numFmtId="0" fontId="0" fillId="0" borderId="4" xfId="0" applyFont="1" applyFill="1" applyBorder="1" applyAlignment="1">
      <alignment horizontal="center"/>
    </xf>
    <xf numFmtId="0" fontId="0" fillId="0" borderId="0" xfId="0" applyFont="1" applyFill="1" applyAlignment="1"/>
    <xf numFmtId="0" fontId="0" fillId="0" borderId="0" xfId="0" applyBorder="1" applyAlignment="1">
      <alignment horizontal="center"/>
    </xf>
    <xf numFmtId="0" fontId="0" fillId="0" borderId="1" xfId="0" applyFill="1" applyBorder="1" applyAlignment="1">
      <alignment horizontal="center"/>
    </xf>
    <xf numFmtId="0" fontId="0" fillId="0" borderId="1" xfId="0" applyBorder="1" applyAlignment="1">
      <alignment horizontal="center" vertical="center"/>
    </xf>
    <xf numFmtId="0" fontId="6" fillId="2" borderId="1" xfId="0" applyFont="1" applyFill="1" applyBorder="1" applyAlignment="1">
      <alignment horizontal="center"/>
    </xf>
    <xf numFmtId="0" fontId="7" fillId="2" borderId="1" xfId="0" applyFont="1" applyFill="1" applyBorder="1" applyAlignment="1">
      <alignment horizontal="center"/>
    </xf>
    <xf numFmtId="0" fontId="6" fillId="0" borderId="1" xfId="0" applyFont="1" applyBorder="1" applyAlignment="1">
      <alignment horizontal="center"/>
    </xf>
    <xf numFmtId="2" fontId="0" fillId="0" borderId="1" xfId="0" applyNumberFormat="1" applyBorder="1" applyAlignment="1">
      <alignment horizontal="center"/>
    </xf>
    <xf numFmtId="3" fontId="6" fillId="0" borderId="1" xfId="0" applyNumberFormat="1" applyFont="1" applyBorder="1" applyAlignment="1">
      <alignment horizontal="center"/>
    </xf>
    <xf numFmtId="0" fontId="4" fillId="0" borderId="1" xfId="0" applyFont="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0" fillId="0" borderId="5" xfId="0" applyBorder="1" applyAlignment="1">
      <alignment horizontal="center"/>
    </xf>
    <xf numFmtId="0" fontId="6" fillId="0" borderId="1" xfId="0" applyFont="1" applyBorder="1" applyAlignment="1">
      <alignment wrapText="1"/>
    </xf>
    <xf numFmtId="0" fontId="0" fillId="0" borderId="1" xfId="0" applyBorder="1" applyAlignment="1">
      <alignment wrapText="1"/>
    </xf>
    <xf numFmtId="2" fontId="0" fillId="2" borderId="1" xfId="0" applyNumberFormat="1" applyFill="1" applyBorder="1" applyAlignment="1">
      <alignment horizontal="center"/>
    </xf>
    <xf numFmtId="0" fontId="4" fillId="2" borderId="1" xfId="0" applyFont="1" applyFill="1" applyBorder="1" applyAlignment="1">
      <alignment horizontal="center" vertical="center"/>
    </xf>
    <xf numFmtId="0" fontId="0" fillId="0" borderId="6" xfId="0" applyFill="1" applyBorder="1" applyAlignment="1">
      <alignment horizontal="center"/>
    </xf>
    <xf numFmtId="0" fontId="33" fillId="0" borderId="0" xfId="2"/>
    <xf numFmtId="0" fontId="33" fillId="0" borderId="1" xfId="2" applyBorder="1" applyAlignment="1">
      <alignment horizontal="center"/>
    </xf>
    <xf numFmtId="0" fontId="33" fillId="2" borderId="1" xfId="2" applyFill="1" applyBorder="1" applyAlignment="1">
      <alignment horizontal="center"/>
    </xf>
    <xf numFmtId="0" fontId="33" fillId="0" borderId="1" xfId="2" applyBorder="1"/>
    <xf numFmtId="0" fontId="33" fillId="0" borderId="2" xfId="2" applyBorder="1" applyAlignment="1">
      <alignment horizontal="center"/>
    </xf>
    <xf numFmtId="0" fontId="8" fillId="0" borderId="1" xfId="2" applyFont="1" applyBorder="1" applyAlignment="1">
      <alignment horizontal="center"/>
    </xf>
    <xf numFmtId="0" fontId="6" fillId="0" borderId="1" xfId="2" applyFont="1" applyBorder="1"/>
    <xf numFmtId="0" fontId="33" fillId="0" borderId="2" xfId="2" applyBorder="1"/>
    <xf numFmtId="0" fontId="33" fillId="0" borderId="5" xfId="2" applyBorder="1"/>
    <xf numFmtId="0" fontId="33" fillId="0" borderId="3" xfId="2" applyBorder="1"/>
    <xf numFmtId="0" fontId="33" fillId="0" borderId="0" xfId="2" applyAlignment="1">
      <alignment horizontal="center"/>
    </xf>
    <xf numFmtId="0" fontId="6" fillId="0" borderId="0" xfId="2" applyFont="1"/>
    <xf numFmtId="0" fontId="0" fillId="0" borderId="1" xfId="0" applyFont="1" applyBorder="1" applyAlignment="1">
      <alignment horizontal="center"/>
    </xf>
    <xf numFmtId="0" fontId="8" fillId="0" borderId="1" xfId="0" applyFont="1" applyBorder="1" applyAlignment="1">
      <alignment horizontal="center" vertical="center"/>
    </xf>
    <xf numFmtId="0" fontId="6" fillId="0" borderId="3" xfId="0" applyFont="1" applyBorder="1" applyAlignment="1">
      <alignment horizontal="center"/>
    </xf>
    <xf numFmtId="0" fontId="4" fillId="0" borderId="9" xfId="0" applyFont="1" applyBorder="1" applyAlignment="1">
      <alignment horizontal="center" vertical="center"/>
    </xf>
    <xf numFmtId="0" fontId="4" fillId="2" borderId="2" xfId="0" applyFont="1" applyFill="1" applyBorder="1" applyAlignment="1">
      <alignment horizontal="center" vertical="center"/>
    </xf>
    <xf numFmtId="0" fontId="0" fillId="0" borderId="1" xfId="0" applyBorder="1" applyAlignment="1">
      <alignment horizontal="center" wrapText="1"/>
    </xf>
    <xf numFmtId="0" fontId="0" fillId="2" borderId="2" xfId="0" applyFill="1" applyBorder="1" applyAlignment="1">
      <alignment horizontal="center"/>
    </xf>
    <xf numFmtId="0" fontId="8" fillId="0" borderId="3" xfId="0" applyFont="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0" fontId="0" fillId="0" borderId="0" xfId="0" applyBorder="1"/>
    <xf numFmtId="0" fontId="0" fillId="0" borderId="11" xfId="0" applyBorder="1" applyAlignment="1">
      <alignment horizontal="center"/>
    </xf>
    <xf numFmtId="0" fontId="0" fillId="2" borderId="0" xfId="0" applyFill="1"/>
    <xf numFmtId="0" fontId="0" fillId="2" borderId="5" xfId="0" applyFill="1" applyBorder="1" applyAlignment="1">
      <alignment horizontal="center"/>
    </xf>
    <xf numFmtId="0" fontId="0" fillId="2" borderId="3" xfId="0" applyFill="1" applyBorder="1" applyAlignment="1">
      <alignment horizontal="center"/>
    </xf>
    <xf numFmtId="0" fontId="0" fillId="0" borderId="0" xfId="0" applyAlignment="1">
      <alignment horizontal="center"/>
    </xf>
    <xf numFmtId="0" fontId="0" fillId="3" borderId="2" xfId="0" applyFill="1" applyBorder="1" applyAlignment="1">
      <alignment horizontal="center"/>
    </xf>
    <xf numFmtId="0" fontId="0" fillId="3" borderId="5" xfId="0" applyFill="1" applyBorder="1" applyAlignment="1">
      <alignment horizontal="center"/>
    </xf>
    <xf numFmtId="0" fontId="0" fillId="3" borderId="3" xfId="0" applyFill="1" applyBorder="1" applyAlignment="1">
      <alignment horizontal="center"/>
    </xf>
    <xf numFmtId="0" fontId="0" fillId="3" borderId="1" xfId="0" applyFill="1" applyBorder="1" applyAlignment="1">
      <alignment horizontal="center"/>
    </xf>
    <xf numFmtId="0" fontId="10" fillId="0" borderId="1" xfId="0" applyFont="1" applyBorder="1" applyAlignment="1">
      <alignment horizontal="center"/>
    </xf>
    <xf numFmtId="0" fontId="4" fillId="0" borderId="2" xfId="0" applyFont="1" applyBorder="1" applyAlignment="1">
      <alignment horizontal="center" vertical="center"/>
    </xf>
    <xf numFmtId="0" fontId="0" fillId="2" borderId="1" xfId="0" applyFill="1" applyBorder="1" applyAlignment="1">
      <alignment horizontal="center" vertical="center"/>
    </xf>
    <xf numFmtId="0" fontId="0" fillId="4" borderId="2" xfId="0" applyFill="1" applyBorder="1" applyAlignment="1">
      <alignment horizontal="center"/>
    </xf>
    <xf numFmtId="0" fontId="0" fillId="4" borderId="5" xfId="0" applyFill="1" applyBorder="1" applyAlignment="1">
      <alignment horizontal="center"/>
    </xf>
    <xf numFmtId="0" fontId="0" fillId="4" borderId="3" xfId="0" applyFill="1" applyBorder="1" applyAlignment="1">
      <alignment horizontal="center"/>
    </xf>
    <xf numFmtId="0" fontId="0" fillId="6" borderId="1" xfId="0" applyFill="1" applyBorder="1" applyAlignment="1">
      <alignment horizontal="center"/>
    </xf>
    <xf numFmtId="0" fontId="0" fillId="7" borderId="2" xfId="0" applyFill="1" applyBorder="1" applyAlignment="1">
      <alignment horizontal="center"/>
    </xf>
    <xf numFmtId="0" fontId="0" fillId="0" borderId="20" xfId="0" applyBorder="1" applyAlignment="1">
      <alignment horizontal="center"/>
    </xf>
    <xf numFmtId="0" fontId="0" fillId="0" borderId="20" xfId="0" applyBorder="1"/>
    <xf numFmtId="0" fontId="0" fillId="0" borderId="21" xfId="0" applyBorder="1"/>
    <xf numFmtId="0" fontId="0" fillId="0" borderId="2" xfId="0" applyBorder="1"/>
    <xf numFmtId="0" fontId="0" fillId="0" borderId="5" xfId="0" applyBorder="1"/>
    <xf numFmtId="0" fontId="0" fillId="0" borderId="3" xfId="0" applyBorder="1"/>
    <xf numFmtId="0" fontId="0" fillId="6" borderId="2" xfId="0" applyFill="1" applyBorder="1" applyAlignment="1">
      <alignment horizontal="center"/>
    </xf>
    <xf numFmtId="0" fontId="0" fillId="6" borderId="5" xfId="0" applyFill="1" applyBorder="1" applyAlignment="1">
      <alignment horizontal="center"/>
    </xf>
    <xf numFmtId="0" fontId="0" fillId="6" borderId="3" xfId="0" applyFill="1" applyBorder="1" applyAlignment="1">
      <alignment horizontal="center"/>
    </xf>
    <xf numFmtId="0" fontId="0" fillId="8" borderId="23" xfId="0" applyFill="1" applyBorder="1" applyAlignment="1">
      <alignment horizontal="center"/>
    </xf>
    <xf numFmtId="0" fontId="0" fillId="8" borderId="15" xfId="0" applyFill="1" applyBorder="1" applyAlignment="1">
      <alignment horizontal="center"/>
    </xf>
    <xf numFmtId="0" fontId="0" fillId="8" borderId="24" xfId="0" applyFill="1" applyBorder="1" applyAlignment="1">
      <alignment horizontal="center"/>
    </xf>
    <xf numFmtId="0" fontId="0" fillId="9" borderId="20" xfId="0" applyFill="1" applyBorder="1" applyAlignment="1">
      <alignment horizontal="center"/>
    </xf>
    <xf numFmtId="0" fontId="0" fillId="7" borderId="3" xfId="0" applyFill="1" applyBorder="1" applyAlignment="1">
      <alignment horizontal="center"/>
    </xf>
    <xf numFmtId="0" fontId="0" fillId="7" borderId="0" xfId="0" applyFill="1" applyAlignment="1">
      <alignment horizontal="center"/>
    </xf>
    <xf numFmtId="0" fontId="0" fillId="0" borderId="8" xfId="0" applyBorder="1"/>
    <xf numFmtId="0" fontId="6" fillId="0" borderId="1" xfId="0" applyFont="1" applyBorder="1" applyAlignment="1">
      <alignment horizontal="center" vertical="center"/>
    </xf>
    <xf numFmtId="0" fontId="6" fillId="9"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10" borderId="1"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6" fillId="11" borderId="1" xfId="0" applyFont="1" applyFill="1" applyBorder="1" applyAlignment="1">
      <alignment horizontal="center" vertical="center"/>
    </xf>
    <xf numFmtId="0" fontId="6" fillId="12" borderId="1" xfId="0" applyFont="1" applyFill="1" applyBorder="1" applyAlignment="1">
      <alignment horizontal="center" vertical="center"/>
    </xf>
    <xf numFmtId="0" fontId="6" fillId="13" borderId="1" xfId="0" applyFont="1" applyFill="1" applyBorder="1" applyAlignment="1">
      <alignment horizontal="center" vertical="center"/>
    </xf>
    <xf numFmtId="0" fontId="0" fillId="13" borderId="0" xfId="0" applyFill="1"/>
    <xf numFmtId="0" fontId="0" fillId="3" borderId="1" xfId="0" applyFill="1" applyBorder="1" applyAlignment="1">
      <alignment horizontal="center" vertical="center"/>
    </xf>
    <xf numFmtId="0" fontId="0" fillId="14" borderId="1" xfId="0" applyFill="1" applyBorder="1" applyAlignment="1">
      <alignment horizontal="center"/>
    </xf>
    <xf numFmtId="0" fontId="0" fillId="12" borderId="1" xfId="0" applyFill="1" applyBorder="1" applyAlignment="1">
      <alignment horizontal="center"/>
    </xf>
    <xf numFmtId="0" fontId="8" fillId="0" borderId="1" xfId="0" applyFont="1" applyBorder="1" applyAlignment="1">
      <alignment horizontal="center"/>
    </xf>
    <xf numFmtId="0" fontId="0" fillId="0" borderId="4" xfId="0" applyBorder="1" applyAlignment="1">
      <alignment horizontal="center"/>
    </xf>
    <xf numFmtId="0" fontId="0" fillId="0" borderId="21" xfId="0" applyBorder="1" applyAlignment="1">
      <alignment horizontal="center"/>
    </xf>
    <xf numFmtId="0" fontId="0" fillId="0" borderId="20" xfId="0"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xf>
    <xf numFmtId="0" fontId="10" fillId="0" borderId="28" xfId="0" applyFont="1" applyBorder="1" applyAlignment="1">
      <alignment vertical="center"/>
    </xf>
    <xf numFmtId="0" fontId="10" fillId="0" borderId="29" xfId="0" applyFont="1" applyBorder="1"/>
    <xf numFmtId="0" fontId="0" fillId="0" borderId="31"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10" fillId="0" borderId="35" xfId="0" applyFont="1" applyBorder="1" applyAlignment="1">
      <alignment horizontal="center"/>
    </xf>
    <xf numFmtId="0" fontId="11" fillId="0" borderId="1" xfId="0" applyFont="1" applyBorder="1" applyAlignment="1">
      <alignment horizontal="center"/>
    </xf>
    <xf numFmtId="0" fontId="0" fillId="0" borderId="6" xfId="0" applyBorder="1" applyAlignment="1">
      <alignment vertical="center"/>
    </xf>
    <xf numFmtId="0" fontId="0" fillId="0" borderId="1" xfId="0" applyBorder="1" applyAlignment="1">
      <alignment vertical="center"/>
    </xf>
    <xf numFmtId="0" fontId="12" fillId="6" borderId="1" xfId="0" applyFont="1" applyFill="1" applyBorder="1" applyAlignment="1">
      <alignment horizontal="center" vertical="center"/>
    </xf>
    <xf numFmtId="0" fontId="4" fillId="0" borderId="3" xfId="0" applyFont="1" applyBorder="1" applyAlignment="1">
      <alignment horizontal="center" vertical="center"/>
    </xf>
    <xf numFmtId="0" fontId="12" fillId="15" borderId="1" xfId="0" applyFont="1" applyFill="1" applyBorder="1" applyAlignment="1">
      <alignment horizontal="center" vertical="center"/>
    </xf>
    <xf numFmtId="0" fontId="4" fillId="0" borderId="5" xfId="0" applyFont="1" applyBorder="1" applyAlignment="1">
      <alignment vertical="center"/>
    </xf>
    <xf numFmtId="0" fontId="4" fillId="0" borderId="3" xfId="0" applyFont="1" applyBorder="1" applyAlignment="1">
      <alignment vertical="center"/>
    </xf>
    <xf numFmtId="0" fontId="0" fillId="0" borderId="4" xfId="0" applyBorder="1" applyAlignment="1">
      <alignment horizontal="center" vertical="center"/>
    </xf>
    <xf numFmtId="0" fontId="0" fillId="16" borderId="1" xfId="0" applyFill="1" applyBorder="1" applyAlignment="1">
      <alignment horizontal="center"/>
    </xf>
    <xf numFmtId="0" fontId="12" fillId="17" borderId="1" xfId="0" applyFont="1" applyFill="1" applyBorder="1" applyAlignment="1">
      <alignment horizontal="center" vertical="center"/>
    </xf>
    <xf numFmtId="0" fontId="13" fillId="2" borderId="23" xfId="0" applyFont="1" applyFill="1" applyBorder="1"/>
    <xf numFmtId="0" fontId="0" fillId="2" borderId="15" xfId="0" applyFill="1" applyBorder="1"/>
    <xf numFmtId="0" fontId="0" fillId="2" borderId="24" xfId="0" applyFill="1" applyBorder="1"/>
    <xf numFmtId="0" fontId="13" fillId="2" borderId="2" xfId="0" applyFont="1" applyFill="1" applyBorder="1" applyAlignment="1">
      <alignment horizontal="left" vertical="center"/>
    </xf>
    <xf numFmtId="0" fontId="0" fillId="2" borderId="5" xfId="0" applyFill="1" applyBorder="1" applyAlignment="1">
      <alignment horizontal="left"/>
    </xf>
    <xf numFmtId="0" fontId="0" fillId="2" borderId="3" xfId="0" applyFill="1" applyBorder="1" applyAlignment="1">
      <alignment horizontal="left"/>
    </xf>
    <xf numFmtId="14" fontId="0" fillId="2" borderId="1" xfId="0" applyNumberFormat="1" applyFill="1" applyBorder="1" applyAlignment="1">
      <alignment horizontal="center" vertical="center"/>
    </xf>
    <xf numFmtId="0" fontId="0" fillId="2" borderId="3" xfId="0" applyFill="1" applyBorder="1" applyAlignment="1">
      <alignment horizontal="center" vertical="center"/>
    </xf>
    <xf numFmtId="0" fontId="14" fillId="2" borderId="1" xfId="0" applyFont="1" applyFill="1" applyBorder="1" applyAlignment="1">
      <alignment horizontal="center" vertical="center"/>
    </xf>
    <xf numFmtId="14" fontId="14" fillId="2" borderId="1"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0" fillId="0" borderId="26" xfId="0" applyBorder="1"/>
    <xf numFmtId="0" fontId="0" fillId="0" borderId="33" xfId="0" applyBorder="1"/>
    <xf numFmtId="0" fontId="12" fillId="17" borderId="29" xfId="0" applyFont="1" applyFill="1" applyBorder="1" applyAlignment="1">
      <alignment horizontal="center" vertical="center"/>
    </xf>
    <xf numFmtId="0" fontId="0" fillId="0" borderId="29" xfId="0" applyBorder="1"/>
    <xf numFmtId="0" fontId="4" fillId="0" borderId="1" xfId="0" applyFont="1" applyBorder="1"/>
    <xf numFmtId="0" fontId="4" fillId="0" borderId="3" xfId="0" applyFont="1" applyBorder="1"/>
    <xf numFmtId="0" fontId="13" fillId="0" borderId="20" xfId="0" applyFont="1" applyBorder="1" applyAlignment="1">
      <alignment vertical="center"/>
    </xf>
    <xf numFmtId="0" fontId="13" fillId="0" borderId="21" xfId="0" applyFont="1" applyBorder="1" applyAlignment="1">
      <alignment vertical="center"/>
    </xf>
    <xf numFmtId="0" fontId="13" fillId="17" borderId="1" xfId="0" applyFont="1" applyFill="1" applyBorder="1" applyAlignment="1">
      <alignment horizontal="center" vertical="center"/>
    </xf>
    <xf numFmtId="0" fontId="7" fillId="0" borderId="1" xfId="0" applyFont="1" applyBorder="1" applyAlignment="1">
      <alignment horizontal="center"/>
    </xf>
    <xf numFmtId="0" fontId="0" fillId="0" borderId="10" xfId="0" applyBorder="1" applyAlignment="1">
      <alignment horizontal="center"/>
    </xf>
    <xf numFmtId="0" fontId="8" fillId="17" borderId="1" xfId="0" applyFont="1" applyFill="1" applyBorder="1" applyAlignment="1">
      <alignment horizontal="center" vertical="center"/>
    </xf>
    <xf numFmtId="0" fontId="16" fillId="3" borderId="4" xfId="0" applyFont="1" applyFill="1" applyBorder="1" applyAlignment="1">
      <alignment horizontal="center" vertical="center"/>
    </xf>
    <xf numFmtId="0" fontId="4" fillId="0" borderId="2" xfId="0" applyFont="1" applyBorder="1" applyAlignment="1">
      <alignment vertical="center"/>
    </xf>
    <xf numFmtId="14" fontId="0" fillId="0" borderId="1" xfId="0" applyNumberFormat="1" applyBorder="1" applyAlignment="1">
      <alignment horizontal="center" vertical="center"/>
    </xf>
    <xf numFmtId="0" fontId="6" fillId="0" borderId="2" xfId="0" applyFont="1" applyBorder="1" applyAlignment="1">
      <alignment horizontal="center" vertical="center"/>
    </xf>
    <xf numFmtId="0" fontId="4" fillId="0" borderId="5" xfId="0" applyFont="1" applyBorder="1"/>
    <xf numFmtId="0" fontId="4" fillId="0" borderId="1" xfId="0" applyFont="1" applyBorder="1" applyAlignment="1">
      <alignment vertical="center" wrapText="1"/>
    </xf>
    <xf numFmtId="0" fontId="4" fillId="0" borderId="1" xfId="0" applyFont="1" applyBorder="1" applyAlignment="1">
      <alignment vertical="center"/>
    </xf>
    <xf numFmtId="0" fontId="0" fillId="0" borderId="1" xfId="0" applyFill="1" applyBorder="1" applyAlignment="1">
      <alignment horizontal="center" vertical="center"/>
    </xf>
    <xf numFmtId="14" fontId="0" fillId="0" borderId="0" xfId="0" applyNumberFormat="1" applyAlignment="1">
      <alignment horizontal="center" vertical="center"/>
    </xf>
    <xf numFmtId="0" fontId="0" fillId="0" borderId="0" xfId="0" applyAlignment="1">
      <alignment horizontal="center" wrapText="1"/>
    </xf>
    <xf numFmtId="0" fontId="10" fillId="0" borderId="21" xfId="0" applyFont="1" applyBorder="1" applyAlignment="1">
      <alignment horizontal="center" vertical="center"/>
    </xf>
    <xf numFmtId="0" fontId="13" fillId="17" borderId="2" xfId="0" applyFont="1" applyFill="1" applyBorder="1" applyAlignment="1">
      <alignment vertical="center"/>
    </xf>
    <xf numFmtId="0" fontId="13" fillId="17" borderId="3" xfId="0" applyFont="1" applyFill="1" applyBorder="1" applyAlignment="1">
      <alignment vertical="center"/>
    </xf>
    <xf numFmtId="0" fontId="6" fillId="0" borderId="1" xfId="0" applyFont="1" applyBorder="1" applyAlignment="1">
      <alignment vertical="center"/>
    </xf>
    <xf numFmtId="0" fontId="4" fillId="0" borderId="21" xfId="0" applyFont="1" applyBorder="1" applyAlignment="1">
      <alignment horizontal="center" vertical="center"/>
    </xf>
    <xf numFmtId="0" fontId="5" fillId="0" borderId="21" xfId="0" applyFont="1" applyBorder="1" applyAlignment="1">
      <alignment horizontal="center" vertical="center" wrapText="1"/>
    </xf>
    <xf numFmtId="0" fontId="0" fillId="0" borderId="3" xfId="0" applyBorder="1" applyAlignment="1">
      <alignment horizontal="center" vertical="center"/>
    </xf>
    <xf numFmtId="14" fontId="0" fillId="0" borderId="20" xfId="0" applyNumberFormat="1" applyBorder="1" applyAlignment="1">
      <alignment horizontal="center" vertical="center"/>
    </xf>
    <xf numFmtId="0" fontId="6" fillId="0" borderId="20" xfId="0" applyFont="1" applyBorder="1" applyAlignment="1">
      <alignment horizontal="center"/>
    </xf>
    <xf numFmtId="14" fontId="0" fillId="0" borderId="0" xfId="0" applyNumberFormat="1" applyBorder="1" applyAlignment="1">
      <alignment horizontal="center" vertical="center"/>
    </xf>
    <xf numFmtId="0" fontId="0" fillId="0" borderId="0" xfId="0" applyBorder="1" applyAlignment="1">
      <alignment horizontal="center" vertical="center"/>
    </xf>
    <xf numFmtId="0" fontId="6" fillId="0" borderId="0" xfId="0" applyFont="1" applyBorder="1" applyAlignment="1">
      <alignment horizontal="center"/>
    </xf>
    <xf numFmtId="0" fontId="8" fillId="0" borderId="0" xfId="0" applyFont="1"/>
    <xf numFmtId="0" fontId="13" fillId="0" borderId="4" xfId="0" applyFont="1" applyBorder="1" applyAlignment="1">
      <alignment vertical="center"/>
    </xf>
    <xf numFmtId="0" fontId="8" fillId="0" borderId="0" xfId="0" applyFont="1" applyAlignment="1">
      <alignment horizontal="center"/>
    </xf>
    <xf numFmtId="0" fontId="13" fillId="17" borderId="0" xfId="0" applyFont="1" applyFill="1" applyAlignment="1">
      <alignment horizontal="center" vertical="center"/>
    </xf>
    <xf numFmtId="0" fontId="6" fillId="0" borderId="2" xfId="0" applyFont="1" applyBorder="1"/>
    <xf numFmtId="0" fontId="6" fillId="0" borderId="3" xfId="0" applyFont="1" applyBorder="1"/>
    <xf numFmtId="0" fontId="6" fillId="0" borderId="2" xfId="0" applyFont="1" applyBorder="1" applyAlignment="1">
      <alignment vertical="center"/>
    </xf>
    <xf numFmtId="0" fontId="6" fillId="0" borderId="3" xfId="0" applyFont="1" applyBorder="1" applyAlignment="1">
      <alignment vertical="center"/>
    </xf>
    <xf numFmtId="0" fontId="13" fillId="2" borderId="0" xfId="0" applyFont="1" applyFill="1" applyAlignment="1">
      <alignment vertical="center"/>
    </xf>
    <xf numFmtId="0" fontId="13" fillId="2" borderId="0" xfId="0" applyFont="1" applyFill="1" applyAlignment="1">
      <alignment horizontal="center" vertical="center"/>
    </xf>
    <xf numFmtId="0" fontId="6" fillId="0" borderId="0" xfId="0" applyFont="1"/>
    <xf numFmtId="0" fontId="6" fillId="0" borderId="0" xfId="0" applyFont="1" applyAlignment="1">
      <alignment vertical="center"/>
    </xf>
    <xf numFmtId="0" fontId="15" fillId="3" borderId="1" xfId="0" applyFont="1" applyFill="1" applyBorder="1" applyAlignment="1">
      <alignment horizontal="center" vertical="center"/>
    </xf>
    <xf numFmtId="0" fontId="4" fillId="0" borderId="0" xfId="0" applyFont="1"/>
    <xf numFmtId="0" fontId="13" fillId="0" borderId="1" xfId="0" applyFont="1" applyBorder="1" applyAlignment="1">
      <alignment horizontal="center" vertical="center"/>
    </xf>
    <xf numFmtId="0" fontId="0" fillId="3" borderId="1" xfId="0" applyFill="1" applyBorder="1"/>
    <xf numFmtId="0" fontId="17" fillId="18" borderId="1" xfId="0" applyFont="1" applyFill="1" applyBorder="1" applyAlignment="1">
      <alignment horizontal="center" vertical="center"/>
    </xf>
    <xf numFmtId="0" fontId="12" fillId="17" borderId="0" xfId="0" applyFont="1" applyFill="1" applyAlignment="1">
      <alignment horizontal="center" vertical="center"/>
    </xf>
    <xf numFmtId="0" fontId="17" fillId="18" borderId="0" xfId="0" applyFont="1" applyFill="1" applyAlignment="1">
      <alignment horizontal="center" vertical="center"/>
    </xf>
    <xf numFmtId="0" fontId="12" fillId="18" borderId="0" xfId="0" applyFont="1" applyFill="1" applyAlignment="1">
      <alignment horizontal="center" vertical="center"/>
    </xf>
    <xf numFmtId="0" fontId="13" fillId="17" borderId="4" xfId="0" applyFont="1" applyFill="1" applyBorder="1" applyAlignment="1">
      <alignment horizontal="center" vertical="center"/>
    </xf>
    <xf numFmtId="0" fontId="0" fillId="0" borderId="21" xfId="0" applyBorder="1" applyAlignment="1">
      <alignment horizontal="center" vertical="center"/>
    </xf>
    <xf numFmtId="0" fontId="6" fillId="0" borderId="21" xfId="0" applyFont="1" applyBorder="1" applyAlignment="1">
      <alignment horizontal="center"/>
    </xf>
    <xf numFmtId="0" fontId="12" fillId="18" borderId="1" xfId="0" applyFont="1" applyFill="1" applyBorder="1" applyAlignment="1">
      <alignment horizontal="center" vertical="center"/>
    </xf>
    <xf numFmtId="0" fontId="5" fillId="0" borderId="1" xfId="0" applyFont="1" applyBorder="1" applyAlignment="1">
      <alignment vertical="center" wrapText="1"/>
    </xf>
    <xf numFmtId="0" fontId="7" fillId="0" borderId="1" xfId="0" applyFont="1" applyBorder="1"/>
    <xf numFmtId="0" fontId="6" fillId="0" borderId="20" xfId="0" applyFont="1" applyBorder="1" applyAlignment="1">
      <alignment horizontal="center" vertical="center"/>
    </xf>
    <xf numFmtId="0" fontId="6" fillId="0" borderId="0" xfId="0" applyFont="1" applyAlignment="1">
      <alignment horizontal="center" vertical="center"/>
    </xf>
    <xf numFmtId="0" fontId="6" fillId="0" borderId="20" xfId="0" applyFont="1" applyBorder="1"/>
    <xf numFmtId="0" fontId="7" fillId="0" borderId="21" xfId="0" applyFont="1" applyBorder="1" applyAlignment="1">
      <alignment horizontal="center"/>
    </xf>
    <xf numFmtId="0" fontId="7" fillId="0" borderId="3" xfId="0" applyFont="1" applyBorder="1"/>
    <xf numFmtId="0" fontId="7" fillId="0" borderId="24" xfId="0" applyFont="1" applyBorder="1"/>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8" fillId="2" borderId="15" xfId="0" applyFont="1" applyFill="1" applyBorder="1" applyAlignment="1">
      <alignment vertical="center"/>
    </xf>
    <xf numFmtId="0" fontId="18" fillId="2" borderId="0" xfId="0" applyFont="1" applyFill="1" applyAlignment="1">
      <alignment vertical="center"/>
    </xf>
    <xf numFmtId="0" fontId="18" fillId="2" borderId="8" xfId="0" applyFont="1" applyFill="1" applyBorder="1" applyAlignment="1">
      <alignment vertical="center"/>
    </xf>
    <xf numFmtId="0" fontId="17" fillId="2" borderId="20" xfId="0" applyFont="1" applyFill="1" applyBorder="1" applyAlignment="1">
      <alignment vertical="center" wrapText="1"/>
    </xf>
    <xf numFmtId="0" fontId="13" fillId="2" borderId="23" xfId="0" applyFont="1" applyFill="1" applyBorder="1" applyAlignment="1">
      <alignment vertical="center"/>
    </xf>
    <xf numFmtId="0" fontId="17" fillId="2" borderId="21" xfId="0" applyFont="1" applyFill="1" applyBorder="1" applyAlignment="1">
      <alignment vertical="center" wrapText="1"/>
    </xf>
    <xf numFmtId="0" fontId="13" fillId="2" borderId="11" xfId="0" applyFont="1" applyFill="1" applyBorder="1" applyAlignment="1">
      <alignment vertical="center"/>
    </xf>
    <xf numFmtId="0" fontId="13" fillId="17" borderId="1" xfId="0" applyFont="1" applyFill="1" applyBorder="1"/>
    <xf numFmtId="0" fontId="7" fillId="2" borderId="2" xfId="0" applyFont="1" applyFill="1" applyBorder="1" applyAlignment="1">
      <alignment horizontal="center"/>
    </xf>
    <xf numFmtId="0" fontId="0" fillId="2" borderId="2" xfId="0" applyFill="1" applyBorder="1" applyAlignment="1">
      <alignment horizontal="center" vertical="center"/>
    </xf>
    <xf numFmtId="0" fontId="0" fillId="2" borderId="0" xfId="0" applyFill="1" applyAlignment="1">
      <alignment horizontal="center" vertical="center"/>
    </xf>
    <xf numFmtId="0" fontId="7" fillId="0" borderId="3" xfId="0" applyFont="1" applyBorder="1" applyAlignment="1">
      <alignment horizontal="center"/>
    </xf>
    <xf numFmtId="0" fontId="7" fillId="2" borderId="2" xfId="0" applyFont="1" applyFill="1" applyBorder="1" applyAlignment="1">
      <alignment horizontal="center" wrapText="1"/>
    </xf>
    <xf numFmtId="0" fontId="5" fillId="17" borderId="1" xfId="0" applyFont="1" applyFill="1" applyBorder="1" applyAlignment="1">
      <alignment horizontal="center"/>
    </xf>
    <xf numFmtId="0" fontId="6" fillId="2" borderId="0" xfId="0" applyFont="1" applyFill="1" applyAlignment="1">
      <alignment horizontal="center"/>
    </xf>
    <xf numFmtId="0" fontId="6" fillId="2" borderId="1" xfId="0" applyFont="1" applyFill="1" applyBorder="1"/>
    <xf numFmtId="0" fontId="6" fillId="2" borderId="20" xfId="0" applyFont="1" applyFill="1" applyBorder="1" applyAlignment="1">
      <alignment horizontal="center"/>
    </xf>
    <xf numFmtId="0" fontId="0" fillId="2" borderId="12" xfId="0" applyFill="1" applyBorder="1"/>
    <xf numFmtId="0" fontId="0" fillId="2" borderId="13" xfId="0" applyFill="1" applyBorder="1"/>
    <xf numFmtId="0" fontId="0" fillId="2" borderId="39" xfId="0" applyFill="1" applyBorder="1"/>
    <xf numFmtId="0" fontId="12" fillId="2" borderId="1" xfId="0" applyFont="1" applyFill="1" applyBorder="1" applyAlignment="1">
      <alignment horizontal="center" vertical="center"/>
    </xf>
    <xf numFmtId="0" fontId="13" fillId="17" borderId="3" xfId="0" applyFont="1" applyFill="1" applyBorder="1"/>
    <xf numFmtId="0" fontId="0" fillId="2" borderId="1" xfId="0" applyFill="1" applyBorder="1"/>
    <xf numFmtId="0" fontId="5" fillId="2" borderId="21" xfId="0" applyFont="1" applyFill="1" applyBorder="1" applyAlignment="1">
      <alignment horizontal="center"/>
    </xf>
    <xf numFmtId="0" fontId="17" fillId="0" borderId="20" xfId="0" applyFont="1" applyBorder="1" applyAlignment="1">
      <alignment vertical="center"/>
    </xf>
    <xf numFmtId="0" fontId="17" fillId="0" borderId="20" xfId="0" applyFont="1" applyBorder="1" applyAlignment="1">
      <alignment vertical="center" wrapText="1"/>
    </xf>
    <xf numFmtId="0" fontId="5" fillId="0" borderId="20" xfId="0" applyFont="1" applyBorder="1" applyAlignment="1">
      <alignment vertical="center" wrapText="1"/>
    </xf>
    <xf numFmtId="0" fontId="17" fillId="17" borderId="2" xfId="0" applyFont="1" applyFill="1" applyBorder="1" applyAlignment="1">
      <alignment vertical="center" wrapText="1"/>
    </xf>
    <xf numFmtId="0" fontId="17" fillId="0" borderId="21" xfId="0" applyFont="1" applyBorder="1" applyAlignment="1">
      <alignment vertical="center"/>
    </xf>
    <xf numFmtId="0" fontId="17" fillId="0" borderId="21" xfId="0" applyFont="1" applyBorder="1" applyAlignment="1">
      <alignment vertical="center" wrapText="1"/>
    </xf>
    <xf numFmtId="0" fontId="5" fillId="0" borderId="21" xfId="0" applyFont="1" applyBorder="1" applyAlignment="1">
      <alignment vertical="center" wrapText="1"/>
    </xf>
    <xf numFmtId="0" fontId="17" fillId="17" borderId="20" xfId="0" applyFont="1" applyFill="1" applyBorder="1" applyAlignment="1">
      <alignment horizontal="center" vertical="center"/>
    </xf>
    <xf numFmtId="0" fontId="7" fillId="2" borderId="0" xfId="0" applyFont="1" applyFill="1" applyAlignment="1">
      <alignment horizontal="center"/>
    </xf>
    <xf numFmtId="0" fontId="12" fillId="2" borderId="0" xfId="0" applyFont="1" applyFill="1" applyAlignment="1">
      <alignment horizontal="center" vertical="center"/>
    </xf>
    <xf numFmtId="0" fontId="5" fillId="2" borderId="1" xfId="0" applyFont="1" applyFill="1" applyBorder="1" applyAlignment="1">
      <alignment horizontal="center"/>
    </xf>
    <xf numFmtId="0" fontId="17" fillId="17" borderId="5" xfId="0" applyFont="1" applyFill="1" applyBorder="1" applyAlignment="1">
      <alignment vertical="center" wrapText="1"/>
    </xf>
    <xf numFmtId="0" fontId="17" fillId="17" borderId="3" xfId="0" applyFont="1" applyFill="1" applyBorder="1" applyAlignment="1">
      <alignment vertical="center" wrapText="1"/>
    </xf>
    <xf numFmtId="0" fontId="17" fillId="17" borderId="1" xfId="0" applyFont="1" applyFill="1" applyBorder="1" applyAlignment="1">
      <alignment horizontal="center" vertical="center" wrapText="1"/>
    </xf>
    <xf numFmtId="0" fontId="6" fillId="2" borderId="2" xfId="0" applyFont="1" applyFill="1" applyBorder="1" applyAlignment="1">
      <alignment horizontal="center"/>
    </xf>
    <xf numFmtId="0" fontId="18" fillId="0" borderId="15" xfId="0" applyFont="1" applyBorder="1" applyAlignment="1">
      <alignment vertical="center"/>
    </xf>
    <xf numFmtId="0" fontId="18" fillId="0" borderId="0" xfId="0" applyFont="1" applyAlignment="1">
      <alignment vertical="center"/>
    </xf>
    <xf numFmtId="0" fontId="18" fillId="0" borderId="8" xfId="0" applyFont="1" applyBorder="1" applyAlignment="1">
      <alignment vertical="center"/>
    </xf>
    <xf numFmtId="0" fontId="13" fillId="0" borderId="23" xfId="0" applyFont="1" applyBorder="1" applyAlignment="1">
      <alignment vertical="center"/>
    </xf>
    <xf numFmtId="0" fontId="13" fillId="0" borderId="0" xfId="0" applyFont="1" applyAlignment="1">
      <alignment vertical="center"/>
    </xf>
    <xf numFmtId="0" fontId="13" fillId="0" borderId="11" xfId="0" applyFont="1" applyBorder="1" applyAlignment="1">
      <alignment vertical="center"/>
    </xf>
    <xf numFmtId="0" fontId="12" fillId="3" borderId="0" xfId="0" applyFont="1" applyFill="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7" fillId="0" borderId="40" xfId="0" applyFont="1" applyBorder="1" applyAlignment="1">
      <alignment horizontal="center"/>
    </xf>
    <xf numFmtId="0" fontId="7" fillId="0" borderId="41" xfId="0" applyFont="1" applyBorder="1" applyAlignment="1">
      <alignment horizontal="center" vertical="center"/>
    </xf>
    <xf numFmtId="0" fontId="12" fillId="19" borderId="29" xfId="0" applyFont="1" applyFill="1" applyBorder="1" applyAlignment="1">
      <alignment horizontal="center" vertical="center"/>
    </xf>
    <xf numFmtId="0" fontId="10" fillId="0" borderId="42" xfId="0" applyFont="1" applyBorder="1" applyAlignment="1">
      <alignment horizontal="center"/>
    </xf>
    <xf numFmtId="0" fontId="0" fillId="0" borderId="36" xfId="0" applyBorder="1" applyAlignment="1">
      <alignment vertical="center"/>
    </xf>
    <xf numFmtId="0" fontId="0" fillId="0" borderId="37" xfId="0" applyBorder="1" applyAlignment="1">
      <alignment vertical="center"/>
    </xf>
    <xf numFmtId="0" fontId="0" fillId="0" borderId="43" xfId="0" applyBorder="1" applyAlignment="1">
      <alignment vertical="center"/>
    </xf>
    <xf numFmtId="0" fontId="0" fillId="0" borderId="44" xfId="0" applyBorder="1"/>
    <xf numFmtId="0" fontId="0" fillId="0" borderId="45" xfId="0" applyBorder="1"/>
    <xf numFmtId="0" fontId="0" fillId="0" borderId="45" xfId="0" applyBorder="1" applyAlignment="1">
      <alignment horizontal="center" vertical="center"/>
    </xf>
    <xf numFmtId="0" fontId="17" fillId="17" borderId="1" xfId="0" applyFont="1" applyFill="1" applyBorder="1" applyAlignment="1">
      <alignment horizontal="center" vertical="center"/>
    </xf>
    <xf numFmtId="0" fontId="6" fillId="0" borderId="4" xfId="0" applyFont="1" applyBorder="1"/>
    <xf numFmtId="0" fontId="6" fillId="0" borderId="6" xfId="0" applyFont="1" applyBorder="1"/>
    <xf numFmtId="0" fontId="0" fillId="0" borderId="24" xfId="0" applyBorder="1"/>
    <xf numFmtId="0" fontId="0" fillId="0" borderId="23" xfId="0" applyBorder="1"/>
    <xf numFmtId="0" fontId="17" fillId="0" borderId="4" xfId="0" applyFont="1" applyBorder="1" applyAlignment="1">
      <alignment vertical="center" wrapText="1"/>
    </xf>
    <xf numFmtId="0" fontId="0" fillId="0" borderId="25" xfId="0" applyBorder="1" applyAlignment="1">
      <alignment horizontal="center"/>
    </xf>
    <xf numFmtId="0" fontId="0" fillId="0" borderId="9" xfId="0" applyBorder="1" applyAlignment="1">
      <alignment horizontal="center"/>
    </xf>
    <xf numFmtId="0" fontId="10" fillId="0" borderId="28" xfId="0" applyFont="1" applyBorder="1" applyAlignment="1">
      <alignment horizontal="center"/>
    </xf>
    <xf numFmtId="0" fontId="7" fillId="0" borderId="40" xfId="0" applyFont="1" applyBorder="1" applyAlignment="1">
      <alignment horizontal="center" vertical="center"/>
    </xf>
    <xf numFmtId="0" fontId="0" fillId="0" borderId="46" xfId="0" applyBorder="1" applyAlignment="1">
      <alignment horizontal="center" vertical="center"/>
    </xf>
    <xf numFmtId="0" fontId="7" fillId="0" borderId="47" xfId="0" applyFont="1" applyBorder="1" applyAlignment="1">
      <alignment horizontal="center" vertical="center"/>
    </xf>
    <xf numFmtId="0" fontId="7" fillId="0" borderId="35" xfId="0" applyFont="1" applyBorder="1" applyAlignment="1">
      <alignment horizontal="center"/>
    </xf>
    <xf numFmtId="0" fontId="4" fillId="0" borderId="48" xfId="0" applyFont="1" applyBorder="1" applyAlignment="1">
      <alignment horizontal="center" vertical="center"/>
    </xf>
    <xf numFmtId="0" fontId="4" fillId="0" borderId="11" xfId="0" applyFont="1" applyBorder="1" applyAlignment="1">
      <alignment horizontal="center" vertical="center"/>
    </xf>
    <xf numFmtId="0" fontId="4" fillId="0" borderId="21" xfId="0" applyFont="1" applyBorder="1" applyAlignment="1">
      <alignment horizontal="center" vertical="center" wrapText="1"/>
    </xf>
    <xf numFmtId="0" fontId="0" fillId="0" borderId="2" xfId="0" applyBorder="1" applyAlignment="1"/>
    <xf numFmtId="0" fontId="0" fillId="0" borderId="5" xfId="0" applyBorder="1" applyAlignment="1"/>
    <xf numFmtId="0" fontId="0" fillId="0" borderId="3" xfId="0" applyBorder="1" applyAlignment="1"/>
    <xf numFmtId="0" fontId="0" fillId="20" borderId="1" xfId="0" applyFill="1" applyBorder="1" applyAlignment="1">
      <alignment horizontal="center"/>
    </xf>
    <xf numFmtId="0" fontId="0" fillId="10" borderId="1" xfId="0" applyFill="1" applyBorder="1" applyAlignment="1">
      <alignment horizontal="center"/>
    </xf>
    <xf numFmtId="0" fontId="0" fillId="9" borderId="1" xfId="0" applyFill="1" applyBorder="1" applyAlignment="1">
      <alignment horizontal="center"/>
    </xf>
    <xf numFmtId="0" fontId="0" fillId="20" borderId="1" xfId="0" applyFill="1" applyBorder="1" applyAlignment="1">
      <alignment horizontal="center" vertical="center"/>
    </xf>
    <xf numFmtId="0" fontId="0" fillId="10" borderId="1" xfId="0" applyFill="1" applyBorder="1" applyAlignment="1">
      <alignment horizontal="center" vertical="center"/>
    </xf>
    <xf numFmtId="0" fontId="0" fillId="16" borderId="1" xfId="0" applyFill="1" applyBorder="1" applyAlignment="1">
      <alignment horizontal="center" vertical="center"/>
    </xf>
    <xf numFmtId="164" fontId="0" fillId="0" borderId="0" xfId="1" applyFont="1"/>
    <xf numFmtId="0" fontId="4" fillId="0" borderId="9" xfId="2" applyFont="1" applyBorder="1" applyAlignment="1">
      <alignment horizontal="center" vertical="center"/>
    </xf>
    <xf numFmtId="0" fontId="4" fillId="2" borderId="2" xfId="2" applyFont="1" applyFill="1" applyBorder="1" applyAlignment="1">
      <alignment horizontal="center" vertical="center"/>
    </xf>
    <xf numFmtId="164" fontId="4" fillId="0" borderId="1" xfId="1" applyFont="1" applyBorder="1" applyAlignment="1">
      <alignment horizontal="center" vertical="center" wrapText="1"/>
    </xf>
    <xf numFmtId="166" fontId="0" fillId="0" borderId="1" xfId="1" applyNumberFormat="1" applyFont="1" applyBorder="1" applyAlignment="1">
      <alignment horizontal="center"/>
    </xf>
    <xf numFmtId="0" fontId="33" fillId="2" borderId="2" xfId="2" applyFill="1" applyBorder="1" applyAlignment="1">
      <alignment horizontal="center"/>
    </xf>
    <xf numFmtId="0" fontId="9" fillId="0" borderId="1" xfId="2" applyFont="1" applyBorder="1" applyAlignment="1">
      <alignment horizontal="center"/>
    </xf>
    <xf numFmtId="0" fontId="10" fillId="0" borderId="1" xfId="2" applyFont="1" applyBorder="1" applyAlignment="1">
      <alignment horizontal="center"/>
    </xf>
    <xf numFmtId="164" fontId="10" fillId="0" borderId="1" xfId="1" applyFont="1" applyBorder="1" applyAlignment="1">
      <alignment horizontal="center"/>
    </xf>
    <xf numFmtId="164" fontId="0" fillId="0" borderId="1" xfId="1" applyFont="1" applyBorder="1"/>
    <xf numFmtId="0" fontId="33" fillId="0" borderId="1" xfId="2" applyBorder="1" applyAlignment="1">
      <alignment horizontal="center" vertical="center"/>
    </xf>
    <xf numFmtId="2" fontId="33" fillId="0" borderId="1" xfId="2" applyNumberFormat="1" applyBorder="1" applyAlignment="1">
      <alignment horizontal="center"/>
    </xf>
    <xf numFmtId="0" fontId="6" fillId="0" borderId="9" xfId="2" applyFont="1" applyBorder="1"/>
    <xf numFmtId="0" fontId="6" fillId="0" borderId="28" xfId="2" applyFont="1" applyBorder="1"/>
    <xf numFmtId="0" fontId="33" fillId="0" borderId="29" xfId="2" applyBorder="1"/>
    <xf numFmtId="0" fontId="6" fillId="0" borderId="9" xfId="0" applyFont="1" applyBorder="1"/>
    <xf numFmtId="0" fontId="6" fillId="0" borderId="28" xfId="0" applyFont="1" applyBorder="1"/>
    <xf numFmtId="3" fontId="0" fillId="0" borderId="1" xfId="0" applyNumberFormat="1" applyBorder="1" applyAlignment="1">
      <alignment horizontal="center"/>
    </xf>
    <xf numFmtId="0" fontId="9" fillId="0" borderId="0" xfId="0" applyFont="1" applyAlignment="1">
      <alignment horizontal="center"/>
    </xf>
    <xf numFmtId="0" fontId="20" fillId="21" borderId="53" xfId="5" applyFont="1" applyFill="1" applyBorder="1" applyAlignment="1">
      <alignment horizontal="center" vertical="center" wrapText="1"/>
    </xf>
    <xf numFmtId="0" fontId="20" fillId="21" borderId="46" xfId="5" applyFont="1" applyFill="1" applyBorder="1" applyAlignment="1">
      <alignment horizontal="center" vertical="center" wrapText="1"/>
    </xf>
    <xf numFmtId="0" fontId="21" fillId="0" borderId="1" xfId="5" applyFont="1" applyBorder="1" applyAlignment="1">
      <alignment horizontal="center" vertical="center"/>
    </xf>
    <xf numFmtId="0" fontId="21" fillId="0" borderId="1" xfId="5" applyFont="1" applyBorder="1" applyAlignment="1">
      <alignment horizontal="left" vertical="center"/>
    </xf>
    <xf numFmtId="43" fontId="22" fillId="0" borderId="1" xfId="5" applyNumberFormat="1" applyFont="1" applyBorder="1" applyAlignment="1">
      <alignment horizontal="center" vertical="center"/>
    </xf>
    <xf numFmtId="43" fontId="22" fillId="0" borderId="1" xfId="5" applyNumberFormat="1" applyFont="1" applyBorder="1" applyAlignment="1">
      <alignment horizontal="center"/>
    </xf>
    <xf numFmtId="41" fontId="21" fillId="0" borderId="2" xfId="5" applyNumberFormat="1" applyFont="1" applyBorder="1" applyAlignment="1">
      <alignment horizontal="center" vertical="center"/>
    </xf>
    <xf numFmtId="43" fontId="23" fillId="21" borderId="1" xfId="5" applyNumberFormat="1" applyFont="1" applyFill="1" applyBorder="1" applyAlignment="1">
      <alignment horizontal="center"/>
    </xf>
    <xf numFmtId="167" fontId="24" fillId="17" borderId="2" xfId="5" applyNumberFormat="1" applyFont="1" applyFill="1" applyBorder="1" applyAlignment="1">
      <alignment horizontal="center" vertical="center"/>
    </xf>
    <xf numFmtId="167" fontId="23" fillId="17" borderId="2" xfId="5" applyNumberFormat="1" applyFont="1" applyFill="1" applyBorder="1" applyAlignment="1">
      <alignment horizontal="center"/>
    </xf>
    <xf numFmtId="0" fontId="20" fillId="0" borderId="0" xfId="5" applyFont="1" applyAlignment="1">
      <alignment horizontal="right" vertical="center"/>
    </xf>
    <xf numFmtId="167" fontId="23" fillId="0" borderId="0" xfId="5" applyNumberFormat="1" applyFont="1" applyAlignment="1">
      <alignment horizontal="center" vertical="center"/>
    </xf>
    <xf numFmtId="0" fontId="0" fillId="0" borderId="1" xfId="0" applyBorder="1" applyAlignment="1"/>
    <xf numFmtId="0" fontId="0" fillId="0" borderId="0" xfId="0" applyBorder="1" applyAlignment="1"/>
    <xf numFmtId="0" fontId="20" fillId="22" borderId="47" xfId="5" applyFont="1" applyFill="1" applyBorder="1" applyAlignment="1">
      <alignment horizontal="center" vertical="center" wrapText="1"/>
    </xf>
    <xf numFmtId="0" fontId="20" fillId="22" borderId="37" xfId="5" applyFont="1" applyFill="1" applyBorder="1" applyAlignment="1">
      <alignment horizontal="center" vertical="center" wrapText="1"/>
    </xf>
    <xf numFmtId="167" fontId="21" fillId="22" borderId="54" xfId="5" applyNumberFormat="1" applyFont="1" applyFill="1" applyBorder="1" applyAlignment="1">
      <alignment horizontal="center"/>
    </xf>
    <xf numFmtId="167" fontId="21" fillId="0" borderId="48" xfId="5" applyNumberFormat="1" applyFont="1" applyBorder="1" applyAlignment="1">
      <alignment horizontal="center"/>
    </xf>
    <xf numFmtId="43" fontId="21" fillId="0" borderId="21" xfId="5" applyNumberFormat="1" applyFont="1" applyBorder="1" applyAlignment="1">
      <alignment horizontal="center"/>
    </xf>
    <xf numFmtId="167" fontId="21" fillId="0" borderId="9" xfId="5" applyNumberFormat="1" applyFont="1" applyBorder="1" applyAlignment="1">
      <alignment horizontal="center"/>
    </xf>
    <xf numFmtId="43" fontId="21" fillId="0" borderId="1" xfId="5" applyNumberFormat="1" applyFont="1" applyBorder="1" applyAlignment="1">
      <alignment horizontal="center"/>
    </xf>
    <xf numFmtId="167" fontId="21" fillId="22" borderId="5" xfId="5" applyNumberFormat="1" applyFont="1" applyFill="1" applyBorder="1" applyAlignment="1">
      <alignment horizontal="center"/>
    </xf>
    <xf numFmtId="167" fontId="21" fillId="0" borderId="1" xfId="5" applyNumberFormat="1" applyFont="1" applyBorder="1" applyAlignment="1">
      <alignment horizontal="center"/>
    </xf>
    <xf numFmtId="167" fontId="21" fillId="22" borderId="34" xfId="5" applyNumberFormat="1" applyFont="1" applyFill="1" applyBorder="1" applyAlignment="1">
      <alignment horizontal="center"/>
    </xf>
    <xf numFmtId="167" fontId="24" fillId="22" borderId="55" xfId="5" applyNumberFormat="1" applyFont="1" applyFill="1" applyBorder="1" applyAlignment="1">
      <alignment horizontal="center"/>
    </xf>
    <xf numFmtId="167" fontId="24" fillId="17" borderId="28" xfId="5" applyNumberFormat="1" applyFont="1" applyFill="1" applyBorder="1" applyAlignment="1">
      <alignment horizontal="center"/>
    </xf>
    <xf numFmtId="167" fontId="24" fillId="17" borderId="29" xfId="5" applyNumberFormat="1" applyFont="1" applyFill="1" applyBorder="1" applyAlignment="1">
      <alignment horizontal="center"/>
    </xf>
    <xf numFmtId="167" fontId="24" fillId="22" borderId="35" xfId="5" applyNumberFormat="1" applyFont="1" applyFill="1" applyBorder="1" applyAlignment="1">
      <alignment horizontal="center"/>
    </xf>
    <xf numFmtId="167" fontId="21" fillId="0" borderId="21" xfId="5" applyNumberFormat="1" applyFont="1" applyBorder="1" applyAlignment="1">
      <alignment horizontal="center"/>
    </xf>
    <xf numFmtId="0" fontId="26" fillId="0" borderId="0" xfId="0" applyFont="1"/>
    <xf numFmtId="0" fontId="27" fillId="0" borderId="0" xfId="3" applyFont="1" applyAlignment="1">
      <alignment vertical="center"/>
    </xf>
    <xf numFmtId="0" fontId="26" fillId="0" borderId="0" xfId="0" applyFont="1" applyAlignment="1">
      <alignment horizontal="center" vertical="center" wrapText="1"/>
    </xf>
    <xf numFmtId="0" fontId="28" fillId="0" borderId="0" xfId="0" applyFont="1" applyAlignment="1">
      <alignment horizontal="center" vertical="center"/>
    </xf>
    <xf numFmtId="0" fontId="26" fillId="0" borderId="0" xfId="0" applyFont="1" applyAlignment="1">
      <alignment horizontal="center" vertical="center"/>
    </xf>
    <xf numFmtId="0" fontId="29" fillId="2" borderId="0" xfId="0" applyFont="1" applyFill="1" applyAlignment="1">
      <alignment horizontal="center" vertical="center"/>
    </xf>
    <xf numFmtId="0" fontId="29" fillId="2" borderId="0" xfId="0" applyFont="1" applyFill="1" applyAlignment="1">
      <alignment vertical="center" wrapText="1"/>
    </xf>
    <xf numFmtId="0" fontId="16" fillId="22" borderId="20" xfId="0" applyFont="1" applyFill="1" applyBorder="1" applyAlignment="1">
      <alignment horizontal="center" vertical="center" wrapText="1"/>
    </xf>
    <xf numFmtId="0" fontId="26" fillId="0" borderId="1" xfId="0" applyFont="1" applyBorder="1" applyAlignment="1">
      <alignment horizontal="center" vertical="center"/>
    </xf>
    <xf numFmtId="2" fontId="26" fillId="0" borderId="1" xfId="0" applyNumberFormat="1" applyFont="1" applyBorder="1" applyAlignment="1">
      <alignment horizontal="center" vertical="center"/>
    </xf>
    <xf numFmtId="0" fontId="26" fillId="2" borderId="1" xfId="0" applyFont="1" applyFill="1" applyBorder="1" applyAlignment="1">
      <alignment horizontal="center" vertical="center"/>
    </xf>
    <xf numFmtId="0" fontId="26" fillId="0" borderId="20" xfId="0" applyFont="1" applyBorder="1" applyAlignment="1">
      <alignment horizontal="center" vertical="center"/>
    </xf>
    <xf numFmtId="0" fontId="16" fillId="22" borderId="23" xfId="0" applyFont="1" applyFill="1" applyBorder="1" applyAlignment="1">
      <alignment vertical="center" wrapText="1"/>
    </xf>
    <xf numFmtId="0" fontId="26" fillId="0" borderId="1" xfId="0" applyFont="1" applyBorder="1" applyAlignment="1">
      <alignment vertical="center"/>
    </xf>
    <xf numFmtId="0" fontId="30" fillId="17" borderId="2" xfId="0" applyFont="1" applyFill="1" applyBorder="1" applyAlignment="1">
      <alignment horizontal="center" vertical="center"/>
    </xf>
    <xf numFmtId="0" fontId="30" fillId="17" borderId="5" xfId="0" applyFont="1" applyFill="1" applyBorder="1" applyAlignment="1">
      <alignment horizontal="center" vertical="center"/>
    </xf>
    <xf numFmtId="0" fontId="30" fillId="17" borderId="1" xfId="0" applyFont="1" applyFill="1" applyBorder="1" applyAlignment="1">
      <alignment horizontal="center" vertical="center"/>
    </xf>
    <xf numFmtId="0" fontId="26" fillId="0" borderId="0" xfId="0" applyFont="1" applyAlignment="1">
      <alignment vertical="center"/>
    </xf>
    <xf numFmtId="0" fontId="16" fillId="0" borderId="15" xfId="0" applyFont="1" applyBorder="1" applyAlignment="1">
      <alignment horizontal="center" wrapText="1"/>
    </xf>
    <xf numFmtId="0" fontId="6" fillId="0" borderId="2" xfId="0" applyFont="1" applyBorder="1" applyAlignment="1">
      <alignment wrapText="1"/>
    </xf>
    <xf numFmtId="0" fontId="6" fillId="0" borderId="5" xfId="0" applyFont="1" applyBorder="1" applyAlignment="1">
      <alignment wrapText="1"/>
    </xf>
    <xf numFmtId="0" fontId="6" fillId="0" borderId="3" xfId="0" applyFont="1" applyBorder="1" applyAlignment="1">
      <alignment wrapText="1"/>
    </xf>
    <xf numFmtId="0" fontId="8" fillId="2" borderId="0" xfId="0" applyFont="1" applyFill="1"/>
    <xf numFmtId="0" fontId="26" fillId="0" borderId="1" xfId="0" applyFont="1" applyFill="1" applyBorder="1" applyAlignment="1">
      <alignment horizontal="center" vertical="center"/>
    </xf>
    <xf numFmtId="0" fontId="26" fillId="23" borderId="1" xfId="0" applyFont="1" applyFill="1" applyBorder="1" applyAlignment="1">
      <alignment horizontal="center" vertical="center"/>
    </xf>
    <xf numFmtId="0" fontId="26" fillId="0" borderId="0" xfId="0" applyFont="1" applyBorder="1" applyAlignment="1">
      <alignment horizontal="center" vertical="center"/>
    </xf>
    <xf numFmtId="0" fontId="0" fillId="0" borderId="1" xfId="0" applyBorder="1"/>
    <xf numFmtId="0" fontId="0" fillId="0" borderId="1" xfId="0" applyBorder="1" applyAlignment="1">
      <alignment horizontal="center"/>
    </xf>
    <xf numFmtId="0" fontId="0" fillId="0" borderId="0" xfId="0" applyBorder="1" applyAlignment="1">
      <alignment horizontal="center"/>
    </xf>
    <xf numFmtId="0" fontId="0" fillId="0" borderId="1" xfId="0" applyBorder="1"/>
    <xf numFmtId="0" fontId="0" fillId="0" borderId="1" xfId="0" applyBorder="1" applyAlignment="1">
      <alignment horizontal="center" vertical="center"/>
    </xf>
    <xf numFmtId="0" fontId="4" fillId="0" borderId="1" xfId="2" applyFont="1" applyBorder="1" applyAlignment="1">
      <alignment horizontal="center" vertical="center" wrapText="1"/>
    </xf>
    <xf numFmtId="0" fontId="0" fillId="0" borderId="1" xfId="0" applyBorder="1" applyAlignment="1">
      <alignment horizontal="center"/>
    </xf>
    <xf numFmtId="0" fontId="0" fillId="0" borderId="2" xfId="0" applyFont="1" applyFill="1" applyBorder="1" applyAlignment="1">
      <alignment horizontal="center"/>
    </xf>
    <xf numFmtId="0" fontId="0" fillId="0" borderId="1" xfId="0" applyFill="1" applyBorder="1"/>
    <xf numFmtId="0" fontId="3" fillId="0" borderId="0" xfId="8"/>
    <xf numFmtId="0" fontId="4" fillId="0" borderId="1" xfId="7" applyFont="1" applyBorder="1" applyAlignment="1">
      <alignment horizontal="center" vertical="center"/>
    </xf>
    <xf numFmtId="0" fontId="5" fillId="0" borderId="1" xfId="7" applyFont="1" applyBorder="1" applyAlignment="1">
      <alignment horizontal="center" vertical="center" wrapText="1"/>
    </xf>
    <xf numFmtId="0" fontId="4" fillId="2" borderId="1" xfId="7" applyFont="1" applyFill="1" applyBorder="1" applyAlignment="1">
      <alignment horizontal="center" vertical="center"/>
    </xf>
    <xf numFmtId="0" fontId="4" fillId="0" borderId="1" xfId="7" applyFont="1" applyBorder="1" applyAlignment="1">
      <alignment horizontal="center" vertical="center" wrapText="1"/>
    </xf>
    <xf numFmtId="0" fontId="3" fillId="0" borderId="1" xfId="8" applyFont="1" applyFill="1" applyBorder="1" applyAlignment="1">
      <alignment horizontal="center"/>
    </xf>
    <xf numFmtId="0" fontId="3" fillId="0" borderId="1" xfId="8" applyNumberFormat="1" applyFont="1" applyFill="1" applyBorder="1" applyAlignment="1">
      <alignment horizontal="center"/>
    </xf>
    <xf numFmtId="0" fontId="3" fillId="0" borderId="1" xfId="8" applyBorder="1" applyAlignment="1">
      <alignment horizontal="center"/>
    </xf>
    <xf numFmtId="0" fontId="3" fillId="0" borderId="4" xfId="8" applyFont="1" applyFill="1" applyBorder="1" applyAlignment="1">
      <alignment horizontal="center"/>
    </xf>
    <xf numFmtId="0" fontId="3" fillId="0" borderId="1" xfId="8" applyBorder="1"/>
    <xf numFmtId="0" fontId="3" fillId="0" borderId="1" xfId="8" applyFill="1" applyBorder="1" applyAlignment="1">
      <alignment horizontal="center"/>
    </xf>
    <xf numFmtId="0" fontId="3" fillId="0" borderId="2" xfId="8" applyFont="1" applyFill="1" applyBorder="1" applyAlignment="1">
      <alignment horizontal="center"/>
    </xf>
    <xf numFmtId="0" fontId="3" fillId="0" borderId="1" xfId="8" applyBorder="1" applyAlignment="1">
      <alignment horizontal="center" vertical="center"/>
    </xf>
    <xf numFmtId="0" fontId="6" fillId="0" borderId="1" xfId="8" applyFont="1" applyBorder="1"/>
    <xf numFmtId="0" fontId="13" fillId="17" borderId="2" xfId="7" applyFont="1" applyFill="1" applyBorder="1" applyAlignment="1">
      <alignment vertical="center"/>
    </xf>
    <xf numFmtId="0" fontId="13" fillId="17" borderId="1" xfId="7" applyFont="1" applyFill="1" applyBorder="1" applyAlignment="1">
      <alignment horizontal="center" vertical="center"/>
    </xf>
    <xf numFmtId="0" fontId="8" fillId="24" borderId="1" xfId="8" applyFont="1" applyFill="1" applyBorder="1"/>
    <xf numFmtId="0" fontId="3" fillId="0" borderId="1" xfId="7" applyBorder="1" applyAlignment="1">
      <alignment horizontal="center" vertical="center"/>
    </xf>
    <xf numFmtId="0" fontId="2" fillId="0" borderId="1" xfId="8" applyFont="1" applyBorder="1" applyAlignment="1">
      <alignment horizontal="center"/>
    </xf>
    <xf numFmtId="0" fontId="33" fillId="0" borderId="1" xfId="2"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26" fillId="0" borderId="20" xfId="0" applyFont="1" applyBorder="1" applyAlignment="1">
      <alignment horizontal="center" vertical="center"/>
    </xf>
    <xf numFmtId="0" fontId="26" fillId="0" borderId="20" xfId="0" applyFont="1" applyBorder="1" applyAlignment="1">
      <alignment vertical="center"/>
    </xf>
    <xf numFmtId="0" fontId="26" fillId="0" borderId="4" xfId="0" applyFont="1" applyBorder="1" applyAlignment="1">
      <alignment vertical="center"/>
    </xf>
    <xf numFmtId="0" fontId="26" fillId="0" borderId="21" xfId="0" applyFont="1" applyBorder="1" applyAlignment="1">
      <alignment vertical="center"/>
    </xf>
    <xf numFmtId="0" fontId="29" fillId="2" borderId="0" xfId="0" applyFont="1"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29" fillId="2" borderId="0" xfId="0" applyFont="1" applyFill="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1" xfId="0" applyBorder="1" applyAlignment="1">
      <alignment horizontal="center"/>
    </xf>
    <xf numFmtId="0" fontId="0" fillId="0" borderId="1" xfId="0" applyBorder="1"/>
    <xf numFmtId="0" fontId="4" fillId="0" borderId="1" xfId="0" applyFont="1" applyBorder="1" applyAlignment="1">
      <alignment horizontal="center" vertical="center"/>
    </xf>
    <xf numFmtId="0" fontId="16" fillId="0" borderId="5" xfId="0" applyFont="1" applyBorder="1" applyAlignment="1">
      <alignment horizontal="center" wrapText="1"/>
    </xf>
    <xf numFmtId="0" fontId="0" fillId="0" borderId="1" xfId="0" applyBorder="1" applyAlignment="1">
      <alignment horizontal="center"/>
    </xf>
    <xf numFmtId="0" fontId="0" fillId="0" borderId="0" xfId="0" applyBorder="1" applyAlignment="1">
      <alignment horizontal="center"/>
    </xf>
    <xf numFmtId="0" fontId="26" fillId="0" borderId="2" xfId="0" applyFont="1" applyBorder="1" applyAlignment="1">
      <alignment vertical="center"/>
    </xf>
    <xf numFmtId="0" fontId="26" fillId="0" borderId="5" xfId="0" applyFont="1" applyBorder="1" applyAlignment="1">
      <alignment vertical="center"/>
    </xf>
    <xf numFmtId="0" fontId="26" fillId="0" borderId="5" xfId="0" applyFont="1" applyBorder="1" applyAlignment="1">
      <alignment horizontal="center" vertical="center"/>
    </xf>
    <xf numFmtId="0" fontId="26" fillId="0" borderId="3" xfId="0" applyFont="1" applyBorder="1" applyAlignment="1">
      <alignment vertical="center"/>
    </xf>
    <xf numFmtId="0" fontId="0" fillId="2" borderId="1" xfId="0" applyFill="1" applyBorder="1" applyAlignment="1">
      <alignment horizontal="center"/>
    </xf>
    <xf numFmtId="2" fontId="0" fillId="14" borderId="1" xfId="0" applyNumberFormat="1" applyFill="1" applyBorder="1" applyAlignment="1">
      <alignment horizontal="center"/>
    </xf>
    <xf numFmtId="0" fontId="0" fillId="0" borderId="1" xfId="0" applyBorder="1" applyAlignment="1">
      <alignment horizontal="center"/>
    </xf>
    <xf numFmtId="0" fontId="29" fillId="2" borderId="0" xfId="0" applyFont="1" applyFill="1" applyAlignment="1">
      <alignment horizontal="center" vertical="center"/>
    </xf>
    <xf numFmtId="0" fontId="0" fillId="0" borderId="1" xfId="0" applyBorder="1" applyAlignment="1">
      <alignment horizontal="center" vertical="center"/>
    </xf>
    <xf numFmtId="0" fontId="29" fillId="2" borderId="0" xfId="0" applyFont="1"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xf numFmtId="0" fontId="0" fillId="0" borderId="1" xfId="0" applyBorder="1" applyAlignment="1">
      <alignment horizontal="center" vertical="center"/>
    </xf>
    <xf numFmtId="0" fontId="29" fillId="2" borderId="0" xfId="0" applyFont="1" applyFill="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0" fontId="0" fillId="0" borderId="1" xfId="0" applyBorder="1" applyAlignment="1">
      <alignment horizontal="center" vertical="center"/>
    </xf>
    <xf numFmtId="0" fontId="29" fillId="2" borderId="0" xfId="0" applyFont="1"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xf numFmtId="0" fontId="0" fillId="0" borderId="0" xfId="0" applyFill="1" applyBorder="1" applyAlignment="1">
      <alignment horizontal="center" vertical="center"/>
    </xf>
    <xf numFmtId="0" fontId="0" fillId="0" borderId="2" xfId="0" applyBorder="1" applyAlignment="1">
      <alignment horizontal="center"/>
    </xf>
    <xf numFmtId="0" fontId="1" fillId="0" borderId="0" xfId="9"/>
    <xf numFmtId="0" fontId="29" fillId="2" borderId="0" xfId="9" applyFont="1" applyFill="1" applyAlignment="1">
      <alignment horizontal="center" vertical="center"/>
    </xf>
    <xf numFmtId="0" fontId="29" fillId="2" borderId="0" xfId="9" applyFont="1" applyFill="1" applyAlignment="1">
      <alignment vertical="center" wrapText="1"/>
    </xf>
    <xf numFmtId="0" fontId="16" fillId="22" borderId="20" xfId="9" applyFont="1" applyFill="1" applyBorder="1" applyAlignment="1">
      <alignment horizontal="center" vertical="center" wrapText="1"/>
    </xf>
    <xf numFmtId="0" fontId="16" fillId="22" borderId="23" xfId="9" applyFont="1" applyFill="1" applyBorder="1" applyAlignment="1">
      <alignment vertical="center" wrapText="1"/>
    </xf>
    <xf numFmtId="0" fontId="1" fillId="0" borderId="1" xfId="9" applyBorder="1" applyAlignment="1">
      <alignment horizontal="center" vertical="center"/>
    </xf>
    <xf numFmtId="3" fontId="1" fillId="0" borderId="1" xfId="9" applyNumberFormat="1" applyBorder="1" applyAlignment="1">
      <alignment horizontal="center" vertical="center"/>
    </xf>
    <xf numFmtId="0" fontId="1" fillId="0" borderId="20" xfId="9" applyBorder="1" applyAlignment="1">
      <alignment horizontal="center" vertical="center"/>
    </xf>
    <xf numFmtId="0" fontId="6" fillId="0" borderId="0" xfId="9" applyFont="1"/>
    <xf numFmtId="0" fontId="0" fillId="0" borderId="1" xfId="0" applyBorder="1" applyAlignment="1">
      <alignment horizontal="center" vertical="center"/>
    </xf>
    <xf numFmtId="0" fontId="29" fillId="2" borderId="0" xfId="9" applyFont="1" applyFill="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xf>
    <xf numFmtId="0" fontId="6" fillId="0" borderId="1" xfId="0" applyFont="1" applyBorder="1" applyAlignment="1">
      <alignment horizontal="left"/>
    </xf>
    <xf numFmtId="0" fontId="0" fillId="0" borderId="1" xfId="0" applyBorder="1" applyAlignment="1">
      <alignment horizontal="left"/>
    </xf>
    <xf numFmtId="0" fontId="0" fillId="0" borderId="1" xfId="0" applyBorder="1"/>
    <xf numFmtId="0" fontId="4" fillId="0" borderId="1" xfId="0" applyFont="1" applyBorder="1" applyAlignment="1">
      <alignment horizontal="center" vertical="center"/>
    </xf>
    <xf numFmtId="0" fontId="0" fillId="0" borderId="1" xfId="0" applyBorder="1" applyAlignment="1">
      <alignment horizontal="center"/>
    </xf>
    <xf numFmtId="0" fontId="16" fillId="0" borderId="0" xfId="0" applyFont="1" applyBorder="1" applyAlignment="1">
      <alignment wrapText="1"/>
    </xf>
    <xf numFmtId="0" fontId="16" fillId="22" borderId="1" xfId="9" applyFont="1" applyFill="1" applyBorder="1" applyAlignment="1">
      <alignment horizontal="center" vertical="center" wrapText="1"/>
    </xf>
    <xf numFmtId="0" fontId="16" fillId="22" borderId="1" xfId="9" applyFont="1" applyFill="1" applyBorder="1" applyAlignment="1">
      <alignment vertical="center" wrapText="1"/>
    </xf>
    <xf numFmtId="0" fontId="29" fillId="2" borderId="1" xfId="9" applyFont="1" applyFill="1" applyBorder="1" applyAlignment="1">
      <alignment horizontal="center" vertical="center"/>
    </xf>
    <xf numFmtId="0" fontId="8" fillId="0" borderId="1" xfId="0" applyFont="1" applyBorder="1" applyAlignment="1">
      <alignment horizontal="center" vertical="center" wrapText="1"/>
    </xf>
    <xf numFmtId="168" fontId="8" fillId="0" borderId="1" xfId="0" applyNumberFormat="1" applyFont="1" applyBorder="1" applyAlignment="1">
      <alignment horizontal="center" vertical="center" wrapText="1"/>
    </xf>
    <xf numFmtId="169" fontId="8" fillId="0" borderId="1" xfId="0" applyNumberFormat="1" applyFont="1" applyBorder="1" applyAlignment="1">
      <alignment horizontal="center" vertical="center" wrapText="1"/>
    </xf>
    <xf numFmtId="0" fontId="6" fillId="0" borderId="1" xfId="0" applyFont="1" applyBorder="1" applyAlignment="1"/>
    <xf numFmtId="0" fontId="0" fillId="0" borderId="1" xfId="0" applyBorder="1" applyAlignment="1">
      <alignment horizontal="center"/>
    </xf>
    <xf numFmtId="0" fontId="0" fillId="0" borderId="1" xfId="0" applyBorder="1"/>
    <xf numFmtId="0" fontId="4" fillId="0" borderId="1" xfId="0" applyFont="1" applyBorder="1" applyAlignment="1">
      <alignment horizontal="center" vertical="center"/>
    </xf>
    <xf numFmtId="0" fontId="29" fillId="2" borderId="0" xfId="9" applyFont="1" applyFill="1" applyAlignment="1">
      <alignment horizontal="center" vertical="center"/>
    </xf>
    <xf numFmtId="0" fontId="0" fillId="0" borderId="1" xfId="0" applyBorder="1" applyAlignment="1">
      <alignment horizontal="center"/>
    </xf>
    <xf numFmtId="0" fontId="0" fillId="0" borderId="1" xfId="0" applyBorder="1"/>
    <xf numFmtId="0" fontId="0" fillId="0" borderId="0" xfId="0" applyAlignment="1">
      <alignment horizontal="center"/>
    </xf>
    <xf numFmtId="0" fontId="0" fillId="0" borderId="1" xfId="0" applyBorder="1" applyAlignment="1">
      <alignment horizontal="center"/>
    </xf>
    <xf numFmtId="0" fontId="0" fillId="0" borderId="1" xfId="0" applyBorder="1"/>
    <xf numFmtId="0" fontId="0" fillId="0" borderId="1" xfId="0" applyBorder="1" applyAlignment="1">
      <alignment horizontal="center"/>
    </xf>
    <xf numFmtId="0" fontId="30" fillId="2" borderId="0" xfId="9" applyFont="1" applyFill="1" applyAlignment="1">
      <alignment horizontal="left" vertical="center"/>
    </xf>
    <xf numFmtId="0" fontId="26" fillId="2" borderId="0" xfId="9" applyFont="1" applyFill="1" applyAlignment="1">
      <alignment horizontal="left" vertical="center"/>
    </xf>
    <xf numFmtId="0" fontId="16" fillId="0" borderId="1" xfId="9" applyFont="1" applyBorder="1" applyAlignment="1">
      <alignment horizontal="center" wrapText="1"/>
    </xf>
    <xf numFmtId="0" fontId="29" fillId="2" borderId="0" xfId="9" applyFont="1" applyFill="1" applyAlignment="1">
      <alignment horizontal="center" vertical="center"/>
    </xf>
    <xf numFmtId="0" fontId="30" fillId="2" borderId="0" xfId="9" applyFont="1" applyFill="1" applyAlignment="1">
      <alignment horizontal="left" vertical="center" wrapText="1"/>
    </xf>
    <xf numFmtId="0" fontId="30" fillId="2" borderId="0" xfId="3" applyFont="1" applyFill="1" applyAlignment="1">
      <alignment horizontal="left" vertical="center"/>
    </xf>
    <xf numFmtId="0" fontId="1" fillId="0" borderId="0" xfId="9"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4" fillId="0" borderId="1" xfId="0" applyFont="1" applyBorder="1" applyAlignment="1">
      <alignment horizontal="center"/>
    </xf>
    <xf numFmtId="0" fontId="6" fillId="0" borderId="2" xfId="0" applyFont="1" applyBorder="1" applyAlignment="1">
      <alignment horizontal="left"/>
    </xf>
    <xf numFmtId="0" fontId="6" fillId="0" borderId="5" xfId="0" applyFont="1" applyBorder="1" applyAlignment="1">
      <alignment horizontal="left"/>
    </xf>
    <xf numFmtId="0" fontId="6" fillId="0" borderId="3" xfId="0" applyFont="1" applyBorder="1" applyAlignment="1">
      <alignment horizontal="left"/>
    </xf>
    <xf numFmtId="0" fontId="0" fillId="0" borderId="2"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1" xfId="0" applyBorder="1" applyAlignment="1">
      <alignment horizontal="center" vertical="center"/>
    </xf>
    <xf numFmtId="0" fontId="29" fillId="2" borderId="0" xfId="0" applyFont="1" applyFill="1" applyAlignment="1">
      <alignment horizontal="center" vertical="center"/>
    </xf>
    <xf numFmtId="0" fontId="30" fillId="2" borderId="0" xfId="0" applyFont="1" applyFill="1" applyAlignment="1">
      <alignment horizontal="left" vertical="center" wrapText="1"/>
    </xf>
    <xf numFmtId="0" fontId="26" fillId="2" borderId="0" xfId="0" applyFont="1" applyFill="1" applyAlignment="1">
      <alignment horizontal="left" vertical="center"/>
    </xf>
    <xf numFmtId="0" fontId="16" fillId="0" borderId="5" xfId="0" applyFont="1" applyBorder="1" applyAlignment="1">
      <alignment horizontal="center" wrapText="1"/>
    </xf>
    <xf numFmtId="0" fontId="30" fillId="2" borderId="0" xfId="0" applyFont="1" applyFill="1" applyAlignment="1">
      <alignment horizontal="left" vertical="center"/>
    </xf>
    <xf numFmtId="0" fontId="16" fillId="0" borderId="2" xfId="0" applyFont="1" applyBorder="1" applyAlignment="1">
      <alignment horizontal="center" wrapText="1"/>
    </xf>
    <xf numFmtId="0" fontId="16" fillId="0" borderId="3" xfId="0" applyFont="1" applyBorder="1" applyAlignment="1">
      <alignment horizontal="center" wrapText="1"/>
    </xf>
    <xf numFmtId="0" fontId="16" fillId="0" borderId="1" xfId="0" applyFont="1" applyBorder="1" applyAlignment="1">
      <alignment horizont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4" xfId="0" applyBorder="1" applyAlignment="1">
      <alignment horizontal="center" vertical="center"/>
    </xf>
    <xf numFmtId="0" fontId="16" fillId="0" borderId="15" xfId="0" applyFont="1" applyBorder="1" applyAlignment="1">
      <alignment horizontal="center" wrapText="1"/>
    </xf>
    <xf numFmtId="0" fontId="6" fillId="0" borderId="1" xfId="0" applyFont="1" applyBorder="1" applyAlignment="1">
      <alignment horizontal="left"/>
    </xf>
    <xf numFmtId="0" fontId="0" fillId="0" borderId="1" xfId="0" applyBorder="1" applyAlignment="1">
      <alignment horizontal="left"/>
    </xf>
    <xf numFmtId="0" fontId="26" fillId="0" borderId="20" xfId="0" applyFont="1" applyBorder="1" applyAlignment="1">
      <alignment horizontal="center" vertical="center"/>
    </xf>
    <xf numFmtId="0" fontId="26" fillId="0" borderId="21" xfId="0" applyFont="1" applyBorder="1" applyAlignment="1">
      <alignment horizontal="center" vertical="center"/>
    </xf>
    <xf numFmtId="0" fontId="26" fillId="0" borderId="4" xfId="0" applyFont="1" applyBorder="1" applyAlignment="1">
      <alignment horizontal="center" vertical="center"/>
    </xf>
    <xf numFmtId="0" fontId="30" fillId="17" borderId="2" xfId="0" applyFont="1" applyFill="1" applyBorder="1" applyAlignment="1">
      <alignment horizontal="center" vertical="center"/>
    </xf>
    <xf numFmtId="0" fontId="30" fillId="17" borderId="5" xfId="0" applyFont="1" applyFill="1" applyBorder="1" applyAlignment="1">
      <alignment horizontal="center" vertical="center"/>
    </xf>
    <xf numFmtId="0" fontId="30" fillId="17" borderId="3" xfId="0" applyFont="1" applyFill="1" applyBorder="1" applyAlignment="1">
      <alignment horizontal="center" vertical="center"/>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19" fillId="0" borderId="3" xfId="0" applyFont="1" applyBorder="1" applyAlignment="1">
      <alignment horizontal="center" vertical="center"/>
    </xf>
    <xf numFmtId="0" fontId="5" fillId="0" borderId="53" xfId="0" applyFont="1" applyBorder="1" applyAlignment="1">
      <alignment horizontal="center" vertical="center"/>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24" fillId="17" borderId="2" xfId="5" applyFont="1" applyFill="1" applyBorder="1" applyAlignment="1">
      <alignment horizontal="center" vertical="center"/>
    </xf>
    <xf numFmtId="0" fontId="24" fillId="17" borderId="3" xfId="5" applyFont="1" applyFill="1" applyBorder="1" applyAlignment="1">
      <alignment horizontal="center" vertical="center"/>
    </xf>
    <xf numFmtId="1" fontId="25" fillId="0" borderId="0" xfId="4" applyNumberFormat="1" applyFont="1" applyAlignment="1">
      <alignment horizontal="center" vertical="center" wrapText="1"/>
    </xf>
    <xf numFmtId="0" fontId="20" fillId="21" borderId="23" xfId="5" applyFont="1" applyFill="1" applyBorder="1" applyAlignment="1">
      <alignment horizontal="center" vertical="center"/>
    </xf>
    <xf numFmtId="0" fontId="20" fillId="21" borderId="11" xfId="5" applyFont="1" applyFill="1" applyBorder="1" applyAlignment="1">
      <alignment horizontal="center" vertical="center"/>
    </xf>
    <xf numFmtId="0" fontId="20" fillId="21" borderId="15" xfId="5" applyFont="1" applyFill="1" applyBorder="1" applyAlignment="1">
      <alignment horizontal="center" vertical="center" wrapText="1"/>
    </xf>
    <xf numFmtId="0" fontId="20" fillId="21" borderId="8" xfId="5" applyFont="1" applyFill="1" applyBorder="1" applyAlignment="1">
      <alignment horizontal="center" vertical="center" wrapText="1"/>
    </xf>
    <xf numFmtId="0" fontId="20" fillId="21" borderId="15" xfId="5" applyFont="1" applyFill="1" applyBorder="1" applyAlignment="1">
      <alignment horizontal="center" vertical="center"/>
    </xf>
    <xf numFmtId="0" fontId="20" fillId="21" borderId="8" xfId="5" applyFont="1" applyFill="1" applyBorder="1" applyAlignment="1">
      <alignment horizontal="center" vertical="center"/>
    </xf>
    <xf numFmtId="0" fontId="0" fillId="0" borderId="0" xfId="0" applyBorder="1" applyAlignment="1">
      <alignment horizontal="center"/>
    </xf>
    <xf numFmtId="0" fontId="6" fillId="0" borderId="2" xfId="0" applyFont="1" applyBorder="1" applyAlignment="1">
      <alignment horizontal="center"/>
    </xf>
    <xf numFmtId="0" fontId="6" fillId="0" borderId="5" xfId="0" applyFont="1" applyBorder="1" applyAlignment="1">
      <alignment horizontal="center"/>
    </xf>
    <xf numFmtId="0" fontId="6" fillId="0" borderId="3" xfId="0" applyFont="1" applyBorder="1" applyAlignment="1">
      <alignment horizontal="center"/>
    </xf>
    <xf numFmtId="0" fontId="0" fillId="0" borderId="29" xfId="0" applyBorder="1" applyAlignment="1">
      <alignment horizontal="center"/>
    </xf>
    <xf numFmtId="0" fontId="0" fillId="0" borderId="42" xfId="0" applyBorder="1" applyAlignment="1">
      <alignment horizontal="center"/>
    </xf>
    <xf numFmtId="0" fontId="0" fillId="0" borderId="52" xfId="0" applyBorder="1" applyAlignment="1">
      <alignment horizontal="center"/>
    </xf>
    <xf numFmtId="0" fontId="0" fillId="0" borderId="31" xfId="0" applyBorder="1" applyAlignment="1">
      <alignment horizontal="center"/>
    </xf>
    <xf numFmtId="0" fontId="6" fillId="0" borderId="16" xfId="0" applyFont="1" applyBorder="1" applyAlignment="1">
      <alignment horizontal="left"/>
    </xf>
    <xf numFmtId="0" fontId="6" fillId="0" borderId="17" xfId="0" applyFont="1" applyBorder="1" applyAlignment="1">
      <alignment horizontal="left"/>
    </xf>
    <xf numFmtId="0" fontId="6" fillId="0" borderId="18" xfId="0" applyFont="1" applyBorder="1" applyAlignment="1">
      <alignment horizontal="left"/>
    </xf>
    <xf numFmtId="0" fontId="0" fillId="0" borderId="22" xfId="0" applyBorder="1" applyAlignment="1">
      <alignment horizontal="left"/>
    </xf>
    <xf numFmtId="0" fontId="0" fillId="0" borderId="17" xfId="0" applyBorder="1" applyAlignment="1">
      <alignment horizontal="left"/>
    </xf>
    <xf numFmtId="0" fontId="0" fillId="0" borderId="18" xfId="0" applyBorder="1" applyAlignment="1">
      <alignment horizontal="left"/>
    </xf>
    <xf numFmtId="0" fontId="0" fillId="0" borderId="51" xfId="0" applyBorder="1" applyAlignment="1">
      <alignment horizontal="left"/>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33" fillId="0" borderId="29" xfId="2" applyBorder="1" applyAlignment="1">
      <alignment horizontal="center"/>
    </xf>
    <xf numFmtId="0" fontId="33" fillId="0" borderId="42" xfId="2" applyBorder="1" applyAlignment="1">
      <alignment horizontal="center"/>
    </xf>
    <xf numFmtId="0" fontId="33" fillId="0" borderId="52" xfId="2" applyBorder="1" applyAlignment="1">
      <alignment horizontal="center"/>
    </xf>
    <xf numFmtId="0" fontId="33" fillId="0" borderId="1" xfId="2" applyBorder="1" applyAlignment="1">
      <alignment horizontal="center"/>
    </xf>
    <xf numFmtId="0" fontId="33" fillId="0" borderId="2" xfId="2" applyBorder="1" applyAlignment="1">
      <alignment horizontal="center"/>
    </xf>
    <xf numFmtId="0" fontId="33" fillId="0" borderId="31" xfId="2" applyBorder="1" applyAlignment="1">
      <alignment horizontal="center"/>
    </xf>
    <xf numFmtId="0" fontId="33" fillId="0" borderId="5" xfId="2" applyBorder="1" applyAlignment="1">
      <alignment horizontal="center"/>
    </xf>
    <xf numFmtId="0" fontId="33" fillId="0" borderId="3" xfId="2" applyBorder="1" applyAlignment="1">
      <alignment horizontal="center"/>
    </xf>
    <xf numFmtId="0" fontId="6" fillId="0" borderId="7" xfId="2" applyFont="1" applyBorder="1" applyAlignment="1">
      <alignment horizontal="left"/>
    </xf>
    <xf numFmtId="0" fontId="6" fillId="0" borderId="8" xfId="2" applyFont="1" applyBorder="1" applyAlignment="1">
      <alignment horizontal="left"/>
    </xf>
    <xf numFmtId="0" fontId="6" fillId="0" borderId="10" xfId="2" applyFont="1" applyBorder="1" applyAlignment="1">
      <alignment horizontal="left"/>
    </xf>
    <xf numFmtId="0" fontId="33" fillId="0" borderId="11" xfId="2" applyBorder="1" applyAlignment="1">
      <alignment horizontal="left"/>
    </xf>
    <xf numFmtId="0" fontId="33" fillId="0" borderId="8" xfId="2" applyBorder="1" applyAlignment="1">
      <alignment horizontal="left"/>
    </xf>
    <xf numFmtId="0" fontId="33" fillId="0" borderId="10" xfId="2" applyBorder="1" applyAlignment="1">
      <alignment horizontal="left"/>
    </xf>
    <xf numFmtId="0" fontId="33" fillId="0" borderId="30" xfId="2" applyBorder="1" applyAlignment="1">
      <alignment horizontal="left"/>
    </xf>
    <xf numFmtId="0" fontId="4" fillId="0" borderId="1" xfId="2" applyFont="1" applyBorder="1" applyAlignment="1">
      <alignment horizontal="center"/>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6" fillId="0" borderId="16" xfId="2" applyFont="1" applyBorder="1" applyAlignment="1">
      <alignment horizontal="left"/>
    </xf>
    <xf numFmtId="0" fontId="6" fillId="0" borderId="17" xfId="2" applyFont="1" applyBorder="1" applyAlignment="1">
      <alignment horizontal="left"/>
    </xf>
    <xf numFmtId="0" fontId="6" fillId="0" borderId="18" xfId="2" applyFont="1" applyBorder="1" applyAlignment="1">
      <alignment horizontal="left"/>
    </xf>
    <xf numFmtId="0" fontId="33" fillId="0" borderId="22" xfId="2" applyBorder="1" applyAlignment="1">
      <alignment horizontal="left"/>
    </xf>
    <xf numFmtId="0" fontId="33" fillId="0" borderId="17" xfId="2" applyBorder="1" applyAlignment="1">
      <alignment horizontal="left"/>
    </xf>
    <xf numFmtId="0" fontId="33" fillId="0" borderId="18" xfId="2" applyBorder="1" applyAlignment="1">
      <alignment horizontal="left"/>
    </xf>
    <xf numFmtId="0" fontId="33" fillId="0" borderId="51" xfId="2" applyBorder="1" applyAlignment="1">
      <alignment horizontal="left"/>
    </xf>
    <xf numFmtId="0" fontId="33" fillId="0" borderId="23" xfId="2" applyBorder="1" applyAlignment="1">
      <alignment horizontal="center"/>
    </xf>
    <xf numFmtId="0" fontId="33" fillId="0" borderId="15" xfId="2" applyBorder="1" applyAlignment="1">
      <alignment horizontal="center"/>
    </xf>
    <xf numFmtId="0" fontId="33" fillId="0" borderId="24" xfId="2" applyBorder="1" applyAlignment="1">
      <alignment horizontal="center"/>
    </xf>
    <xf numFmtId="0" fontId="33" fillId="0" borderId="6" xfId="2" applyBorder="1" applyAlignment="1">
      <alignment horizontal="center"/>
    </xf>
    <xf numFmtId="0" fontId="33" fillId="0" borderId="0" xfId="2" applyAlignment="1">
      <alignment horizontal="center"/>
    </xf>
    <xf numFmtId="0" fontId="33" fillId="0" borderId="50" xfId="2" applyBorder="1" applyAlignment="1">
      <alignment horizontal="center"/>
    </xf>
    <xf numFmtId="0" fontId="33" fillId="0" borderId="11" xfId="2" applyBorder="1" applyAlignment="1">
      <alignment horizontal="center"/>
    </xf>
    <xf numFmtId="0" fontId="33" fillId="0" borderId="8" xfId="2" applyBorder="1" applyAlignment="1">
      <alignment horizontal="center"/>
    </xf>
    <xf numFmtId="0" fontId="33" fillId="0" borderId="10" xfId="2" applyBorder="1" applyAlignment="1">
      <alignment horizontal="center"/>
    </xf>
    <xf numFmtId="0" fontId="4" fillId="0" borderId="12" xfId="2" applyFont="1" applyBorder="1" applyAlignment="1">
      <alignment horizontal="center"/>
    </xf>
    <xf numFmtId="0" fontId="4" fillId="0" borderId="13" xfId="2" applyFont="1" applyBorder="1" applyAlignment="1">
      <alignment horizontal="center"/>
    </xf>
    <xf numFmtId="0" fontId="4" fillId="0" borderId="14" xfId="2" applyFont="1" applyBorder="1" applyAlignment="1">
      <alignment horizontal="center"/>
    </xf>
    <xf numFmtId="0" fontId="8" fillId="0" borderId="1" xfId="2" applyFont="1" applyBorder="1" applyAlignment="1">
      <alignment horizontal="center" vertical="center"/>
    </xf>
    <xf numFmtId="0" fontId="0" fillId="16" borderId="1" xfId="0" applyFill="1" applyBorder="1" applyAlignment="1">
      <alignment horizontal="center"/>
    </xf>
    <xf numFmtId="0" fontId="0" fillId="10" borderId="1" xfId="0" applyFill="1" applyBorder="1" applyAlignment="1">
      <alignment horizontal="center"/>
    </xf>
    <xf numFmtId="0" fontId="0" fillId="20" borderId="1" xfId="0" applyFill="1" applyBorder="1" applyAlignment="1">
      <alignment horizontal="center"/>
    </xf>
    <xf numFmtId="0" fontId="0" fillId="9" borderId="1" xfId="0" applyFill="1" applyBorder="1" applyAlignment="1">
      <alignment horizontal="center"/>
    </xf>
    <xf numFmtId="0" fontId="0" fillId="0" borderId="1" xfId="0" applyBorder="1"/>
    <xf numFmtId="0" fontId="0" fillId="0" borderId="0" xfId="0" applyAlignment="1">
      <alignment horizontal="center"/>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0" fillId="0" borderId="5" xfId="0"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8" fillId="0" borderId="6" xfId="0" applyFont="1" applyBorder="1" applyAlignment="1">
      <alignment horizontal="center" vertical="center"/>
    </xf>
    <xf numFmtId="0" fontId="8" fillId="0" borderId="49" xfId="0" applyFont="1" applyBorder="1" applyAlignment="1">
      <alignment horizontal="center" vertical="center"/>
    </xf>
    <xf numFmtId="0" fontId="18" fillId="0" borderId="23" xfId="0" applyFont="1" applyBorder="1" applyAlignment="1">
      <alignment horizontal="center" vertical="center"/>
    </xf>
    <xf numFmtId="0" fontId="18" fillId="0" borderId="15" xfId="0" applyFont="1" applyBorder="1" applyAlignment="1">
      <alignment horizontal="center" vertical="center"/>
    </xf>
    <xf numFmtId="0" fontId="18" fillId="0" borderId="6" xfId="0" applyFont="1" applyBorder="1" applyAlignment="1">
      <alignment horizontal="center" vertical="center"/>
    </xf>
    <xf numFmtId="0" fontId="18" fillId="0" borderId="0" xfId="0" applyFont="1" applyAlignment="1">
      <alignment horizontal="center" vertical="center"/>
    </xf>
    <xf numFmtId="0" fontId="18" fillId="0" borderId="11" xfId="0" applyFont="1" applyBorder="1" applyAlignment="1">
      <alignment horizontal="center" vertical="center"/>
    </xf>
    <xf numFmtId="0" fontId="18" fillId="0" borderId="8" xfId="0" applyFont="1" applyBorder="1" applyAlignment="1">
      <alignment horizontal="center" vertical="center"/>
    </xf>
    <xf numFmtId="0" fontId="18" fillId="2" borderId="2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6" xfId="0" applyFont="1" applyFill="1" applyBorder="1" applyAlignment="1">
      <alignment horizontal="center" vertical="center"/>
    </xf>
    <xf numFmtId="0" fontId="18" fillId="2" borderId="0" xfId="0" applyFont="1" applyFill="1" applyAlignment="1">
      <alignment horizontal="center" vertical="center"/>
    </xf>
    <xf numFmtId="0" fontId="18" fillId="2" borderId="11" xfId="0" applyFont="1" applyFill="1" applyBorder="1" applyAlignment="1">
      <alignment horizontal="center" vertical="center"/>
    </xf>
    <xf numFmtId="0" fontId="18" fillId="2" borderId="8" xfId="0" applyFont="1" applyFill="1" applyBorder="1" applyAlignment="1">
      <alignment horizontal="center" vertical="center"/>
    </xf>
    <xf numFmtId="0" fontId="7" fillId="3" borderId="8" xfId="0" applyFont="1" applyFill="1" applyBorder="1" applyAlignment="1">
      <alignment horizontal="center"/>
    </xf>
    <xf numFmtId="0" fontId="17" fillId="2" borderId="20" xfId="0" applyFont="1" applyFill="1" applyBorder="1" applyAlignment="1">
      <alignment horizontal="center" vertical="center"/>
    </xf>
    <xf numFmtId="0" fontId="17" fillId="2" borderId="21" xfId="0" applyFont="1" applyFill="1" applyBorder="1" applyAlignment="1">
      <alignment horizontal="center" vertical="center"/>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4" fillId="0" borderId="1" xfId="2" applyFont="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xf>
    <xf numFmtId="0" fontId="4" fillId="0" borderId="3" xfId="0" applyFont="1" applyBorder="1" applyAlignment="1">
      <alignment horizont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xf>
    <xf numFmtId="0" fontId="0" fillId="0" borderId="5" xfId="0" applyBorder="1"/>
    <xf numFmtId="0" fontId="0" fillId="0" borderId="3" xfId="0" applyBorder="1"/>
    <xf numFmtId="0" fontId="8" fillId="0" borderId="1" xfId="0" applyFont="1"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22" xfId="0"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0" fillId="0" borderId="15" xfId="0" applyBorder="1" applyAlignment="1">
      <alignment horizontal="center"/>
    </xf>
    <xf numFmtId="0" fontId="0" fillId="0" borderId="24" xfId="0" applyBorder="1" applyAlignment="1">
      <alignment horizontal="center"/>
    </xf>
    <xf numFmtId="165" fontId="0" fillId="0" borderId="1" xfId="0" applyNumberFormat="1" applyBorder="1" applyAlignment="1">
      <alignment horizontal="center" vertical="center"/>
    </xf>
    <xf numFmtId="0" fontId="4" fillId="8" borderId="2" xfId="0" applyFont="1" applyFill="1" applyBorder="1" applyAlignment="1">
      <alignment horizontal="center" vertical="center"/>
    </xf>
    <xf numFmtId="0" fontId="4" fillId="8" borderId="5" xfId="0" applyFont="1" applyFill="1" applyBorder="1" applyAlignment="1">
      <alignment horizontal="center" vertical="center"/>
    </xf>
    <xf numFmtId="0" fontId="4" fillId="8" borderId="3" xfId="0" applyFont="1" applyFill="1" applyBorder="1" applyAlignment="1">
      <alignment horizontal="center" vertical="center"/>
    </xf>
    <xf numFmtId="0" fontId="13" fillId="2" borderId="1" xfId="0" applyFont="1" applyFill="1" applyBorder="1" applyAlignment="1">
      <alignment horizontal="left" vertical="center" wrapText="1"/>
    </xf>
    <xf numFmtId="0" fontId="12" fillId="17" borderId="1" xfId="0" applyFont="1" applyFill="1" applyBorder="1" applyAlignment="1">
      <alignment horizontal="center" vertical="center"/>
    </xf>
    <xf numFmtId="0" fontId="13" fillId="2" borderId="1" xfId="0" applyFont="1" applyFill="1" applyBorder="1" applyAlignment="1">
      <alignment horizontal="left" vertical="center"/>
    </xf>
    <xf numFmtId="0" fontId="8" fillId="0" borderId="19" xfId="0" applyFont="1" applyBorder="1" applyAlignment="1">
      <alignment horizontal="center" vertical="center"/>
    </xf>
    <xf numFmtId="0" fontId="8" fillId="0" borderId="14" xfId="0" applyFont="1" applyBorder="1" applyAlignment="1">
      <alignment horizontal="center" vertical="center"/>
    </xf>
    <xf numFmtId="0" fontId="8" fillId="0" borderId="11" xfId="0" applyFont="1" applyBorder="1" applyAlignment="1">
      <alignment horizontal="center" vertical="center"/>
    </xf>
    <xf numFmtId="0" fontId="8" fillId="0" borderId="30" xfId="0" applyFont="1" applyBorder="1" applyAlignment="1">
      <alignment horizontal="center" vertical="center"/>
    </xf>
    <xf numFmtId="0" fontId="0" fillId="0" borderId="2" xfId="0" applyBorder="1" applyAlignment="1">
      <alignment horizontal="center" vertical="center"/>
    </xf>
    <xf numFmtId="0" fontId="0" fillId="0" borderId="26"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10" fillId="0" borderId="29" xfId="0" applyFont="1" applyBorder="1" applyAlignment="1">
      <alignment horizontal="center"/>
    </xf>
    <xf numFmtId="0" fontId="10" fillId="0" borderId="35"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0" fillId="0" borderId="32" xfId="0" applyBorder="1" applyAlignment="1">
      <alignment horizontal="center"/>
    </xf>
    <xf numFmtId="0" fontId="0" fillId="0" borderId="0" xfId="0"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0" fillId="0" borderId="20" xfId="0" applyBorder="1" applyAlignment="1">
      <alignment horizontal="center"/>
    </xf>
    <xf numFmtId="0" fontId="0" fillId="9" borderId="20" xfId="0" applyFill="1" applyBorder="1" applyAlignment="1">
      <alignment horizontal="center"/>
    </xf>
    <xf numFmtId="0" fontId="0" fillId="7" borderId="20" xfId="0" applyFill="1" applyBorder="1" applyAlignment="1">
      <alignment horizontal="center"/>
    </xf>
    <xf numFmtId="0" fontId="0" fillId="9" borderId="2" xfId="0" applyFill="1" applyBorder="1" applyAlignment="1">
      <alignment horizontal="center"/>
    </xf>
    <xf numFmtId="0" fontId="0" fillId="9" borderId="5" xfId="0" applyFill="1" applyBorder="1" applyAlignment="1">
      <alignment horizontal="center"/>
    </xf>
    <xf numFmtId="0" fontId="0" fillId="9" borderId="3" xfId="0" applyFill="1" applyBorder="1" applyAlignment="1">
      <alignment horizontal="center"/>
    </xf>
    <xf numFmtId="0" fontId="0" fillId="8" borderId="2" xfId="0" applyFill="1" applyBorder="1" applyAlignment="1">
      <alignment horizontal="center"/>
    </xf>
    <xf numFmtId="0" fontId="0" fillId="8" borderId="5" xfId="0" applyFill="1" applyBorder="1" applyAlignment="1">
      <alignment horizontal="center"/>
    </xf>
    <xf numFmtId="0" fontId="0" fillId="8" borderId="3" xfId="0" applyFill="1" applyBorder="1" applyAlignment="1">
      <alignment horizontal="center"/>
    </xf>
    <xf numFmtId="0" fontId="0" fillId="6" borderId="2" xfId="0" applyFill="1" applyBorder="1" applyAlignment="1">
      <alignment horizontal="center"/>
    </xf>
    <xf numFmtId="0" fontId="0" fillId="6" borderId="5" xfId="0" applyFill="1" applyBorder="1" applyAlignment="1">
      <alignment horizontal="center"/>
    </xf>
    <xf numFmtId="0" fontId="0" fillId="6" borderId="3" xfId="0" applyFill="1" applyBorder="1" applyAlignment="1">
      <alignment horizontal="center"/>
    </xf>
    <xf numFmtId="0" fontId="0" fillId="6" borderId="20" xfId="0" applyFill="1" applyBorder="1" applyAlignment="1">
      <alignment horizontal="center"/>
    </xf>
    <xf numFmtId="0" fontId="0" fillId="6" borderId="1"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5" xfId="0" applyFill="1" applyBorder="1" applyAlignment="1">
      <alignment horizontal="center"/>
    </xf>
    <xf numFmtId="0" fontId="0" fillId="4" borderId="3" xfId="0" applyFill="1" applyBorder="1" applyAlignment="1">
      <alignment horizontal="center"/>
    </xf>
    <xf numFmtId="0" fontId="0" fillId="3" borderId="2" xfId="0" applyFill="1" applyBorder="1" applyAlignment="1">
      <alignment horizontal="center"/>
    </xf>
    <xf numFmtId="0" fontId="0" fillId="3" borderId="5" xfId="0" applyFill="1" applyBorder="1" applyAlignment="1">
      <alignment horizontal="center"/>
    </xf>
    <xf numFmtId="0" fontId="0" fillId="3" borderId="3" xfId="0" applyFill="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0" fillId="2" borderId="2" xfId="0" applyFill="1" applyBorder="1" applyAlignment="1">
      <alignment horizontal="center"/>
    </xf>
    <xf numFmtId="0" fontId="0" fillId="2" borderId="5" xfId="0" applyFill="1" applyBorder="1" applyAlignment="1">
      <alignment horizontal="center"/>
    </xf>
    <xf numFmtId="0" fontId="0" fillId="2" borderId="3" xfId="0" applyFill="1" applyBorder="1" applyAlignment="1">
      <alignment horizontal="center"/>
    </xf>
    <xf numFmtId="0" fontId="0" fillId="3" borderId="1" xfId="0" applyFill="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4" fillId="2" borderId="2" xfId="0" applyFont="1" applyFill="1" applyBorder="1" applyAlignment="1">
      <alignment horizontal="center" vertical="center"/>
    </xf>
    <xf numFmtId="0" fontId="4" fillId="2" borderId="5" xfId="0" applyFont="1" applyFill="1" applyBorder="1" applyAlignment="1">
      <alignment horizontal="center" vertical="center"/>
    </xf>
    <xf numFmtId="0" fontId="4" fillId="0" borderId="7" xfId="0" applyFont="1" applyBorder="1" applyAlignment="1">
      <alignment horizontal="center"/>
    </xf>
    <xf numFmtId="0" fontId="4" fillId="0" borderId="10" xfId="0" applyFont="1" applyBorder="1" applyAlignment="1">
      <alignment horizontal="center"/>
    </xf>
    <xf numFmtId="0" fontId="6" fillId="0" borderId="0" xfId="2" applyFont="1" applyAlignment="1">
      <alignment horizontal="left"/>
    </xf>
    <xf numFmtId="0" fontId="33" fillId="0" borderId="0" xfId="2" applyAlignment="1">
      <alignment horizontal="left"/>
    </xf>
    <xf numFmtId="0" fontId="6" fillId="0" borderId="2" xfId="2" applyFont="1" applyBorder="1" applyAlignment="1">
      <alignment horizontal="left"/>
    </xf>
    <xf numFmtId="0" fontId="6" fillId="0" borderId="5" xfId="2" applyFont="1" applyBorder="1" applyAlignment="1">
      <alignment horizontal="left"/>
    </xf>
    <xf numFmtId="0" fontId="6" fillId="0" borderId="3" xfId="2" applyFont="1" applyBorder="1" applyAlignment="1">
      <alignment horizontal="left"/>
    </xf>
    <xf numFmtId="0" fontId="33" fillId="0" borderId="2" xfId="2" applyBorder="1" applyAlignment="1">
      <alignment horizontal="left"/>
    </xf>
    <xf numFmtId="0" fontId="33" fillId="0" borderId="5" xfId="2" applyBorder="1" applyAlignment="1">
      <alignment horizontal="left"/>
    </xf>
    <xf numFmtId="0" fontId="33" fillId="0" borderId="3" xfId="2" applyBorder="1" applyAlignment="1">
      <alignment horizontal="left"/>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 xfId="8" applyFont="1" applyBorder="1" applyAlignment="1">
      <alignment horizontal="center"/>
    </xf>
    <xf numFmtId="0" fontId="3" fillId="0" borderId="1" xfId="8" applyBorder="1" applyAlignment="1">
      <alignment horizontal="center"/>
    </xf>
    <xf numFmtId="0" fontId="30" fillId="2" borderId="1" xfId="9" applyFont="1" applyFill="1" applyBorder="1" applyAlignment="1">
      <alignment horizontal="left" vertical="center"/>
    </xf>
    <xf numFmtId="0" fontId="26" fillId="2" borderId="1" xfId="9" applyFont="1" applyFill="1" applyBorder="1" applyAlignment="1">
      <alignment horizontal="left" vertical="center"/>
    </xf>
    <xf numFmtId="0" fontId="29" fillId="2" borderId="23" xfId="9" applyFont="1" applyFill="1" applyBorder="1" applyAlignment="1">
      <alignment horizontal="center" vertical="center" wrapText="1"/>
    </xf>
    <xf numFmtId="0" fontId="29" fillId="2" borderId="15" xfId="9" applyFont="1" applyFill="1" applyBorder="1" applyAlignment="1">
      <alignment horizontal="center" vertical="center" wrapText="1"/>
    </xf>
    <xf numFmtId="0" fontId="29" fillId="2" borderId="24" xfId="9" applyFont="1" applyFill="1" applyBorder="1" applyAlignment="1">
      <alignment horizontal="center" vertical="center" wrapText="1"/>
    </xf>
    <xf numFmtId="0" fontId="29" fillId="2" borderId="6" xfId="9" applyFont="1" applyFill="1" applyBorder="1" applyAlignment="1">
      <alignment horizontal="center" vertical="center" wrapText="1"/>
    </xf>
    <xf numFmtId="0" fontId="29" fillId="2" borderId="0" xfId="9" applyFont="1" applyFill="1" applyBorder="1" applyAlignment="1">
      <alignment horizontal="center" vertical="center" wrapText="1"/>
    </xf>
    <xf numFmtId="0" fontId="29" fillId="2" borderId="50" xfId="9" applyFont="1" applyFill="1" applyBorder="1" applyAlignment="1">
      <alignment horizontal="center" vertical="center" wrapText="1"/>
    </xf>
    <xf numFmtId="0" fontId="29" fillId="2" borderId="11" xfId="9" applyFont="1" applyFill="1" applyBorder="1" applyAlignment="1">
      <alignment horizontal="center" vertical="center" wrapText="1"/>
    </xf>
    <xf numFmtId="0" fontId="29" fillId="2" borderId="8" xfId="9" applyFont="1" applyFill="1" applyBorder="1" applyAlignment="1">
      <alignment horizontal="center" vertical="center" wrapText="1"/>
    </xf>
    <xf numFmtId="0" fontId="29" fillId="2" borderId="10" xfId="9" applyFont="1" applyFill="1" applyBorder="1" applyAlignment="1">
      <alignment horizontal="center" vertical="center" wrapText="1"/>
    </xf>
    <xf numFmtId="0" fontId="29" fillId="2" borderId="1" xfId="9" applyFont="1" applyFill="1" applyBorder="1" applyAlignment="1">
      <alignment horizontal="center" vertical="center"/>
    </xf>
    <xf numFmtId="0" fontId="30" fillId="2" borderId="1" xfId="9" applyFont="1" applyFill="1" applyBorder="1" applyAlignment="1">
      <alignment horizontal="left" vertical="center" wrapText="1"/>
    </xf>
    <xf numFmtId="0" fontId="30" fillId="2" borderId="1" xfId="3" applyFont="1" applyFill="1" applyBorder="1" applyAlignment="1">
      <alignment horizontal="left" vertical="center"/>
    </xf>
    <xf numFmtId="0" fontId="4" fillId="0" borderId="1" xfId="7" applyFont="1" applyBorder="1" applyAlignment="1">
      <alignment horizontal="center"/>
    </xf>
    <xf numFmtId="0" fontId="4" fillId="0" borderId="1" xfId="7" applyFont="1" applyBorder="1" applyAlignment="1">
      <alignment horizontal="center" vertical="center" wrapText="1"/>
    </xf>
    <xf numFmtId="0" fontId="3" fillId="0" borderId="2" xfId="8" applyFont="1" applyFill="1" applyBorder="1" applyAlignment="1">
      <alignment horizontal="center"/>
    </xf>
    <xf numFmtId="0" fontId="3" fillId="0" borderId="3" xfId="8" applyFont="1" applyFill="1" applyBorder="1" applyAlignment="1">
      <alignment horizontal="center"/>
    </xf>
    <xf numFmtId="0" fontId="3" fillId="0" borderId="1" xfId="8" applyFont="1" applyFill="1" applyBorder="1" applyAlignment="1">
      <alignment horizontal="center"/>
    </xf>
  </cellXfs>
  <cellStyles count="10">
    <cellStyle name="Comma 2" xfId="1"/>
    <cellStyle name="Normal" xfId="0" builtinId="0"/>
    <cellStyle name="Normal 2" xfId="2"/>
    <cellStyle name="Normal 2 2" xfId="7"/>
    <cellStyle name="Normal 3" xfId="6"/>
    <cellStyle name="Normal 3 2" xfId="8"/>
    <cellStyle name="Normal 4" xfId="3"/>
    <cellStyle name="Normal 4 2" xfId="4"/>
    <cellStyle name="Normal 5" xfId="9"/>
    <cellStyle name="Normal 9" xfId="5"/>
  </cellStyles>
  <dxfs count="103">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5.xml"/><Relationship Id="rId84" Type="http://schemas.openxmlformats.org/officeDocument/2006/relationships/externalLink" Target="externalLinks/externalLink36.xml"/><Relationship Id="rId138" Type="http://schemas.openxmlformats.org/officeDocument/2006/relationships/externalLink" Target="externalLinks/externalLink90.xml"/><Relationship Id="rId159" Type="http://schemas.openxmlformats.org/officeDocument/2006/relationships/externalLink" Target="externalLinks/externalLink111.xml"/><Relationship Id="rId170" Type="http://schemas.openxmlformats.org/officeDocument/2006/relationships/externalLink" Target="externalLinks/externalLink122.xml"/><Relationship Id="rId191" Type="http://schemas.openxmlformats.org/officeDocument/2006/relationships/externalLink" Target="externalLinks/externalLink143.xml"/><Relationship Id="rId205" Type="http://schemas.openxmlformats.org/officeDocument/2006/relationships/styles" Target="styles.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5.xml"/><Relationship Id="rId74" Type="http://schemas.openxmlformats.org/officeDocument/2006/relationships/externalLink" Target="externalLinks/externalLink26.xml"/><Relationship Id="rId128" Type="http://schemas.openxmlformats.org/officeDocument/2006/relationships/externalLink" Target="externalLinks/externalLink80.xml"/><Relationship Id="rId149" Type="http://schemas.openxmlformats.org/officeDocument/2006/relationships/externalLink" Target="externalLinks/externalLink101.xml"/><Relationship Id="rId5" Type="http://schemas.openxmlformats.org/officeDocument/2006/relationships/worksheet" Target="worksheets/sheet5.xml"/><Relationship Id="rId95" Type="http://schemas.openxmlformats.org/officeDocument/2006/relationships/externalLink" Target="externalLinks/externalLink47.xml"/><Relationship Id="rId160" Type="http://schemas.openxmlformats.org/officeDocument/2006/relationships/externalLink" Target="externalLinks/externalLink112.xml"/><Relationship Id="rId181" Type="http://schemas.openxmlformats.org/officeDocument/2006/relationships/externalLink" Target="externalLinks/externalLink13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6.xml"/><Relationship Id="rId118" Type="http://schemas.openxmlformats.org/officeDocument/2006/relationships/externalLink" Target="externalLinks/externalLink70.xml"/><Relationship Id="rId139" Type="http://schemas.openxmlformats.org/officeDocument/2006/relationships/externalLink" Target="externalLinks/externalLink91.xml"/><Relationship Id="rId85" Type="http://schemas.openxmlformats.org/officeDocument/2006/relationships/externalLink" Target="externalLinks/externalLink37.xml"/><Relationship Id="rId150" Type="http://schemas.openxmlformats.org/officeDocument/2006/relationships/externalLink" Target="externalLinks/externalLink102.xml"/><Relationship Id="rId171" Type="http://schemas.openxmlformats.org/officeDocument/2006/relationships/externalLink" Target="externalLinks/externalLink123.xml"/><Relationship Id="rId192" Type="http://schemas.openxmlformats.org/officeDocument/2006/relationships/externalLink" Target="externalLinks/externalLink144.xml"/><Relationship Id="rId206"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0.xml"/><Relationship Id="rId129" Type="http://schemas.openxmlformats.org/officeDocument/2006/relationships/externalLink" Target="externalLinks/externalLink81.xml"/><Relationship Id="rId54" Type="http://schemas.openxmlformats.org/officeDocument/2006/relationships/externalLink" Target="externalLinks/externalLink6.xml"/><Relationship Id="rId75" Type="http://schemas.openxmlformats.org/officeDocument/2006/relationships/externalLink" Target="externalLinks/externalLink27.xml"/><Relationship Id="rId96" Type="http://schemas.openxmlformats.org/officeDocument/2006/relationships/externalLink" Target="externalLinks/externalLink48.xml"/><Relationship Id="rId140" Type="http://schemas.openxmlformats.org/officeDocument/2006/relationships/externalLink" Target="externalLinks/externalLink92.xml"/><Relationship Id="rId161" Type="http://schemas.openxmlformats.org/officeDocument/2006/relationships/externalLink" Target="externalLinks/externalLink113.xml"/><Relationship Id="rId182" Type="http://schemas.openxmlformats.org/officeDocument/2006/relationships/externalLink" Target="externalLinks/externalLink13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71.xml"/><Relationship Id="rId44" Type="http://schemas.openxmlformats.org/officeDocument/2006/relationships/worksheet" Target="worksheets/sheet44.xml"/><Relationship Id="rId65" Type="http://schemas.openxmlformats.org/officeDocument/2006/relationships/externalLink" Target="externalLinks/externalLink17.xml"/><Relationship Id="rId86" Type="http://schemas.openxmlformats.org/officeDocument/2006/relationships/externalLink" Target="externalLinks/externalLink38.xml"/><Relationship Id="rId130" Type="http://schemas.openxmlformats.org/officeDocument/2006/relationships/externalLink" Target="externalLinks/externalLink82.xml"/><Relationship Id="rId151" Type="http://schemas.openxmlformats.org/officeDocument/2006/relationships/externalLink" Target="externalLinks/externalLink103.xml"/><Relationship Id="rId172" Type="http://schemas.openxmlformats.org/officeDocument/2006/relationships/externalLink" Target="externalLinks/externalLink124.xml"/><Relationship Id="rId193" Type="http://schemas.openxmlformats.org/officeDocument/2006/relationships/externalLink" Target="externalLinks/externalLink145.xml"/><Relationship Id="rId207"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61.xml"/><Relationship Id="rId34" Type="http://schemas.openxmlformats.org/officeDocument/2006/relationships/worksheet" Target="worksheets/sheet34.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20" Type="http://schemas.openxmlformats.org/officeDocument/2006/relationships/externalLink" Target="externalLinks/externalLink72.xml"/><Relationship Id="rId141" Type="http://schemas.openxmlformats.org/officeDocument/2006/relationships/externalLink" Target="externalLinks/externalLink93.xml"/><Relationship Id="rId7" Type="http://schemas.openxmlformats.org/officeDocument/2006/relationships/worksheet" Target="worksheets/sheet7.xml"/><Relationship Id="rId162" Type="http://schemas.openxmlformats.org/officeDocument/2006/relationships/externalLink" Target="externalLinks/externalLink114.xml"/><Relationship Id="rId183" Type="http://schemas.openxmlformats.org/officeDocument/2006/relationships/externalLink" Target="externalLinks/externalLink13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15" Type="http://schemas.openxmlformats.org/officeDocument/2006/relationships/externalLink" Target="externalLinks/externalLink67.xml"/><Relationship Id="rId131" Type="http://schemas.openxmlformats.org/officeDocument/2006/relationships/externalLink" Target="externalLinks/externalLink83.xml"/><Relationship Id="rId136" Type="http://schemas.openxmlformats.org/officeDocument/2006/relationships/externalLink" Target="externalLinks/externalLink88.xml"/><Relationship Id="rId157" Type="http://schemas.openxmlformats.org/officeDocument/2006/relationships/externalLink" Target="externalLinks/externalLink109.xml"/><Relationship Id="rId178" Type="http://schemas.openxmlformats.org/officeDocument/2006/relationships/externalLink" Target="externalLinks/externalLink130.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52" Type="http://schemas.openxmlformats.org/officeDocument/2006/relationships/externalLink" Target="externalLinks/externalLink104.xml"/><Relationship Id="rId173" Type="http://schemas.openxmlformats.org/officeDocument/2006/relationships/externalLink" Target="externalLinks/externalLink125.xml"/><Relationship Id="rId194" Type="http://schemas.openxmlformats.org/officeDocument/2006/relationships/externalLink" Target="externalLinks/externalLink146.xml"/><Relationship Id="rId199" Type="http://schemas.openxmlformats.org/officeDocument/2006/relationships/externalLink" Target="externalLinks/externalLink151.xml"/><Relationship Id="rId203" Type="http://schemas.openxmlformats.org/officeDocument/2006/relationships/externalLink" Target="externalLinks/externalLink15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168" Type="http://schemas.openxmlformats.org/officeDocument/2006/relationships/externalLink" Target="externalLinks/externalLink120.xml"/><Relationship Id="rId8" Type="http://schemas.openxmlformats.org/officeDocument/2006/relationships/worksheet" Target="worksheets/sheet8.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163" Type="http://schemas.openxmlformats.org/officeDocument/2006/relationships/externalLink" Target="externalLinks/externalLink115.xml"/><Relationship Id="rId184" Type="http://schemas.openxmlformats.org/officeDocument/2006/relationships/externalLink" Target="externalLinks/externalLink136.xml"/><Relationship Id="rId189" Type="http://schemas.openxmlformats.org/officeDocument/2006/relationships/externalLink" Target="externalLinks/externalLink14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137" Type="http://schemas.openxmlformats.org/officeDocument/2006/relationships/externalLink" Target="externalLinks/externalLink89.xml"/><Relationship Id="rId158" Type="http://schemas.openxmlformats.org/officeDocument/2006/relationships/externalLink" Target="externalLinks/externalLink11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53" Type="http://schemas.openxmlformats.org/officeDocument/2006/relationships/externalLink" Target="externalLinks/externalLink105.xml"/><Relationship Id="rId174" Type="http://schemas.openxmlformats.org/officeDocument/2006/relationships/externalLink" Target="externalLinks/externalLink126.xml"/><Relationship Id="rId179" Type="http://schemas.openxmlformats.org/officeDocument/2006/relationships/externalLink" Target="externalLinks/externalLink131.xml"/><Relationship Id="rId195" Type="http://schemas.openxmlformats.org/officeDocument/2006/relationships/externalLink" Target="externalLinks/externalLink147.xml"/><Relationship Id="rId190" Type="http://schemas.openxmlformats.org/officeDocument/2006/relationships/externalLink" Target="externalLinks/externalLink142.xml"/><Relationship Id="rId204"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externalLink" Target="externalLinks/externalLink7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43" Type="http://schemas.openxmlformats.org/officeDocument/2006/relationships/externalLink" Target="externalLinks/externalLink95.xml"/><Relationship Id="rId148" Type="http://schemas.openxmlformats.org/officeDocument/2006/relationships/externalLink" Target="externalLinks/externalLink100.xml"/><Relationship Id="rId164" Type="http://schemas.openxmlformats.org/officeDocument/2006/relationships/externalLink" Target="externalLinks/externalLink116.xml"/><Relationship Id="rId169" Type="http://schemas.openxmlformats.org/officeDocument/2006/relationships/externalLink" Target="externalLinks/externalLink121.xml"/><Relationship Id="rId185" Type="http://schemas.openxmlformats.org/officeDocument/2006/relationships/externalLink" Target="externalLinks/externalLink13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20.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54" Type="http://schemas.openxmlformats.org/officeDocument/2006/relationships/externalLink" Target="externalLinks/externalLink106.xml"/><Relationship Id="rId175" Type="http://schemas.openxmlformats.org/officeDocument/2006/relationships/externalLink" Target="externalLinks/externalLink127.xml"/><Relationship Id="rId196" Type="http://schemas.openxmlformats.org/officeDocument/2006/relationships/externalLink" Target="externalLinks/externalLink148.xml"/><Relationship Id="rId200" Type="http://schemas.openxmlformats.org/officeDocument/2006/relationships/externalLink" Target="externalLinks/externalLink15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0.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44" Type="http://schemas.openxmlformats.org/officeDocument/2006/relationships/externalLink" Target="externalLinks/externalLink96.xml"/><Relationship Id="rId90" Type="http://schemas.openxmlformats.org/officeDocument/2006/relationships/externalLink" Target="externalLinks/externalLink42.xml"/><Relationship Id="rId165" Type="http://schemas.openxmlformats.org/officeDocument/2006/relationships/externalLink" Target="externalLinks/externalLink117.xml"/><Relationship Id="rId186" Type="http://schemas.openxmlformats.org/officeDocument/2006/relationships/externalLink" Target="externalLinks/externalLink13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34" Type="http://schemas.openxmlformats.org/officeDocument/2006/relationships/externalLink" Target="externalLinks/externalLink86.xml"/><Relationship Id="rId80" Type="http://schemas.openxmlformats.org/officeDocument/2006/relationships/externalLink" Target="externalLinks/externalLink32.xml"/><Relationship Id="rId155" Type="http://schemas.openxmlformats.org/officeDocument/2006/relationships/externalLink" Target="externalLinks/externalLink107.xml"/><Relationship Id="rId176" Type="http://schemas.openxmlformats.org/officeDocument/2006/relationships/externalLink" Target="externalLinks/externalLink128.xml"/><Relationship Id="rId197" Type="http://schemas.openxmlformats.org/officeDocument/2006/relationships/externalLink" Target="externalLinks/externalLink149.xml"/><Relationship Id="rId201" Type="http://schemas.openxmlformats.org/officeDocument/2006/relationships/externalLink" Target="externalLinks/externalLink15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24" Type="http://schemas.openxmlformats.org/officeDocument/2006/relationships/externalLink" Target="externalLinks/externalLink76.xml"/><Relationship Id="rId70" Type="http://schemas.openxmlformats.org/officeDocument/2006/relationships/externalLink" Target="externalLinks/externalLink22.xml"/><Relationship Id="rId91" Type="http://schemas.openxmlformats.org/officeDocument/2006/relationships/externalLink" Target="externalLinks/externalLink43.xml"/><Relationship Id="rId145" Type="http://schemas.openxmlformats.org/officeDocument/2006/relationships/externalLink" Target="externalLinks/externalLink97.xml"/><Relationship Id="rId166" Type="http://schemas.openxmlformats.org/officeDocument/2006/relationships/externalLink" Target="externalLinks/externalLink118.xml"/><Relationship Id="rId187" Type="http://schemas.openxmlformats.org/officeDocument/2006/relationships/externalLink" Target="externalLinks/externalLink139.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60" Type="http://schemas.openxmlformats.org/officeDocument/2006/relationships/externalLink" Target="externalLinks/externalLink12.xml"/><Relationship Id="rId81" Type="http://schemas.openxmlformats.org/officeDocument/2006/relationships/externalLink" Target="externalLinks/externalLink33.xml"/><Relationship Id="rId135" Type="http://schemas.openxmlformats.org/officeDocument/2006/relationships/externalLink" Target="externalLinks/externalLink87.xml"/><Relationship Id="rId156" Type="http://schemas.openxmlformats.org/officeDocument/2006/relationships/externalLink" Target="externalLinks/externalLink108.xml"/><Relationship Id="rId177" Type="http://schemas.openxmlformats.org/officeDocument/2006/relationships/externalLink" Target="externalLinks/externalLink129.xml"/><Relationship Id="rId198" Type="http://schemas.openxmlformats.org/officeDocument/2006/relationships/externalLink" Target="externalLinks/externalLink150.xml"/><Relationship Id="rId202" Type="http://schemas.openxmlformats.org/officeDocument/2006/relationships/externalLink" Target="externalLinks/externalLink15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externalLink" Target="externalLinks/externalLink2.xml"/><Relationship Id="rId104" Type="http://schemas.openxmlformats.org/officeDocument/2006/relationships/externalLink" Target="externalLinks/externalLink56.xml"/><Relationship Id="rId125" Type="http://schemas.openxmlformats.org/officeDocument/2006/relationships/externalLink" Target="externalLinks/externalLink77.xml"/><Relationship Id="rId146" Type="http://schemas.openxmlformats.org/officeDocument/2006/relationships/externalLink" Target="externalLinks/externalLink98.xml"/><Relationship Id="rId167" Type="http://schemas.openxmlformats.org/officeDocument/2006/relationships/externalLink" Target="externalLinks/externalLink119.xml"/><Relationship Id="rId188" Type="http://schemas.openxmlformats.org/officeDocument/2006/relationships/externalLink" Target="externalLinks/externalLink140.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rot="0" spcFirstLastPara="0" vertOverflow="ellipsis" vert="horz" wrap="square" anchor="ctr" anchorCtr="1"/>
        <a:lstStyle/>
        <a:p>
          <a:pPr>
            <a:defRPr lang="en-US" sz="18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gehrauli!$A$4:$R$4</c:f>
              <c:strCache>
                <c:ptCount val="18"/>
                <c:pt idx="0">
                  <c:v>Sl.No</c:v>
                </c:pt>
                <c:pt idx="1">
                  <c:v>Date</c:v>
                </c:pt>
                <c:pt idx="2">
                  <c:v>Start Node</c:v>
                </c:pt>
                <c:pt idx="3">
                  <c:v>End Node</c:v>
                </c:pt>
                <c:pt idx="4">
                  <c:v>Type of Road</c:v>
                </c:pt>
                <c:pt idx="5">
                  <c:v>WIDTH OF DISMATLING</c:v>
                </c:pt>
                <c:pt idx="6">
                  <c:v>DI/HDPE</c:v>
                </c:pt>
                <c:pt idx="7">
                  <c:v>Pipe Length (M)</c:v>
                </c:pt>
                <c:pt idx="14">
                  <c:v>Cumulative Length (M)</c:v>
                </c:pt>
                <c:pt idx="15">
                  <c:v>LHS/RHS</c:v>
                </c:pt>
                <c:pt idx="16">
                  <c:v>Distance from Road C/L</c:v>
                </c:pt>
                <c:pt idx="17">
                  <c:v>  Site Engineer Sign</c:v>
                </c:pt>
              </c:strCache>
            </c:strRef>
          </c:tx>
          <c:invertIfNegative val="0"/>
          <c:val>
            <c:numRef>
              <c:f>gehrauli!$T$4</c:f>
              <c:numCache>
                <c:formatCode>General</c:formatCode>
                <c:ptCount val="1"/>
                <c:pt idx="0">
                  <c:v>0</c:v>
                </c:pt>
              </c:numCache>
            </c:numRef>
          </c:val>
        </c:ser>
        <c:dLbls>
          <c:showLegendKey val="0"/>
          <c:showVal val="0"/>
          <c:showCatName val="0"/>
          <c:showSerName val="0"/>
          <c:showPercent val="0"/>
          <c:showBubbleSize val="0"/>
        </c:dLbls>
        <c:gapWidth val="150"/>
        <c:axId val="422370656"/>
        <c:axId val="422378272"/>
      </c:barChart>
      <c:catAx>
        <c:axId val="422370656"/>
        <c:scaling>
          <c:orientation val="minMax"/>
        </c:scaling>
        <c:delete val="0"/>
        <c:axPos val="b"/>
        <c:majorTickMark val="out"/>
        <c:minorTickMark val="none"/>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422378272"/>
        <c:crosses val="autoZero"/>
        <c:auto val="1"/>
        <c:lblAlgn val="ctr"/>
        <c:lblOffset val="100"/>
        <c:noMultiLvlLbl val="0"/>
      </c:catAx>
      <c:valAx>
        <c:axId val="422378272"/>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422370656"/>
        <c:crosses val="autoZero"/>
        <c:crossBetween val="between"/>
      </c:valAx>
    </c:plotArea>
    <c:legend>
      <c:legendPos val="r"/>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US"/>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24856</xdr:colOff>
      <xdr:row>0</xdr:row>
      <xdr:rowOff>129269</xdr:rowOff>
    </xdr:from>
    <xdr:to>
      <xdr:col>1</xdr:col>
      <xdr:colOff>133350</xdr:colOff>
      <xdr:row>2</xdr:row>
      <xdr:rowOff>254546</xdr:rowOff>
    </xdr:to>
    <xdr:pic>
      <xdr:nvPicPr>
        <xdr:cNvPr id="2" name="Picture 1" descr="Image result for jal jeevan mission logo">
          <a:extLst>
            <a:ext uri="{FF2B5EF4-FFF2-40B4-BE49-F238E27FC236}">
              <a16:creationId xmlns="" xmlns:a16="http://schemas.microsoft.com/office/drawing/2014/main" id="{8304DC38-6F68-46C1-AE9A-34EF31AF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56" y="129269"/>
          <a:ext cx="718094" cy="65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0</xdr:row>
      <xdr:rowOff>87086</xdr:rowOff>
    </xdr:from>
    <xdr:to>
      <xdr:col>16</xdr:col>
      <xdr:colOff>614160</xdr:colOff>
      <xdr:row>3</xdr:row>
      <xdr:rowOff>45448</xdr:rowOff>
    </xdr:to>
    <xdr:pic>
      <xdr:nvPicPr>
        <xdr:cNvPr id="3" name="Picture 2" descr="492px-Power-Mech-Projects-Limited_copy.png">
          <a:extLst>
            <a:ext uri="{FF2B5EF4-FFF2-40B4-BE49-F238E27FC236}">
              <a16:creationId xmlns="" xmlns:a16="http://schemas.microsoft.com/office/drawing/2014/main" id="{3E14E293-E075-443F-BB52-04695B0396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44225" y="87086"/>
          <a:ext cx="614160" cy="529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196306</xdr:colOff>
      <xdr:row>2</xdr:row>
      <xdr:rowOff>43544</xdr:rowOff>
    </xdr:from>
    <xdr:to>
      <xdr:col>2</xdr:col>
      <xdr:colOff>731292</xdr:colOff>
      <xdr:row>4</xdr:row>
      <xdr:rowOff>336461</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5815" y="443230"/>
          <a:ext cx="1058545" cy="1188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2</xdr:row>
      <xdr:rowOff>87086</xdr:rowOff>
    </xdr:from>
    <xdr:to>
      <xdr:col>18</xdr:col>
      <xdr:colOff>1087870</xdr:colOff>
      <xdr:row>5</xdr:row>
      <xdr:rowOff>68308</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5106650" y="487045"/>
          <a:ext cx="1087755" cy="1243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12</xdr:col>
      <xdr:colOff>435827</xdr:colOff>
      <xdr:row>33</xdr:row>
      <xdr:rowOff>9293</xdr:rowOff>
    </xdr:to>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196306</xdr:colOff>
      <xdr:row>0</xdr:row>
      <xdr:rowOff>43544</xdr:rowOff>
    </xdr:from>
    <xdr:to>
      <xdr:col>2</xdr:col>
      <xdr:colOff>142875</xdr:colOff>
      <xdr:row>3</xdr:row>
      <xdr:rowOff>28575</xdr:rowOff>
    </xdr:to>
    <xdr:pic>
      <xdr:nvPicPr>
        <xdr:cNvPr id="2" name="Picture 1" descr="Image result for jal jeevan mission logo">
          <a:extLst>
            <a:ext uri="{FF2B5EF4-FFF2-40B4-BE49-F238E27FC236}">
              <a16:creationId xmlns="" xmlns:a16="http://schemas.microsoft.com/office/drawing/2014/main" id="{8304DC38-6F68-46C1-AE9A-34EF31AF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06" y="43544"/>
          <a:ext cx="1165769"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0</xdr:row>
      <xdr:rowOff>87086</xdr:rowOff>
    </xdr:from>
    <xdr:to>
      <xdr:col>17</xdr:col>
      <xdr:colOff>4560</xdr:colOff>
      <xdr:row>3</xdr:row>
      <xdr:rowOff>45448</xdr:rowOff>
    </xdr:to>
    <xdr:pic>
      <xdr:nvPicPr>
        <xdr:cNvPr id="3" name="Picture 2" descr="492px-Power-Mech-Projects-Limited_copy.png">
          <a:extLst>
            <a:ext uri="{FF2B5EF4-FFF2-40B4-BE49-F238E27FC236}">
              <a16:creationId xmlns="" xmlns:a16="http://schemas.microsoft.com/office/drawing/2014/main" id="{3E14E293-E075-443F-BB52-04695B0396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44225" y="87086"/>
          <a:ext cx="614160" cy="529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361949</xdr:colOff>
      <xdr:row>0</xdr:row>
      <xdr:rowOff>43545</xdr:rowOff>
    </xdr:from>
    <xdr:to>
      <xdr:col>2</xdr:col>
      <xdr:colOff>57150</xdr:colOff>
      <xdr:row>3</xdr:row>
      <xdr:rowOff>75947</xdr:rowOff>
    </xdr:to>
    <xdr:pic>
      <xdr:nvPicPr>
        <xdr:cNvPr id="2" name="Picture 1" descr="Image result for jal jeevan mission logo">
          <a:extLst>
            <a:ext uri="{FF2B5EF4-FFF2-40B4-BE49-F238E27FC236}">
              <a16:creationId xmlns="" xmlns:a16="http://schemas.microsoft.com/office/drawing/2014/main" id="{8304DC38-6F68-46C1-AE9A-34EF31AF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49" y="43545"/>
          <a:ext cx="914401" cy="832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438150</xdr:colOff>
      <xdr:row>0</xdr:row>
      <xdr:rowOff>68037</xdr:rowOff>
    </xdr:from>
    <xdr:to>
      <xdr:col>17</xdr:col>
      <xdr:colOff>33135</xdr:colOff>
      <xdr:row>2</xdr:row>
      <xdr:rowOff>95251</xdr:rowOff>
    </xdr:to>
    <xdr:pic>
      <xdr:nvPicPr>
        <xdr:cNvPr id="3" name="Picture 2" descr="492px-Power-Mech-Projects-Limited_copy.png">
          <a:extLst>
            <a:ext uri="{FF2B5EF4-FFF2-40B4-BE49-F238E27FC236}">
              <a16:creationId xmlns="" xmlns:a16="http://schemas.microsoft.com/office/drawing/2014/main" id="{3E14E293-E075-443F-BB52-04695B0396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2150" y="68037"/>
          <a:ext cx="814185" cy="56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196306</xdr:colOff>
      <xdr:row>0</xdr:row>
      <xdr:rowOff>43544</xdr:rowOff>
    </xdr:from>
    <xdr:to>
      <xdr:col>2</xdr:col>
      <xdr:colOff>6122</xdr:colOff>
      <xdr:row>2</xdr:row>
      <xdr:rowOff>16421</xdr:rowOff>
    </xdr:to>
    <xdr:pic>
      <xdr:nvPicPr>
        <xdr:cNvPr id="2" name="Picture 1" descr="Image result for jal jeevan mission logo">
          <a:extLst>
            <a:ext uri="{FF2B5EF4-FFF2-40B4-BE49-F238E27FC236}">
              <a16:creationId xmlns="" xmlns:a16="http://schemas.microsoft.com/office/drawing/2014/main" id="{8304DC38-6F68-46C1-AE9A-34EF31AF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06" y="43544"/>
          <a:ext cx="1029016" cy="506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0</xdr:row>
      <xdr:rowOff>87086</xdr:rowOff>
    </xdr:from>
    <xdr:to>
      <xdr:col>18</xdr:col>
      <xdr:colOff>4560</xdr:colOff>
      <xdr:row>2</xdr:row>
      <xdr:rowOff>83548</xdr:rowOff>
    </xdr:to>
    <xdr:pic>
      <xdr:nvPicPr>
        <xdr:cNvPr id="3" name="Picture 2" descr="492px-Power-Mech-Projects-Limited_copy.png">
          <a:extLst>
            <a:ext uri="{FF2B5EF4-FFF2-40B4-BE49-F238E27FC236}">
              <a16:creationId xmlns="" xmlns:a16="http://schemas.microsoft.com/office/drawing/2014/main" id="{3E14E293-E075-443F-BB52-04695B0396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44225" y="87086"/>
          <a:ext cx="614160" cy="529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24857</xdr:colOff>
      <xdr:row>2</xdr:row>
      <xdr:rowOff>53070</xdr:rowOff>
    </xdr:from>
    <xdr:to>
      <xdr:col>2</xdr:col>
      <xdr:colOff>76201</xdr:colOff>
      <xdr:row>7</xdr:row>
      <xdr:rowOff>120091</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4457" y="434070"/>
          <a:ext cx="660944" cy="1371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476250</xdr:colOff>
      <xdr:row>0</xdr:row>
      <xdr:rowOff>172811</xdr:rowOff>
    </xdr:from>
    <xdr:to>
      <xdr:col>18</xdr:col>
      <xdr:colOff>954520</xdr:colOff>
      <xdr:row>9</xdr:row>
      <xdr:rowOff>28575</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2401550" y="172811"/>
          <a:ext cx="1087870" cy="2075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5807</xdr:colOff>
      <xdr:row>0</xdr:row>
      <xdr:rowOff>14970</xdr:rowOff>
    </xdr:from>
    <xdr:to>
      <xdr:col>1</xdr:col>
      <xdr:colOff>619125</xdr:colOff>
      <xdr:row>6</xdr:row>
      <xdr:rowOff>261080</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15407" y="14970"/>
          <a:ext cx="613318" cy="1741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24856</xdr:colOff>
      <xdr:row>0</xdr:row>
      <xdr:rowOff>186419</xdr:rowOff>
    </xdr:from>
    <xdr:to>
      <xdr:col>2</xdr:col>
      <xdr:colOff>474117</xdr:colOff>
      <xdr:row>7</xdr:row>
      <xdr:rowOff>41186</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34456" y="186419"/>
          <a:ext cx="1058861" cy="1616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571500</xdr:colOff>
      <xdr:row>4</xdr:row>
      <xdr:rowOff>191861</xdr:rowOff>
    </xdr:from>
    <xdr:to>
      <xdr:col>18</xdr:col>
      <xdr:colOff>1049770</xdr:colOff>
      <xdr:row>11</xdr:row>
      <xdr:rowOff>20683</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306175" y="1182461"/>
          <a:ext cx="1087870" cy="1667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24857</xdr:colOff>
      <xdr:row>0</xdr:row>
      <xdr:rowOff>186419</xdr:rowOff>
    </xdr:from>
    <xdr:to>
      <xdr:col>1</xdr:col>
      <xdr:colOff>400051</xdr:colOff>
      <xdr:row>8</xdr:row>
      <xdr:rowOff>196437</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4857" y="186419"/>
          <a:ext cx="984794" cy="2115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9525</xdr:colOff>
      <xdr:row>0</xdr:row>
      <xdr:rowOff>1</xdr:rowOff>
    </xdr:from>
    <xdr:to>
      <xdr:col>17</xdr:col>
      <xdr:colOff>342900</xdr:colOff>
      <xdr:row>9</xdr:row>
      <xdr:rowOff>212750</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763125" y="1"/>
          <a:ext cx="942975" cy="2584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196306</xdr:colOff>
      <xdr:row>2</xdr:row>
      <xdr:rowOff>43544</xdr:rowOff>
    </xdr:from>
    <xdr:to>
      <xdr:col>2</xdr:col>
      <xdr:colOff>731292</xdr:colOff>
      <xdr:row>4</xdr:row>
      <xdr:rowOff>336461</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805815" y="443230"/>
          <a:ext cx="1058545" cy="1188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2</xdr:row>
      <xdr:rowOff>87086</xdr:rowOff>
    </xdr:from>
    <xdr:to>
      <xdr:col>18</xdr:col>
      <xdr:colOff>1087870</xdr:colOff>
      <xdr:row>5</xdr:row>
      <xdr:rowOff>68308</xdr:rowOff>
    </xdr:to>
    <xdr:pic>
      <xdr:nvPicPr>
        <xdr:cNvPr id="3" name="Picture 2" descr="492px-Power-Mech-Projects-Limited_copy.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4735175" y="487045"/>
          <a:ext cx="1087755" cy="1243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95810</xdr:colOff>
      <xdr:row>0</xdr:row>
      <xdr:rowOff>189781</xdr:rowOff>
    </xdr:from>
    <xdr:to>
      <xdr:col>2</xdr:col>
      <xdr:colOff>210110</xdr:colOff>
      <xdr:row>8</xdr:row>
      <xdr:rowOff>76123</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0928" y="189781"/>
          <a:ext cx="719417" cy="1925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0</xdr:row>
      <xdr:rowOff>167369</xdr:rowOff>
    </xdr:from>
    <xdr:to>
      <xdr:col>1</xdr:col>
      <xdr:colOff>161925</xdr:colOff>
      <xdr:row>2</xdr:row>
      <xdr:rowOff>247650</xdr:rowOff>
    </xdr:to>
    <xdr:pic>
      <xdr:nvPicPr>
        <xdr:cNvPr id="2" name="Picture 1" descr="Image result for jal jeevan mission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8575" y="167369"/>
          <a:ext cx="742950" cy="613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h111461\LOCALS~1\Temp\&#51068;&#5094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01C191\Kalyan%20Pipeline%20Price%20Bi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a212\d\Gururaj\0.718%20UT\under_tunnel_0.71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d\MURALI\PEN%20DRIVE%20AS%20IN%2015-07-05\Pen%20As%20on%2001-10-05\New%20Folder\hai\Design\O.T-%20D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computer\My%20Documents\QS\QS%20ASS\NS-40\IPC\Embankment%20MT%20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44277;&#50976;/&#45347;&#50612;&#51452;&#44592;/&#50980;&#50689;&#50885;/Cable%20bom%201&#52264;(102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CTC-CUM%20-SP%20ESTIMA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a212\d\Rahul\Chimmalagi%20Box\PIER%20RAHUL%20Mod.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218\INFLOW\BLIS\25%20to%2030%20km\VRB-SP%2020+87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lades\proj1\projects\hbd%20proposal\sewa\proposal%20files\equipment%20and%20piping%20calc\CTP\MFO22403_RevR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a212\d\Formats\PIER%20RAHUL%20Mo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Dang%20WS%20Project%20BOQ-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eepak\QSDeepak\QSDeepak\BILLS\MONTHLY%20STATEMENTS%20-%20BILLS\05%20MARCH%202006\Embankment%20MT%20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49\RAHUL\Chimmalgi%20Combined%20Canal%20Subm.27.07.06\2%20JULY2007%20FORMAT-CLIS\0+150-HYD-DESIG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ichtner_wp\depts\MECH\USER\RKM\MISC\TESTRKM\HEA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47749;&#50857;&#54840;\&#47749;&#50857;&#54840;\unzipped\&#44592;&#44228;\&#49328;&#52636;&#44540;&#44144;-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a218\INFLOW\Chimmalgi%20LIS\25-35\26+242-S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Administrator/Desktop/RMC_DELHI_05_06_Form%206%20&amp;%2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E3992\Dang%20WS%20Project%20BOQ-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0002\share\&#51221;&#4932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2000\&#54644;&#50808;&#44277;&#49324;\Naigria\&#45208;&#51060;&#51648;&#47532;&#50500;%20BTIP\&#49688;&#51221;%20BM\PILE&#49884;&#44277;&#44552;&#50529;&#48708;&#443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FD5EDD8\Price%20Bi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FAIR%20DESIGNS%20&amp;%20DRAWINGS\PACKAGE-17\2)PACKAGE-17\MURALI\PEN%20DRIVE%20AS%20IN%2015-07-05\Pen%20As%20on%2001-10-05\New%20Folder\hai\Design\O.T-%20D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MPRs/Annexure%20I%20(Progress%20Curves)/FLMPR/HDT_MANF.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pc\PROJ\MPRs\Annexure%20II%20(Status%20Reports)\DummyRef.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umana\nh-3\Nh-3\Rate%20analysis\Basic%20rates%2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COP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abhiram/AppData/Local/Microsoft/Windows/Temporary%20Internet%20Files/Low/Content.IE5/23D5IP1M/08_01_04%20APL%20Mundra%20Civil%20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Sub%20contractors%20BOQ.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Users/Powermech/Desktop/SR/Compound%20Wall/Documents%20and%20Settings/lancogroup/Local%20Settings/Temporary%20Internet%20Files/Content.Outlook/M1IS7WYX/IOCL/Clients%20Submittals/IOCL%20Organogram%2014-10-2009.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1091\&#44277;&#50976;\CEMENT\EGYPT\QENA\Revo\WINDOWS\&#48148;&#53461;%20&#54868;&#47732;\&#46160;&#50689;\ARAB\price%20schedule\Bresk-civil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Viji\c\RSMANGALA\My%20Documents\manur%20agree\sump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62A64082\MP_UP-1%20Analysis_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1.Santosh\Tendering\Tender%20Software\THANEM~1\Quantities.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2\d\Share\SMC\SMC-09\DLRO-%20Dec%2020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gp\d\MURALI\PEN%20DRIVE%20AS%20IN%2015-07-05\Pen%20As%20on%2001-10-05\New%20Folder\hai\Design\O.T-%20D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mmAlNar/&#44396;&#47588;&#44288;&#47144;/&#49444;&#52824;&#51088;&#51116;/cable/OrderBM(Pow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8%20mpr\WINDOWS\Desktop\NRB\naneen%20backup\FORMATS\Lab\Alp-c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rogressive\00-Given%20By%20Ramanjayneyulu\79.131\MURALI\PEN%20DRIVE%20AS%20IN%2015-07-05\Pen%20As%20on%2001-10-05\New%20Folder\hai\Design\O.T-%20D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a218\INFLOW\IRRIGATION%20PROJECTS\ANDRAPRADESH\GNSS%20-PK%2047\GNNSS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owmya\H\Documents%20and%20Settings\chandramauli\Desktop\2%20JULY2007%20FORMAT-CLIS\HR%20FORMAT\HR-FORMAT-22%20JULY-2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a49\RAHUL\Chimmalgi%20Combined%20Canal%20Subm.27.07.06\CTC%20DATA.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amc\aamc\Documents%20and%20Settings\kmanikandan\Local%20Settings\Temporary%20Internet%20Files\OLK8\Sample%20Master%20Manpower%20Cost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slee/2005&#45380;&#46020;/Philippines/Power%20Plant/Estimate/&#51228;&#52636;&#45236;&#5066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esr72\e\pirama\data1213\MSspl\MS%20specials_statement_8June10_M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20Intials%20-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5312\inquiry\&#44277;&#50976;\ab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nder%20Working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TMP\down\FAX\&#51648;&#50669;&#45212;&#48169;\&#54868;&#51068;&#51333;&#54633;\JAJAE.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1060;&#51068;&#50864;\&#44204;&#51201;\&#51064;&#52380;&#54868;&#47141;\&#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51060;&#51068;&#50864;\&#44204;&#51201;\&#44204;&#51201;\&#50640;&#53076;&#49436;&#48708;&#49828;\&#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HP\Downloads\Mangraura%20Laying%20abs%20(1).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Users/HP/Downloads/BlockWise%20JMR%20Ab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20M%20P%20PROJECTS/Downloads/Hydro%20test%20repor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mporary%20Directory%201%20for%20BIDS.zip\BIDS\GWIL\NC%2024%20Rev\Working\Sub%20contractors%20BO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Anand\BPL-Budget\Tender\Estimate\SKT\Chochin%20Port%20Connectivity\u8%20mpr\WINDOWS\Desktop\NRB\naneen%20backup\FORMATS\Lab\Alp-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Rar$DI01.719\Bijapur%20WS%20Project%20R2%20(Mo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04B3D1B\Alp-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Iq-17\BD\2004-05\IQ\Iq-15(JP_Vishnuprayag)\ss\2002-03\iq\iq62_hazira\iq62_hazi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200E4A50\Tender%20Working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8700DB9\Sub%20contractors%20BOQ.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gk\Local%20Settings\Temporary%20Internet%20Files\OLK57\LANCO\Tender\BIDDING\PRED\RangaReddy\Chevella%20Working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haitanya\Tenders\Orissa\IOCL\Tender%20Workings\Documents%20and%20Settings\vijaya.tg\Local%20Settings\Temporary%20Internet%20Files\Content.Outlook\DT1VYPP5\LANCO\Tender\Not%20Quoted\IOCL%20Paradip%20Tender%20WTP%20Specs\IOCL%20Paradi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A4E8E6F\Bijapur%20WS%20Project%20R2%20(Mod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Tenders\Rajasthan\PHED\Dang%20RWSS\Bijapur%20WS%20Project%20R2%20(Mod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A4E8E6F\Dang%20WS%20Project%20BOQ-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HO-PR2%20&amp;%20AS\Rate%20Analysis%205-03-08\AS%20Jan%2008\Balance%20Costing%20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Bijapur%20WS%20Project%20R2%20(Mod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Netivli%20WTP%20Tender-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nder%20Working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70FA2D9\Rate%20Analysis%20for%20M40%20&amp;%20Pil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FF34168\Kalyan%20Pipeline%20Price%20B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E4FB20E\Dang%20WS%20Project%20BOQ-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lades\PROJ5\projects\konaseema\pump%20calculations%20for%20konasema\horizontal%20pumps\hrsg%20fill%20pump\pipe%20suct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3813\my%20documents\&#44277;&#50976;\abc.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50696;&#44032;&#54364;"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930808\&#50696;&#49328;\&#54540;&#47004;&#53944;\&#48372;&#47161;&#54868;&#47141;\&#54869;&#51221;&#48516;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221;&#44221;&#50896;\C\&#44277;&#47924;&#50629;&#47924;\&#45824;&#48376;&#49324;\&#44148;&#52629;&#49884;&#44277;&#54016;%20&#44277;&#49324;&#54788;&#54889;&#48372;&#44256;\4&#50900;&#49892;&#51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ttp:\notesm3.doosanheavy.com:1092\KAMkh\sub-contract\3&#52264;&#44277;&#49324;(U&amp;H)\3&#52264;&#44277;&#493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iswanathan\d\Delhi-Gurgaon\PRE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DFILE\WEKI\&#49328;&#50629;&#49444;&#48708;\2%20&#44204;&#51201;&#49892;\2%20&#49884;&#47704;&#53944;\963%20Syria\ADRA9805\20.%20&#44204;&#51201;\1%20&#51649;&#51217;&#48708;\6%20&#51109;&#48708;&#48708;\TEM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BE8B79\Paradip%20Final%20(264-47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0948;&#46160;&#54872;\&#44277;&#49324;&#44288;&#47144;&#47928;&#49436;\UmmAlNar\&#44396;&#47588;&#44288;&#47144;\&#49444;&#52824;&#51088;&#51116;\cable\OrderBM(Pow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RADMIN-PC\scan\Sandipan\MPL_SG_Backup%20as%20on%2012.07.10\Sandeep\proposals\tender%20working\2%20x%20700%20MW%20rapp\Mech%20Erection%20Enq_290313\Re-working\New%20working%20170214\Reworking_210214\RAPP_7&amp;8_Mech%20ern%20price_270513_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mc\aamc\Internal%20Audit\Internal%20Auditor\Land%20adjustment\Report%20(June%20Forecast)%20250602-Final(Rec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1999\&#54840;&#45224;&#49437;&#50976;\&#49892;&#54665;BM\YUKONG\PROPOSAL\SEOUL\PROPOS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78335A8F\Chevella%20Workings-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FAIR%20DESIGNS%20&amp;%20DRAWINGS\PACKAGE-17\3)%20CM%20WORKS\OT\O.T-%20pipe%20-%2035.481%20-%2014R%20maj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sers\INFRASTRUCTURE\Arvind%20Raizada\JMC\ANALYSIS\Analys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NC-2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4A93C62F\ACE-PR2-final_at%20si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mp2\40gb2%20(d)\MY\Y2K\Mmf2\QUOTAT~1\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h115365/Local%20Settings/Temporary%20Internet%20Files/Content.Outlook/B4IOKITI/1%20%20RFP%20Raipur%20TPP(Boiler%20%20Steel%20Structure%20PKG)_Rev01%2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ttp:\notesm4.doosanheavy.com:1092\WINDOWS\TMP\&#53664;&#47785;6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49\RAHUL\MMAULI\RCC-T-19.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NGDOC~1/MSQUIO~1/est-FF-00-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Ankit.Shukla/Desktop/dpr%20clien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ITsez/Local%20Settings/Temp/Documents%20and%20Settings/rayudu/Desktop/PLANNING/MPCS/PLANNING/METRO%20PLANNING/ACE%20-%20REV%201%20-%20261203/ACE%20-%20REV%201%20-%20261203-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aptop\laptop%20(e)\Jobs%20in%20Hand\new%20projects\cables\cableselec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Bijapur%20WS%20Project%20R2%20(Mod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691557B\TN%2006%2016-07-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lades\proj1\Calcs\Mech\MFO224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urali\D\Project\1x500_BIRSINGPUR\NASIK\Boq.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SP%20MASTER%20FILE%20PARAMET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BLIS%20CTC%20CUM%20S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ydj\&#48376;&#49324;&#44204;&#51201;\&#46748;&#47476;&#45124;\&#51105;&#46041;&#49324;&#45768;\&#49884;&#54665;&#44552;&#505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E3992\Bijapur%20WS%20Project%20R2%20(Mod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9EC10939\NMDC%20Workings-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01&#20491;&#20154;&#65420;&#65387;/&#12371;&#12540;&#12376;/&#12467;&#12472;&#12455;&#12493;/&#26032;&#26085;&#20843;&#24161;/&#37325;&#37327;&#12398;&#1241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p2\D\Jobs%20in%20Hand\new%20projects\pointwiring\pointrat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s\iq65_alstom\VIJ%20Indirect%20alternativ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DATA\khh\LOWLI\A-TUAN\khh\sua\biphuoc\tach-7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Naveen\My%20Documents\Naveen\Tariff%202006-07\CPG\Op%20BS%20Final%2016052005\Asset%20Disaggregation%2017.04.05%20With%20Residual%20MPSEB\Raw%20TB%20Data%20&amp;%20Cap-CAU%20as%20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0997\&#48156;&#51452;&#51088;&#47308;\&#52380;&#50504;-&#48337;&#52380;%2098&#45380;\&#46020;&#44553;&#45236;&#50669;(&#44396;&#485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arunan/Formats/Tendering/Cash%20flow%20Template_2009_R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mm\2006-07\2005-2006\Offer\Iq10-Anpara-C\Doosan-Anpara-rev02\&#49688;&#54665;&#51473;_pjt\YONGHUNG12\&#48176;&#44221;&#49688;\&#48372;&#50728;&#51116;\&#50689;&#55141;&#48372;&#50728;&#51116;&#44396;&#47588;\&#47932;&#47049;&#49328;&#52636;&#50857;BM(&#50896;&#483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amc\aamc\Finance\Rshyam\monthly\09%20-Sept%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0.453\Kalyan%20Pipeline%20Price%20B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hared/Inian.R/R%20&amp;%20R/HIAL%20ACE%20-%20Revised%20Qty%201708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1.Santosh\Rate%20Analysis\General\WORKI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e\Planning\Metro%20Cst\A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51109;&#48708;&#48708;-&#44288;&#49464;+&#50868;&#48152;&#48708;+&#44032;&#49444;&#48156;&#51204;-&#46041;&#50896;&#44228;&#5492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epak\d\QSDeepak\BILLS\Bill%20MS%20-08\Embankment%20MT%20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arunan/projects/3%20x%20660%20MW%20Talwandi%20Sabo/FINAL%20PRICE%20TALWANDI%20SABO%2013-05-10/ACE_Working.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ocuments%20and%20Settings/com/Local%20Settings/Temporary%20Internet%20Files/Content.IE5/ET5UJ6H0/AGM1_Packing_Innercasing_%20Matallic%20Expansion%20Joint_HK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Excel%20Files\TIDCO\Files%20From%20Chiyoda%20&amp;%20VKK's%20team\1512EIR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
      <sheetName val="SUMMARY(M)"/>
      <sheetName val="SUMMARY(E)"/>
      <sheetName val="EARTH"/>
      <sheetName val="CONC"/>
      <sheetName val="MISC"/>
      <sheetName val="ROAD"/>
      <sheetName val="재료비"/>
      <sheetName val="장비일대"/>
      <sheetName val="노무비"/>
      <sheetName val="노무시간"/>
      <sheetName val="장비시간"/>
      <sheetName val="dummy"/>
      <sheetName val="pipe entry"/>
    </sheetNames>
    <sheetDataSet>
      <sheetData sheetId="0" refreshError="1"/>
      <sheetData sheetId="1" refreshError="1"/>
      <sheetData sheetId="2"/>
      <sheetData sheetId="3"/>
      <sheetData sheetId="4"/>
      <sheetData sheetId="5"/>
      <sheetData sheetId="6" refreshError="1"/>
      <sheetData sheetId="7"/>
      <sheetData sheetId="8"/>
      <sheetData sheetId="9"/>
      <sheetData sheetId="10" refreshError="1"/>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scour depth"/>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ow_Earth"/>
      <sheetName val="HYD"/>
      <sheetName val="Below_Water"/>
      <sheetName val="Ld_Diagms"/>
      <sheetName val="OUTPUT_MEMBER"/>
      <sheetName val="OUTPUT_REACTIONS"/>
      <sheetName val="RWALL_MAX"/>
      <sheetName val="RWALL_MIN"/>
      <sheetName val="HEADWALL"/>
      <sheetName val="AREA-VELOCITY"/>
      <sheetName val="BP"/>
      <sheetName val="PLAN_FEB97"/>
    </sheetNames>
    <sheetDataSet>
      <sheetData sheetId="0" refreshError="1">
        <row r="12">
          <cell r="H12">
            <v>25</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rocurement"/>
      <sheetName val="LOCAL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Boiler&amp;TG"/>
      <sheetName val="procurement"/>
      <sheetName val="scour de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BOM"/>
      <sheetName val="DEAE"/>
      <sheetName val="GAS"/>
      <sheetName val="GEN"/>
      <sheetName val="COP"/>
      <sheetName val="CHEM"/>
      <sheetName val="SAM"/>
      <sheetName val="DEM"/>
      <sheetName val="BLR5"/>
      <sheetName val="BLR4"/>
      <sheetName val="BLR3"/>
      <sheetName val="BLR2"/>
      <sheetName val="BLR 1"/>
      <sheetName val="MixBed"/>
      <sheetName val="CondPol"/>
      <sheetName val="당초"/>
      <sheetName val="八幡"/>
      <sheetName val="GM 000"/>
      <sheetName val="csdim"/>
      <sheetName val="cdsload"/>
      <sheetName val="chsload"/>
      <sheetName val="CLAMP"/>
      <sheetName val="cvsload"/>
      <sheetName val="pipe"/>
      <sheetName val="손익분석"/>
      <sheetName val="Y-WORK"/>
      <sheetName val="Cash2"/>
      <sheetName val="Z"/>
      <sheetName val="환산표"/>
      <sheetName val="TTL"/>
      <sheetName val="TOEC"/>
      <sheetName val="CT Thang Mo"/>
      <sheetName val="CT  PL"/>
    </sheetNames>
    <sheetDataSet>
      <sheetData sheetId="0"/>
      <sheetData sheetId="1">
        <row r="2">
          <cell r="S2" t="str">
            <v>LENGTH</v>
          </cell>
        </row>
      </sheetData>
      <sheetData sheetId="2">
        <row r="2">
          <cell r="R2" t="str">
            <v>LENGTH</v>
          </cell>
        </row>
      </sheetData>
      <sheetData sheetId="3">
        <row r="2">
          <cell r="R2" t="str">
            <v>LENGTH</v>
          </cell>
        </row>
      </sheetData>
      <sheetData sheetId="4">
        <row r="2">
          <cell r="R2" t="str">
            <v>LENGTH</v>
          </cell>
        </row>
      </sheetData>
      <sheetData sheetId="5">
        <row r="2">
          <cell r="R2" t="str">
            <v>LENGTH</v>
          </cell>
        </row>
      </sheetData>
      <sheetData sheetId="6">
        <row r="2">
          <cell r="R2" t="str">
            <v>LENGTH</v>
          </cell>
        </row>
      </sheetData>
      <sheetData sheetId="7">
        <row r="2">
          <cell r="R2" t="str">
            <v>LENGTH</v>
          </cell>
        </row>
      </sheetData>
      <sheetData sheetId="8">
        <row r="2">
          <cell r="S2" t="str">
            <v>LENGTH</v>
          </cell>
        </row>
      </sheetData>
      <sheetData sheetId="9">
        <row r="2">
          <cell r="S2" t="str">
            <v>LENGTH</v>
          </cell>
        </row>
      </sheetData>
      <sheetData sheetId="10">
        <row r="2">
          <cell r="S2" t="str">
            <v>LENGTH</v>
          </cell>
        </row>
      </sheetData>
      <sheetData sheetId="11">
        <row r="2">
          <cell r="S2" t="str">
            <v>LENGTH</v>
          </cell>
        </row>
      </sheetData>
      <sheetData sheetId="12">
        <row r="2">
          <cell r="S2" t="str">
            <v>LENGTH</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PARAMETER"/>
      <sheetName val="HYDRAULICS"/>
      <sheetName val="SLAB DESIGN"/>
      <sheetName val="ABUTMENT"/>
      <sheetName val="WINGWALL"/>
      <sheetName val="BAR-BEND"/>
      <sheetName val="STAAD DRAWING "/>
      <sheetName val="COMP EST"/>
      <sheetName val="DETAILED"/>
      <sheetName val="D1"/>
      <sheetName val="D2"/>
      <sheetName val="D3"/>
      <sheetName val="D4"/>
      <sheetName val="D5"/>
      <sheetName val="Data"/>
      <sheetName val="DL Input"/>
      <sheetName val="WL Input"/>
      <sheetName val="WINGWALL (2)"/>
      <sheetName val="INPUT"/>
      <sheetName val="Rate Analysis "/>
      <sheetName val="Labour"/>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Sheet1"/>
      <sheetName val="80"/>
      <sheetName val="loadcal"/>
      <sheetName val="EDWise"/>
      <sheetName val="BWSCPlt"/>
      <sheetName val="CI"/>
      <sheetName val="G.R.P"/>
      <sheetName val="HDPE"/>
      <sheetName val="pvc"/>
      <sheetName val="r"/>
      <sheetName val="hdpe_basic"/>
      <sheetName val="pvc_basic"/>
      <sheetName val="DI"/>
      <sheetName val="Rates-May-14"/>
      <sheetName val="fee rate summary"/>
      <sheetName val="RF_DesignCT_Sp@53.0"/>
      <sheetName val="Detailed Estimate"/>
      <sheetName val="Des"/>
      <sheetName val="Below_Earth"/>
      <sheetName val="17"/>
      <sheetName val="Material "/>
      <sheetName val="Timesheet"/>
      <sheetName val="example"/>
    </sheetNames>
    <sheetDataSet>
      <sheetData sheetId="0" refreshError="1">
        <row r="4">
          <cell r="G4" t="str">
            <v>Super Passage @  CH: 21+352 Km - Abstract</v>
          </cell>
        </row>
      </sheetData>
      <sheetData sheetId="1">
        <row r="4">
          <cell r="G4" t="str">
            <v>Super Passage @  CH: 21+352 Km - Abstract</v>
          </cell>
        </row>
      </sheetData>
      <sheetData sheetId="2">
        <row r="4">
          <cell r="G4" t="str">
            <v>Super Passage @  CH: 21+352 Km - Abstract</v>
          </cell>
        </row>
      </sheetData>
      <sheetData sheetId="3">
        <row r="4">
          <cell r="G4" t="str">
            <v>Super Passage @  CH: 21+352 Km - Abstract</v>
          </cell>
        </row>
      </sheetData>
      <sheetData sheetId="4">
        <row r="4">
          <cell r="G4" t="str">
            <v>Super Passage @  CH: 21+352 Km - Abstract</v>
          </cell>
        </row>
      </sheetData>
      <sheetData sheetId="5">
        <row r="4">
          <cell r="G4" t="str">
            <v>Super Passage @  CH: 21+352 Km - Abstract</v>
          </cell>
        </row>
      </sheetData>
      <sheetData sheetId="6">
        <row r="4">
          <cell r="G4" t="str">
            <v>Super Passage @  CH: 21+352 Km - Abstract</v>
          </cell>
        </row>
      </sheetData>
      <sheetData sheetId="7">
        <row r="4">
          <cell r="G4" t="str">
            <v>Super Passage @  CH: 21+352 Km - Abstract</v>
          </cell>
        </row>
      </sheetData>
      <sheetData sheetId="8">
        <row r="4">
          <cell r="G4" t="str">
            <v>Super Passage @  CH: 21+352 Km - Abstract</v>
          </cell>
        </row>
      </sheetData>
      <sheetData sheetId="9">
        <row r="4">
          <cell r="G4" t="str">
            <v>Super Passage @  CH: 21+352 Km - Abstract</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row r="4">
          <cell r="G4" t="str">
            <v>Super Passage @  CH: 21+352 Km - Abstract</v>
          </cell>
        </row>
      </sheetData>
      <sheetData sheetId="25">
        <row r="4">
          <cell r="G4" t="str">
            <v>Super Passage @  CH: 21+352 Km - Abstract</v>
          </cell>
        </row>
      </sheetData>
      <sheetData sheetId="26">
        <row r="4">
          <cell r="G4" t="str">
            <v>Super Passage @  CH: 21+352 Km - Abstract</v>
          </cell>
        </row>
      </sheetData>
      <sheetData sheetId="27">
        <row r="4">
          <cell r="G4" t="str">
            <v>Super Passage @  CH: 21+352 Km - Abstract</v>
          </cell>
        </row>
      </sheetData>
      <sheetData sheetId="28">
        <row r="4">
          <cell r="G4" t="str">
            <v>Super Passage @  CH: 21+352 Km - Abstract</v>
          </cell>
        </row>
      </sheetData>
      <sheetData sheetId="29">
        <row r="4">
          <cell r="G4" t="str">
            <v>Super Passage @  CH: 21+352 Km - Abstract</v>
          </cell>
        </row>
      </sheetData>
      <sheetData sheetId="30">
        <row r="4">
          <cell r="G4" t="str">
            <v>Super Passage @  CH: 21+352 Km - Abstract</v>
          </cell>
        </row>
      </sheetData>
      <sheetData sheetId="31">
        <row r="4">
          <cell r="G4" t="str">
            <v>Super Passage @  CH: 21+352 Km - Abstract</v>
          </cell>
        </row>
      </sheetData>
      <sheetData sheetId="32">
        <row r="4">
          <cell r="G4" t="str">
            <v>Super Passage @  CH: 21+352 Km - Abstract</v>
          </cell>
        </row>
      </sheetData>
      <sheetData sheetId="33">
        <row r="4">
          <cell r="G4" t="str">
            <v>Super Passage @  CH: 21+352 Km - Abstract</v>
          </cell>
        </row>
      </sheetData>
      <sheetData sheetId="34">
        <row r="4">
          <cell r="G4" t="str">
            <v>Super Passage @  CH: 21+352 Km - Abstract</v>
          </cell>
        </row>
      </sheetData>
      <sheetData sheetId="35">
        <row r="4">
          <cell r="G4" t="str">
            <v>Super Passage @  CH: 21+352 Km - Abstract</v>
          </cell>
        </row>
      </sheetData>
      <sheetData sheetId="36">
        <row r="4">
          <cell r="G4" t="str">
            <v>Super Passage @  CH: 21+352 Km - Abstract</v>
          </cell>
        </row>
      </sheetData>
      <sheetData sheetId="37">
        <row r="4">
          <cell r="G4" t="str">
            <v>Super Passage @  CH: 21+352 Km - Abstract</v>
          </cell>
        </row>
      </sheetData>
      <sheetData sheetId="38">
        <row r="4">
          <cell r="G4" t="str">
            <v>Super Passage @  CH: 21+352 Km - Abstract</v>
          </cell>
        </row>
      </sheetData>
      <sheetData sheetId="39">
        <row r="4">
          <cell r="G4" t="str">
            <v>Super Passage @  CH: 21+352 Km - Abstract</v>
          </cell>
        </row>
      </sheetData>
      <sheetData sheetId="40">
        <row r="4">
          <cell r="G4" t="str">
            <v>Super Passage @  CH: 21+352 Km - Abstract</v>
          </cell>
        </row>
      </sheetData>
      <sheetData sheetId="41">
        <row r="4">
          <cell r="G4" t="str">
            <v>Super Passage @  CH: 21+352 Km - Abstract</v>
          </cell>
        </row>
      </sheetData>
      <sheetData sheetId="42">
        <row r="4">
          <cell r="G4" t="str">
            <v>Super Passage @  CH: 21+352 Km - Abstract</v>
          </cell>
        </row>
      </sheetData>
      <sheetData sheetId="43">
        <row r="4">
          <cell r="G4" t="str">
            <v>Super Passage @  CH: 21+352 Km - Abstract</v>
          </cell>
        </row>
      </sheetData>
      <sheetData sheetId="44">
        <row r="4">
          <cell r="G4" t="str">
            <v>Super Passage @  CH: 21+352 Km - Abstract</v>
          </cell>
        </row>
      </sheetData>
      <sheetData sheetId="45">
        <row r="4">
          <cell r="G4" t="str">
            <v>Super Passage @  CH: 21+352 Km - Abstract</v>
          </cell>
        </row>
      </sheetData>
      <sheetData sheetId="46">
        <row r="4">
          <cell r="G4" t="str">
            <v>Super Passage @  CH: 21+352 Km - Abstract</v>
          </cell>
        </row>
      </sheetData>
      <sheetData sheetId="47">
        <row r="4">
          <cell r="G4" t="str">
            <v>Super Passage @  CH: 21+352 Km - Abstract</v>
          </cell>
        </row>
      </sheetData>
      <sheetData sheetId="48">
        <row r="4">
          <cell r="G4" t="str">
            <v>Super Passage @  CH: 21+352 Km - Abstract</v>
          </cell>
        </row>
      </sheetData>
      <sheetData sheetId="49">
        <row r="4">
          <cell r="G4" t="str">
            <v>Super Passage @  CH: 21+352 Km - Abstract</v>
          </cell>
        </row>
      </sheetData>
      <sheetData sheetId="50">
        <row r="4">
          <cell r="G4" t="str">
            <v>Super Passage @  CH: 21+352 Km - Abstract</v>
          </cell>
        </row>
      </sheetData>
      <sheetData sheetId="51">
        <row r="4">
          <cell r="G4" t="str">
            <v>Super Passage @  CH: 21+352 Km - Abstract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_with offset_"/>
      <sheetName val="PIER DESIGN"/>
      <sheetName val="Sheet1"/>
      <sheetName val="Pier Design(with offset)"/>
      <sheetName val="Pier Design ( Without offset)"/>
      <sheetName val="Footing"/>
      <sheetName val="Footing Latest"/>
      <sheetName val=""/>
      <sheetName val="LOCAL RATES"/>
      <sheetName val="SLAB DESIGN"/>
      <sheetName val="ABSTRACT"/>
      <sheetName val="Pier_Design_with_offset_"/>
      <sheetName val="PIER_DESIGN"/>
      <sheetName val="Pier_Design(with_offset)"/>
      <sheetName val="Pier_Design_(_Without_offset)"/>
      <sheetName val="Footing_Latest"/>
      <sheetName val="Pier_Design_with_offset_1"/>
      <sheetName val="PIER_DESIGN1"/>
      <sheetName val="Pier_Design(with_offset)1"/>
      <sheetName val="Pier_Design_(_Without_offset)1"/>
      <sheetName val="Footing_Latest1"/>
      <sheetName val="Pier_Design_with_offset_2"/>
      <sheetName val="PIER_DESIGN2"/>
      <sheetName val="Pier_Design(with_offset)2"/>
      <sheetName val="Pier_Design_(_Without_offset)2"/>
      <sheetName val="Footing_Latest2"/>
      <sheetName val="Pier_Design_with_offset_3"/>
      <sheetName val="PIER_DESIGN3"/>
      <sheetName val="Pier_Design(with_offset)3"/>
      <sheetName val="Pier_Design_(_Without_offset)3"/>
      <sheetName val="Footing_Latest3"/>
      <sheetName val="Data"/>
      <sheetName val="Below_Earth"/>
      <sheetName val="Design"/>
      <sheetName val="HYDRAULICS"/>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factor "/>
      <sheetName val="basdat"/>
      <sheetName val="Overheads"/>
      <sheetName val="Av.G Level"/>
      <sheetName val="工務所費用"/>
      <sheetName val="Break up"/>
      <sheetName val="FACE"/>
      <sheetName val="CABLE"/>
      <sheetName val="Basic Input"/>
      <sheetName val="DEY   VAJATI"/>
      <sheetName val="G.I.S."/>
      <sheetName val="Area_Capacity Dhawaliya"/>
      <sheetName val="Water_Planning_conti.."/>
      <sheetName val="Fixation_Principal_Level Bhelya"/>
      <sheetName val="Fixation_Principal_Level Dhawal"/>
      <sheetName val="Fixation_Principal_Level"/>
      <sheetName val="Plannin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ur depth"/>
      <sheetName val="D"/>
      <sheetName val="HYD"/>
      <sheetName val="Sta"/>
      <sheetName val="sta-wing "/>
      <sheetName val="DETAILED"/>
      <sheetName val="Voucher"/>
      <sheetName val="HYDRAULICS"/>
      <sheetName val="Cul_detail"/>
    </sheetNames>
    <sheetDataSet>
      <sheetData sheetId="0" refreshError="1"/>
      <sheetData sheetId="1"/>
      <sheetData sheetId="2" refreshError="1"/>
      <sheetData sheetId="3" refreshError="1"/>
      <sheetData sheetId="4" refreshError="1"/>
      <sheetData sheetId="5" refreshError="1">
        <row r="6">
          <cell r="J6" t="str">
            <v>SECON Pvt. Ltd., Bangalore-66</v>
          </cell>
        </row>
      </sheetData>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 val="FACE"/>
      <sheetName val="Project Management Main"/>
      <sheetName val="Design"/>
      <sheetName val="PIER_DESIGN"/>
      <sheetName val="Pier_Design(with_offset)"/>
      <sheetName val="Pier_Design_(_Without_offset)"/>
      <sheetName val="Footing_Latest"/>
      <sheetName val="Pier_Design_with_offset_"/>
      <sheetName val="PIER_DESIGN1"/>
      <sheetName val="Pier_Design(with_offset)1"/>
      <sheetName val="Pier_Design_(_Without_offset)1"/>
      <sheetName val="Footing_Latest1"/>
      <sheetName val="Pier_Design_with_offset_1"/>
      <sheetName val="PIER_DESIGN2"/>
      <sheetName val="Pier_Design(with_offset)2"/>
      <sheetName val="Pier_Design_(_Without_offset)2"/>
      <sheetName val="Footing_Latest2"/>
      <sheetName val="Pier_Design_with_offset_2"/>
      <sheetName val="PIER_DESIGN3"/>
      <sheetName val="Pier_Design(with_offset)3"/>
      <sheetName val="Pier_Design_(_Without_offset)3"/>
      <sheetName val="Footing_Latest3"/>
      <sheetName val="Pier_Design_with_offset_3"/>
      <sheetName val="DETAILED"/>
      <sheetName val="B"/>
      <sheetName val="A"/>
      <sheetName val="Below_Earth"/>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HYDRAULICS"/>
      <sheetName val="Input"/>
      <sheetName val="Torsion_Properties"/>
      <sheetName val="Section_by_layers"/>
      <sheetName val="BUD-8306"/>
      <sheetName val="BOQ-Part1"/>
      <sheetName val="Fee Rate Summary"/>
      <sheetName val="Values"/>
      <sheetName val="CashFlows"/>
      <sheetName val="DEY   VAJATI"/>
      <sheetName val="P L I"/>
      <sheetName val="COMPUTER SLIP"/>
      <sheetName val="Rainfall_Khargone"/>
      <sheetName val="Flood &amp; Lift"/>
      <sheetName val="Fixation_Principal_Level "/>
      <sheetName val="Fixation_Principal_Level Dhawal"/>
      <sheetName val="Water_Planning"/>
      <sheetName val="Water_Planning dhwaliya"/>
      <sheetName val="routing (2)"/>
      <sheetName val="Fixation_Principal_Level"/>
      <sheetName val="Spill-Hydro design"/>
      <sheetName val="HFL Calculation (route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A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LOCAL RATES"/>
      <sheetName val="RA Civil"/>
      <sheetName val="FORM-W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S HFL "/>
      <sheetName val="VENT DESIGN "/>
      <sheetName val="Side walls_Slab"/>
      <sheetName val="TRANSITIONS"/>
      <sheetName val="Side walls _earth_"/>
      <sheetName val="AFFLUX CALC"/>
      <sheetName val="PROTECTION"/>
      <sheetName val="AFF DRAW"/>
      <sheetName val="TEL CALC"/>
      <sheetName val="NALA_LS"/>
      <sheetName val="X_BOX HYD"/>
      <sheetName val="X_TRAIL PIT DETAILS"/>
      <sheetName val="X_BLOCK LEVELS"/>
      <sheetName val="MACRO_BACK UP"/>
      <sheetName val="DATA"/>
      <sheetName val="HYDRAULIC"/>
      <sheetName val="US HFL"/>
      <sheetName val="Side walls-Slab"/>
      <sheetName val="TRAINED NALA"/>
      <sheetName val="Side walls (earth)"/>
      <sheetName val="NALA-LS"/>
      <sheetName val="X-BOX HYD"/>
      <sheetName val="X-TRAIL PIT DETAILS"/>
      <sheetName val="X-BLOCK LEVELS"/>
      <sheetName val="MACRO-BACK UP"/>
      <sheetName val="H - Bill summary"/>
      <sheetName val="RA Civil"/>
      <sheetName val="Rate Ana"/>
    </sheetNames>
    <sheetDataSet>
      <sheetData sheetId="0" refreshError="1">
        <row r="1">
          <cell r="H1" t="str">
            <v>INDEX</v>
          </cell>
        </row>
      </sheetData>
      <sheetData sheetId="1" refreshError="1">
        <row r="1">
          <cell r="H1" t="str">
            <v>*</v>
          </cell>
        </row>
      </sheetData>
      <sheetData sheetId="2" refreshError="1">
        <row r="1">
          <cell r="H1" t="str">
            <v>*</v>
          </cell>
        </row>
      </sheetData>
      <sheetData sheetId="3" refreshError="1">
        <row r="1">
          <cell r="H1" t="str">
            <v>*</v>
          </cell>
        </row>
      </sheetData>
      <sheetData sheetId="4">
        <row r="1">
          <cell r="H1" t="str">
            <v>*</v>
          </cell>
        </row>
      </sheetData>
      <sheetData sheetId="5" refreshError="1">
        <row r="1">
          <cell r="H1" t="str">
            <v>*</v>
          </cell>
        </row>
      </sheetData>
      <sheetData sheetId="6">
        <row r="1">
          <cell r="H1" t="str">
            <v>*</v>
          </cell>
        </row>
      </sheetData>
      <sheetData sheetId="7" refreshError="1">
        <row r="1">
          <cell r="H1" t="str">
            <v>*</v>
          </cell>
        </row>
      </sheetData>
      <sheetData sheetId="8" refreshError="1">
        <row r="1">
          <cell r="H1" t="str">
            <v>*</v>
          </cell>
        </row>
      </sheetData>
      <sheetData sheetId="9" refreshError="1">
        <row r="1">
          <cell r="H1" t="str">
            <v>*</v>
          </cell>
        </row>
      </sheetData>
      <sheetData sheetId="10" refreshError="1">
        <row r="1">
          <cell r="H1" t="str">
            <v>*</v>
          </cell>
        </row>
      </sheetData>
      <sheetData sheetId="11">
        <row r="1">
          <cell r="H1" t="str">
            <v>*</v>
          </cell>
        </row>
      </sheetData>
      <sheetData sheetId="12">
        <row r="1">
          <cell r="H1" t="str">
            <v>*</v>
          </cell>
        </row>
      </sheetData>
      <sheetData sheetId="13">
        <row r="1">
          <cell r="H1" t="str">
            <v>*</v>
          </cell>
        </row>
      </sheetData>
      <sheetData sheetId="14">
        <row r="1">
          <cell r="H1" t="str">
            <v>*</v>
          </cell>
        </row>
      </sheetData>
      <sheetData sheetId="15">
        <row r="1">
          <cell r="H1" t="str">
            <v>*</v>
          </cell>
        </row>
      </sheetData>
      <sheetData sheetId="16">
        <row r="1">
          <cell r="H1" t="str">
            <v>*</v>
          </cell>
        </row>
      </sheetData>
      <sheetData sheetId="17">
        <row r="1">
          <cell r="H1" t="str">
            <v>*</v>
          </cell>
        </row>
      </sheetData>
      <sheetData sheetId="18">
        <row r="1">
          <cell r="H1" t="str">
            <v>*</v>
          </cell>
        </row>
      </sheetData>
      <sheetData sheetId="19" refreshError="1">
        <row r="1">
          <cell r="H1" t="str">
            <v>*</v>
          </cell>
        </row>
      </sheetData>
      <sheetData sheetId="20"/>
      <sheetData sheetId="21" refreshError="1">
        <row r="1">
          <cell r="H1" t="str">
            <v>*</v>
          </cell>
        </row>
      </sheetData>
      <sheetData sheetId="22" refreshError="1">
        <row r="1">
          <cell r="H1" t="str">
            <v>*</v>
          </cell>
        </row>
      </sheetData>
      <sheetData sheetId="23" refreshError="1">
        <row r="1">
          <cell r="H1" t="str">
            <v>*</v>
          </cell>
        </row>
      </sheetData>
      <sheetData sheetId="24" refreshError="1">
        <row r="1">
          <cell r="H1" t="str">
            <v>*</v>
          </cell>
        </row>
      </sheetData>
      <sheetData sheetId="25" refreshError="1">
        <row r="1">
          <cell r="H1" t="str">
            <v>*</v>
          </cell>
        </row>
      </sheetData>
      <sheetData sheetId="26" refreshError="1">
        <row r="1">
          <cell r="H1" t="str">
            <v>*</v>
          </cell>
        </row>
      </sheetData>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u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HEAT"/>
      <sheetName val="Testing"/>
      <sheetName val="General Data"/>
      <sheetName val="ITEM"/>
      <sheetName val="당초"/>
      <sheetName val="ISBL"/>
      <sheetName val="OSBL"/>
      <sheetName val="BQLIST"/>
      <sheetName val="Sitec120"/>
      <sheetName val="Condition"/>
      <sheetName val="함수"/>
      <sheetName val="기초입력"/>
      <sheetName val="Evap-기타"/>
      <sheetName val="분류기준"/>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Proposal"/>
      <sheetName val="Y-WORK"/>
      <sheetName val="´çÃÊ"/>
      <sheetName val="INDIRECT COST-PART l"/>
      <sheetName val="A"/>
      <sheetName val="March"/>
      <sheetName val="Material"/>
      <sheetName val="BM"/>
      <sheetName val="WORK"/>
      <sheetName val="적용환율"/>
      <sheetName val="내역"/>
      <sheetName val="노임단가"/>
      <sheetName val="BQ_Equip_Pipe"/>
      <sheetName val="기계내역서"/>
      <sheetName val="BOM-Form A.1.III"/>
      <sheetName val="BD集計用"/>
      <sheetName val="SCH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REF"/>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water prop_"/>
      <sheetName val="IO LIST"/>
      <sheetName val="PROG_DATA"/>
      <sheetName val="Basement Budget"/>
      <sheetName val="Timesheet"/>
      <sheetName val="beam-reinft"/>
      <sheetName val="loadcal"/>
      <sheetName val="Calendar"/>
      <sheetName val="estimate"/>
      <sheetName val="Codes"/>
      <sheetName val="Indices"/>
      <sheetName val="월선수금"/>
      <sheetName val="Data"/>
      <sheetName val="analysis"/>
      <sheetName val="FORM7"/>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BOQ"/>
      <sheetName val="hdpe weights"/>
      <sheetName val="Data Base"/>
      <sheetName val="Rate Analysis"/>
      <sheetName val="Material Rate"/>
      <sheetName val="Plastering"/>
      <sheetName val="HDPE-pipe-rates"/>
      <sheetName val="pvc-pipe-rates"/>
      <sheetName val="Testing"/>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W_TRMT_DVB"/>
      <sheetName val="Evap-기타"/>
      <sheetName val="Tes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2"/>
      <sheetName val="산5-1"/>
      <sheetName val="산5-2"/>
      <sheetName val="산5-3"/>
      <sheetName val="산6"/>
      <sheetName val="산7"/>
      <sheetName val="산8"/>
      <sheetName val="산9"/>
      <sheetName val="산10"/>
      <sheetName val="산#11"/>
      <sheetName val="산12-1"/>
      <sheetName val="산12-2"/>
      <sheetName val="설산1.나"/>
      <sheetName val="본사S"/>
      <sheetName val="산출근거-02"/>
      <sheetName val="General Data"/>
    </sheetNames>
    <definedNames>
      <definedName name="iteration"/>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face"/>
      <sheetName val="trough"/>
      <sheetName val="deck"/>
      <sheetName val="abut"/>
      <sheetName val="wings "/>
      <sheetName val="BBS"/>
      <sheetName val="DETAILED"/>
      <sheetName val="Sheet1"/>
      <sheetName val="Analysi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FA"/>
      <sheetName val="DLRO-SEPT04-Q2"/>
      <sheetName val="form 7-ACTUAL"/>
      <sheetName val="WC-05-06"/>
      <sheetName val="WC-04-05"/>
      <sheetName val="Summary (2)"/>
      <sheetName val="Summary"/>
      <sheetName val="PMS-Reg"/>
      <sheetName val="WC"/>
      <sheetName val="NFA"/>
      <sheetName val="form 6"/>
      <sheetName val="form 7"/>
      <sheetName val="FORM6"/>
      <sheetName val="FORM7"/>
      <sheetName val="water pr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S2groupcode"/>
      <sheetName val="Index"/>
      <sheetName val="LOCAL RATES"/>
      <sheetName val="Cal"/>
      <sheetName val="Data"/>
      <sheetName val="Erection grider"/>
      <sheetName val="Voucher"/>
      <sheetName val="doq-10"/>
      <sheetName val="준검 내역서"/>
      <sheetName val="BHANDUP"/>
      <sheetName val="Headings"/>
      <sheetName val="Rates_PVC"/>
      <sheetName val="Labour"/>
      <sheetName val="Material"/>
      <sheetName val="MOTOR"/>
      <sheetName val="#REF"/>
      <sheetName val="Sheet2"/>
      <sheetName val="Manpower"/>
      <sheetName val="C &amp; G RHS"/>
      <sheetName val="기구표"/>
      <sheetName val="일반공사"/>
      <sheetName val="정부노임단가"/>
      <sheetName val="sheeet7"/>
      <sheetName val="old boq"/>
      <sheetName val="106C0300"/>
      <sheetName val="장비집계"/>
      <sheetName val="Embk top (2)"/>
      <sheetName val="PRECAST lightconc-II"/>
      <sheetName val="TBAL9697 -group wise  sdpl"/>
      <sheetName val="water prop."/>
      <sheetName val="Sump_cal"/>
      <sheetName val="FORM7"/>
      <sheetName val="31 Mar-09  closing stock"/>
      <sheetName val="AoR Finishing"/>
      <sheetName val="SB - reinf"/>
      <sheetName val="SCRUTINY"/>
      <sheetName val="EMD"/>
      <sheetName val="CO-EFF."/>
      <sheetName val="comperitive"/>
      <sheetName val="sheet3"/>
      <sheetName val="Sheet5"/>
      <sheetName val="Sheet6"/>
      <sheetName val="A.O.R."/>
      <sheetName val="PS1"/>
      <sheetName val="준검_내역서"/>
      <sheetName val="LOCAL_RATES"/>
      <sheetName val="Erection_grider"/>
      <sheetName val="준검_내역서1"/>
      <sheetName val="LOCAL_RATES1"/>
      <sheetName val="Erection_grider1"/>
      <sheetName val="dBase"/>
      <sheetName val="Plant &amp;  Machinery"/>
      <sheetName val="Staff Acco."/>
      <sheetName val="Abstruct total"/>
      <sheetName val="Data-Month"/>
      <sheetName val="Cover sheet"/>
      <sheetName val="Estimates"/>
      <sheetName val="CPIPE"/>
      <sheetName val="old_boq"/>
      <sheetName val="C_&amp;_G_RHS"/>
      <sheetName val="BOQ"/>
      <sheetName val="Site Dev BOQ"/>
      <sheetName val="RCC,Ret. Wall"/>
      <sheetName val="BASIS -DEC 08"/>
      <sheetName val="no."/>
      <sheetName val="Indices"/>
      <sheetName val="doq"/>
      <sheetName val="Base"/>
      <sheetName val="DEPTH CHART (ORR) L.S."/>
      <sheetName val="33 kV-Eqpt.fdn."/>
      <sheetName val="Basicdata-f"/>
      <sheetName val="GFRS"/>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bstract"/>
      <sheetName val="Anal"/>
      <sheetName val="Sheet1"/>
      <sheetName val="LHS "/>
      <sheetName val="Mat &amp; Lab Rate"/>
      <sheetName val="SIGNED E-MARK"/>
      <sheetName val="Design"/>
      <sheetName val="Cost of O &amp; O"/>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Trial Balance"/>
      <sheetName val="Estimate"/>
      <sheetName val="Sump_cal"/>
      <sheetName val="MPR_PA_1"/>
      <sheetName val="Material"/>
      <sheetName val="Lead"/>
      <sheetName val="Erection"/>
      <sheetName val="PS1"/>
      <sheetName val="Quadrilateral Analysis CHENNAI "/>
      <sheetName val="Per"/>
      <sheetName val="Plant &amp;  Machinery"/>
      <sheetName val="FORM7"/>
      <sheetName val="Av.G Level"/>
      <sheetName val="Codes"/>
      <sheetName val="Project Budget Worksheet"/>
      <sheetName val="PROCTOR"/>
      <sheetName val="oresreqsum"/>
      <sheetName val="Builtup Area"/>
      <sheetName val="Pay_Sep06"/>
      <sheetName val="Analy"/>
      <sheetName val="RA"/>
      <sheetName val="INPUT SHEET"/>
      <sheetName val="Rates_PVC"/>
      <sheetName val="Voucher"/>
      <sheetName val="Material "/>
      <sheetName val="Below_Earth"/>
      <sheetName val="scour depth"/>
      <sheetName val="Masterr"/>
    </sheetNames>
    <sheetDataSet>
      <sheetData sheetId="0"/>
      <sheetData sheetId="1"/>
      <sheetData sheetId="2"/>
      <sheetData sheetId="3">
        <row r="13">
          <cell r="H13">
            <v>575.12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scour depth"/>
      <sheetName val="PRO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대비실행"/>
      <sheetName val="공문"/>
      <sheetName val="영문표지"/>
      <sheetName val="목차"/>
      <sheetName val="CBS"/>
      <sheetName val="CB"/>
      <sheetName val="MAN POWER SCH"/>
      <sheetName val="MANPOWER sch(2)"/>
      <sheetName val="equip.sch"/>
      <sheetName val="util"/>
      <sheetName val="조직도"/>
      <sheetName val="집계표"/>
      <sheetName val="내역서"/>
      <sheetName val="총괄표"/>
      <sheetName val="경비"/>
      <sheetName val="Sheet3"/>
      <sheetName val="VXXXXX"/>
      <sheetName val="갑지"/>
      <sheetName val="Summary"/>
      <sheetName val="MP"/>
      <sheetName val="Sheet1"/>
      <sheetName val="PL Loop"/>
      <sheetName val="Flowline"/>
      <sheetName val="PIPING_BK"/>
      <sheetName val="BID"/>
      <sheetName val="#REF"/>
      <sheetName val="Precios"/>
      <sheetName val="BEQ내역"/>
      <sheetName val="정산"/>
      <sheetName val="Main"/>
      <sheetName val="Data"/>
      <sheetName val="WORK"/>
      <sheetName val="당초"/>
      <sheetName val="대기업"/>
      <sheetName val="FACTOR"/>
      <sheetName val="CalCu"/>
      <sheetName val="정부노임단가"/>
      <sheetName val="eq_data"/>
      <sheetName val="C1ㅇ"/>
      <sheetName val="General Data"/>
      <sheetName val="MOTOR"/>
      <sheetName val="도급양식"/>
      <sheetName val="Ex-Rate"/>
      <sheetName val="steam table"/>
      <sheetName val="예산"/>
      <sheetName val="설계명세서"/>
      <sheetName val=""/>
      <sheetName val="Testing"/>
      <sheetName val="관세,통관수수료,운반비"/>
      <sheetName val="PLAN_FEB97"/>
      <sheetName val="BM"/>
      <sheetName val="Sheet4"/>
      <sheetName val="Requirement(Work Crew)"/>
      <sheetName val="전기"/>
      <sheetName val="BQLIST"/>
      <sheetName val="집행(2-1)"/>
      <sheetName val="CRITICAL"/>
      <sheetName val="Summary Sheets"/>
      <sheetName val="L-type"/>
      <sheetName val="일보"/>
      <sheetName val="공사비 내역 (가)"/>
      <sheetName val="DCS"/>
      <sheetName val="ANALYSER"/>
      <sheetName val="현장지지물물량"/>
      <sheetName val="JOINT1"/>
      <sheetName val="공사비내역서"/>
      <sheetName val="d"/>
      <sheetName val="다이꾸"/>
      <sheetName val="Sheet1 (2)"/>
      <sheetName val="CBL_OD"/>
      <sheetName val="TOTAL"/>
      <sheetName val="예산M12A"/>
      <sheetName val="환율-LIBOR"/>
      <sheetName val="---FAB#1업무일지---"/>
      <sheetName val="내역"/>
      <sheetName val="참조M"/>
      <sheetName val="참조"/>
      <sheetName val="purpose&amp;input"/>
      <sheetName val="water prop."/>
      <sheetName val="동결보온"/>
      <sheetName val="공통비"/>
      <sheetName val="BOQ for HRSG &amp; BOP-mech."/>
      <sheetName val="Desal-E&amp;I"/>
      <sheetName val="BOQ for GTG &amp; STG-mech."/>
      <sheetName val="123"/>
      <sheetName val="ITEM"/>
      <sheetName val="TAREC"/>
      <sheetName val="OZ049E"/>
      <sheetName val="COVER"/>
      <sheetName val="ﾄﾞﾊﾞｲFUEL GAS追見"/>
      <sheetName val="材料マスタ"/>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e 금액대비"/>
      <sheetName val="비목별금액대비"/>
      <sheetName val="Appendix A14"/>
      <sheetName val="Total"/>
      <sheetName val="M"/>
      <sheetName val="Kiss"/>
      <sheetName val="List"/>
      <sheetName val="ITI"/>
      <sheetName val="IS"/>
      <sheetName val="MCS"/>
      <sheetName val="Act"/>
      <sheetName val="Late"/>
      <sheetName val="Disc"/>
      <sheetName val="PO-MFG-CT"/>
      <sheetName val="Sheet2"/>
      <sheetName val="Input"/>
      <sheetName val="Sheet1"/>
      <sheetName val="#REF"/>
      <sheetName val="PILE시공금액비교"/>
      <sheetName val="Graph (LGEN)"/>
      <sheetName val="out_prog"/>
      <sheetName val="선적schedule (2)"/>
      <sheetName val="산근"/>
      <sheetName val="갑지"/>
      <sheetName val="영업소실적"/>
      <sheetName val="영업2"/>
      <sheetName val="공사비 내역 (가)"/>
      <sheetName val="공사내역"/>
      <sheetName val="Main"/>
      <sheetName val="Data"/>
      <sheetName val="수입"/>
      <sheetName val="SIMULATION"/>
      <sheetName val="건내용"/>
      <sheetName val="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일위대가(건축)"/>
      <sheetName val="97 사업추정(WEKI)"/>
      <sheetName val="BQ_Methanol"/>
      <sheetName val="PipWT"/>
      <sheetName val="정산서 "/>
      <sheetName val="내역(중앙)"/>
      <sheetName val="내역(창신)"/>
      <sheetName val="Testing"/>
      <sheetName val="Sheet4"/>
      <sheetName val="정부노임단가"/>
      <sheetName val="General Data"/>
      <sheetName val="eq_data"/>
      <sheetName val="집계표(OPTION)"/>
      <sheetName val="함수"/>
      <sheetName val="계약자료"/>
      <sheetName val="자구계획db"/>
      <sheetName val="BCPAB"/>
      <sheetName val="IN"/>
      <sheetName val="단가표"/>
      <sheetName val="070"/>
      <sheetName val="#REF!"/>
      <sheetName val="D-3503"/>
      <sheetName val="plan&amp;section of foundation"/>
      <sheetName val="design load"/>
      <sheetName val="CAL"/>
      <sheetName val="working load at the btm ft."/>
      <sheetName val="stability check"/>
      <sheetName val="design criteria"/>
      <sheetName val="steam table"/>
    </sheetNames>
    <definedNames>
      <definedName name="LWHの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Rate Analysis "/>
      <sheetName val="MD"/>
      <sheetName val="Sheet3"/>
      <sheetName val="LOCAL RATES"/>
      <sheetName val="Analysis"/>
      <sheetName val="scour depth"/>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_BULK"/>
      <sheetName val="MFG_TAG"/>
      <sheetName val="MFG_TAG PROCESS"/>
      <sheetName val="MFG_SUBSTATION"/>
      <sheetName val="PIPING"/>
    </sheetNames>
    <sheetDataSet>
      <sheetData sheetId="0"/>
      <sheetData sheetId="1">
        <row r="2">
          <cell r="A2" t="str">
            <v>MANUFACTURING / DELIVERY STATUS ( TAGGED  ITEMS)</v>
          </cell>
        </row>
        <row r="3">
          <cell r="A3" t="str">
            <v xml:space="preserve"> (UNITWISE  /  DISCIPLINEWISE/ ORDERWISE/TAGWISE)</v>
          </cell>
        </row>
        <row r="4">
          <cell r="F4" t="str">
            <v>HDT</v>
          </cell>
          <cell r="G4" t="str">
            <v>ANNEXURE - II(E.3)</v>
          </cell>
          <cell r="H4">
            <v>0</v>
          </cell>
          <cell r="I4">
            <v>0</v>
          </cell>
          <cell r="J4">
            <v>0</v>
          </cell>
          <cell r="K4">
            <v>0</v>
          </cell>
          <cell r="L4">
            <v>0</v>
          </cell>
          <cell r="M4">
            <v>0</v>
          </cell>
          <cell r="N4">
            <v>0</v>
          </cell>
          <cell r="O4">
            <v>0</v>
          </cell>
          <cell r="P4">
            <v>0</v>
          </cell>
          <cell r="Q4" t="str">
            <v>ANNEXURE - II(E.3)</v>
          </cell>
        </row>
        <row r="5">
          <cell r="A5" t="str">
            <v>PROJECT NAME</v>
          </cell>
          <cell r="B5" t="str">
            <v>STATUS AS OF : DD/MM/YYYY</v>
          </cell>
          <cell r="C5">
            <v>0</v>
          </cell>
          <cell r="D5">
            <v>0</v>
          </cell>
          <cell r="E5">
            <v>0</v>
          </cell>
          <cell r="F5">
            <v>0</v>
          </cell>
          <cell r="G5">
            <v>0</v>
          </cell>
          <cell r="H5">
            <v>0</v>
          </cell>
          <cell r="I5">
            <v>0</v>
          </cell>
          <cell r="J5">
            <v>0</v>
          </cell>
          <cell r="K5">
            <v>0</v>
          </cell>
          <cell r="L5">
            <v>0</v>
          </cell>
          <cell r="M5">
            <v>0</v>
          </cell>
          <cell r="N5">
            <v>0</v>
          </cell>
          <cell r="O5">
            <v>0</v>
          </cell>
          <cell r="P5">
            <v>0</v>
          </cell>
          <cell r="Q5" t="str">
            <v>STATUS AS OF : DD/MM/YYYY</v>
          </cell>
        </row>
        <row r="6">
          <cell r="A6" t="str">
            <v>TAG</v>
          </cell>
          <cell r="B6" t="str">
            <v>DESCRIPTION</v>
          </cell>
          <cell r="C6" t="str">
            <v>WTD.</v>
          </cell>
          <cell r="D6" t="str">
            <v>DOC</v>
          </cell>
          <cell r="E6" t="str">
            <v>PO</v>
          </cell>
          <cell r="F6" t="str">
            <v>PO</v>
          </cell>
          <cell r="G6" t="str">
            <v>PO</v>
          </cell>
          <cell r="H6" t="str">
            <v>VENDOR/</v>
          </cell>
          <cell r="I6" t="str">
            <v>CDD (FOB/</v>
          </cell>
          <cell r="J6" t="str">
            <v>VENDOR</v>
          </cell>
          <cell r="K6" t="str">
            <v>VENDOR</v>
          </cell>
          <cell r="L6" t="str">
            <v>RAW</v>
          </cell>
          <cell r="M6" t="str">
            <v>RAW</v>
          </cell>
          <cell r="N6" t="str">
            <v>MFG</v>
          </cell>
          <cell r="O6" t="str">
            <v>MFG</v>
          </cell>
          <cell r="P6" t="str">
            <v>FINAL</v>
          </cell>
          <cell r="Q6" t="str">
            <v>FOB/EX</v>
          </cell>
          <cell r="R6" t="str">
            <v>ARIVL</v>
          </cell>
          <cell r="S6" t="str">
            <v>ARIVL</v>
          </cell>
          <cell r="T6" t="str">
            <v>SITE</v>
          </cell>
          <cell r="U6" t="str">
            <v>%</v>
          </cell>
          <cell r="V6" t="str">
            <v>WTD</v>
          </cell>
          <cell r="W6" t="str">
            <v>INSPN</v>
          </cell>
        </row>
        <row r="7">
          <cell r="A7" t="str">
            <v>NO.</v>
          </cell>
          <cell r="B7" t="str">
            <v>OF ITEM</v>
          </cell>
          <cell r="C7" t="str">
            <v>VAL</v>
          </cell>
          <cell r="D7" t="str">
            <v>CAT</v>
          </cell>
          <cell r="E7" t="str">
            <v>NO.</v>
          </cell>
          <cell r="F7" t="str">
            <v>NO.</v>
          </cell>
          <cell r="G7" t="str">
            <v>DATE</v>
          </cell>
          <cell r="H7" t="str">
            <v>LOCATION/</v>
          </cell>
          <cell r="I7" t="str">
            <v>EXWORKS</v>
          </cell>
          <cell r="J7" t="str">
            <v>DRG</v>
          </cell>
          <cell r="K7" t="str">
            <v>DRG</v>
          </cell>
          <cell r="L7" t="str">
            <v>MATL</v>
          </cell>
          <cell r="M7" t="str">
            <v>MATL</v>
          </cell>
          <cell r="N7" t="str">
            <v>START</v>
          </cell>
          <cell r="O7" t="str">
            <v>FINISH</v>
          </cell>
          <cell r="P7" t="str">
            <v>INSPN</v>
          </cell>
          <cell r="Q7" t="str">
            <v>WORKS</v>
          </cell>
          <cell r="R7" t="str">
            <v xml:space="preserve">INDIAN </v>
          </cell>
          <cell r="S7" t="str">
            <v>AT</v>
          </cell>
          <cell r="T7" t="str">
            <v>REQD</v>
          </cell>
          <cell r="U7" t="str">
            <v>PROG</v>
          </cell>
          <cell r="V7" t="str">
            <v>PROG</v>
          </cell>
          <cell r="W7" t="str">
            <v>CAT</v>
          </cell>
          <cell r="X7" t="str">
            <v>REMARKS</v>
          </cell>
        </row>
        <row r="8">
          <cell r="H8" t="str">
            <v>COUNTRY</v>
          </cell>
          <cell r="I8" t="str">
            <v>AT SITE)</v>
          </cell>
          <cell r="J8" t="str">
            <v>RECP.</v>
          </cell>
          <cell r="K8" t="str">
            <v>REVIEW</v>
          </cell>
          <cell r="L8" t="str">
            <v>S/O</v>
          </cell>
          <cell r="M8" t="str">
            <v>RECEIPT</v>
          </cell>
          <cell r="N8" t="str">
            <v>DELY</v>
          </cell>
          <cell r="O8" t="str">
            <v>PORT</v>
          </cell>
          <cell r="P8" t="str">
            <v>SITE</v>
          </cell>
          <cell r="Q8" t="str">
            <v>DELY</v>
          </cell>
          <cell r="R8" t="str">
            <v>PORT</v>
          </cell>
          <cell r="S8" t="str">
            <v>SITE</v>
          </cell>
          <cell r="T8" t="str">
            <v>DATE</v>
          </cell>
        </row>
        <row r="9">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row>
        <row r="10">
          <cell r="B10" t="str">
            <v>HIGH PRESSURE EXCHANGERS</v>
          </cell>
          <cell r="C10" t="str">
            <v>SCH.</v>
          </cell>
          <cell r="D10">
            <v>0</v>
          </cell>
          <cell r="E10" t="str">
            <v>SCH.</v>
          </cell>
        </row>
        <row r="11">
          <cell r="E11" t="str">
            <v>A/F</v>
          </cell>
        </row>
        <row r="12">
          <cell r="E12" t="str">
            <v>SCH.</v>
          </cell>
        </row>
        <row r="13">
          <cell r="E13" t="str">
            <v>A/F</v>
          </cell>
        </row>
        <row r="14">
          <cell r="E14" t="str">
            <v>SCH.</v>
          </cell>
        </row>
        <row r="15">
          <cell r="E15" t="str">
            <v>A/F</v>
          </cell>
        </row>
        <row r="16">
          <cell r="E16" t="str">
            <v>SCH.</v>
          </cell>
        </row>
        <row r="17">
          <cell r="E17" t="str">
            <v>A/F</v>
          </cell>
        </row>
        <row r="18">
          <cell r="E18" t="str">
            <v>SCH.</v>
          </cell>
        </row>
        <row r="19">
          <cell r="E19" t="str">
            <v>A/F</v>
          </cell>
        </row>
        <row r="20">
          <cell r="E20" t="str">
            <v>SCH.</v>
          </cell>
        </row>
        <row r="21">
          <cell r="E21" t="str">
            <v>A/F</v>
          </cell>
        </row>
        <row r="22">
          <cell r="E22" t="str">
            <v>SCH.</v>
          </cell>
        </row>
        <row r="23">
          <cell r="E23" t="str">
            <v>A/F</v>
          </cell>
        </row>
        <row r="24">
          <cell r="A24" t="str">
            <v xml:space="preserve">    LEGEND</v>
          </cell>
        </row>
        <row r="25">
          <cell r="A25" t="str">
            <v>DOC. CAT.-</v>
          </cell>
          <cell r="B25" t="str">
            <v>DOCUMENT/DRG. CATEGORY ; -  I:  INFORMATION , R: REVIEW</v>
          </cell>
          <cell r="C25" t="str">
            <v>A/F</v>
          </cell>
          <cell r="D25" t="str">
            <v>DOCUMENT/DRG. CATEGORY ; -  I:  INFORMATION , R: REVIEW</v>
          </cell>
          <cell r="E25" t="str">
            <v>ACTUAL/FORECAST</v>
          </cell>
          <cell r="F25">
            <v>0</v>
          </cell>
          <cell r="G25">
            <v>0</v>
          </cell>
          <cell r="H25">
            <v>0</v>
          </cell>
          <cell r="I25">
            <v>0</v>
          </cell>
          <cell r="J25">
            <v>0</v>
          </cell>
          <cell r="K25">
            <v>0</v>
          </cell>
          <cell r="L25">
            <v>0</v>
          </cell>
          <cell r="M25">
            <v>0</v>
          </cell>
          <cell r="N25">
            <v>0</v>
          </cell>
          <cell r="O25" t="str">
            <v>A/F</v>
          </cell>
          <cell r="P25" t="str">
            <v>:-</v>
          </cell>
          <cell r="Q25" t="str">
            <v>ACTUAL/FORECAST</v>
          </cell>
        </row>
        <row r="26">
          <cell r="A26" t="str">
            <v>INSPN. CAT.-</v>
          </cell>
          <cell r="B26" t="str">
            <v>INSPECTION CATEGORY ;- AS DESCRIBED IN INSPECTION METHODOLOGY.</v>
          </cell>
          <cell r="C26">
            <v>0</v>
          </cell>
          <cell r="D26" t="str">
            <v>INSPECTION CATEGORY ;- AS DESCRIBED IN INSPECTION METHODOLOGY.</v>
          </cell>
        </row>
        <row r="27">
          <cell r="C27" t="str">
            <v>*  -  AGREED MILESTONE PERCENTAGE</v>
          </cell>
        </row>
      </sheetData>
      <sheetData sheetId="2"/>
      <sheetData sheetId="3"/>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Ref"/>
      <sheetName val="#REF"/>
      <sheetName val="MFG_TAG"/>
      <sheetName val="DETAILED ENGG PROG"/>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rushing plant"/>
      <sheetName val="Basic rate "/>
      <sheetName val="Base coar"/>
      <sheetName val="Bitu"/>
      <sheetName val="Carriage"/>
      <sheetName val="FELoader"/>
      <sheetName val="Labour "/>
      <sheetName val="material rt"/>
      <sheetName val="Pneumatic roller"/>
      <sheetName val="Sum-basic rate"/>
      <sheetName val="Vibratory"/>
      <sheetName val="Wet mix plant"/>
      <sheetName val="Rate Analysis "/>
      <sheetName val="LOCAL RATES"/>
      <sheetName val="Improvements"/>
      <sheetName val="Rates Basic"/>
      <sheetName val="AOR"/>
      <sheetName val="Trial Balance"/>
      <sheetName val="site fab&amp;ernstr"/>
      <sheetName val="Cell_Sizing"/>
      <sheetName val="Mix Design"/>
      <sheetName val="ABSTRACT"/>
      <sheetName val="0+6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AB DESIGN"/>
      <sheetName val="PARAMETER"/>
      <sheetName val="HYDRAULICS"/>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COPY"/>
      <sheetName val="Face Sheet"/>
      <sheetName val="HYD Pipe design"/>
      <sheetName val="STA"/>
      <sheetName val="Detailed Estimate"/>
      <sheetName val="Abstract "/>
      <sheetName val="Header Footer"/>
      <sheetName val="Sheet3"/>
      <sheetName val="Pier Design(with offset)"/>
      <sheetName val="Calc1"/>
      <sheetName val="Motor Data"/>
      <sheetName val="SLAB_DESIGN"/>
      <sheetName val="STAAD_DRAWING_"/>
      <sheetName val="COMP_EST"/>
      <sheetName val="DL_Input"/>
      <sheetName val="WL_Input"/>
      <sheetName val="WINGWALL_(2)"/>
      <sheetName val="Face_Sheet"/>
      <sheetName val="HYD_Pipe_design"/>
      <sheetName val="Detailed_Estimate"/>
      <sheetName val="Abstract_"/>
      <sheetName val="Header_Footer"/>
      <sheetName val="SLAB_DESIGN1"/>
      <sheetName val="STAAD_DRAWING_1"/>
      <sheetName val="COMP_EST1"/>
      <sheetName val="DL_Input1"/>
      <sheetName val="WL_Input1"/>
      <sheetName val="WINGWALL_(2)1"/>
      <sheetName val="Face_Sheet1"/>
      <sheetName val="HYD_Pipe_design1"/>
      <sheetName val="Detailed_Estimate1"/>
      <sheetName val="Abstract_1"/>
      <sheetName val="Header_Footer1"/>
      <sheetName val="SLAB_DESIGN2"/>
      <sheetName val="STAAD_DRAWING_2"/>
      <sheetName val="COMP_EST2"/>
      <sheetName val="DL_Input2"/>
      <sheetName val="WL_Input2"/>
      <sheetName val="WINGWALL_(2)2"/>
      <sheetName val="Face_Sheet2"/>
      <sheetName val="HYD_Pipe_design2"/>
      <sheetName val="Detailed_Estimate2"/>
      <sheetName val="Abstract_2"/>
      <sheetName val="Header_Footer2"/>
      <sheetName val="SLAB_DESIGN3"/>
      <sheetName val="STAAD_DRAWING_3"/>
      <sheetName val="COMP_EST3"/>
      <sheetName val="DL_Input3"/>
      <sheetName val="WL_Input3"/>
      <sheetName val="WINGWALL_(2)3"/>
      <sheetName val="Face_Sheet3"/>
      <sheetName val="HYD_Pipe_design3"/>
      <sheetName val="Detailed_Estimate3"/>
      <sheetName val="Abstract_3"/>
      <sheetName val="Header_Footer3"/>
      <sheetName val="SLAB_DESIGN4"/>
      <sheetName val="STAAD_DRAWING_4"/>
      <sheetName val="COMP_EST4"/>
      <sheetName val="DL_Input4"/>
      <sheetName val="WL_Input4"/>
      <sheetName val="WINGWALL_(2)4"/>
      <sheetName val="Face_Sheet4"/>
      <sheetName val="HYD_Pipe_design4"/>
      <sheetName val="Detailed_Estimate4"/>
      <sheetName val="Abstract_4"/>
      <sheetName val="Header_Footer4"/>
      <sheetName val="SLAB_DESIGN5"/>
      <sheetName val="STAAD_DRAWING_5"/>
      <sheetName val="COMP_EST5"/>
      <sheetName val="DL_Input5"/>
      <sheetName val="WL_Input5"/>
      <sheetName val="WINGWALL_(2)5"/>
      <sheetName val="Face_Sheet5"/>
      <sheetName val="HYD_Pipe_design5"/>
      <sheetName val="Detailed_Estimate5"/>
      <sheetName val="Abstract_5"/>
      <sheetName val="Header_Footer5"/>
      <sheetName val="Rate Analysis "/>
      <sheetName val="LEAD"/>
      <sheetName val="Sheet2"/>
      <sheetName val="WR"/>
      <sheetName val="Waste_Weir"/>
      <sheetName val="Rainfall_Alirajpur"/>
      <sheetName val="Fixation_Principal_Level"/>
      <sheetName val="Binnies"/>
      <sheetName val="Area_Capacity"/>
      <sheetName val="Water_Planning"/>
      <sheetName val="Material "/>
      <sheetName val="Break up Sheet"/>
    </sheetNames>
    <sheetDataSet>
      <sheetData sheetId="0" refreshError="1">
        <row r="40">
          <cell r="E40">
            <v>6.6500000000000457</v>
          </cell>
        </row>
        <row r="41">
          <cell r="E41">
            <v>7.0100000000000451</v>
          </cell>
        </row>
      </sheetData>
      <sheetData sheetId="1">
        <row r="40">
          <cell r="E40">
            <v>6.6500000000000457</v>
          </cell>
        </row>
      </sheetData>
      <sheetData sheetId="2">
        <row r="40">
          <cell r="E40">
            <v>6.6500000000000457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40">
          <cell r="E40">
            <v>6.6500000000000457</v>
          </cell>
        </row>
      </sheetData>
      <sheetData sheetId="39">
        <row r="40">
          <cell r="E40">
            <v>6.6500000000000457</v>
          </cell>
        </row>
      </sheetData>
      <sheetData sheetId="40">
        <row r="40">
          <cell r="E40">
            <v>6.6500000000000457</v>
          </cell>
        </row>
      </sheetData>
      <sheetData sheetId="41">
        <row r="40">
          <cell r="E40">
            <v>6.6500000000000457</v>
          </cell>
        </row>
      </sheetData>
      <sheetData sheetId="42">
        <row r="40">
          <cell r="E40">
            <v>6.6500000000000457</v>
          </cell>
        </row>
      </sheetData>
      <sheetData sheetId="43"/>
      <sheetData sheetId="44"/>
      <sheetData sheetId="45"/>
      <sheetData sheetId="46"/>
      <sheetData sheetId="47"/>
      <sheetData sheetId="48"/>
      <sheetData sheetId="49">
        <row r="40">
          <cell r="E40">
            <v>6.6500000000000457</v>
          </cell>
        </row>
      </sheetData>
      <sheetData sheetId="50">
        <row r="40">
          <cell r="E40">
            <v>6.6500000000000457</v>
          </cell>
        </row>
      </sheetData>
      <sheetData sheetId="51">
        <row r="40">
          <cell r="E40">
            <v>6.6500000000000457</v>
          </cell>
        </row>
      </sheetData>
      <sheetData sheetId="52">
        <row r="40">
          <cell r="E40">
            <v>6.6500000000000457</v>
          </cell>
        </row>
      </sheetData>
      <sheetData sheetId="53">
        <row r="40">
          <cell r="E40">
            <v>6.6500000000000457</v>
          </cell>
        </row>
      </sheetData>
      <sheetData sheetId="54"/>
      <sheetData sheetId="55"/>
      <sheetData sheetId="56"/>
      <sheetData sheetId="57"/>
      <sheetData sheetId="58"/>
      <sheetData sheetId="59"/>
      <sheetData sheetId="60">
        <row r="40">
          <cell r="E40">
            <v>6.6500000000000457</v>
          </cell>
        </row>
      </sheetData>
      <sheetData sheetId="61">
        <row r="40">
          <cell r="E40">
            <v>6.6500000000000457</v>
          </cell>
        </row>
      </sheetData>
      <sheetData sheetId="62">
        <row r="40">
          <cell r="E40">
            <v>6.6500000000000457</v>
          </cell>
        </row>
      </sheetData>
      <sheetData sheetId="63">
        <row r="40">
          <cell r="E40">
            <v>6.6500000000000457</v>
          </cell>
        </row>
      </sheetData>
      <sheetData sheetId="64">
        <row r="40">
          <cell r="E40">
            <v>6.6500000000000457</v>
          </cell>
        </row>
      </sheetData>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ckage A"/>
      <sheetName val="Package B"/>
      <sheetName val="RATE-ANAY."/>
      <sheetName val="CONC.ANAYL."/>
    </sheetNames>
    <sheetDataSet>
      <sheetData sheetId="0" refreshError="1"/>
      <sheetData sheetId="1" refreshError="1"/>
      <sheetData sheetId="2" refreshError="1"/>
      <sheetData sheetId="3" refreshError="1">
        <row r="152">
          <cell r="A152" t="str">
            <v>Price</v>
          </cell>
          <cell r="B152">
            <v>0</v>
          </cell>
          <cell r="C152">
            <v>0</v>
          </cell>
          <cell r="D152">
            <v>0</v>
          </cell>
          <cell r="E152">
            <v>0</v>
          </cell>
          <cell r="F152" t="str">
            <v>UNIT</v>
          </cell>
          <cell r="G152" t="str">
            <v>RS</v>
          </cell>
        </row>
        <row r="153">
          <cell r="A153" t="str">
            <v>Code</v>
          </cell>
          <cell r="B153" t="str">
            <v>SNO</v>
          </cell>
          <cell r="C153" t="str">
            <v>DESCRIPTION</v>
          </cell>
          <cell r="D153" t="str">
            <v>UNIT</v>
          </cell>
          <cell r="E153" t="str">
            <v>QTY</v>
          </cell>
          <cell r="F153" t="str">
            <v>RATE</v>
          </cell>
          <cell r="G153" t="str">
            <v>AMOUNT</v>
          </cell>
        </row>
        <row r="154">
          <cell r="B154">
            <v>0</v>
          </cell>
          <cell r="C154">
            <v>0</v>
          </cell>
          <cell r="D154">
            <v>0</v>
          </cell>
          <cell r="E154">
            <v>0</v>
          </cell>
          <cell r="F154">
            <v>0</v>
          </cell>
          <cell r="G154">
            <v>0</v>
          </cell>
          <cell r="H154">
            <v>0</v>
          </cell>
        </row>
        <row r="156">
          <cell r="B156" t="str">
            <v>A</v>
          </cell>
          <cell r="C156" t="str">
            <v>Excavation and Allied Works</v>
          </cell>
        </row>
        <row r="157">
          <cell r="B157">
            <v>1</v>
          </cell>
          <cell r="C157" t="str">
            <v>Excavation including providing cofferdams, shoring, strutting, sheeting, bracing, draining and pumping out water within that of  individual deep foundations at the depth below ground water table and maintaining dry working conditions for all activities up</v>
          </cell>
        </row>
        <row r="158">
          <cell r="A158" t="str">
            <v>E1</v>
          </cell>
          <cell r="B158">
            <v>0</v>
          </cell>
          <cell r="C158" t="str">
            <v xml:space="preserve">Beyond 0m and upto 6m </v>
          </cell>
          <cell r="D158" t="str">
            <v>CUM</v>
          </cell>
          <cell r="E158">
            <v>1</v>
          </cell>
          <cell r="F158">
            <v>150</v>
          </cell>
          <cell r="G158">
            <v>150</v>
          </cell>
          <cell r="H158">
            <v>150</v>
          </cell>
        </row>
        <row r="160">
          <cell r="B160">
            <v>2</v>
          </cell>
          <cell r="C160" t="str">
            <v>Backfilling using selected excavated material as approved by the Engineer in trenches, plinths, over and around the sides of foundations and other underground structures, pipes etc. in layers before compaction not exceeding 300 mm in thickness for all lea</v>
          </cell>
        </row>
        <row r="161">
          <cell r="C161" t="str">
            <v xml:space="preserve">Beyond 200m upto 1500m  </v>
          </cell>
        </row>
        <row r="162">
          <cell r="C162" t="str">
            <v xml:space="preserve">Re-excavation from the stacked earth </v>
          </cell>
          <cell r="D162" t="str">
            <v>CUM</v>
          </cell>
          <cell r="E162">
            <v>1</v>
          </cell>
          <cell r="F162">
            <v>25</v>
          </cell>
          <cell r="G162">
            <v>25</v>
          </cell>
        </row>
        <row r="163">
          <cell r="C163" t="str">
            <v xml:space="preserve">Labour for Laying and levelling </v>
          </cell>
          <cell r="D163" t="str">
            <v>CUM</v>
          </cell>
          <cell r="E163">
            <v>1</v>
          </cell>
          <cell r="F163">
            <v>15</v>
          </cell>
          <cell r="G163">
            <v>15</v>
          </cell>
        </row>
        <row r="164">
          <cell r="C164" t="str">
            <v>Compaction</v>
          </cell>
          <cell r="D164" t="str">
            <v>CUM</v>
          </cell>
          <cell r="E164">
            <v>1</v>
          </cell>
          <cell r="F164">
            <v>10</v>
          </cell>
          <cell r="G164">
            <v>10</v>
          </cell>
        </row>
        <row r="166">
          <cell r="A166" t="str">
            <v>E2</v>
          </cell>
          <cell r="B166">
            <v>0</v>
          </cell>
          <cell r="C166" t="str">
            <v xml:space="preserve">earth fill  &amp; Compaction </v>
          </cell>
          <cell r="D166" t="str">
            <v>PER</v>
          </cell>
          <cell r="E166" t="str">
            <v>CUM</v>
          </cell>
          <cell r="F166" t="str">
            <v>RS</v>
          </cell>
          <cell r="G166">
            <v>50</v>
          </cell>
          <cell r="H166">
            <v>50</v>
          </cell>
        </row>
        <row r="168">
          <cell r="B168">
            <v>3</v>
          </cell>
          <cell r="C168" t="str">
            <v>Providing and filling, in the space above the backfilling and below the grade level slab, in layers 250mm thick stone aggregate and thoroughly compacting each layer by suitable compacting equipment and by water sprinkling to achieve 95% of standard densit</v>
          </cell>
        </row>
        <row r="169">
          <cell r="C169" t="str">
            <v xml:space="preserve">Cost of  Stone </v>
          </cell>
          <cell r="D169" t="str">
            <v>CUM</v>
          </cell>
          <cell r="E169">
            <v>1.25</v>
          </cell>
          <cell r="F169">
            <v>282.14999999999998</v>
          </cell>
          <cell r="G169">
            <v>352.6875</v>
          </cell>
        </row>
        <row r="170">
          <cell r="C170" t="str">
            <v xml:space="preserve">Cost of 12 / 20 mm down aggregate </v>
          </cell>
          <cell r="D170" t="str">
            <v>CUM</v>
          </cell>
          <cell r="E170">
            <v>0.3125</v>
          </cell>
          <cell r="F170">
            <v>444.4</v>
          </cell>
          <cell r="G170">
            <v>138.875</v>
          </cell>
        </row>
        <row r="171">
          <cell r="C171" t="str">
            <v xml:space="preserve">Cost of filling sand </v>
          </cell>
          <cell r="D171" t="str">
            <v>CUM</v>
          </cell>
          <cell r="E171">
            <v>2.5000000000000001E-2</v>
          </cell>
          <cell r="F171">
            <v>176</v>
          </cell>
          <cell r="G171">
            <v>4.4000000000000004</v>
          </cell>
        </row>
        <row r="172">
          <cell r="C172" t="str">
            <v>Labour for stone  filling</v>
          </cell>
          <cell r="D172" t="str">
            <v>CUM</v>
          </cell>
          <cell r="E172">
            <v>1</v>
          </cell>
          <cell r="F172">
            <v>80</v>
          </cell>
          <cell r="G172">
            <v>80</v>
          </cell>
        </row>
        <row r="173">
          <cell r="C173" t="str">
            <v>Compaction cost</v>
          </cell>
          <cell r="D173" t="str">
            <v>CUM</v>
          </cell>
          <cell r="E173">
            <v>1</v>
          </cell>
          <cell r="F173">
            <v>25</v>
          </cell>
          <cell r="G173">
            <v>25</v>
          </cell>
        </row>
        <row r="175">
          <cell r="A175" t="str">
            <v>E3</v>
          </cell>
          <cell r="B175">
            <v>0</v>
          </cell>
          <cell r="C175" t="str">
            <v>Cost of stone filling - 250mm thick</v>
          </cell>
          <cell r="D175" t="str">
            <v>PER</v>
          </cell>
          <cell r="E175" t="str">
            <v>CUM</v>
          </cell>
          <cell r="F175" t="str">
            <v>RS</v>
          </cell>
          <cell r="G175">
            <v>601</v>
          </cell>
          <cell r="H175">
            <v>601</v>
          </cell>
        </row>
        <row r="177">
          <cell r="B177">
            <v>4</v>
          </cell>
          <cell r="C177" t="str">
            <v>Providing and filling, in the space above the backfilling and below the grade level slab, in layers 115mm thk stone pitching on the sides of trapezoidal drains, soling under floors, for all leads and lifts, including all labour, material, equipment, trans</v>
          </cell>
        </row>
        <row r="178">
          <cell r="A178" t="str">
            <v>E4</v>
          </cell>
          <cell r="B178">
            <v>0</v>
          </cell>
          <cell r="C178" t="str">
            <v>Cost of 115mm thk Stone Filling</v>
          </cell>
          <cell r="D178" t="str">
            <v>PER</v>
          </cell>
          <cell r="E178" t="str">
            <v>CUM</v>
          </cell>
          <cell r="F178" t="str">
            <v>RS</v>
          </cell>
          <cell r="G178">
            <v>601</v>
          </cell>
          <cell r="H178">
            <v>601</v>
          </cell>
        </row>
        <row r="180">
          <cell r="B180">
            <v>5</v>
          </cell>
          <cell r="C180" t="str">
            <v>Providing and filling, in the space above the backfilling and below the grade level slab, medium to coarse sand in layers not exceeding 150 mm in thickness and thoroughly compacting each layer by suitable compacting equipment and by water sprinkling to ac</v>
          </cell>
        </row>
        <row r="181">
          <cell r="C181" t="str">
            <v>Cost of Out side earth</v>
          </cell>
          <cell r="D181" t="str">
            <v>CUM</v>
          </cell>
          <cell r="E181">
            <v>1.1000000000000001</v>
          </cell>
          <cell r="F181">
            <v>176</v>
          </cell>
          <cell r="G181">
            <v>193.60000000000002</v>
          </cell>
        </row>
        <row r="182">
          <cell r="C182" t="str">
            <v xml:space="preserve">Labour for Laying and levelling </v>
          </cell>
          <cell r="D182" t="str">
            <v>CUM</v>
          </cell>
          <cell r="E182">
            <v>1</v>
          </cell>
          <cell r="F182">
            <v>25</v>
          </cell>
          <cell r="G182">
            <v>25</v>
          </cell>
        </row>
        <row r="183">
          <cell r="C183" t="str">
            <v>Compaction</v>
          </cell>
          <cell r="D183" t="str">
            <v>CUM</v>
          </cell>
          <cell r="E183">
            <v>1</v>
          </cell>
          <cell r="F183">
            <v>10</v>
          </cell>
          <cell r="G183">
            <v>10</v>
          </cell>
        </row>
        <row r="185">
          <cell r="A185" t="str">
            <v>E5</v>
          </cell>
          <cell r="B185">
            <v>0</v>
          </cell>
          <cell r="C185" t="str">
            <v xml:space="preserve">Borrowed earth fill  &amp; Compaction </v>
          </cell>
          <cell r="D185" t="str">
            <v>PER</v>
          </cell>
          <cell r="E185" t="str">
            <v>CUM</v>
          </cell>
          <cell r="F185" t="str">
            <v>RS</v>
          </cell>
          <cell r="G185">
            <v>228.60000000000002</v>
          </cell>
          <cell r="H185">
            <v>229</v>
          </cell>
        </row>
        <row r="188">
          <cell r="B188" t="str">
            <v>B</v>
          </cell>
          <cell r="C188" t="str">
            <v>Concreting &amp; Allied Works</v>
          </cell>
        </row>
        <row r="190">
          <cell r="B190">
            <v>6</v>
          </cell>
          <cell r="C190" t="str">
            <v>Providing and laying all mud mats  at all levels for all kinds of work such as  mud mats for all foundations, lean concrete, filling materials and so on  with nominal mix plain cement concrete of grade M-10 with graded aggregate (with maximum size of coar</v>
          </cell>
        </row>
        <row r="191">
          <cell r="C191" t="str">
            <v>PCC 1 : 5 : 10</v>
          </cell>
        </row>
        <row r="192">
          <cell r="C192" t="str">
            <v>Cement  ( )</v>
          </cell>
          <cell r="D192" t="str">
            <v>BAG</v>
          </cell>
          <cell r="E192">
            <v>3.24</v>
          </cell>
          <cell r="F192">
            <v>263</v>
          </cell>
          <cell r="G192">
            <v>852.12</v>
          </cell>
        </row>
        <row r="193">
          <cell r="C193" t="str">
            <v>Aggregate ( 40 mm )</v>
          </cell>
          <cell r="D193" t="str">
            <v>CUM</v>
          </cell>
          <cell r="E193">
            <v>0.9</v>
          </cell>
          <cell r="F193">
            <v>389.8</v>
          </cell>
          <cell r="G193">
            <v>350.82</v>
          </cell>
        </row>
        <row r="194">
          <cell r="C194" t="str">
            <v xml:space="preserve">Sand </v>
          </cell>
          <cell r="D194" t="str">
            <v>CUM</v>
          </cell>
          <cell r="E194">
            <v>0.55000000000000004</v>
          </cell>
          <cell r="F194">
            <v>183</v>
          </cell>
          <cell r="G194">
            <v>100.65</v>
          </cell>
        </row>
        <row r="195">
          <cell r="C195" t="str">
            <v xml:space="preserve">concrete Plant &amp; Labour cost &amp; water cost </v>
          </cell>
          <cell r="D195" t="str">
            <v>CUM</v>
          </cell>
          <cell r="E195">
            <v>1</v>
          </cell>
          <cell r="F195">
            <v>717.44225297520165</v>
          </cell>
          <cell r="G195">
            <v>717.44225297520165</v>
          </cell>
        </row>
        <row r="196">
          <cell r="C196" t="str">
            <v>Wastage</v>
          </cell>
          <cell r="D196" t="str">
            <v>%</v>
          </cell>
          <cell r="E196">
            <v>0.02</v>
          </cell>
          <cell r="F196">
            <v>2021.0322529752018</v>
          </cell>
          <cell r="G196">
            <v>40.420645059504039</v>
          </cell>
          <cell r="H196">
            <v>0</v>
          </cell>
        </row>
        <row r="197">
          <cell r="C197" t="str">
            <v xml:space="preserve">Shuttering </v>
          </cell>
          <cell r="D197" t="str">
            <v>Sq/cum</v>
          </cell>
          <cell r="E197">
            <v>2</v>
          </cell>
          <cell r="F197">
            <v>20</v>
          </cell>
          <cell r="G197">
            <v>40</v>
          </cell>
        </row>
        <row r="199">
          <cell r="A199" t="str">
            <v>M10</v>
          </cell>
          <cell r="B199">
            <v>0</v>
          </cell>
          <cell r="C199" t="str">
            <v>Cost of  Lean concrete 1 :5 :10</v>
          </cell>
          <cell r="D199" t="str">
            <v>PER</v>
          </cell>
          <cell r="E199" t="str">
            <v>CUM</v>
          </cell>
          <cell r="F199" t="str">
            <v>RS</v>
          </cell>
          <cell r="G199">
            <v>2101.4528980347059</v>
          </cell>
          <cell r="H199">
            <v>2102</v>
          </cell>
        </row>
        <row r="202">
          <cell r="B202">
            <v>7</v>
          </cell>
          <cell r="C202" t="str">
            <v>Providing and laying design mix cement concrete with graded aggregate (maximum size of coarse aggregate not exceeding 20 mm or 40mm unless specified otherwise) and the required admixtures for reinforced concrete work at all levels, for all kinds of work i</v>
          </cell>
        </row>
        <row r="203">
          <cell r="B203">
            <v>1</v>
          </cell>
          <cell r="C203" t="str">
            <v xml:space="preserve">For works below ground level(+0.00m): </v>
          </cell>
        </row>
        <row r="204">
          <cell r="B204" t="str">
            <v>a</v>
          </cell>
          <cell r="C204" t="str">
            <v>Grade M-15</v>
          </cell>
        </row>
        <row r="205">
          <cell r="C205" t="str">
            <v>Cement  ( )</v>
          </cell>
          <cell r="D205" t="str">
            <v>BAG</v>
          </cell>
          <cell r="E205">
            <v>5.77</v>
          </cell>
          <cell r="F205">
            <v>263</v>
          </cell>
          <cell r="G205">
            <v>1517.51</v>
          </cell>
        </row>
        <row r="206">
          <cell r="C206" t="str">
            <v>Aggregate ( 40 mm )</v>
          </cell>
          <cell r="D206" t="str">
            <v>CUM</v>
          </cell>
          <cell r="E206">
            <v>0.9</v>
          </cell>
          <cell r="F206">
            <v>389.8</v>
          </cell>
          <cell r="G206">
            <v>350.82</v>
          </cell>
        </row>
        <row r="207">
          <cell r="C207" t="str">
            <v xml:space="preserve">Sand </v>
          </cell>
          <cell r="D207" t="str">
            <v>CUM</v>
          </cell>
          <cell r="E207">
            <v>0.55000000000000004</v>
          </cell>
          <cell r="F207">
            <v>183</v>
          </cell>
          <cell r="G207">
            <v>100.65</v>
          </cell>
        </row>
        <row r="208">
          <cell r="C208" t="str">
            <v>Admixtures ( conplast 421 IC )  ( 1% OF Cement )</v>
          </cell>
          <cell r="D208" t="str">
            <v>LITERS</v>
          </cell>
          <cell r="E208">
            <v>3.36</v>
          </cell>
          <cell r="F208">
            <v>55</v>
          </cell>
          <cell r="G208">
            <v>184.79999999999998</v>
          </cell>
        </row>
        <row r="209">
          <cell r="C209" t="str">
            <v xml:space="preserve">concrete Plant &amp; Labour cost &amp; water cost </v>
          </cell>
          <cell r="D209" t="str">
            <v>CUM</v>
          </cell>
          <cell r="E209">
            <v>1</v>
          </cell>
          <cell r="F209">
            <v>717.44225297520165</v>
          </cell>
          <cell r="G209">
            <v>717.44225297520165</v>
          </cell>
        </row>
        <row r="210">
          <cell r="C210" t="str">
            <v>Wastage</v>
          </cell>
          <cell r="D210" t="str">
            <v>%</v>
          </cell>
          <cell r="E210">
            <v>0.02</v>
          </cell>
          <cell r="F210">
            <v>2871.2222529752016</v>
          </cell>
          <cell r="G210">
            <v>57.424445059504031</v>
          </cell>
          <cell r="H210">
            <v>0</v>
          </cell>
        </row>
        <row r="211">
          <cell r="C211" t="str">
            <v>Lead Charges</v>
          </cell>
          <cell r="D211" t="str">
            <v>LS</v>
          </cell>
          <cell r="E211">
            <v>1</v>
          </cell>
          <cell r="F211">
            <v>0</v>
          </cell>
          <cell r="G211">
            <v>0</v>
          </cell>
        </row>
        <row r="213">
          <cell r="A213" t="str">
            <v>M15B</v>
          </cell>
          <cell r="B213">
            <v>0</v>
          </cell>
          <cell r="C213" t="str">
            <v>Cost of  M15 concrete for structures Below GL</v>
          </cell>
          <cell r="D213" t="str">
            <v>PER</v>
          </cell>
          <cell r="E213" t="str">
            <v>CUM</v>
          </cell>
          <cell r="F213" t="str">
            <v>RS</v>
          </cell>
          <cell r="G213">
            <v>2929</v>
          </cell>
          <cell r="H213">
            <v>2929</v>
          </cell>
        </row>
        <row r="215">
          <cell r="B215" t="str">
            <v>b</v>
          </cell>
          <cell r="C215" t="str">
            <v xml:space="preserve">Grade M-20  </v>
          </cell>
        </row>
        <row r="216">
          <cell r="C216" t="str">
            <v xml:space="preserve">Cement </v>
          </cell>
          <cell r="D216" t="str">
            <v>BAG</v>
          </cell>
          <cell r="E216">
            <v>7.5</v>
          </cell>
          <cell r="F216">
            <v>263</v>
          </cell>
          <cell r="G216">
            <v>1972.5</v>
          </cell>
        </row>
        <row r="217">
          <cell r="C217" t="str">
            <v>Aggregate ( 20 mm )</v>
          </cell>
          <cell r="D217" t="str">
            <v>CUM</v>
          </cell>
          <cell r="E217">
            <v>0.9</v>
          </cell>
          <cell r="F217">
            <v>444.4</v>
          </cell>
          <cell r="G217">
            <v>399.96</v>
          </cell>
        </row>
        <row r="218">
          <cell r="C218" t="str">
            <v xml:space="preserve">Sand </v>
          </cell>
          <cell r="D218" t="str">
            <v>CUM</v>
          </cell>
          <cell r="E218">
            <v>0.5</v>
          </cell>
          <cell r="F218">
            <v>183</v>
          </cell>
          <cell r="G218">
            <v>91.5</v>
          </cell>
        </row>
        <row r="219">
          <cell r="C219" t="str">
            <v>Admixtures ( conplast 421 IC )  ( 1% OF Cement )</v>
          </cell>
          <cell r="D219" t="str">
            <v>LITERS</v>
          </cell>
          <cell r="E219">
            <v>3.36</v>
          </cell>
          <cell r="F219">
            <v>55</v>
          </cell>
          <cell r="G219">
            <v>184.79999999999998</v>
          </cell>
        </row>
        <row r="220">
          <cell r="C220" t="str">
            <v>concrete Plant &amp; Labour cost</v>
          </cell>
          <cell r="D220" t="str">
            <v>CUM</v>
          </cell>
          <cell r="E220">
            <v>1</v>
          </cell>
          <cell r="F220">
            <v>717.44225297520165</v>
          </cell>
          <cell r="G220">
            <v>717.44225297520165</v>
          </cell>
        </row>
        <row r="221">
          <cell r="C221" t="str">
            <v>Wastage</v>
          </cell>
          <cell r="D221" t="str">
            <v>%</v>
          </cell>
          <cell r="E221">
            <v>0.02</v>
          </cell>
          <cell r="F221">
            <v>3366.2022529752021</v>
          </cell>
          <cell r="G221">
            <v>67.324045059504044</v>
          </cell>
          <cell r="H221">
            <v>0</v>
          </cell>
        </row>
        <row r="222">
          <cell r="C222" t="str">
            <v>Lead Charges</v>
          </cell>
          <cell r="D222" t="str">
            <v>LS</v>
          </cell>
          <cell r="E222">
            <v>1</v>
          </cell>
          <cell r="F222">
            <v>0</v>
          </cell>
          <cell r="G222">
            <v>0</v>
          </cell>
        </row>
        <row r="224">
          <cell r="A224" t="str">
            <v>M20B</v>
          </cell>
          <cell r="B224">
            <v>0</v>
          </cell>
          <cell r="C224" t="str">
            <v>Cost of M20 Concrete for structures Below GL</v>
          </cell>
          <cell r="D224" t="str">
            <v>PER</v>
          </cell>
          <cell r="E224" t="str">
            <v>CUM</v>
          </cell>
          <cell r="F224" t="str">
            <v>RS</v>
          </cell>
          <cell r="G224">
            <v>3434</v>
          </cell>
          <cell r="H224">
            <v>3434</v>
          </cell>
        </row>
        <row r="226">
          <cell r="B226" t="str">
            <v>c</v>
          </cell>
          <cell r="C226" t="str">
            <v xml:space="preserve">Grade M-25 </v>
          </cell>
        </row>
        <row r="227">
          <cell r="C227" t="str">
            <v xml:space="preserve">Cement </v>
          </cell>
          <cell r="D227" t="str">
            <v>BAG</v>
          </cell>
          <cell r="E227">
            <v>8</v>
          </cell>
          <cell r="F227">
            <v>263</v>
          </cell>
          <cell r="G227">
            <v>2104</v>
          </cell>
        </row>
        <row r="228">
          <cell r="C228" t="str">
            <v>Aggregate ( 20 mm )</v>
          </cell>
          <cell r="D228" t="str">
            <v>CUM</v>
          </cell>
          <cell r="E228">
            <v>0.9</v>
          </cell>
          <cell r="F228">
            <v>444.4</v>
          </cell>
          <cell r="G228">
            <v>399.96</v>
          </cell>
        </row>
        <row r="229">
          <cell r="C229" t="str">
            <v xml:space="preserve">Sand </v>
          </cell>
          <cell r="D229" t="str">
            <v>CUM</v>
          </cell>
          <cell r="E229">
            <v>0.5</v>
          </cell>
          <cell r="F229">
            <v>183</v>
          </cell>
          <cell r="G229">
            <v>91.5</v>
          </cell>
        </row>
        <row r="230">
          <cell r="C230" t="str">
            <v>Admixtures ( conplast 421 IC )  ( 1% OF Cement )</v>
          </cell>
          <cell r="D230" t="str">
            <v>LITERS</v>
          </cell>
          <cell r="E230">
            <v>3.36</v>
          </cell>
          <cell r="F230">
            <v>55</v>
          </cell>
          <cell r="G230">
            <v>184.79999999999998</v>
          </cell>
        </row>
        <row r="231">
          <cell r="C231" t="str">
            <v xml:space="preserve">Consumbles </v>
          </cell>
          <cell r="D231" t="str">
            <v>LS</v>
          </cell>
          <cell r="E231">
            <v>1</v>
          </cell>
          <cell r="F231">
            <v>20</v>
          </cell>
          <cell r="G231">
            <v>20</v>
          </cell>
        </row>
        <row r="232">
          <cell r="C232" t="str">
            <v xml:space="preserve">Water Charges </v>
          </cell>
          <cell r="D232" t="str">
            <v>LITERS</v>
          </cell>
          <cell r="E232">
            <v>165</v>
          </cell>
          <cell r="F232">
            <v>0.6</v>
          </cell>
          <cell r="G232">
            <v>99</v>
          </cell>
        </row>
        <row r="233">
          <cell r="C233" t="str">
            <v>concrete Plant &amp; Labour cost</v>
          </cell>
          <cell r="D233" t="str">
            <v>CUM</v>
          </cell>
          <cell r="E233">
            <v>1</v>
          </cell>
          <cell r="F233">
            <v>717.44225297520165</v>
          </cell>
          <cell r="G233">
            <v>717.44225297520165</v>
          </cell>
        </row>
        <row r="234">
          <cell r="C234" t="str">
            <v>Wastage</v>
          </cell>
          <cell r="D234" t="str">
            <v>%</v>
          </cell>
          <cell r="E234">
            <v>0.02</v>
          </cell>
          <cell r="F234">
            <v>3616.7022529752021</v>
          </cell>
          <cell r="G234">
            <v>72.334045059504049</v>
          </cell>
          <cell r="H234">
            <v>0</v>
          </cell>
        </row>
        <row r="235">
          <cell r="C235" t="str">
            <v>Lead Charges</v>
          </cell>
          <cell r="D235" t="str">
            <v>LS</v>
          </cell>
          <cell r="E235">
            <v>1</v>
          </cell>
          <cell r="F235">
            <v>0</v>
          </cell>
          <cell r="G235">
            <v>0</v>
          </cell>
        </row>
        <row r="237">
          <cell r="A237" t="str">
            <v>M25B</v>
          </cell>
          <cell r="B237">
            <v>0</v>
          </cell>
          <cell r="C237" t="str">
            <v>Cost of M25 Concrete  for structures Below GL</v>
          </cell>
          <cell r="D237" t="str">
            <v>PER</v>
          </cell>
          <cell r="E237" t="str">
            <v>CUM</v>
          </cell>
          <cell r="F237" t="str">
            <v>RS</v>
          </cell>
          <cell r="G237">
            <v>3690</v>
          </cell>
          <cell r="H237">
            <v>3690</v>
          </cell>
        </row>
        <row r="239">
          <cell r="B239" t="str">
            <v>d</v>
          </cell>
          <cell r="C239" t="str">
            <v xml:space="preserve">Grade M-30 </v>
          </cell>
        </row>
        <row r="240">
          <cell r="C240" t="str">
            <v xml:space="preserve">Cement </v>
          </cell>
          <cell r="D240" t="str">
            <v>BAG</v>
          </cell>
          <cell r="E240">
            <v>9</v>
          </cell>
          <cell r="F240">
            <v>263</v>
          </cell>
          <cell r="G240">
            <v>2367</v>
          </cell>
        </row>
        <row r="241">
          <cell r="C241" t="str">
            <v>Aggregate ( 20 mm )</v>
          </cell>
          <cell r="D241" t="str">
            <v>CUM</v>
          </cell>
          <cell r="E241">
            <v>0.9</v>
          </cell>
          <cell r="F241">
            <v>444.4</v>
          </cell>
          <cell r="G241">
            <v>399.96</v>
          </cell>
        </row>
        <row r="242">
          <cell r="C242" t="str">
            <v xml:space="preserve">Sand </v>
          </cell>
          <cell r="D242" t="str">
            <v>CUM</v>
          </cell>
          <cell r="E242">
            <v>0.5</v>
          </cell>
          <cell r="F242">
            <v>183</v>
          </cell>
          <cell r="G242">
            <v>91.5</v>
          </cell>
        </row>
        <row r="243">
          <cell r="C243" t="str">
            <v>Admixtures ( conplast 421 IC )  ( 1% OF Cement )</v>
          </cell>
          <cell r="D243" t="str">
            <v>LITERS</v>
          </cell>
          <cell r="E243">
            <v>3.36</v>
          </cell>
          <cell r="F243">
            <v>55</v>
          </cell>
          <cell r="G243">
            <v>184.79999999999998</v>
          </cell>
        </row>
        <row r="244">
          <cell r="C244" t="str">
            <v xml:space="preserve">Consumbles </v>
          </cell>
          <cell r="D244" t="str">
            <v>LS</v>
          </cell>
          <cell r="E244">
            <v>1</v>
          </cell>
          <cell r="F244">
            <v>20</v>
          </cell>
          <cell r="G244">
            <v>20</v>
          </cell>
        </row>
        <row r="245">
          <cell r="C245" t="str">
            <v xml:space="preserve">Water Charges </v>
          </cell>
          <cell r="D245" t="str">
            <v>LITERS</v>
          </cell>
          <cell r="E245">
            <v>165</v>
          </cell>
          <cell r="F245">
            <v>0.3</v>
          </cell>
          <cell r="G245">
            <v>49.5</v>
          </cell>
        </row>
        <row r="246">
          <cell r="C246" t="str">
            <v>concrete Plant &amp; Labour cost</v>
          </cell>
          <cell r="D246" t="str">
            <v>CUM</v>
          </cell>
          <cell r="E246">
            <v>1</v>
          </cell>
          <cell r="F246">
            <v>717.44225297520165</v>
          </cell>
          <cell r="G246">
            <v>717.44225297520165</v>
          </cell>
        </row>
        <row r="247">
          <cell r="C247" t="str">
            <v>Wastage</v>
          </cell>
          <cell r="D247" t="str">
            <v>%</v>
          </cell>
          <cell r="E247">
            <v>0.02</v>
          </cell>
          <cell r="F247">
            <v>3830.2022529752021</v>
          </cell>
          <cell r="G247">
            <v>76.604045059504045</v>
          </cell>
          <cell r="H247">
            <v>0</v>
          </cell>
        </row>
        <row r="248">
          <cell r="C248" t="str">
            <v>Lead Charges</v>
          </cell>
          <cell r="D248" t="str">
            <v>LS</v>
          </cell>
          <cell r="E248">
            <v>1</v>
          </cell>
          <cell r="F248">
            <v>0</v>
          </cell>
          <cell r="G248">
            <v>0</v>
          </cell>
        </row>
        <row r="250">
          <cell r="A250" t="str">
            <v>M30B</v>
          </cell>
          <cell r="B250">
            <v>0</v>
          </cell>
          <cell r="C250" t="str">
            <v>Cost of M30 Concrete  for structures Below GL</v>
          </cell>
          <cell r="D250" t="str">
            <v>PER</v>
          </cell>
          <cell r="E250" t="str">
            <v>CUM</v>
          </cell>
          <cell r="F250" t="str">
            <v>RS</v>
          </cell>
          <cell r="G250">
            <v>3907</v>
          </cell>
          <cell r="H250">
            <v>3907</v>
          </cell>
        </row>
        <row r="252">
          <cell r="B252" t="str">
            <v>e</v>
          </cell>
          <cell r="C252" t="str">
            <v xml:space="preserve">Grade M-35   </v>
          </cell>
        </row>
        <row r="253">
          <cell r="C253" t="str">
            <v xml:space="preserve">Cement </v>
          </cell>
          <cell r="D253" t="str">
            <v>BAG</v>
          </cell>
          <cell r="E253">
            <v>10</v>
          </cell>
          <cell r="F253">
            <v>263</v>
          </cell>
          <cell r="G253">
            <v>2630</v>
          </cell>
        </row>
        <row r="254">
          <cell r="C254" t="str">
            <v>Aggregate ( 20 mm )</v>
          </cell>
          <cell r="D254" t="str">
            <v>CUM</v>
          </cell>
          <cell r="E254">
            <v>0.9</v>
          </cell>
          <cell r="F254">
            <v>444.4</v>
          </cell>
          <cell r="G254">
            <v>399.96</v>
          </cell>
        </row>
        <row r="255">
          <cell r="C255" t="str">
            <v xml:space="preserve">Sand </v>
          </cell>
          <cell r="D255" t="str">
            <v>CUM</v>
          </cell>
          <cell r="E255">
            <v>0.5</v>
          </cell>
          <cell r="F255">
            <v>183</v>
          </cell>
          <cell r="G255">
            <v>91.5</v>
          </cell>
        </row>
        <row r="256">
          <cell r="C256" t="str">
            <v>Admixtures ( conplast 421 IC )  ( 1% OF Cement )</v>
          </cell>
          <cell r="D256" t="str">
            <v>LITERS</v>
          </cell>
          <cell r="E256">
            <v>3.36</v>
          </cell>
          <cell r="F256">
            <v>55</v>
          </cell>
          <cell r="G256">
            <v>184.79999999999998</v>
          </cell>
        </row>
        <row r="257">
          <cell r="C257" t="str">
            <v xml:space="preserve">Consumbles </v>
          </cell>
          <cell r="D257" t="str">
            <v>LS</v>
          </cell>
          <cell r="E257">
            <v>1</v>
          </cell>
          <cell r="F257">
            <v>20</v>
          </cell>
          <cell r="G257">
            <v>20</v>
          </cell>
        </row>
        <row r="258">
          <cell r="C258" t="str">
            <v xml:space="preserve">Water Charges </v>
          </cell>
          <cell r="D258" t="str">
            <v>LITERS</v>
          </cell>
          <cell r="E258">
            <v>165</v>
          </cell>
          <cell r="F258">
            <v>0.3</v>
          </cell>
          <cell r="G258">
            <v>49.5</v>
          </cell>
        </row>
        <row r="259">
          <cell r="C259" t="str">
            <v>concrete Plant &amp; Labour cost</v>
          </cell>
          <cell r="D259" t="str">
            <v>CUM</v>
          </cell>
          <cell r="E259">
            <v>1</v>
          </cell>
          <cell r="F259">
            <v>717.44225297520165</v>
          </cell>
          <cell r="G259">
            <v>717.44225297520165</v>
          </cell>
        </row>
        <row r="260">
          <cell r="C260" t="str">
            <v>Wastage</v>
          </cell>
          <cell r="D260" t="str">
            <v>%</v>
          </cell>
          <cell r="E260">
            <v>0.02</v>
          </cell>
          <cell r="F260">
            <v>4093.2022529752021</v>
          </cell>
          <cell r="G260">
            <v>81.864045059504051</v>
          </cell>
          <cell r="H260">
            <v>0</v>
          </cell>
        </row>
        <row r="261">
          <cell r="C261" t="str">
            <v>Lead Charges</v>
          </cell>
          <cell r="D261" t="str">
            <v>LS</v>
          </cell>
          <cell r="E261">
            <v>1</v>
          </cell>
          <cell r="F261">
            <v>0</v>
          </cell>
          <cell r="G261">
            <v>0</v>
          </cell>
        </row>
        <row r="263">
          <cell r="A263" t="str">
            <v>M35B</v>
          </cell>
          <cell r="B263">
            <v>0</v>
          </cell>
          <cell r="C263" t="str">
            <v>Cost of M35 Concrete  for structures Below GL</v>
          </cell>
          <cell r="D263" t="str">
            <v>PER</v>
          </cell>
          <cell r="E263" t="str">
            <v>CUM</v>
          </cell>
          <cell r="F263" t="str">
            <v>RS</v>
          </cell>
          <cell r="G263">
            <v>4176</v>
          </cell>
          <cell r="H263">
            <v>4176</v>
          </cell>
        </row>
        <row r="265">
          <cell r="B265" t="str">
            <v>f</v>
          </cell>
          <cell r="C265" t="str">
            <v xml:space="preserve">Grade M-40   </v>
          </cell>
        </row>
        <row r="266">
          <cell r="C266" t="str">
            <v xml:space="preserve">Cement </v>
          </cell>
          <cell r="D266" t="str">
            <v>BAG</v>
          </cell>
          <cell r="E266">
            <v>11</v>
          </cell>
          <cell r="F266">
            <v>263</v>
          </cell>
          <cell r="G266">
            <v>2893</v>
          </cell>
        </row>
        <row r="267">
          <cell r="C267" t="str">
            <v>Aggregate ( 20 mm )</v>
          </cell>
          <cell r="D267" t="str">
            <v>CUM</v>
          </cell>
          <cell r="E267">
            <v>0.9</v>
          </cell>
          <cell r="F267">
            <v>444.4</v>
          </cell>
          <cell r="G267">
            <v>399.96</v>
          </cell>
        </row>
        <row r="268">
          <cell r="C268" t="str">
            <v xml:space="preserve">Sand </v>
          </cell>
          <cell r="D268" t="str">
            <v>CUM</v>
          </cell>
          <cell r="E268">
            <v>0.5</v>
          </cell>
          <cell r="F268">
            <v>183</v>
          </cell>
          <cell r="G268">
            <v>91.5</v>
          </cell>
        </row>
        <row r="269">
          <cell r="C269" t="str">
            <v>Admixtures ( conplast 421 IC )  ( 1% OF Cement )</v>
          </cell>
          <cell r="D269" t="str">
            <v>LITERS</v>
          </cell>
          <cell r="E269">
            <v>3.36</v>
          </cell>
          <cell r="F269">
            <v>55</v>
          </cell>
          <cell r="G269">
            <v>184.79999999999998</v>
          </cell>
        </row>
        <row r="270">
          <cell r="C270" t="str">
            <v xml:space="preserve">Consumbles </v>
          </cell>
          <cell r="D270" t="str">
            <v>LS</v>
          </cell>
          <cell r="E270">
            <v>1</v>
          </cell>
          <cell r="F270">
            <v>20</v>
          </cell>
          <cell r="G270">
            <v>20</v>
          </cell>
        </row>
        <row r="271">
          <cell r="C271" t="str">
            <v xml:space="preserve">Water Charges </v>
          </cell>
          <cell r="D271" t="str">
            <v>LITERS</v>
          </cell>
          <cell r="E271">
            <v>165</v>
          </cell>
          <cell r="F271">
            <v>0.3</v>
          </cell>
          <cell r="G271">
            <v>49.5</v>
          </cell>
        </row>
        <row r="272">
          <cell r="C272" t="str">
            <v>concrete Plant &amp; Labour cost</v>
          </cell>
          <cell r="D272" t="str">
            <v>CUM</v>
          </cell>
          <cell r="E272">
            <v>1</v>
          </cell>
          <cell r="F272">
            <v>717.44225297520165</v>
          </cell>
          <cell r="G272">
            <v>717.44225297520165</v>
          </cell>
        </row>
        <row r="273">
          <cell r="C273" t="str">
            <v>Wastage</v>
          </cell>
          <cell r="D273" t="str">
            <v>%</v>
          </cell>
          <cell r="E273">
            <v>0.02</v>
          </cell>
          <cell r="F273">
            <v>4356.2022529752021</v>
          </cell>
          <cell r="G273">
            <v>87.124045059504041</v>
          </cell>
          <cell r="H273">
            <v>0</v>
          </cell>
        </row>
        <row r="274">
          <cell r="C274" t="str">
            <v>Lead Charges</v>
          </cell>
          <cell r="D274" t="str">
            <v>LS</v>
          </cell>
          <cell r="E274">
            <v>1</v>
          </cell>
          <cell r="F274">
            <v>0</v>
          </cell>
          <cell r="G274">
            <v>0</v>
          </cell>
        </row>
        <row r="276">
          <cell r="A276" t="str">
            <v>M40B</v>
          </cell>
          <cell r="B276">
            <v>0</v>
          </cell>
          <cell r="C276" t="str">
            <v>Cost of M40 Concrete  for structures Below GL</v>
          </cell>
          <cell r="D276" t="str">
            <v>PER</v>
          </cell>
          <cell r="E276" t="str">
            <v>CUM</v>
          </cell>
          <cell r="F276" t="str">
            <v>RS</v>
          </cell>
          <cell r="G276">
            <v>4444</v>
          </cell>
          <cell r="H276">
            <v>4444</v>
          </cell>
        </row>
        <row r="278">
          <cell r="B278" t="str">
            <v>g</v>
          </cell>
          <cell r="C278" t="str">
            <v>M25 seepage proofing/water-tight concrete</v>
          </cell>
        </row>
        <row r="279">
          <cell r="C279" t="str">
            <v>Cost of M25 Concrete  below GL</v>
          </cell>
          <cell r="D279" t="str">
            <v>CUM</v>
          </cell>
          <cell r="E279">
            <v>1</v>
          </cell>
          <cell r="F279">
            <v>3690</v>
          </cell>
          <cell r="G279">
            <v>3690</v>
          </cell>
        </row>
        <row r="280">
          <cell r="C280" t="str">
            <v>Water proofing compound 2% of Cement ( i.e 6 bags = 50kg *0.02)</v>
          </cell>
          <cell r="D280" t="str">
            <v>KG</v>
          </cell>
          <cell r="E280">
            <v>0.32000000000000006</v>
          </cell>
          <cell r="F280">
            <v>90</v>
          </cell>
          <cell r="G280">
            <v>28.800000000000004</v>
          </cell>
        </row>
        <row r="281">
          <cell r="C281" t="str">
            <v xml:space="preserve">Concrete hardener </v>
          </cell>
          <cell r="D281" t="str">
            <v>Kg</v>
          </cell>
          <cell r="E281">
            <v>2.5</v>
          </cell>
          <cell r="F281">
            <v>22</v>
          </cell>
          <cell r="G281">
            <v>55</v>
          </cell>
        </row>
        <row r="282">
          <cell r="C282" t="str">
            <v>Shuttering</v>
          </cell>
          <cell r="D282" t="str">
            <v>Sqm</v>
          </cell>
          <cell r="E282">
            <v>1</v>
          </cell>
          <cell r="F282">
            <v>20</v>
          </cell>
          <cell r="G282">
            <v>20</v>
          </cell>
        </row>
        <row r="283">
          <cell r="C283" t="str">
            <v xml:space="preserve">Extra labour for finishing </v>
          </cell>
          <cell r="D283" t="str">
            <v>Sqm</v>
          </cell>
          <cell r="E283">
            <v>1</v>
          </cell>
          <cell r="F283">
            <v>10</v>
          </cell>
          <cell r="G283">
            <v>10</v>
          </cell>
        </row>
        <row r="285">
          <cell r="A285" t="str">
            <v>M25SP</v>
          </cell>
          <cell r="B285">
            <v>0</v>
          </cell>
          <cell r="C285" t="str">
            <v>M25 Seepage Proof Concrete</v>
          </cell>
          <cell r="D285" t="str">
            <v>PER</v>
          </cell>
          <cell r="E285" t="str">
            <v>CUM</v>
          </cell>
          <cell r="F285" t="str">
            <v>Rs</v>
          </cell>
          <cell r="G285">
            <v>3803.8</v>
          </cell>
          <cell r="H285">
            <v>3804</v>
          </cell>
        </row>
        <row r="287">
          <cell r="B287" t="str">
            <v>h</v>
          </cell>
          <cell r="C287" t="str">
            <v>M30 seepage proofing/water-tight concrete</v>
          </cell>
        </row>
        <row r="288">
          <cell r="C288" t="str">
            <v>Cost of M30 Concrete below GL</v>
          </cell>
          <cell r="D288" t="str">
            <v>CUM</v>
          </cell>
          <cell r="E288">
            <v>1</v>
          </cell>
          <cell r="F288">
            <v>3907</v>
          </cell>
          <cell r="G288">
            <v>3907</v>
          </cell>
        </row>
        <row r="289">
          <cell r="C289" t="str">
            <v>Water proofing compound 2% of Cement ( i.e 6 bags = 50kg *0.02)</v>
          </cell>
          <cell r="D289" t="str">
            <v>KG</v>
          </cell>
          <cell r="E289">
            <v>0.32000000000000006</v>
          </cell>
          <cell r="F289">
            <v>90</v>
          </cell>
          <cell r="G289">
            <v>28.800000000000004</v>
          </cell>
        </row>
        <row r="290">
          <cell r="C290" t="str">
            <v xml:space="preserve">Concrete hardener </v>
          </cell>
          <cell r="D290" t="str">
            <v>Kg</v>
          </cell>
          <cell r="E290">
            <v>2.5</v>
          </cell>
          <cell r="F290">
            <v>22</v>
          </cell>
          <cell r="G290">
            <v>55</v>
          </cell>
        </row>
        <row r="291">
          <cell r="C291" t="str">
            <v>Shuttering</v>
          </cell>
          <cell r="D291" t="str">
            <v>Sqm</v>
          </cell>
          <cell r="E291">
            <v>1</v>
          </cell>
          <cell r="F291">
            <v>20</v>
          </cell>
          <cell r="G291">
            <v>20</v>
          </cell>
        </row>
        <row r="292">
          <cell r="C292" t="str">
            <v xml:space="preserve">Extra labour for finishing </v>
          </cell>
          <cell r="D292" t="str">
            <v>Sqm</v>
          </cell>
          <cell r="E292">
            <v>1</v>
          </cell>
          <cell r="F292">
            <v>10</v>
          </cell>
          <cell r="G292">
            <v>10</v>
          </cell>
        </row>
        <row r="294">
          <cell r="A294" t="str">
            <v>M30SP</v>
          </cell>
          <cell r="B294">
            <v>0</v>
          </cell>
          <cell r="C294" t="str">
            <v>M30 Seepage Proof Concrete</v>
          </cell>
          <cell r="D294" t="str">
            <v>PER</v>
          </cell>
          <cell r="E294" t="str">
            <v>CUM</v>
          </cell>
          <cell r="F294" t="str">
            <v>Rs</v>
          </cell>
          <cell r="G294">
            <v>4020.8</v>
          </cell>
          <cell r="H294">
            <v>4021</v>
          </cell>
        </row>
        <row r="296">
          <cell r="B296">
            <v>2</v>
          </cell>
          <cell r="C296" t="str">
            <v>For works above ground level(+0.00m)</v>
          </cell>
        </row>
        <row r="297">
          <cell r="B297" t="str">
            <v>a</v>
          </cell>
          <cell r="C297" t="str">
            <v>Grade M-15</v>
          </cell>
        </row>
        <row r="298">
          <cell r="C298" t="str">
            <v>Cost of M15 Concrete  for structures below GL</v>
          </cell>
          <cell r="D298" t="str">
            <v>CUM</v>
          </cell>
          <cell r="E298">
            <v>1</v>
          </cell>
          <cell r="F298">
            <v>2929</v>
          </cell>
          <cell r="G298">
            <v>2929</v>
          </cell>
        </row>
        <row r="299">
          <cell r="C299" t="str">
            <v>Addl. Cost for Lead</v>
          </cell>
          <cell r="D299" t="str">
            <v>LS</v>
          </cell>
          <cell r="E299">
            <v>1</v>
          </cell>
          <cell r="F299">
            <v>150</v>
          </cell>
          <cell r="G299">
            <v>150</v>
          </cell>
        </row>
        <row r="301">
          <cell r="A301" t="str">
            <v>M15A</v>
          </cell>
          <cell r="B301">
            <v>0</v>
          </cell>
          <cell r="C301" t="str">
            <v>Cost of M15 Concrete  for structures above GL</v>
          </cell>
          <cell r="D301" t="str">
            <v>PER</v>
          </cell>
          <cell r="E301" t="str">
            <v>CUM</v>
          </cell>
          <cell r="F301" t="str">
            <v>RS</v>
          </cell>
          <cell r="G301">
            <v>3079</v>
          </cell>
          <cell r="H301">
            <v>3079</v>
          </cell>
        </row>
        <row r="303">
          <cell r="B303" t="str">
            <v>b</v>
          </cell>
          <cell r="C303" t="str">
            <v xml:space="preserve">Grade M-20 </v>
          </cell>
        </row>
        <row r="304">
          <cell r="C304" t="str">
            <v>Cost of M20 Concrete  for structures below GL</v>
          </cell>
          <cell r="D304" t="str">
            <v>CUM</v>
          </cell>
          <cell r="E304">
            <v>1</v>
          </cell>
          <cell r="F304">
            <v>3434</v>
          </cell>
          <cell r="G304">
            <v>3434</v>
          </cell>
        </row>
        <row r="305">
          <cell r="C305" t="str">
            <v>Addl. Cost for Lead</v>
          </cell>
          <cell r="D305" t="str">
            <v>LS</v>
          </cell>
          <cell r="E305">
            <v>1</v>
          </cell>
          <cell r="F305">
            <v>150</v>
          </cell>
          <cell r="G305">
            <v>150</v>
          </cell>
        </row>
        <row r="307">
          <cell r="A307" t="str">
            <v>M20A</v>
          </cell>
          <cell r="B307">
            <v>0</v>
          </cell>
          <cell r="C307" t="str">
            <v>Cost of M20 Concrete  for structures above GL</v>
          </cell>
          <cell r="D307" t="str">
            <v>PER</v>
          </cell>
          <cell r="E307" t="str">
            <v>CUM</v>
          </cell>
          <cell r="F307" t="str">
            <v>RS</v>
          </cell>
          <cell r="G307">
            <v>3584</v>
          </cell>
          <cell r="H307">
            <v>3584</v>
          </cell>
        </row>
        <row r="309">
          <cell r="B309" t="str">
            <v>c</v>
          </cell>
          <cell r="C309" t="str">
            <v xml:space="preserve">Grade M-25 </v>
          </cell>
        </row>
        <row r="310">
          <cell r="C310" t="str">
            <v>Cost of M25 Concrete  for structures below GL</v>
          </cell>
          <cell r="D310" t="str">
            <v>CUM</v>
          </cell>
          <cell r="E310">
            <v>1</v>
          </cell>
          <cell r="F310">
            <v>3690</v>
          </cell>
          <cell r="G310">
            <v>3690</v>
          </cell>
        </row>
        <row r="311">
          <cell r="C311" t="str">
            <v>Addl. Cost for Lead</v>
          </cell>
          <cell r="D311" t="str">
            <v>LS</v>
          </cell>
          <cell r="E311">
            <v>1</v>
          </cell>
          <cell r="F311">
            <v>150</v>
          </cell>
          <cell r="G311">
            <v>150</v>
          </cell>
        </row>
        <row r="313">
          <cell r="A313" t="str">
            <v>M25A</v>
          </cell>
          <cell r="B313">
            <v>0</v>
          </cell>
          <cell r="C313" t="str">
            <v>Cost of M25 Concrete  for structures above GL</v>
          </cell>
          <cell r="D313" t="str">
            <v>PER</v>
          </cell>
          <cell r="E313" t="str">
            <v>CUM</v>
          </cell>
          <cell r="F313" t="str">
            <v>RS</v>
          </cell>
          <cell r="G313">
            <v>3840</v>
          </cell>
          <cell r="H313">
            <v>3840</v>
          </cell>
        </row>
        <row r="315">
          <cell r="B315" t="str">
            <v>d</v>
          </cell>
          <cell r="C315" t="str">
            <v xml:space="preserve">Grade M-30 </v>
          </cell>
        </row>
        <row r="316">
          <cell r="C316" t="str">
            <v>Cost of M30 Concrete  for structures below GL</v>
          </cell>
          <cell r="D316" t="str">
            <v>CUM</v>
          </cell>
          <cell r="E316">
            <v>1</v>
          </cell>
          <cell r="F316">
            <v>3907</v>
          </cell>
          <cell r="G316">
            <v>3907</v>
          </cell>
        </row>
        <row r="317">
          <cell r="C317" t="str">
            <v>Addl. Cost for Lead</v>
          </cell>
          <cell r="D317" t="str">
            <v>LS</v>
          </cell>
          <cell r="E317">
            <v>1</v>
          </cell>
          <cell r="F317">
            <v>150</v>
          </cell>
          <cell r="G317">
            <v>150</v>
          </cell>
        </row>
        <row r="319">
          <cell r="A319" t="str">
            <v>M30A</v>
          </cell>
          <cell r="B319">
            <v>0</v>
          </cell>
          <cell r="C319" t="str">
            <v>Cost of M30 Concrete  for structures above GL</v>
          </cell>
          <cell r="D319" t="str">
            <v>PER</v>
          </cell>
          <cell r="E319" t="str">
            <v>CUM</v>
          </cell>
          <cell r="F319" t="str">
            <v>RS</v>
          </cell>
          <cell r="G319">
            <v>4057</v>
          </cell>
          <cell r="H319">
            <v>4057</v>
          </cell>
        </row>
        <row r="321">
          <cell r="B321" t="str">
            <v>e</v>
          </cell>
          <cell r="C321" t="str">
            <v xml:space="preserve">Grade M-35 </v>
          </cell>
        </row>
        <row r="322">
          <cell r="C322" t="str">
            <v>Cost of M35 Concrete  for structures below GL</v>
          </cell>
          <cell r="D322" t="str">
            <v>CUM</v>
          </cell>
          <cell r="E322">
            <v>1</v>
          </cell>
          <cell r="F322">
            <v>4176</v>
          </cell>
          <cell r="G322">
            <v>4176</v>
          </cell>
        </row>
        <row r="323">
          <cell r="C323" t="str">
            <v>Addl. Cost for Lead</v>
          </cell>
          <cell r="D323" t="str">
            <v>LS</v>
          </cell>
          <cell r="E323">
            <v>1</v>
          </cell>
          <cell r="F323">
            <v>150</v>
          </cell>
          <cell r="G323">
            <v>150</v>
          </cell>
        </row>
        <row r="325">
          <cell r="A325" t="str">
            <v>M35A</v>
          </cell>
          <cell r="B325">
            <v>0</v>
          </cell>
          <cell r="C325" t="str">
            <v>Cost of M35 Concrete  for structures above GL</v>
          </cell>
          <cell r="D325" t="str">
            <v>PER</v>
          </cell>
          <cell r="E325" t="str">
            <v>CUM</v>
          </cell>
          <cell r="F325" t="str">
            <v>RS</v>
          </cell>
          <cell r="G325">
            <v>4326</v>
          </cell>
          <cell r="H325">
            <v>4326</v>
          </cell>
        </row>
        <row r="327">
          <cell r="B327" t="str">
            <v>f</v>
          </cell>
          <cell r="C327" t="str">
            <v xml:space="preserve">Grade M-40 </v>
          </cell>
        </row>
        <row r="328">
          <cell r="C328" t="str">
            <v>Cost of M40 Concrete  for structures below GL</v>
          </cell>
          <cell r="D328" t="str">
            <v>CUM</v>
          </cell>
          <cell r="E328">
            <v>1</v>
          </cell>
          <cell r="F328">
            <v>4444</v>
          </cell>
          <cell r="G328">
            <v>4444</v>
          </cell>
        </row>
        <row r="329">
          <cell r="C329" t="str">
            <v>Addl. Cost for Lead</v>
          </cell>
          <cell r="D329" t="str">
            <v>LS</v>
          </cell>
          <cell r="E329">
            <v>1</v>
          </cell>
          <cell r="F329">
            <v>150</v>
          </cell>
          <cell r="G329">
            <v>150</v>
          </cell>
        </row>
        <row r="331">
          <cell r="A331" t="str">
            <v>M40A</v>
          </cell>
          <cell r="B331">
            <v>0</v>
          </cell>
          <cell r="C331" t="str">
            <v>Cost of M40 Concrete  for structures above GL</v>
          </cell>
          <cell r="D331" t="str">
            <v>PER</v>
          </cell>
          <cell r="E331" t="str">
            <v>CUM</v>
          </cell>
          <cell r="F331" t="str">
            <v>RS</v>
          </cell>
          <cell r="G331">
            <v>4594</v>
          </cell>
          <cell r="H331">
            <v>4594</v>
          </cell>
        </row>
        <row r="333">
          <cell r="B333">
            <v>8</v>
          </cell>
          <cell r="C333" t="str">
            <v xml:space="preserve">Providing and fitting precast design mix cement concrete with graded aggregate (maximum size of coarse aggregate not exceeding 20 mm or 40mm unless specified otherwise) and the required admixtures for reinforced concrete work at all levels, for all kinds </v>
          </cell>
        </row>
        <row r="334">
          <cell r="B334" t="str">
            <v>a</v>
          </cell>
          <cell r="C334" t="str">
            <v>Grade M-20 (for all other components of the super structure, roof slab,mini-structures,beams,columns,walls and other structure attachments, etc.)</v>
          </cell>
        </row>
        <row r="335">
          <cell r="C335" t="str">
            <v>Cost of M20 concrete for structures above GL</v>
          </cell>
          <cell r="D335" t="str">
            <v>CUM</v>
          </cell>
          <cell r="E335">
            <v>1.0125</v>
          </cell>
          <cell r="F335">
            <v>5084</v>
          </cell>
          <cell r="G335">
            <v>5147.55</v>
          </cell>
        </row>
        <row r="336">
          <cell r="C336" t="str">
            <v xml:space="preserve">Cost of CM for fixing </v>
          </cell>
          <cell r="D336" t="str">
            <v>Sq/cum</v>
          </cell>
          <cell r="E336">
            <v>5</v>
          </cell>
          <cell r="F336">
            <v>225</v>
          </cell>
          <cell r="G336">
            <v>1125</v>
          </cell>
        </row>
        <row r="337">
          <cell r="C337" t="str">
            <v>Cost for labour for fixing</v>
          </cell>
          <cell r="D337" t="str">
            <v>cum</v>
          </cell>
          <cell r="E337">
            <v>1</v>
          </cell>
          <cell r="F337">
            <v>2000</v>
          </cell>
          <cell r="G337">
            <v>2000</v>
          </cell>
        </row>
        <row r="339">
          <cell r="A339" t="str">
            <v>PCM20</v>
          </cell>
          <cell r="B339">
            <v>0</v>
          </cell>
          <cell r="C339" t="str">
            <v>Cost of M20 Precast Concrete above GL</v>
          </cell>
          <cell r="D339" t="str">
            <v>PER</v>
          </cell>
          <cell r="E339" t="str">
            <v>CUM</v>
          </cell>
          <cell r="F339" t="str">
            <v>RS</v>
          </cell>
          <cell r="G339">
            <v>8273</v>
          </cell>
          <cell r="H339">
            <v>8273</v>
          </cell>
        </row>
        <row r="341">
          <cell r="B341" t="str">
            <v>b</v>
          </cell>
          <cell r="C341" t="str">
            <v>Grade M-25 (for all other components of the super structure, roof slab,mini-structures,beams,columns,walls and other structure attachments, etc.)</v>
          </cell>
        </row>
        <row r="342">
          <cell r="C342" t="str">
            <v>Cost of M25 Concrete  for structures above GL</v>
          </cell>
          <cell r="D342" t="str">
            <v>CUM</v>
          </cell>
          <cell r="E342">
            <v>1.0125</v>
          </cell>
          <cell r="F342">
            <v>5340</v>
          </cell>
          <cell r="G342">
            <v>5406.75</v>
          </cell>
        </row>
        <row r="343">
          <cell r="C343" t="str">
            <v xml:space="preserve">Cost of CM for fixing </v>
          </cell>
          <cell r="D343" t="str">
            <v>Sq/cum</v>
          </cell>
          <cell r="E343">
            <v>5</v>
          </cell>
          <cell r="F343">
            <v>225</v>
          </cell>
          <cell r="G343">
            <v>1125</v>
          </cell>
        </row>
        <row r="344">
          <cell r="C344" t="str">
            <v>Cost for labour for fixing</v>
          </cell>
          <cell r="D344" t="str">
            <v>cum</v>
          </cell>
          <cell r="E344">
            <v>1</v>
          </cell>
          <cell r="F344">
            <v>2000</v>
          </cell>
          <cell r="G344">
            <v>2000</v>
          </cell>
        </row>
        <row r="346">
          <cell r="A346" t="str">
            <v>PCM25</v>
          </cell>
          <cell r="B346">
            <v>0</v>
          </cell>
          <cell r="C346" t="str">
            <v>Cost of M25 Precast Concrete above GL</v>
          </cell>
          <cell r="D346" t="str">
            <v>PER</v>
          </cell>
          <cell r="E346" t="str">
            <v>CUM</v>
          </cell>
          <cell r="F346" t="str">
            <v>RS</v>
          </cell>
          <cell r="G346">
            <v>8532</v>
          </cell>
          <cell r="H346">
            <v>8532</v>
          </cell>
        </row>
        <row r="348">
          <cell r="B348" t="str">
            <v>c</v>
          </cell>
          <cell r="C348" t="str">
            <v>Grade M-30 (for all other components of the super structure, roof slab,mini-structures,beams,columns,walls and other structure attachments, etc.)</v>
          </cell>
        </row>
        <row r="349">
          <cell r="C349" t="str">
            <v>Cost of M30 Concrete  for structures above GL</v>
          </cell>
          <cell r="D349" t="str">
            <v>CUM</v>
          </cell>
          <cell r="E349">
            <v>1.0125</v>
          </cell>
          <cell r="F349">
            <v>5557</v>
          </cell>
          <cell r="G349">
            <v>5626.4624999999996</v>
          </cell>
        </row>
        <row r="350">
          <cell r="C350" t="str">
            <v xml:space="preserve">Cost of CM for fixing </v>
          </cell>
          <cell r="D350" t="str">
            <v>Sq/cum</v>
          </cell>
          <cell r="E350">
            <v>5</v>
          </cell>
          <cell r="F350">
            <v>225</v>
          </cell>
          <cell r="G350">
            <v>1125</v>
          </cell>
        </row>
        <row r="351">
          <cell r="C351" t="str">
            <v>Cost for labour for fixing</v>
          </cell>
          <cell r="D351" t="str">
            <v>cum</v>
          </cell>
          <cell r="E351">
            <v>1</v>
          </cell>
          <cell r="F351">
            <v>2000</v>
          </cell>
          <cell r="G351">
            <v>2000</v>
          </cell>
        </row>
        <row r="353">
          <cell r="A353" t="str">
            <v>PCM30</v>
          </cell>
          <cell r="B353">
            <v>0</v>
          </cell>
          <cell r="C353" t="str">
            <v>Cost of M30 Precast Concrete above GL</v>
          </cell>
          <cell r="D353" t="str">
            <v>PER</v>
          </cell>
          <cell r="E353" t="str">
            <v>CUM</v>
          </cell>
          <cell r="F353" t="str">
            <v>RS</v>
          </cell>
          <cell r="G353">
            <v>8752</v>
          </cell>
          <cell r="H353">
            <v>8752</v>
          </cell>
        </row>
        <row r="355">
          <cell r="B355" t="str">
            <v>d</v>
          </cell>
          <cell r="C355" t="str">
            <v xml:space="preserve">Grade M-35 </v>
          </cell>
        </row>
        <row r="356">
          <cell r="C356" t="str">
            <v>Cost of M35 Concrete  for structures above GL</v>
          </cell>
          <cell r="D356" t="str">
            <v>CUM</v>
          </cell>
          <cell r="E356">
            <v>1.0125</v>
          </cell>
          <cell r="F356">
            <v>5826</v>
          </cell>
          <cell r="G356">
            <v>5898.8249999999998</v>
          </cell>
        </row>
        <row r="357">
          <cell r="C357" t="str">
            <v xml:space="preserve">Cost of CM for fixing </v>
          </cell>
          <cell r="D357" t="str">
            <v>Sq/cum</v>
          </cell>
          <cell r="E357">
            <v>5</v>
          </cell>
          <cell r="F357">
            <v>225</v>
          </cell>
          <cell r="G357">
            <v>1125</v>
          </cell>
        </row>
        <row r="358">
          <cell r="C358" t="str">
            <v>Cost for labour for fixing</v>
          </cell>
          <cell r="D358" t="str">
            <v>cum</v>
          </cell>
          <cell r="E358">
            <v>1</v>
          </cell>
          <cell r="F358">
            <v>2000</v>
          </cell>
          <cell r="G358">
            <v>2000</v>
          </cell>
        </row>
        <row r="360">
          <cell r="A360" t="str">
            <v>PCM35</v>
          </cell>
          <cell r="B360">
            <v>0</v>
          </cell>
          <cell r="C360" t="str">
            <v>Cost of M35 Precast Concrete above GL</v>
          </cell>
          <cell r="D360" t="str">
            <v>PER</v>
          </cell>
          <cell r="E360" t="str">
            <v>CUM</v>
          </cell>
          <cell r="F360" t="str">
            <v>RS</v>
          </cell>
          <cell r="G360">
            <v>9024</v>
          </cell>
          <cell r="H360">
            <v>9024</v>
          </cell>
        </row>
        <row r="362">
          <cell r="B362">
            <v>9</v>
          </cell>
          <cell r="C362" t="str">
            <v>Providing and laying  concrete (with fine aggregate as its aggregate ) grouting with its strength M35 or bigger  for  work beneath frame steel column baseplate at all levels, for all kinds of work including all labour, material  equipment, handling, trans</v>
          </cell>
        </row>
        <row r="363">
          <cell r="C363" t="str">
            <v>Concrete M-40</v>
          </cell>
          <cell r="D363" t="str">
            <v>Cum</v>
          </cell>
          <cell r="E363">
            <v>1</v>
          </cell>
          <cell r="F363">
            <v>4594</v>
          </cell>
          <cell r="G363">
            <v>4594</v>
          </cell>
        </row>
        <row r="364">
          <cell r="C364" t="str">
            <v>Cost For shuttering</v>
          </cell>
          <cell r="D364" t="str">
            <v>Cum</v>
          </cell>
          <cell r="E364">
            <v>1</v>
          </cell>
          <cell r="F364">
            <v>850</v>
          </cell>
          <cell r="G364">
            <v>850</v>
          </cell>
        </row>
        <row r="365">
          <cell r="C365" t="str">
            <v xml:space="preserve">Cost for Labour </v>
          </cell>
          <cell r="D365" t="str">
            <v>Cum</v>
          </cell>
          <cell r="E365">
            <v>1</v>
          </cell>
          <cell r="F365">
            <v>1500</v>
          </cell>
          <cell r="G365">
            <v>1500</v>
          </cell>
        </row>
        <row r="367">
          <cell r="A367" t="str">
            <v>GM35</v>
          </cell>
          <cell r="B367">
            <v>0</v>
          </cell>
          <cell r="C367" t="str">
            <v>Cost of Grouting</v>
          </cell>
          <cell r="D367" t="str">
            <v>PER</v>
          </cell>
          <cell r="E367" t="str">
            <v>CUM</v>
          </cell>
          <cell r="F367" t="str">
            <v>RS</v>
          </cell>
          <cell r="G367">
            <v>6944</v>
          </cell>
          <cell r="H367">
            <v>6944</v>
          </cell>
        </row>
        <row r="369">
          <cell r="B369">
            <v>10</v>
          </cell>
          <cell r="C369" t="str">
            <v xml:space="preserve">Providing and laying design Non shrink grout  for reinforced concrete work at all levels, for all kinds of work  including all labour, material  equipment, handling, transporting, batching, mixing, placing, leveling compacting, curing, testing, etc..,and </v>
          </cell>
        </row>
        <row r="370">
          <cell r="C370" t="str">
            <v>Shrinkcomp - 30(RS 8450+2000 + 20 % ED + 4 % ST + 3% ESC.)</v>
          </cell>
          <cell r="D370" t="str">
            <v>MT</v>
          </cell>
          <cell r="E370">
            <v>2</v>
          </cell>
          <cell r="F370">
            <v>13432.848</v>
          </cell>
          <cell r="G370">
            <v>26865.696</v>
          </cell>
        </row>
        <row r="371">
          <cell r="C371" t="str">
            <v>Wastage  ( AS SPECIFIED BY SUPP. M/S. ACC REF.)</v>
          </cell>
          <cell r="D371" t="str">
            <v>%</v>
          </cell>
          <cell r="E371">
            <v>0.2</v>
          </cell>
          <cell r="F371">
            <v>13432.848</v>
          </cell>
          <cell r="G371">
            <v>2686.5696000000003</v>
          </cell>
        </row>
        <row r="372">
          <cell r="C372" t="str">
            <v xml:space="preserve">Cost of Shuttering </v>
          </cell>
          <cell r="D372" t="str">
            <v>LS</v>
          </cell>
          <cell r="E372">
            <v>1</v>
          </cell>
          <cell r="F372">
            <v>500</v>
          </cell>
          <cell r="G372">
            <v>500</v>
          </cell>
        </row>
        <row r="373">
          <cell r="C373" t="str">
            <v xml:space="preserve">Cost of labour </v>
          </cell>
          <cell r="D373" t="str">
            <v>CUM</v>
          </cell>
          <cell r="E373">
            <v>1</v>
          </cell>
          <cell r="F373">
            <v>1500</v>
          </cell>
          <cell r="G373">
            <v>1500</v>
          </cell>
        </row>
        <row r="375">
          <cell r="A375" t="str">
            <v>NSG</v>
          </cell>
          <cell r="B375">
            <v>0</v>
          </cell>
          <cell r="C375" t="str">
            <v xml:space="preserve">Non shrink grout SHIRNKKOMP-30 (From ACC) </v>
          </cell>
          <cell r="D375" t="str">
            <v>PER</v>
          </cell>
          <cell r="E375" t="str">
            <v>CUM</v>
          </cell>
          <cell r="F375" t="str">
            <v>RS</v>
          </cell>
          <cell r="G375">
            <v>31552.265599999999</v>
          </cell>
          <cell r="H375">
            <v>31553</v>
          </cell>
        </row>
        <row r="377">
          <cell r="B377">
            <v>11</v>
          </cell>
          <cell r="C377" t="str">
            <v>Providing and laying design mix cement concrete grouting (1:1) with Cement sand and the required admixtures for reinforced concrete work at all levels, for all kinds of work including all labour, material  equipment, handling, transporting, batching, mixi</v>
          </cell>
        </row>
        <row r="378">
          <cell r="C378" t="str">
            <v>Cement ( CM : 1: 3 )</v>
          </cell>
          <cell r="D378" t="str">
            <v>BAG</v>
          </cell>
          <cell r="E378">
            <v>0.2</v>
          </cell>
          <cell r="F378">
            <v>263</v>
          </cell>
          <cell r="G378">
            <v>52.6</v>
          </cell>
        </row>
        <row r="379">
          <cell r="C379" t="str">
            <v xml:space="preserve">Sand </v>
          </cell>
          <cell r="D379" t="str">
            <v>CUM</v>
          </cell>
          <cell r="E379">
            <v>0.03</v>
          </cell>
          <cell r="F379">
            <v>183</v>
          </cell>
          <cell r="G379">
            <v>5.49</v>
          </cell>
        </row>
        <row r="380">
          <cell r="C380" t="str">
            <v xml:space="preserve">Labour </v>
          </cell>
          <cell r="D380" t="str">
            <v>SQM</v>
          </cell>
          <cell r="E380">
            <v>1</v>
          </cell>
          <cell r="F380">
            <v>85</v>
          </cell>
          <cell r="G380">
            <v>85</v>
          </cell>
        </row>
        <row r="381">
          <cell r="C381" t="str">
            <v>Cost of Chicken wire mesh</v>
          </cell>
          <cell r="D381" t="str">
            <v>SQM</v>
          </cell>
          <cell r="E381">
            <v>1</v>
          </cell>
          <cell r="F381">
            <v>65</v>
          </cell>
          <cell r="G381">
            <v>65</v>
          </cell>
        </row>
        <row r="382">
          <cell r="C382" t="str">
            <v>P&amp;M for Shortcreting</v>
          </cell>
          <cell r="D382" t="str">
            <v>LS</v>
          </cell>
          <cell r="E382">
            <v>1</v>
          </cell>
          <cell r="F382">
            <v>100</v>
          </cell>
          <cell r="G382">
            <v>100</v>
          </cell>
        </row>
        <row r="384">
          <cell r="A384" t="str">
            <v>GCS</v>
          </cell>
          <cell r="B384">
            <v>0</v>
          </cell>
          <cell r="C384" t="str">
            <v>Cost of Grouting with Cement Sand</v>
          </cell>
          <cell r="D384" t="str">
            <v>PER</v>
          </cell>
          <cell r="E384" t="str">
            <v>SQM</v>
          </cell>
          <cell r="F384" t="str">
            <v>RS</v>
          </cell>
          <cell r="G384">
            <v>309</v>
          </cell>
          <cell r="H384">
            <v>309</v>
          </cell>
        </row>
        <row r="387">
          <cell r="B387">
            <v>12</v>
          </cell>
          <cell r="C387" t="str">
            <v>For works below ground level:</v>
          </cell>
        </row>
        <row r="388">
          <cell r="B388" t="str">
            <v>a</v>
          </cell>
          <cell r="C388" t="str">
            <v>High strength deformed bars (Fe 415).</v>
          </cell>
        </row>
        <row r="389">
          <cell r="C389" t="str">
            <v xml:space="preserve">Cost of steel </v>
          </cell>
          <cell r="D389" t="str">
            <v>MT</v>
          </cell>
          <cell r="E389">
            <v>1</v>
          </cell>
          <cell r="F389">
            <v>1300</v>
          </cell>
          <cell r="G389">
            <v>1300</v>
          </cell>
        </row>
        <row r="390">
          <cell r="C390" t="str">
            <v xml:space="preserve">Labour for Bending </v>
          </cell>
          <cell r="D390" t="str">
            <v>MT</v>
          </cell>
          <cell r="E390">
            <v>1</v>
          </cell>
          <cell r="F390">
            <v>2000</v>
          </cell>
          <cell r="G390">
            <v>2000</v>
          </cell>
        </row>
        <row r="391">
          <cell r="C391" t="str">
            <v>Cost of Binding wire</v>
          </cell>
          <cell r="D391" t="str">
            <v>KG</v>
          </cell>
          <cell r="E391">
            <v>9</v>
          </cell>
          <cell r="F391">
            <v>38</v>
          </cell>
          <cell r="G391">
            <v>342</v>
          </cell>
        </row>
        <row r="392">
          <cell r="C392" t="str">
            <v>Cost of cover blocks</v>
          </cell>
          <cell r="D392" t="str">
            <v>MT</v>
          </cell>
          <cell r="E392">
            <v>1</v>
          </cell>
          <cell r="F392">
            <v>50</v>
          </cell>
          <cell r="G392">
            <v>50</v>
          </cell>
        </row>
        <row r="393">
          <cell r="C393" t="str">
            <v>Extra for lift</v>
          </cell>
          <cell r="D393" t="str">
            <v>MT</v>
          </cell>
          <cell r="E393">
            <v>1</v>
          </cell>
          <cell r="F393">
            <v>50</v>
          </cell>
          <cell r="G393">
            <v>50</v>
          </cell>
        </row>
        <row r="394">
          <cell r="C394" t="str">
            <v>Cost of P &amp; M</v>
          </cell>
          <cell r="D394" t="str">
            <v>Ls</v>
          </cell>
          <cell r="E394">
            <v>1</v>
          </cell>
          <cell r="F394">
            <v>150</v>
          </cell>
          <cell r="G394">
            <v>150</v>
          </cell>
        </row>
        <row r="396">
          <cell r="A396" t="str">
            <v>FE415B</v>
          </cell>
          <cell r="B396">
            <v>0</v>
          </cell>
          <cell r="C396" t="str">
            <v>Cost of Rebar - HYSD Below GL</v>
          </cell>
          <cell r="D396" t="str">
            <v>PER</v>
          </cell>
          <cell r="E396" t="str">
            <v>MT</v>
          </cell>
          <cell r="F396" t="str">
            <v>RS</v>
          </cell>
          <cell r="G396">
            <v>3892</v>
          </cell>
          <cell r="H396">
            <v>3892</v>
          </cell>
        </row>
        <row r="398">
          <cell r="B398" t="str">
            <v>b</v>
          </cell>
          <cell r="C398" t="str">
            <v>Mild steel reinforcement bars (Fe 250)</v>
          </cell>
        </row>
        <row r="399">
          <cell r="C399" t="str">
            <v xml:space="preserve">Cost of steel </v>
          </cell>
          <cell r="D399" t="str">
            <v>MT</v>
          </cell>
          <cell r="E399">
            <v>1</v>
          </cell>
          <cell r="F399">
            <v>1300</v>
          </cell>
          <cell r="G399">
            <v>1300</v>
          </cell>
        </row>
        <row r="400">
          <cell r="C400" t="str">
            <v xml:space="preserve">Labour for Bending </v>
          </cell>
          <cell r="D400" t="str">
            <v>MT</v>
          </cell>
          <cell r="E400">
            <v>1</v>
          </cell>
          <cell r="F400">
            <v>1700</v>
          </cell>
          <cell r="G400">
            <v>1700</v>
          </cell>
        </row>
        <row r="401">
          <cell r="C401" t="str">
            <v>Cost of Binding wire</v>
          </cell>
          <cell r="D401" t="str">
            <v>KG</v>
          </cell>
          <cell r="E401">
            <v>9</v>
          </cell>
          <cell r="F401">
            <v>32</v>
          </cell>
          <cell r="G401">
            <v>288</v>
          </cell>
        </row>
        <row r="402">
          <cell r="C402" t="str">
            <v>Cost of cover blocks</v>
          </cell>
          <cell r="D402" t="str">
            <v>MT</v>
          </cell>
          <cell r="E402">
            <v>1</v>
          </cell>
          <cell r="F402">
            <v>50</v>
          </cell>
          <cell r="G402">
            <v>50</v>
          </cell>
        </row>
        <row r="403">
          <cell r="C403" t="str">
            <v>Extra for lift</v>
          </cell>
          <cell r="D403" t="str">
            <v>MT</v>
          </cell>
          <cell r="E403">
            <v>1</v>
          </cell>
          <cell r="F403">
            <v>50</v>
          </cell>
          <cell r="G403">
            <v>50</v>
          </cell>
        </row>
        <row r="404">
          <cell r="C404" t="str">
            <v>Cost of P &amp; M</v>
          </cell>
          <cell r="D404" t="str">
            <v>Ls</v>
          </cell>
          <cell r="E404">
            <v>1</v>
          </cell>
          <cell r="F404">
            <v>150</v>
          </cell>
          <cell r="G404">
            <v>150</v>
          </cell>
        </row>
        <row r="406">
          <cell r="A406" t="str">
            <v>FE250B</v>
          </cell>
          <cell r="B406">
            <v>0</v>
          </cell>
          <cell r="C406" t="str">
            <v>Cost of Rebar - MS Below GL</v>
          </cell>
          <cell r="D406" t="str">
            <v>PER</v>
          </cell>
          <cell r="E406" t="str">
            <v>MT</v>
          </cell>
          <cell r="F406" t="str">
            <v>RS</v>
          </cell>
          <cell r="G406">
            <v>3538</v>
          </cell>
          <cell r="H406">
            <v>3538</v>
          </cell>
        </row>
        <row r="408">
          <cell r="C408" t="str">
            <v>For works above ground level</v>
          </cell>
        </row>
        <row r="409">
          <cell r="B409" t="str">
            <v>c</v>
          </cell>
          <cell r="C409" t="str">
            <v>High strength deformed bars (Fe 415)</v>
          </cell>
        </row>
        <row r="410">
          <cell r="C410" t="str">
            <v xml:space="preserve">Cost of steel </v>
          </cell>
          <cell r="D410" t="str">
            <v>MT</v>
          </cell>
          <cell r="E410">
            <v>1</v>
          </cell>
          <cell r="F410">
            <v>1300</v>
          </cell>
          <cell r="G410">
            <v>1300</v>
          </cell>
        </row>
        <row r="411">
          <cell r="C411" t="str">
            <v xml:space="preserve">Labour for Bending </v>
          </cell>
          <cell r="D411" t="str">
            <v>MT</v>
          </cell>
          <cell r="E411">
            <v>1</v>
          </cell>
          <cell r="F411">
            <v>2000</v>
          </cell>
          <cell r="G411">
            <v>2000</v>
          </cell>
        </row>
        <row r="412">
          <cell r="C412" t="str">
            <v>Cost of Binding wire</v>
          </cell>
          <cell r="D412" t="str">
            <v>KG</v>
          </cell>
          <cell r="E412">
            <v>9</v>
          </cell>
          <cell r="F412">
            <v>32</v>
          </cell>
          <cell r="G412">
            <v>288</v>
          </cell>
        </row>
        <row r="413">
          <cell r="C413" t="str">
            <v>Cost of cover blocks</v>
          </cell>
          <cell r="D413" t="str">
            <v>MT</v>
          </cell>
          <cell r="E413">
            <v>1</v>
          </cell>
          <cell r="F413">
            <v>50</v>
          </cell>
          <cell r="G413">
            <v>50</v>
          </cell>
        </row>
        <row r="414">
          <cell r="C414" t="str">
            <v>Extra for lift</v>
          </cell>
          <cell r="D414" t="str">
            <v>MT</v>
          </cell>
          <cell r="E414">
            <v>1</v>
          </cell>
          <cell r="F414">
            <v>150</v>
          </cell>
          <cell r="G414">
            <v>150</v>
          </cell>
        </row>
        <row r="415">
          <cell r="C415" t="str">
            <v>Cost of P &amp; M</v>
          </cell>
          <cell r="D415" t="str">
            <v>Ls</v>
          </cell>
          <cell r="E415">
            <v>1</v>
          </cell>
          <cell r="F415">
            <v>150</v>
          </cell>
          <cell r="G415">
            <v>150</v>
          </cell>
        </row>
        <row r="417">
          <cell r="A417" t="str">
            <v>FE415A</v>
          </cell>
          <cell r="B417">
            <v>0</v>
          </cell>
          <cell r="C417" t="str">
            <v>Cost of Rebar - HYSD above GL</v>
          </cell>
          <cell r="D417" t="str">
            <v>PER</v>
          </cell>
          <cell r="E417" t="str">
            <v>MT</v>
          </cell>
          <cell r="F417" t="str">
            <v>RS</v>
          </cell>
          <cell r="G417">
            <v>3938</v>
          </cell>
          <cell r="H417">
            <v>3938</v>
          </cell>
        </row>
        <row r="419">
          <cell r="B419" t="str">
            <v>d</v>
          </cell>
          <cell r="C419" t="str">
            <v>Mild steel reinforcement bars (Fe 250)</v>
          </cell>
        </row>
        <row r="420">
          <cell r="C420" t="str">
            <v xml:space="preserve">Cost of steel </v>
          </cell>
          <cell r="D420" t="str">
            <v>MT</v>
          </cell>
          <cell r="E420">
            <v>1</v>
          </cell>
          <cell r="F420">
            <v>1300</v>
          </cell>
          <cell r="G420">
            <v>1300</v>
          </cell>
        </row>
        <row r="421">
          <cell r="C421" t="str">
            <v xml:space="preserve">Labour for Bending </v>
          </cell>
          <cell r="D421" t="str">
            <v>MT</v>
          </cell>
          <cell r="E421">
            <v>1</v>
          </cell>
          <cell r="F421">
            <v>1700</v>
          </cell>
          <cell r="G421">
            <v>1700</v>
          </cell>
        </row>
        <row r="422">
          <cell r="C422" t="str">
            <v>Cost of Binding wire</v>
          </cell>
          <cell r="D422" t="str">
            <v>KG</v>
          </cell>
          <cell r="E422">
            <v>9</v>
          </cell>
          <cell r="F422">
            <v>32</v>
          </cell>
          <cell r="G422">
            <v>288</v>
          </cell>
        </row>
        <row r="423">
          <cell r="C423" t="str">
            <v>Cost of cover blocks</v>
          </cell>
          <cell r="D423" t="str">
            <v>MT</v>
          </cell>
          <cell r="E423">
            <v>1</v>
          </cell>
          <cell r="F423">
            <v>50</v>
          </cell>
          <cell r="G423">
            <v>50</v>
          </cell>
        </row>
        <row r="424">
          <cell r="C424" t="str">
            <v>Extra for lift</v>
          </cell>
          <cell r="D424" t="str">
            <v>MT</v>
          </cell>
          <cell r="E424">
            <v>1</v>
          </cell>
          <cell r="F424">
            <v>150</v>
          </cell>
          <cell r="G424">
            <v>150</v>
          </cell>
        </row>
        <row r="425">
          <cell r="C425" t="str">
            <v>Cost of P &amp; M</v>
          </cell>
          <cell r="D425" t="str">
            <v>Ls</v>
          </cell>
          <cell r="E425">
            <v>1</v>
          </cell>
          <cell r="F425">
            <v>150</v>
          </cell>
          <cell r="G425">
            <v>150</v>
          </cell>
        </row>
        <row r="427">
          <cell r="A427" t="str">
            <v>FE250A</v>
          </cell>
          <cell r="B427">
            <v>0</v>
          </cell>
          <cell r="C427" t="str">
            <v>Cost of Rebar - MS Above GL</v>
          </cell>
          <cell r="D427" t="str">
            <v>PER</v>
          </cell>
          <cell r="E427" t="str">
            <v>MT</v>
          </cell>
          <cell r="F427" t="str">
            <v>RS</v>
          </cell>
          <cell r="G427">
            <v>3638</v>
          </cell>
          <cell r="H427">
            <v>3638</v>
          </cell>
        </row>
        <row r="430">
          <cell r="B430">
            <v>13</v>
          </cell>
          <cell r="C430" t="str">
            <v>Providing and fixing formwork of approved quality for cast-in-situ, plain or reinforced concrete works of any type section (including curved surfaces ) for all elevations, including labour, material, equipment, shoring, strutting, scaffolding, staging, ty</v>
          </cell>
        </row>
        <row r="431">
          <cell r="B431">
            <v>1</v>
          </cell>
          <cell r="C431" t="str">
            <v>for works below ground level :</v>
          </cell>
        </row>
        <row r="432">
          <cell r="B432" t="str">
            <v>a</v>
          </cell>
          <cell r="C432" t="str">
            <v>for structure, corbels, slab, column, beam, external platforms,ditches,cover boards and other structure attachments, etc.</v>
          </cell>
        </row>
        <row r="433">
          <cell r="A433" t="str">
            <v>FWBS</v>
          </cell>
          <cell r="B433">
            <v>0</v>
          </cell>
          <cell r="C433" t="str">
            <v>Cost of Formwork for columns, beams</v>
          </cell>
          <cell r="D433" t="str">
            <v>PER</v>
          </cell>
          <cell r="E433" t="str">
            <v>SQM</v>
          </cell>
          <cell r="F433" t="str">
            <v>RS</v>
          </cell>
          <cell r="G433">
            <v>225</v>
          </cell>
          <cell r="H433">
            <v>225</v>
          </cell>
        </row>
        <row r="435">
          <cell r="B435" t="str">
            <v>b</v>
          </cell>
          <cell r="C435" t="str">
            <v>for all kinds of foundations.</v>
          </cell>
        </row>
        <row r="436">
          <cell r="A436" t="str">
            <v>FWBF</v>
          </cell>
          <cell r="B436">
            <v>0</v>
          </cell>
          <cell r="C436" t="str">
            <v>Cost of Formwork for foundation</v>
          </cell>
          <cell r="D436" t="str">
            <v>PER</v>
          </cell>
          <cell r="E436" t="str">
            <v>SQM</v>
          </cell>
          <cell r="F436" t="str">
            <v>RS</v>
          </cell>
          <cell r="G436">
            <v>175</v>
          </cell>
          <cell r="H436">
            <v>175</v>
          </cell>
        </row>
        <row r="438">
          <cell r="B438" t="str">
            <v>c</v>
          </cell>
          <cell r="C438" t="str">
            <v xml:space="preserve">circular formwork </v>
          </cell>
        </row>
        <row r="439">
          <cell r="A439" t="str">
            <v>FWBC</v>
          </cell>
          <cell r="B439">
            <v>0</v>
          </cell>
          <cell r="C439" t="str">
            <v>cost of Circular Formwork</v>
          </cell>
          <cell r="D439" t="str">
            <v>PER</v>
          </cell>
          <cell r="E439" t="str">
            <v>SQM</v>
          </cell>
          <cell r="F439" t="str">
            <v>RS</v>
          </cell>
          <cell r="G439">
            <v>500</v>
          </cell>
          <cell r="H439">
            <v>500</v>
          </cell>
        </row>
        <row r="441">
          <cell r="B441">
            <v>2</v>
          </cell>
          <cell r="C441" t="str">
            <v>For works above ground level:</v>
          </cell>
        </row>
        <row r="442">
          <cell r="B442" t="str">
            <v>a</v>
          </cell>
          <cell r="C442" t="str">
            <v>for structure, corbels, slab, column, beam, external platforms,ditches,cover boards and other structure attachments, etc.</v>
          </cell>
        </row>
        <row r="443">
          <cell r="C443" t="str">
            <v>Cost of Formwork for columns, beams</v>
          </cell>
          <cell r="D443" t="str">
            <v>SQM</v>
          </cell>
          <cell r="E443">
            <v>1</v>
          </cell>
          <cell r="F443">
            <v>225</v>
          </cell>
          <cell r="G443">
            <v>225</v>
          </cell>
        </row>
        <row r="444">
          <cell r="C444" t="str">
            <v>Extra for Lift</v>
          </cell>
          <cell r="D444" t="str">
            <v>Ls</v>
          </cell>
          <cell r="E444">
            <v>1</v>
          </cell>
          <cell r="F444">
            <v>50</v>
          </cell>
          <cell r="G444">
            <v>50</v>
          </cell>
        </row>
        <row r="446">
          <cell r="A446" t="str">
            <v>FWAS</v>
          </cell>
          <cell r="B446">
            <v>0</v>
          </cell>
          <cell r="C446" t="str">
            <v>Cost of Formwork for columns, beams - Above GL</v>
          </cell>
          <cell r="D446" t="str">
            <v>PER</v>
          </cell>
          <cell r="E446" t="str">
            <v>SQM</v>
          </cell>
          <cell r="F446" t="str">
            <v>RS</v>
          </cell>
          <cell r="G446">
            <v>275</v>
          </cell>
          <cell r="H446">
            <v>275</v>
          </cell>
        </row>
        <row r="448">
          <cell r="B448" t="str">
            <v>b</v>
          </cell>
          <cell r="C448" t="str">
            <v>for all kinds of foundation.</v>
          </cell>
        </row>
        <row r="449">
          <cell r="C449" t="str">
            <v>Cost of Formwork for columns, beams</v>
          </cell>
          <cell r="D449" t="str">
            <v>SQM</v>
          </cell>
          <cell r="E449">
            <v>1</v>
          </cell>
          <cell r="F449">
            <v>175</v>
          </cell>
          <cell r="G449">
            <v>175</v>
          </cell>
        </row>
        <row r="450">
          <cell r="C450" t="str">
            <v>Extra for Lift</v>
          </cell>
          <cell r="D450" t="str">
            <v>Ls</v>
          </cell>
          <cell r="E450">
            <v>1</v>
          </cell>
          <cell r="F450">
            <v>50</v>
          </cell>
          <cell r="G450">
            <v>50</v>
          </cell>
        </row>
        <row r="452">
          <cell r="A452" t="str">
            <v>FWAF</v>
          </cell>
          <cell r="B452">
            <v>0</v>
          </cell>
          <cell r="C452" t="str">
            <v>Cost of Formwork for columns, beams - Above GL</v>
          </cell>
          <cell r="D452" t="str">
            <v>PER</v>
          </cell>
          <cell r="E452" t="str">
            <v>SQM</v>
          </cell>
          <cell r="F452" t="str">
            <v>RS</v>
          </cell>
          <cell r="G452">
            <v>225</v>
          </cell>
          <cell r="H452">
            <v>225</v>
          </cell>
        </row>
        <row r="454">
          <cell r="B454" t="str">
            <v>c</v>
          </cell>
          <cell r="C454" t="str">
            <v>circular formwork</v>
          </cell>
        </row>
        <row r="455">
          <cell r="C455" t="str">
            <v>cost of Circular Formwork</v>
          </cell>
          <cell r="D455" t="str">
            <v>SQM</v>
          </cell>
          <cell r="E455">
            <v>1</v>
          </cell>
          <cell r="F455">
            <v>500</v>
          </cell>
          <cell r="G455">
            <v>500</v>
          </cell>
        </row>
        <row r="456">
          <cell r="C456" t="str">
            <v>Extra for Lift</v>
          </cell>
          <cell r="D456" t="str">
            <v>Ls</v>
          </cell>
          <cell r="E456">
            <v>1</v>
          </cell>
          <cell r="F456">
            <v>50</v>
          </cell>
          <cell r="G456">
            <v>50</v>
          </cell>
        </row>
        <row r="458">
          <cell r="A458" t="str">
            <v>FWAC</v>
          </cell>
          <cell r="B458">
            <v>0</v>
          </cell>
          <cell r="C458" t="str">
            <v>Cost of Circular Formwork - Above GL</v>
          </cell>
          <cell r="D458" t="str">
            <v>PER</v>
          </cell>
          <cell r="E458" t="str">
            <v>SQM</v>
          </cell>
          <cell r="F458" t="str">
            <v>RS</v>
          </cell>
          <cell r="G458">
            <v>550</v>
          </cell>
          <cell r="H458">
            <v>550</v>
          </cell>
        </row>
        <row r="460">
          <cell r="A460" t="str">
            <v>PVSFP</v>
          </cell>
          <cell r="B460" t="str">
            <v>d</v>
          </cell>
          <cell r="C460" t="str">
            <v xml:space="preserve">polyvinyl stryrene foam plastic plank Unique hot layer </v>
          </cell>
          <cell r="D460" t="str">
            <v>CUM</v>
          </cell>
          <cell r="E460">
            <v>1</v>
          </cell>
          <cell r="F460">
            <v>250</v>
          </cell>
          <cell r="G460">
            <v>250</v>
          </cell>
          <cell r="H460">
            <v>250</v>
          </cell>
        </row>
        <row r="461">
          <cell r="A461" t="str">
            <v>TPLAW</v>
          </cell>
          <cell r="B461" t="str">
            <v>e</v>
          </cell>
          <cell r="C461" t="str">
            <v>two polythene layers against water</v>
          </cell>
          <cell r="D461" t="str">
            <v>SQM</v>
          </cell>
          <cell r="E461">
            <v>1</v>
          </cell>
          <cell r="F461">
            <v>30</v>
          </cell>
          <cell r="G461">
            <v>30</v>
          </cell>
          <cell r="H461">
            <v>30</v>
          </cell>
        </row>
        <row r="462">
          <cell r="A462" t="str">
            <v>BRP</v>
          </cell>
          <cell r="B462" t="str">
            <v>f</v>
          </cell>
          <cell r="C462" t="str">
            <v xml:space="preserve">black rubber partition </v>
          </cell>
          <cell r="D462" t="str">
            <v>RM</v>
          </cell>
          <cell r="E462">
            <v>1</v>
          </cell>
          <cell r="F462">
            <v>100</v>
          </cell>
          <cell r="G462">
            <v>100</v>
          </cell>
          <cell r="H462">
            <v>100</v>
          </cell>
        </row>
        <row r="463">
          <cell r="A463" t="str">
            <v>NWFOL</v>
          </cell>
          <cell r="B463" t="str">
            <v>g</v>
          </cell>
          <cell r="C463" t="str">
            <v>non-woven fabrics one layer</v>
          </cell>
          <cell r="D463" t="str">
            <v>SQM</v>
          </cell>
          <cell r="E463">
            <v>1</v>
          </cell>
          <cell r="F463">
            <v>25</v>
          </cell>
          <cell r="G463">
            <v>25</v>
          </cell>
          <cell r="H463">
            <v>25</v>
          </cell>
        </row>
        <row r="466">
          <cell r="B466">
            <v>14</v>
          </cell>
          <cell r="C466" t="str">
            <v>Providing and placing in position, at all levels, building paper (Kraft Paper), as per IS: 1397,between concrete surface including the cost of all labor, material, etc., complete as per drawings, specifications and the instructions of the engineer.</v>
          </cell>
        </row>
        <row r="467">
          <cell r="C467" t="str">
            <v>Cost of Kraft Paper</v>
          </cell>
          <cell r="D467" t="str">
            <v>SQM</v>
          </cell>
          <cell r="E467">
            <v>1</v>
          </cell>
          <cell r="F467">
            <v>25</v>
          </cell>
          <cell r="G467">
            <v>25</v>
          </cell>
        </row>
        <row r="468">
          <cell r="C468" t="str">
            <v>cost of Labour</v>
          </cell>
          <cell r="D468" t="str">
            <v>LS</v>
          </cell>
          <cell r="E468">
            <v>1</v>
          </cell>
          <cell r="F468">
            <v>5</v>
          </cell>
          <cell r="G468">
            <v>5</v>
          </cell>
        </row>
        <row r="470">
          <cell r="A470" t="str">
            <v>KP</v>
          </cell>
          <cell r="B470">
            <v>0</v>
          </cell>
          <cell r="C470" t="str">
            <v>Cost of providing &amp; placing Kraft Paper</v>
          </cell>
          <cell r="D470" t="str">
            <v>PER</v>
          </cell>
          <cell r="E470" t="str">
            <v>SQM</v>
          </cell>
          <cell r="F470" t="str">
            <v>RS</v>
          </cell>
          <cell r="G470">
            <v>30</v>
          </cell>
          <cell r="H470">
            <v>30</v>
          </cell>
        </row>
        <row r="472">
          <cell r="B472">
            <v>15</v>
          </cell>
          <cell r="C472" t="str">
            <v>Providing and installing, at all levels, bitumen impregnated fiber boards,12 mm thick, conforming to IS:1838, as joint filler at joints in concrete ,including nailing ,coating of both faces with coal tar pitch/bitumen,including the cost of all labour,mate</v>
          </cell>
        </row>
        <row r="473">
          <cell r="C473" t="str">
            <v>Bitumen Impregnated Fiber Boards</v>
          </cell>
          <cell r="D473" t="str">
            <v>SQM</v>
          </cell>
          <cell r="E473">
            <v>1</v>
          </cell>
          <cell r="F473">
            <v>850</v>
          </cell>
          <cell r="G473">
            <v>850</v>
          </cell>
        </row>
        <row r="474">
          <cell r="C474" t="str">
            <v>cost of Labour</v>
          </cell>
          <cell r="D474" t="str">
            <v>LS</v>
          </cell>
          <cell r="E474">
            <v>1</v>
          </cell>
          <cell r="F474">
            <v>50</v>
          </cell>
          <cell r="G474">
            <v>50</v>
          </cell>
        </row>
        <row r="476">
          <cell r="A476" t="str">
            <v>BIFB</v>
          </cell>
          <cell r="B476">
            <v>0</v>
          </cell>
          <cell r="C476" t="str">
            <v>Cost of Providing &amp; Placing Bitumen impregnated fiber boards</v>
          </cell>
          <cell r="D476" t="str">
            <v>PER</v>
          </cell>
          <cell r="E476" t="str">
            <v>SQM</v>
          </cell>
          <cell r="F476" t="str">
            <v>RS</v>
          </cell>
          <cell r="G476">
            <v>900</v>
          </cell>
          <cell r="H476">
            <v>900</v>
          </cell>
        </row>
        <row r="478">
          <cell r="B478">
            <v>16</v>
          </cell>
          <cell r="C478" t="str">
            <v>Providing and filling at all levels, bitumen sealing compound (hot applied type) conforming to IS: 1834,for sealing gaps at joints in concrete, including cleaning, mixing, heating, pouring/injecting, application of primer, cost of all labour, material and</v>
          </cell>
        </row>
        <row r="479">
          <cell r="C479" t="str">
            <v>Bitumen Sealing Compound (hot applied type)</v>
          </cell>
          <cell r="D479" t="str">
            <v>KG</v>
          </cell>
          <cell r="E479">
            <v>1</v>
          </cell>
          <cell r="F479">
            <v>53.863999999999997</v>
          </cell>
          <cell r="G479">
            <v>53.863999999999997</v>
          </cell>
        </row>
        <row r="480">
          <cell r="C480" t="str">
            <v>cost of Labour</v>
          </cell>
          <cell r="D480" t="str">
            <v>LS</v>
          </cell>
          <cell r="E480">
            <v>1</v>
          </cell>
          <cell r="F480">
            <v>25</v>
          </cell>
          <cell r="G480">
            <v>25</v>
          </cell>
        </row>
        <row r="482">
          <cell r="A482" t="str">
            <v>BSC</v>
          </cell>
          <cell r="B482">
            <v>0</v>
          </cell>
          <cell r="C482" t="str">
            <v>Cost of Providing &amp; filling Bitumen sealing compound</v>
          </cell>
          <cell r="D482" t="str">
            <v>PER</v>
          </cell>
          <cell r="E482" t="str">
            <v>KG</v>
          </cell>
          <cell r="F482" t="str">
            <v>RS</v>
          </cell>
          <cell r="G482">
            <v>78.864000000000004</v>
          </cell>
          <cell r="H482">
            <v>79</v>
          </cell>
        </row>
        <row r="485">
          <cell r="B485" t="str">
            <v>17a</v>
          </cell>
          <cell r="C485" t="str">
            <v xml:space="preserve"> filling rubber water stops (150 mm wide ,8~11mm thk) for construction joints including cleaning, application of primer, cost of all labour, material and equipment,etc.,complete as per drawings, specifications and instructions of the engineer .</v>
          </cell>
        </row>
        <row r="486">
          <cell r="C486" t="str">
            <v>Cost of rubber Water stops (150mm wide)</v>
          </cell>
          <cell r="D486" t="str">
            <v>RM</v>
          </cell>
          <cell r="E486">
            <v>1.1499999999999999</v>
          </cell>
          <cell r="F486">
            <v>200</v>
          </cell>
          <cell r="G486">
            <v>229.99999999999997</v>
          </cell>
        </row>
        <row r="487">
          <cell r="C487" t="str">
            <v>Labour for filling</v>
          </cell>
          <cell r="D487" t="str">
            <v>RM</v>
          </cell>
          <cell r="E487">
            <v>1</v>
          </cell>
          <cell r="F487">
            <v>40</v>
          </cell>
          <cell r="G487">
            <v>40</v>
          </cell>
        </row>
        <row r="489">
          <cell r="A489" t="str">
            <v>RWS1</v>
          </cell>
          <cell r="B489">
            <v>0</v>
          </cell>
          <cell r="C489" t="str">
            <v>Cost of providing and filling rubber Water stops (150mm wide)</v>
          </cell>
          <cell r="D489" t="str">
            <v>PER</v>
          </cell>
          <cell r="E489" t="str">
            <v>RM</v>
          </cell>
          <cell r="F489" t="str">
            <v>RS</v>
          </cell>
          <cell r="G489">
            <v>270</v>
          </cell>
          <cell r="H489">
            <v>270</v>
          </cell>
        </row>
        <row r="491">
          <cell r="B491" t="str">
            <v>17b</v>
          </cell>
          <cell r="C491" t="str">
            <v xml:space="preserve"> filling rubber water stops (230 mm wide ,8~11mm thk) for construction joints including cleaning, application of primer, cost of all labour, material and equipment,etc.,complete as per drawings, specifications and instructions of the engineer .</v>
          </cell>
        </row>
        <row r="492">
          <cell r="C492" t="str">
            <v>Cost of Rubber Water stops (230mm wide)</v>
          </cell>
          <cell r="D492" t="str">
            <v>RM</v>
          </cell>
          <cell r="E492">
            <v>1.1499999999999999</v>
          </cell>
          <cell r="F492">
            <v>275</v>
          </cell>
          <cell r="G492">
            <v>316.25</v>
          </cell>
        </row>
        <row r="493">
          <cell r="C493" t="str">
            <v>Labour for filling</v>
          </cell>
          <cell r="D493" t="str">
            <v>RM</v>
          </cell>
          <cell r="E493">
            <v>1</v>
          </cell>
          <cell r="F493">
            <v>40</v>
          </cell>
          <cell r="G493">
            <v>40</v>
          </cell>
        </row>
        <row r="495">
          <cell r="A495" t="str">
            <v>RWS2</v>
          </cell>
          <cell r="B495">
            <v>0</v>
          </cell>
          <cell r="C495" t="str">
            <v>Cost of providing and filling Rubber Water stops (230mm wide)</v>
          </cell>
          <cell r="D495" t="str">
            <v>PER</v>
          </cell>
          <cell r="E495" t="str">
            <v>RM</v>
          </cell>
          <cell r="F495" t="str">
            <v>RS</v>
          </cell>
          <cell r="G495">
            <v>356.25</v>
          </cell>
          <cell r="H495">
            <v>357</v>
          </cell>
        </row>
        <row r="497">
          <cell r="B497" t="str">
            <v>18a</v>
          </cell>
          <cell r="C497" t="str">
            <v>Providing and filling  PVC water stops (150 mm wide ,8~11mm thk) for construction joints including cleaning, application of primer, cost of all labour, material and equipment,etc.,complete as per drawings, specifications and instructions of the engineer .</v>
          </cell>
        </row>
        <row r="498">
          <cell r="C498" t="str">
            <v>Cost of PVC Water stops (150mm wide)</v>
          </cell>
          <cell r="D498" t="str">
            <v>RM</v>
          </cell>
          <cell r="E498">
            <v>1.1499999999999999</v>
          </cell>
          <cell r="F498">
            <v>250</v>
          </cell>
          <cell r="G498">
            <v>287.5</v>
          </cell>
        </row>
        <row r="499">
          <cell r="C499" t="str">
            <v>Labour for filling</v>
          </cell>
          <cell r="D499" t="str">
            <v>RM</v>
          </cell>
          <cell r="E499">
            <v>1</v>
          </cell>
          <cell r="F499">
            <v>40</v>
          </cell>
          <cell r="G499">
            <v>40</v>
          </cell>
        </row>
        <row r="501">
          <cell r="A501" t="str">
            <v>PVCWS1</v>
          </cell>
          <cell r="B501">
            <v>0</v>
          </cell>
          <cell r="C501" t="str">
            <v>Cost of providing and filling PVC Water stops (150mm wide)</v>
          </cell>
          <cell r="D501" t="str">
            <v>PER</v>
          </cell>
          <cell r="E501" t="str">
            <v>RM</v>
          </cell>
          <cell r="F501" t="str">
            <v>RS</v>
          </cell>
          <cell r="G501">
            <v>327.5</v>
          </cell>
          <cell r="H501">
            <v>328</v>
          </cell>
        </row>
        <row r="503">
          <cell r="B503" t="str">
            <v>18b</v>
          </cell>
          <cell r="C503" t="str">
            <v>Providing and filling PVC water stops (230 mm wide ,8~11mm thk) for construction joints including cleaning, application of primer, cost of all labour, material and equipment,etc.,complete as per drawings, specifications and instructions of the engineer .</v>
          </cell>
        </row>
        <row r="504">
          <cell r="C504" t="str">
            <v>Cost of PVC Water stops (230mm wide)</v>
          </cell>
          <cell r="D504" t="str">
            <v>RM</v>
          </cell>
          <cell r="E504">
            <v>1.1499999999999999</v>
          </cell>
          <cell r="F504">
            <v>300</v>
          </cell>
          <cell r="G504">
            <v>345</v>
          </cell>
        </row>
        <row r="505">
          <cell r="C505" t="str">
            <v>Labour for filling</v>
          </cell>
          <cell r="D505" t="str">
            <v>RM</v>
          </cell>
          <cell r="E505">
            <v>1</v>
          </cell>
          <cell r="F505">
            <v>40</v>
          </cell>
          <cell r="G505">
            <v>40</v>
          </cell>
        </row>
        <row r="507">
          <cell r="A507" t="str">
            <v>PVCWS2</v>
          </cell>
          <cell r="B507">
            <v>0</v>
          </cell>
          <cell r="C507" t="str">
            <v>Cost of providing and filling PVC Water stops (230mm wide)</v>
          </cell>
          <cell r="D507" t="str">
            <v>PER</v>
          </cell>
          <cell r="E507" t="str">
            <v>RM</v>
          </cell>
          <cell r="F507" t="str">
            <v>RS</v>
          </cell>
          <cell r="G507">
            <v>385</v>
          </cell>
          <cell r="H507">
            <v>385</v>
          </cell>
        </row>
        <row r="509">
          <cell r="A509" t="str">
            <v>STI</v>
          </cell>
          <cell r="B509" t="str">
            <v>18c</v>
          </cell>
          <cell r="C509" t="str">
            <v>Sealing Tablets installation</v>
          </cell>
          <cell r="D509" t="str">
            <v>RM</v>
          </cell>
          <cell r="E509">
            <v>1</v>
          </cell>
          <cell r="F509">
            <v>130</v>
          </cell>
          <cell r="G509">
            <v>130</v>
          </cell>
          <cell r="H509">
            <v>130</v>
          </cell>
        </row>
        <row r="511">
          <cell r="B511">
            <v>19</v>
          </cell>
          <cell r="C511" t="str">
            <v>Placing mild steel reinforcing bands(bars) for brick or block works including the cost of labour,material and equipment ,lifting to all heights, setting in place, mortar fill behind bands ,cutting, bending ,drilling, grinding, bolts and bolting,etc. compl</v>
          </cell>
        </row>
        <row r="512">
          <cell r="C512" t="str">
            <v>Cost of  MS Rebar</v>
          </cell>
          <cell r="D512" t="str">
            <v>MT</v>
          </cell>
          <cell r="E512">
            <v>1</v>
          </cell>
          <cell r="F512">
            <v>3638</v>
          </cell>
          <cell r="G512">
            <v>3638</v>
          </cell>
        </row>
        <row r="514">
          <cell r="A514" t="str">
            <v>MSRB</v>
          </cell>
          <cell r="B514">
            <v>0</v>
          </cell>
          <cell r="C514" t="str">
            <v>Cost of MS rebar band Brickwork</v>
          </cell>
          <cell r="D514" t="str">
            <v>PER</v>
          </cell>
          <cell r="E514" t="str">
            <v>MT</v>
          </cell>
          <cell r="F514" t="str">
            <v>Rs</v>
          </cell>
          <cell r="G514">
            <v>3638</v>
          </cell>
          <cell r="H514">
            <v>3638</v>
          </cell>
        </row>
        <row r="516">
          <cell r="B516">
            <v>20</v>
          </cell>
          <cell r="C516" t="str">
            <v>Providing and laying , the brick of block works (Brick Work in Cement mortar M) of ditches, walls, or other brick structure including the cost of all labour,mortar material and equipment,handling, transporting, etc., complete as per drawings and specifica</v>
          </cell>
        </row>
        <row r="517">
          <cell r="C517" t="str">
            <v>Cost of   Brick</v>
          </cell>
          <cell r="D517" t="str">
            <v>NO</v>
          </cell>
          <cell r="E517">
            <v>506.00000000000006</v>
          </cell>
          <cell r="F517">
            <v>3.1669999999999998</v>
          </cell>
          <cell r="G517">
            <v>1602.5020000000002</v>
          </cell>
        </row>
        <row r="518">
          <cell r="C518" t="str">
            <v>Cement</v>
          </cell>
          <cell r="D518" t="str">
            <v>BAG</v>
          </cell>
          <cell r="E518">
            <v>1.35</v>
          </cell>
          <cell r="F518">
            <v>263</v>
          </cell>
          <cell r="G518">
            <v>355.05</v>
          </cell>
        </row>
        <row r="519">
          <cell r="C519" t="str">
            <v>Sand</v>
          </cell>
          <cell r="D519" t="str">
            <v>CUM</v>
          </cell>
          <cell r="E519">
            <v>0.28000000000000003</v>
          </cell>
          <cell r="F519">
            <v>183</v>
          </cell>
          <cell r="G519">
            <v>51.24</v>
          </cell>
        </row>
        <row r="520">
          <cell r="C520" t="str">
            <v>Labour for Wall</v>
          </cell>
          <cell r="D520" t="str">
            <v>SQM</v>
          </cell>
          <cell r="E520">
            <v>1</v>
          </cell>
          <cell r="F520">
            <v>250</v>
          </cell>
          <cell r="G520">
            <v>250</v>
          </cell>
        </row>
        <row r="521">
          <cell r="C521" t="str">
            <v>Scaffolding</v>
          </cell>
          <cell r="D521" t="str">
            <v>SQM</v>
          </cell>
          <cell r="E521">
            <v>1</v>
          </cell>
          <cell r="F521">
            <v>15</v>
          </cell>
          <cell r="G521">
            <v>15</v>
          </cell>
        </row>
        <row r="522">
          <cell r="C522" t="str">
            <v>Extra for lift charges</v>
          </cell>
          <cell r="D522" t="str">
            <v>SQM</v>
          </cell>
          <cell r="E522">
            <v>1</v>
          </cell>
          <cell r="F522">
            <v>15</v>
          </cell>
          <cell r="G522">
            <v>15</v>
          </cell>
        </row>
        <row r="524">
          <cell r="A524" t="str">
            <v>BW</v>
          </cell>
          <cell r="B524">
            <v>0</v>
          </cell>
          <cell r="C524" t="str">
            <v>cost of Brickwork</v>
          </cell>
          <cell r="D524" t="str">
            <v>PER</v>
          </cell>
          <cell r="E524" t="str">
            <v>MT</v>
          </cell>
          <cell r="F524" t="str">
            <v>Rs</v>
          </cell>
          <cell r="G524">
            <v>2289</v>
          </cell>
          <cell r="H524">
            <v>2289</v>
          </cell>
        </row>
        <row r="526">
          <cell r="B526">
            <v>21</v>
          </cell>
          <cell r="C526" t="str">
            <v>Providing and laying Autoclaved Aerated Concrete (ACC) block masonry using blocks having dimensions of 400mm × 200mm × 200mm using cement sand Mortar composition of 1:6 (cement: sand) at all levels for all kinds of work. Including all labour, material and</v>
          </cell>
        </row>
        <row r="527">
          <cell r="C527" t="str">
            <v>Cost of AAC Block 400x 200x 200</v>
          </cell>
          <cell r="D527" t="str">
            <v>NO</v>
          </cell>
          <cell r="E527">
            <v>65.624999999999986</v>
          </cell>
          <cell r="F527">
            <v>45</v>
          </cell>
          <cell r="G527">
            <v>2953.1249999999995</v>
          </cell>
        </row>
        <row r="528">
          <cell r="C528" t="str">
            <v>Cement</v>
          </cell>
          <cell r="D528" t="str">
            <v>BAG</v>
          </cell>
          <cell r="E528">
            <v>1.5</v>
          </cell>
          <cell r="F528">
            <v>263</v>
          </cell>
          <cell r="G528">
            <v>394.5</v>
          </cell>
        </row>
        <row r="529">
          <cell r="C529" t="str">
            <v>Sand</v>
          </cell>
          <cell r="D529" t="str">
            <v>CUM</v>
          </cell>
          <cell r="E529">
            <v>0.28000000000000003</v>
          </cell>
          <cell r="F529">
            <v>183</v>
          </cell>
          <cell r="G529">
            <v>51.24</v>
          </cell>
        </row>
        <row r="530">
          <cell r="C530" t="str">
            <v>Labour for Wall</v>
          </cell>
          <cell r="D530" t="str">
            <v>SQM</v>
          </cell>
          <cell r="E530">
            <v>1</v>
          </cell>
          <cell r="F530">
            <v>300</v>
          </cell>
          <cell r="G530">
            <v>300</v>
          </cell>
        </row>
        <row r="531">
          <cell r="C531" t="str">
            <v>Scaffolding</v>
          </cell>
          <cell r="D531" t="str">
            <v>SQM/cum</v>
          </cell>
          <cell r="E531">
            <v>2</v>
          </cell>
          <cell r="F531">
            <v>15</v>
          </cell>
          <cell r="G531">
            <v>30</v>
          </cell>
        </row>
        <row r="532">
          <cell r="C532" t="str">
            <v>Extra for lift charges</v>
          </cell>
          <cell r="D532" t="str">
            <v>SQM</v>
          </cell>
          <cell r="E532">
            <v>1</v>
          </cell>
          <cell r="F532">
            <v>50</v>
          </cell>
          <cell r="G532">
            <v>50</v>
          </cell>
        </row>
        <row r="534">
          <cell r="A534" t="str">
            <v>AAC</v>
          </cell>
          <cell r="B534">
            <v>0</v>
          </cell>
          <cell r="C534" t="str">
            <v>AAC Block</v>
          </cell>
          <cell r="D534" t="str">
            <v>PER</v>
          </cell>
          <cell r="E534" t="str">
            <v>CUM</v>
          </cell>
          <cell r="F534" t="str">
            <v>Rs</v>
          </cell>
          <cell r="G534">
            <v>3779</v>
          </cell>
          <cell r="H534">
            <v>3779</v>
          </cell>
        </row>
        <row r="536">
          <cell r="B536">
            <v>22</v>
          </cell>
          <cell r="C536" t="str">
            <v>Providing and laying 50 mm thick cement concrete trench bottoming Screeded to required slope (comprising of surface metallic concrete hardener topping over a under bed of concrete),including the cost of all labour, material and equipment, etc., complete a</v>
          </cell>
        </row>
        <row r="537">
          <cell r="C537" t="str">
            <v>Cost of Conc. M-20</v>
          </cell>
          <cell r="D537" t="str">
            <v>Sqm</v>
          </cell>
          <cell r="E537">
            <v>0.05</v>
          </cell>
          <cell r="F537">
            <v>3434</v>
          </cell>
          <cell r="G537">
            <v>171.70000000000002</v>
          </cell>
        </row>
        <row r="538">
          <cell r="C538" t="str">
            <v>Water proofing compund 2% of Cement ( i.e 6 bags = 50kg *0.02)</v>
          </cell>
          <cell r="D538" t="str">
            <v>KG</v>
          </cell>
          <cell r="E538">
            <v>0.32000000000000006</v>
          </cell>
          <cell r="F538">
            <v>90</v>
          </cell>
          <cell r="G538">
            <v>28.800000000000004</v>
          </cell>
        </row>
        <row r="539">
          <cell r="C539" t="str">
            <v xml:space="preserve">Concrete hardener </v>
          </cell>
          <cell r="D539" t="str">
            <v>Kg</v>
          </cell>
          <cell r="E539">
            <v>2.5</v>
          </cell>
          <cell r="F539">
            <v>22</v>
          </cell>
          <cell r="G539">
            <v>55</v>
          </cell>
        </row>
        <row r="540">
          <cell r="C540" t="str">
            <v>Shuttering</v>
          </cell>
          <cell r="D540" t="str">
            <v>Sqm</v>
          </cell>
          <cell r="E540">
            <v>1</v>
          </cell>
          <cell r="F540">
            <v>20</v>
          </cell>
          <cell r="G540">
            <v>20</v>
          </cell>
        </row>
        <row r="541">
          <cell r="C541" t="str">
            <v xml:space="preserve">Extra labour for finishing </v>
          </cell>
          <cell r="D541" t="str">
            <v>Sqm</v>
          </cell>
          <cell r="E541">
            <v>1</v>
          </cell>
          <cell r="F541">
            <v>10</v>
          </cell>
          <cell r="G541">
            <v>10</v>
          </cell>
        </row>
        <row r="543">
          <cell r="C543" t="str">
            <v>50mm thick Cement Concrete Screed</v>
          </cell>
          <cell r="D543" t="str">
            <v>PER</v>
          </cell>
          <cell r="E543" t="str">
            <v>CUM</v>
          </cell>
          <cell r="F543" t="str">
            <v>Rs</v>
          </cell>
          <cell r="G543">
            <v>285.5</v>
          </cell>
          <cell r="H543">
            <v>286</v>
          </cell>
        </row>
        <row r="545">
          <cell r="B545">
            <v>23</v>
          </cell>
          <cell r="C545" t="str">
            <v>Painting , white washing, polishing etc. covers interior and exterior surfaces of wood work, masonry, concrete plastering, plaster of parics, structural and other miscellaneous items, conforming to IS: 348, 427, 428, 1477, 2338, 2395, 2932, 2933, 5410,.</v>
          </cell>
        </row>
        <row r="546">
          <cell r="A546" t="str">
            <v>PW</v>
          </cell>
          <cell r="B546" t="str">
            <v>a</v>
          </cell>
          <cell r="C546" t="str">
            <v xml:space="preserve">white washing conforming to IS 712 </v>
          </cell>
          <cell r="D546" t="str">
            <v>PER</v>
          </cell>
          <cell r="E546" t="str">
            <v>SQM</v>
          </cell>
          <cell r="F546" t="str">
            <v>Rs</v>
          </cell>
          <cell r="G546">
            <v>20</v>
          </cell>
          <cell r="H546">
            <v>20</v>
          </cell>
        </row>
        <row r="547">
          <cell r="A547" t="str">
            <v>PD</v>
          </cell>
          <cell r="B547" t="str">
            <v>b</v>
          </cell>
          <cell r="C547" t="str">
            <v xml:space="preserve">dry distemper conforming to IS 427 </v>
          </cell>
          <cell r="D547" t="str">
            <v>PER</v>
          </cell>
          <cell r="E547" t="str">
            <v>SQM</v>
          </cell>
          <cell r="F547" t="str">
            <v>Rs</v>
          </cell>
          <cell r="G547">
            <v>55</v>
          </cell>
          <cell r="H547">
            <v>55</v>
          </cell>
        </row>
        <row r="548">
          <cell r="A548" t="str">
            <v>PO</v>
          </cell>
          <cell r="B548" t="str">
            <v>c</v>
          </cell>
          <cell r="C548" t="str">
            <v xml:space="preserve">oil bound washable distemper conforming to IS 428 </v>
          </cell>
          <cell r="D548" t="str">
            <v>PER</v>
          </cell>
          <cell r="E548" t="str">
            <v>SQM</v>
          </cell>
          <cell r="F548" t="str">
            <v>Rs</v>
          </cell>
          <cell r="G548">
            <v>65</v>
          </cell>
          <cell r="H548">
            <v>65</v>
          </cell>
        </row>
        <row r="549">
          <cell r="A549" t="str">
            <v>PWP</v>
          </cell>
          <cell r="B549" t="str">
            <v>d</v>
          </cell>
          <cell r="C549" t="str">
            <v xml:space="preserve">waterproof cement paint conforming to IS 5410 </v>
          </cell>
          <cell r="D549" t="str">
            <v>PER</v>
          </cell>
          <cell r="E549" t="str">
            <v>SQM</v>
          </cell>
          <cell r="F549" t="str">
            <v>Rs</v>
          </cell>
          <cell r="G549">
            <v>45</v>
          </cell>
          <cell r="H549">
            <v>45</v>
          </cell>
        </row>
        <row r="550">
          <cell r="A550" t="str">
            <v>PAE</v>
          </cell>
          <cell r="B550" t="str">
            <v>e</v>
          </cell>
          <cell r="C550" t="str">
            <v xml:space="preserve">acrylic emulsion paint </v>
          </cell>
          <cell r="D550" t="str">
            <v>PER</v>
          </cell>
          <cell r="E550" t="str">
            <v>SQM</v>
          </cell>
          <cell r="F550" t="str">
            <v>Rs</v>
          </cell>
          <cell r="G550">
            <v>110</v>
          </cell>
          <cell r="H550">
            <v>110</v>
          </cell>
        </row>
        <row r="551">
          <cell r="A551" t="str">
            <v>PS</v>
          </cell>
          <cell r="B551" t="str">
            <v>f</v>
          </cell>
          <cell r="C551" t="str">
            <v xml:space="preserve">synthetic enamel paint conforming to IS 2932, 2933 </v>
          </cell>
          <cell r="D551" t="str">
            <v>PER</v>
          </cell>
          <cell r="E551" t="str">
            <v>SQM</v>
          </cell>
          <cell r="F551" t="str">
            <v>Rs</v>
          </cell>
          <cell r="G551">
            <v>125</v>
          </cell>
          <cell r="H551">
            <v>125</v>
          </cell>
        </row>
        <row r="552">
          <cell r="A552" t="str">
            <v>PAP</v>
          </cell>
          <cell r="B552" t="str">
            <v>g</v>
          </cell>
          <cell r="C552" t="str">
            <v xml:space="preserve">acid proof paint conforming to IS:158 </v>
          </cell>
          <cell r="D552" t="str">
            <v>PER</v>
          </cell>
          <cell r="E552" t="str">
            <v>SQM</v>
          </cell>
          <cell r="F552" t="str">
            <v>Rs</v>
          </cell>
          <cell r="G552">
            <v>225</v>
          </cell>
          <cell r="H552">
            <v>225</v>
          </cell>
        </row>
        <row r="553">
          <cell r="A553" t="str">
            <v>PE</v>
          </cell>
          <cell r="B553" t="str">
            <v>h</v>
          </cell>
          <cell r="C553" t="str">
            <v>Epoxy bitumen paint</v>
          </cell>
          <cell r="D553" t="str">
            <v>PER</v>
          </cell>
          <cell r="E553" t="str">
            <v>SQM</v>
          </cell>
          <cell r="F553" t="str">
            <v>Rs</v>
          </cell>
          <cell r="G553">
            <v>300</v>
          </cell>
          <cell r="H553">
            <v>300</v>
          </cell>
        </row>
        <row r="554">
          <cell r="A554" t="str">
            <v>PF</v>
          </cell>
          <cell r="B554" t="str">
            <v>i</v>
          </cell>
          <cell r="C554" t="str">
            <v xml:space="preserve">fireproof cement paint conforming to IS 5410 </v>
          </cell>
          <cell r="D554" t="str">
            <v>PER</v>
          </cell>
          <cell r="E554" t="str">
            <v>SQM</v>
          </cell>
          <cell r="F554" t="str">
            <v>Rs</v>
          </cell>
          <cell r="G554">
            <v>575</v>
          </cell>
          <cell r="H554">
            <v>575</v>
          </cell>
        </row>
        <row r="555">
          <cell r="A555" t="str">
            <v>PAS</v>
          </cell>
          <cell r="B555" t="str">
            <v>j</v>
          </cell>
          <cell r="C555" t="str">
            <v>Asphalt</v>
          </cell>
          <cell r="D555" t="str">
            <v>PER</v>
          </cell>
          <cell r="E555" t="str">
            <v>SQM</v>
          </cell>
          <cell r="F555" t="str">
            <v>Rs</v>
          </cell>
          <cell r="G555">
            <v>35</v>
          </cell>
          <cell r="H555">
            <v>35</v>
          </cell>
        </row>
        <row r="556">
          <cell r="A556" t="str">
            <v>PAC</v>
          </cell>
          <cell r="B556" t="str">
            <v>k</v>
          </cell>
          <cell r="C556" t="str">
            <v xml:space="preserve">Anticorrosive paint </v>
          </cell>
          <cell r="D556" t="str">
            <v>PER</v>
          </cell>
          <cell r="E556" t="str">
            <v>SQM</v>
          </cell>
          <cell r="F556" t="str">
            <v>Rs</v>
          </cell>
          <cell r="G556">
            <v>225</v>
          </cell>
          <cell r="H556">
            <v>225</v>
          </cell>
        </row>
        <row r="557">
          <cell r="A557" t="str">
            <v>PSP</v>
          </cell>
          <cell r="B557" t="str">
            <v>l</v>
          </cell>
          <cell r="C557" t="str">
            <v>Silver Powder Paint</v>
          </cell>
          <cell r="D557" t="str">
            <v>PER</v>
          </cell>
          <cell r="E557" t="str">
            <v>SQM</v>
          </cell>
          <cell r="F557" t="str">
            <v>Rs</v>
          </cell>
          <cell r="G557">
            <v>375</v>
          </cell>
          <cell r="H557">
            <v>375</v>
          </cell>
        </row>
        <row r="559">
          <cell r="B559">
            <v>24</v>
          </cell>
          <cell r="C559" t="str">
            <v xml:space="preserve">Finish to masonary &amp; concrete covers furnishing, installation, finishing, curing and protection to brick masonry or concrete surfaces including provision of other architectural features conforming to IS: 1661, 4101. </v>
          </cell>
        </row>
        <row r="560">
          <cell r="B560" t="str">
            <v>a</v>
          </cell>
          <cell r="C560" t="str">
            <v xml:space="preserve">outside brick wall plaster </v>
          </cell>
        </row>
        <row r="561">
          <cell r="C561" t="str">
            <v>Cement ( CM : 1:5 )</v>
          </cell>
          <cell r="D561" t="str">
            <v>BAG</v>
          </cell>
          <cell r="E561">
            <v>0.16</v>
          </cell>
          <cell r="F561">
            <v>263</v>
          </cell>
          <cell r="G561">
            <v>42.08</v>
          </cell>
        </row>
        <row r="562">
          <cell r="C562" t="str">
            <v xml:space="preserve">Sand </v>
          </cell>
          <cell r="D562" t="str">
            <v>CUM</v>
          </cell>
          <cell r="E562">
            <v>0.02</v>
          </cell>
          <cell r="F562">
            <v>183</v>
          </cell>
          <cell r="G562">
            <v>3.66</v>
          </cell>
        </row>
        <row r="563">
          <cell r="C563" t="str">
            <v xml:space="preserve">Labour </v>
          </cell>
          <cell r="D563" t="str">
            <v>SQM</v>
          </cell>
          <cell r="E563">
            <v>1</v>
          </cell>
          <cell r="F563">
            <v>65</v>
          </cell>
          <cell r="G563">
            <v>65</v>
          </cell>
        </row>
        <row r="564">
          <cell r="C564" t="str">
            <v>Scaffolding</v>
          </cell>
          <cell r="D564" t="str">
            <v>LS</v>
          </cell>
          <cell r="E564">
            <v>1</v>
          </cell>
          <cell r="F564">
            <v>15</v>
          </cell>
          <cell r="G564">
            <v>15</v>
          </cell>
        </row>
        <row r="566">
          <cell r="A566" t="str">
            <v>FO</v>
          </cell>
          <cell r="B566">
            <v>0</v>
          </cell>
          <cell r="C566" t="str">
            <v xml:space="preserve">Cost of outside plaster </v>
          </cell>
          <cell r="D566" t="str">
            <v>PER</v>
          </cell>
          <cell r="E566" t="str">
            <v>SQM</v>
          </cell>
          <cell r="F566" t="str">
            <v>RS</v>
          </cell>
          <cell r="G566">
            <v>126</v>
          </cell>
          <cell r="H566">
            <v>126</v>
          </cell>
        </row>
        <row r="568">
          <cell r="B568" t="str">
            <v>b</v>
          </cell>
          <cell r="C568" t="str">
            <v xml:space="preserve">inside brick wall plaster </v>
          </cell>
        </row>
        <row r="569">
          <cell r="C569" t="str">
            <v>Cement   ( C M : 1: 4)</v>
          </cell>
          <cell r="D569" t="str">
            <v>BAG</v>
          </cell>
          <cell r="E569">
            <v>0.107</v>
          </cell>
          <cell r="F569">
            <v>263</v>
          </cell>
          <cell r="G569">
            <v>28.140999999999998</v>
          </cell>
        </row>
        <row r="570">
          <cell r="C570" t="str">
            <v xml:space="preserve">Sand </v>
          </cell>
          <cell r="D570" t="str">
            <v>CUM</v>
          </cell>
          <cell r="E570">
            <v>0.02</v>
          </cell>
          <cell r="F570">
            <v>183</v>
          </cell>
          <cell r="G570">
            <v>3.66</v>
          </cell>
        </row>
        <row r="571">
          <cell r="C571" t="str">
            <v xml:space="preserve">Labour </v>
          </cell>
          <cell r="D571" t="str">
            <v>SQM</v>
          </cell>
          <cell r="E571">
            <v>1</v>
          </cell>
          <cell r="F571">
            <v>65</v>
          </cell>
          <cell r="G571">
            <v>65</v>
          </cell>
        </row>
        <row r="572">
          <cell r="C572" t="str">
            <v>Scaffolding</v>
          </cell>
          <cell r="D572" t="str">
            <v>LS</v>
          </cell>
          <cell r="E572">
            <v>1</v>
          </cell>
          <cell r="F572">
            <v>15</v>
          </cell>
          <cell r="G572">
            <v>15</v>
          </cell>
        </row>
        <row r="573">
          <cell r="C573" t="str">
            <v>Neeru Finish</v>
          </cell>
          <cell r="D573" t="str">
            <v>SQm</v>
          </cell>
          <cell r="E573">
            <v>1</v>
          </cell>
          <cell r="F573">
            <v>30</v>
          </cell>
          <cell r="G573">
            <v>30</v>
          </cell>
        </row>
        <row r="575">
          <cell r="A575" t="str">
            <v>FI</v>
          </cell>
          <cell r="B575">
            <v>0</v>
          </cell>
          <cell r="C575" t="str">
            <v xml:space="preserve">Cost of interior plaster </v>
          </cell>
          <cell r="D575" t="str">
            <v>PER</v>
          </cell>
          <cell r="E575" t="str">
            <v>SQM</v>
          </cell>
          <cell r="F575" t="str">
            <v>RS</v>
          </cell>
          <cell r="G575">
            <v>142</v>
          </cell>
          <cell r="H575">
            <v>142</v>
          </cell>
        </row>
        <row r="577">
          <cell r="B577" t="str">
            <v>c</v>
          </cell>
          <cell r="C577" t="str">
            <v xml:space="preserve">concrete ceiling plaster </v>
          </cell>
        </row>
        <row r="578">
          <cell r="C578" t="str">
            <v>Cement   ( C M : 1: 4)</v>
          </cell>
          <cell r="D578" t="str">
            <v>BAG</v>
          </cell>
          <cell r="E578">
            <v>0.12</v>
          </cell>
          <cell r="F578">
            <v>263</v>
          </cell>
          <cell r="G578">
            <v>31.56</v>
          </cell>
        </row>
        <row r="579">
          <cell r="C579" t="str">
            <v xml:space="preserve">Sand </v>
          </cell>
          <cell r="D579" t="str">
            <v>CUM</v>
          </cell>
          <cell r="E579">
            <v>0.02</v>
          </cell>
          <cell r="F579">
            <v>183</v>
          </cell>
          <cell r="G579">
            <v>3.66</v>
          </cell>
        </row>
        <row r="580">
          <cell r="C580" t="str">
            <v xml:space="preserve">Labour </v>
          </cell>
          <cell r="D580" t="str">
            <v>SQM</v>
          </cell>
          <cell r="E580">
            <v>1</v>
          </cell>
          <cell r="F580">
            <v>65</v>
          </cell>
          <cell r="G580">
            <v>65</v>
          </cell>
        </row>
        <row r="581">
          <cell r="C581" t="str">
            <v>Scaffolding</v>
          </cell>
          <cell r="D581" t="str">
            <v>LS</v>
          </cell>
          <cell r="E581">
            <v>1</v>
          </cell>
          <cell r="F581">
            <v>15</v>
          </cell>
          <cell r="G581">
            <v>15</v>
          </cell>
        </row>
        <row r="583">
          <cell r="A583" t="str">
            <v>FC</v>
          </cell>
          <cell r="B583">
            <v>0</v>
          </cell>
          <cell r="C583" t="str">
            <v xml:space="preserve">Cost of ceiling plaster </v>
          </cell>
          <cell r="D583" t="str">
            <v>PER</v>
          </cell>
          <cell r="E583" t="str">
            <v>SQM</v>
          </cell>
          <cell r="F583" t="str">
            <v>RS</v>
          </cell>
          <cell r="G583">
            <v>116</v>
          </cell>
          <cell r="H583">
            <v>116</v>
          </cell>
        </row>
        <row r="585">
          <cell r="B585" t="str">
            <v>d</v>
          </cell>
          <cell r="C585" t="str">
            <v xml:space="preserve">lime punning(paint filler constructin) </v>
          </cell>
        </row>
        <row r="586">
          <cell r="C586" t="str">
            <v>lime</v>
          </cell>
          <cell r="D586" t="str">
            <v>KG</v>
          </cell>
          <cell r="E586">
            <v>2</v>
          </cell>
          <cell r="F586">
            <v>8</v>
          </cell>
          <cell r="G586">
            <v>16</v>
          </cell>
        </row>
        <row r="587">
          <cell r="C587" t="str">
            <v xml:space="preserve">Sand </v>
          </cell>
          <cell r="D587" t="str">
            <v>CUM</v>
          </cell>
          <cell r="E587">
            <v>0.02</v>
          </cell>
          <cell r="F587">
            <v>0</v>
          </cell>
          <cell r="G587">
            <v>0</v>
          </cell>
        </row>
        <row r="588">
          <cell r="C588" t="str">
            <v xml:space="preserve">Labour </v>
          </cell>
          <cell r="D588" t="str">
            <v>SQM</v>
          </cell>
          <cell r="E588">
            <v>1</v>
          </cell>
          <cell r="F588">
            <v>10</v>
          </cell>
          <cell r="G588">
            <v>10</v>
          </cell>
        </row>
        <row r="589">
          <cell r="C589" t="str">
            <v>Scaffolding</v>
          </cell>
          <cell r="D589" t="str">
            <v>LS</v>
          </cell>
          <cell r="E589">
            <v>1</v>
          </cell>
          <cell r="F589">
            <v>2</v>
          </cell>
          <cell r="G589">
            <v>2</v>
          </cell>
        </row>
        <row r="591">
          <cell r="A591" t="str">
            <v>FL</v>
          </cell>
          <cell r="B591">
            <v>0</v>
          </cell>
          <cell r="C591" t="str">
            <v>Cost of lime punning</v>
          </cell>
          <cell r="D591" t="str">
            <v>PER</v>
          </cell>
          <cell r="E591" t="str">
            <v>SQM</v>
          </cell>
          <cell r="F591" t="str">
            <v>RS</v>
          </cell>
          <cell r="G591">
            <v>28</v>
          </cell>
          <cell r="H591">
            <v>28</v>
          </cell>
        </row>
        <row r="593">
          <cell r="B593">
            <v>25</v>
          </cell>
          <cell r="C593" t="str">
            <v xml:space="preserve">Floor finish and allied works for floor tile works such as covering , supply, installing , finishing ,testing, protecting and so on. conforming to IS:777, 1197, 1237, 1443, 2114, 3461, 4860, 5510.  </v>
          </cell>
        </row>
        <row r="594">
          <cell r="A594" t="str">
            <v>FLT</v>
          </cell>
          <cell r="B594" t="str">
            <v>a</v>
          </cell>
          <cell r="C594" t="str">
            <v xml:space="preserve">terrazzo tile  -  20mm thick </v>
          </cell>
          <cell r="D594" t="str">
            <v>SQM</v>
          </cell>
          <cell r="E594">
            <v>1</v>
          </cell>
          <cell r="F594">
            <v>650</v>
          </cell>
          <cell r="G594">
            <v>650</v>
          </cell>
          <cell r="H594">
            <v>650</v>
          </cell>
        </row>
        <row r="595">
          <cell r="A595" t="str">
            <v>FLG</v>
          </cell>
          <cell r="B595" t="str">
            <v>b</v>
          </cell>
          <cell r="C595" t="str">
            <v xml:space="preserve">glazed tile </v>
          </cell>
          <cell r="D595" t="str">
            <v>SQM</v>
          </cell>
          <cell r="E595">
            <v>1</v>
          </cell>
          <cell r="F595">
            <v>950</v>
          </cell>
          <cell r="G595">
            <v>950</v>
          </cell>
          <cell r="H595">
            <v>950</v>
          </cell>
        </row>
        <row r="596">
          <cell r="A596" t="str">
            <v>FLW</v>
          </cell>
          <cell r="B596" t="str">
            <v>c</v>
          </cell>
          <cell r="C596" t="str">
            <v xml:space="preserve">For wall - 6mm thick </v>
          </cell>
          <cell r="D596" t="str">
            <v>SQM</v>
          </cell>
          <cell r="E596">
            <v>1</v>
          </cell>
          <cell r="F596">
            <v>950</v>
          </cell>
          <cell r="G596">
            <v>950</v>
          </cell>
          <cell r="H596">
            <v>950</v>
          </cell>
        </row>
        <row r="597">
          <cell r="A597" t="str">
            <v>FLF</v>
          </cell>
          <cell r="B597" t="str">
            <v>d</v>
          </cell>
          <cell r="C597" t="str">
            <v xml:space="preserve">For Floor - 7 to 8mm thick </v>
          </cell>
          <cell r="D597" t="str">
            <v>SQM</v>
          </cell>
          <cell r="E597">
            <v>1</v>
          </cell>
          <cell r="F597">
            <v>1100</v>
          </cell>
          <cell r="G597">
            <v>1100</v>
          </cell>
          <cell r="H597">
            <v>1100</v>
          </cell>
        </row>
        <row r="598">
          <cell r="A598" t="str">
            <v>FLC</v>
          </cell>
          <cell r="B598" t="str">
            <v>e</v>
          </cell>
          <cell r="C598" t="str">
            <v xml:space="preserve">chemical resistant - 20 to 25mm thick Tiles </v>
          </cell>
          <cell r="D598" t="str">
            <v>SQM</v>
          </cell>
          <cell r="E598">
            <v>1</v>
          </cell>
          <cell r="F598">
            <v>2400</v>
          </cell>
          <cell r="G598">
            <v>2400</v>
          </cell>
          <cell r="H598">
            <v>2400</v>
          </cell>
        </row>
        <row r="599">
          <cell r="A599" t="str">
            <v>FLR</v>
          </cell>
          <cell r="B599" t="str">
            <v>f</v>
          </cell>
          <cell r="C599" t="str">
            <v xml:space="preserve">rubber, vinyl etc. - 2mm thick Antistatic PVC Tiles </v>
          </cell>
          <cell r="D599" t="str">
            <v>SQM</v>
          </cell>
          <cell r="E599">
            <v>1</v>
          </cell>
          <cell r="F599">
            <v>650</v>
          </cell>
          <cell r="G599">
            <v>650</v>
          </cell>
          <cell r="H599">
            <v>650</v>
          </cell>
        </row>
        <row r="600">
          <cell r="A600" t="str">
            <v>FLM</v>
          </cell>
          <cell r="B600" t="str">
            <v>g</v>
          </cell>
          <cell r="C600" t="str">
            <v xml:space="preserve">marble plate - 18 to 20mm thick </v>
          </cell>
          <cell r="D600" t="str">
            <v>SQM</v>
          </cell>
          <cell r="E600">
            <v>1</v>
          </cell>
          <cell r="F600">
            <v>2500</v>
          </cell>
          <cell r="G600">
            <v>2500</v>
          </cell>
          <cell r="H600">
            <v>2500</v>
          </cell>
        </row>
        <row r="601">
          <cell r="A601" t="str">
            <v>FLGR</v>
          </cell>
          <cell r="B601" t="str">
            <v>h</v>
          </cell>
          <cell r="C601" t="str">
            <v>granite plate - 18 to 20mm thick</v>
          </cell>
          <cell r="D601" t="str">
            <v>SQM</v>
          </cell>
          <cell r="E601">
            <v>1</v>
          </cell>
          <cell r="F601">
            <v>4200</v>
          </cell>
          <cell r="G601">
            <v>4200</v>
          </cell>
          <cell r="H601">
            <v>4200</v>
          </cell>
        </row>
        <row r="603">
          <cell r="B603">
            <v>26</v>
          </cell>
          <cell r="C603" t="str">
            <v xml:space="preserve">Floor finish and allied works for  whole-type floor works such as covering , supply, installing , finishing ,testing, protecting and so on. conforming to IS:777, 1197, 1237, 1443, 2114, 3461, 4860, 5510. </v>
          </cell>
        </row>
        <row r="604">
          <cell r="B604" t="str">
            <v>a</v>
          </cell>
          <cell r="C604" t="str">
            <v xml:space="preserve">integral finish to concrete base smooth finish of cement </v>
          </cell>
        </row>
        <row r="605">
          <cell r="C605" t="str">
            <v>Cement   (C M : 1: 3)</v>
          </cell>
          <cell r="D605" t="str">
            <v>BAG</v>
          </cell>
          <cell r="E605">
            <v>0.04</v>
          </cell>
          <cell r="F605">
            <v>263</v>
          </cell>
          <cell r="G605">
            <v>10.52</v>
          </cell>
        </row>
        <row r="606">
          <cell r="C606" t="str">
            <v xml:space="preserve">Sand </v>
          </cell>
          <cell r="D606" t="str">
            <v>CUM</v>
          </cell>
          <cell r="E606">
            <v>0.01</v>
          </cell>
          <cell r="F606">
            <v>183</v>
          </cell>
          <cell r="G606">
            <v>1.83</v>
          </cell>
        </row>
        <row r="607">
          <cell r="C607" t="str">
            <v xml:space="preserve">Labour </v>
          </cell>
          <cell r="D607" t="str">
            <v>SQM</v>
          </cell>
          <cell r="E607">
            <v>1</v>
          </cell>
          <cell r="F607">
            <v>65</v>
          </cell>
          <cell r="G607">
            <v>65</v>
          </cell>
        </row>
        <row r="609">
          <cell r="A609" t="str">
            <v>FLWI</v>
          </cell>
          <cell r="B609">
            <v>0</v>
          </cell>
          <cell r="C609" t="str">
            <v>Providing a smooth finish with cement</v>
          </cell>
          <cell r="D609" t="str">
            <v>PER</v>
          </cell>
          <cell r="E609" t="str">
            <v>SQM</v>
          </cell>
          <cell r="F609" t="str">
            <v>RS</v>
          </cell>
          <cell r="G609">
            <v>78</v>
          </cell>
          <cell r="H609">
            <v>78</v>
          </cell>
        </row>
        <row r="611">
          <cell r="B611" t="str">
            <v>b</v>
          </cell>
          <cell r="C611" t="str">
            <v xml:space="preserve">terrazzo finish (40mm) incl glass strip40*4th in panels </v>
          </cell>
        </row>
        <row r="612">
          <cell r="C612" t="str">
            <v>Cost of Cement Screed 25mm thick</v>
          </cell>
          <cell r="D612" t="str">
            <v>SQM</v>
          </cell>
          <cell r="E612">
            <v>0.25</v>
          </cell>
          <cell r="F612">
            <v>286</v>
          </cell>
          <cell r="G612">
            <v>71.5</v>
          </cell>
        </row>
        <row r="613">
          <cell r="C613" t="str">
            <v>Cost of Terrazzo Tiles - 15mm thick</v>
          </cell>
          <cell r="D613" t="str">
            <v>SQM</v>
          </cell>
          <cell r="E613">
            <v>1</v>
          </cell>
          <cell r="F613">
            <v>425</v>
          </cell>
          <cell r="G613">
            <v>425</v>
          </cell>
        </row>
        <row r="614">
          <cell r="C614" t="str">
            <v>Cost of Glass strips</v>
          </cell>
          <cell r="D614" t="str">
            <v>SQM</v>
          </cell>
          <cell r="E614">
            <v>1</v>
          </cell>
          <cell r="F614">
            <v>30</v>
          </cell>
          <cell r="G614">
            <v>30</v>
          </cell>
        </row>
        <row r="616">
          <cell r="A616" t="str">
            <v>FLWT</v>
          </cell>
          <cell r="B616">
            <v>0</v>
          </cell>
          <cell r="C616" t="str">
            <v>Cost of Cast-in-situ Terrazzo Flooring</v>
          </cell>
          <cell r="D616" t="str">
            <v>PER</v>
          </cell>
          <cell r="E616" t="str">
            <v>SQM</v>
          </cell>
          <cell r="F616" t="str">
            <v>RS</v>
          </cell>
          <cell r="G616">
            <v>526.5</v>
          </cell>
          <cell r="H616">
            <v>527</v>
          </cell>
        </row>
        <row r="618">
          <cell r="A618" t="str">
            <v>FLWP</v>
          </cell>
          <cell r="B618" t="str">
            <v>c</v>
          </cell>
          <cell r="C618" t="str">
            <v xml:space="preserve">patent stone (40mm) IPS including glass strip 40*4th in panels in 1:2:4: CC  </v>
          </cell>
          <cell r="D618" t="str">
            <v>SQM</v>
          </cell>
          <cell r="E618">
            <v>1</v>
          </cell>
          <cell r="F618">
            <v>250</v>
          </cell>
          <cell r="G618">
            <v>250</v>
          </cell>
          <cell r="H618">
            <v>250</v>
          </cell>
        </row>
        <row r="620">
          <cell r="B620" t="str">
            <v>d</v>
          </cell>
          <cell r="C620" t="str">
            <v xml:space="preserve">Metallc hardner like ironite finish (52mm) incl glass strip 40*4th  </v>
          </cell>
        </row>
        <row r="621">
          <cell r="C621" t="str">
            <v xml:space="preserve">Metallc hardner like ironite finish (52mm) incl glass strip 40*4th  </v>
          </cell>
          <cell r="D621" t="str">
            <v>SQM</v>
          </cell>
          <cell r="E621">
            <v>1</v>
          </cell>
          <cell r="F621">
            <v>62.5</v>
          </cell>
          <cell r="G621">
            <v>62.5</v>
          </cell>
        </row>
        <row r="622">
          <cell r="C622" t="str">
            <v xml:space="preserve">40mm thick 1:11/2:3 CC  </v>
          </cell>
          <cell r="D622" t="str">
            <v>SQM</v>
          </cell>
          <cell r="E622">
            <v>1</v>
          </cell>
          <cell r="F622">
            <v>200</v>
          </cell>
          <cell r="G622">
            <v>200</v>
          </cell>
        </row>
        <row r="623">
          <cell r="C623" t="str">
            <v xml:space="preserve">12mm thick  ironite including 40*4th glass strip in panels </v>
          </cell>
          <cell r="D623" t="str">
            <v>SQM</v>
          </cell>
          <cell r="E623">
            <v>1</v>
          </cell>
          <cell r="F623">
            <v>55.000000000000007</v>
          </cell>
          <cell r="G623">
            <v>55.000000000000007</v>
          </cell>
        </row>
        <row r="625">
          <cell r="A625" t="str">
            <v>FLWM</v>
          </cell>
          <cell r="B625">
            <v>0</v>
          </cell>
          <cell r="C625" t="str">
            <v>Metallic Hardner like ironite finish</v>
          </cell>
          <cell r="D625" t="str">
            <v>PER</v>
          </cell>
          <cell r="E625" t="str">
            <v>SQM</v>
          </cell>
          <cell r="F625" t="str">
            <v>RS</v>
          </cell>
          <cell r="G625">
            <v>317.5</v>
          </cell>
          <cell r="H625">
            <v>318</v>
          </cell>
        </row>
        <row r="627">
          <cell r="B627" t="str">
            <v>27a</v>
          </cell>
          <cell r="C627" t="str">
            <v>Providing and applying 2 layers of bituminous felt &amp; 3 layers bitumen paint, including the cost of all labour, material and equipment,transporting,cleaning  base course, brushing adhesive bitumen primer,decocting, cutting, applying etc., complete as per d</v>
          </cell>
        </row>
        <row r="628">
          <cell r="A628" t="str">
            <v>2FRP</v>
          </cell>
          <cell r="B628" t="str">
            <v>a</v>
          </cell>
          <cell r="C628" t="str">
            <v xml:space="preserve">(A) FRP Based Felt/FRP </v>
          </cell>
          <cell r="D628" t="str">
            <v>SQM</v>
          </cell>
          <cell r="E628">
            <v>1</v>
          </cell>
          <cell r="F628">
            <v>500</v>
          </cell>
          <cell r="G628">
            <v>500</v>
          </cell>
          <cell r="H628">
            <v>500</v>
          </cell>
        </row>
        <row r="629">
          <cell r="A629" t="str">
            <v>2HES</v>
          </cell>
          <cell r="B629" t="str">
            <v>b</v>
          </cell>
          <cell r="C629" t="str">
            <v xml:space="preserve">(B)  Hessain Based Felt/Hessain  </v>
          </cell>
          <cell r="D629" t="str">
            <v>PER</v>
          </cell>
          <cell r="E629">
            <v>1</v>
          </cell>
          <cell r="F629">
            <v>475</v>
          </cell>
          <cell r="G629">
            <v>475</v>
          </cell>
          <cell r="H629">
            <v>475</v>
          </cell>
        </row>
        <row r="631">
          <cell r="B631" t="str">
            <v>27b</v>
          </cell>
          <cell r="C631" t="str">
            <v>Providing and applying 3 layers of bituminous felt &amp; 4 layers bitumen paint, including the cost of all labour, material and equipment, transporting, clean base course, brush adhesive bitumen primer, decocting, cutting, apply etc., complete as per drawings</v>
          </cell>
        </row>
        <row r="632">
          <cell r="A632" t="str">
            <v>3FRP</v>
          </cell>
          <cell r="B632" t="str">
            <v>a</v>
          </cell>
          <cell r="C632" t="str">
            <v xml:space="preserve">(A) FRP Based Felt/FRP </v>
          </cell>
          <cell r="D632" t="str">
            <v>SQM</v>
          </cell>
          <cell r="E632">
            <v>1</v>
          </cell>
          <cell r="F632">
            <v>550</v>
          </cell>
          <cell r="G632">
            <v>550</v>
          </cell>
          <cell r="H632">
            <v>550</v>
          </cell>
        </row>
        <row r="633">
          <cell r="A633" t="str">
            <v>3HES</v>
          </cell>
          <cell r="B633" t="str">
            <v>b</v>
          </cell>
          <cell r="C633" t="str">
            <v xml:space="preserve">(B)  Hessain Based Felt/Hessain  </v>
          </cell>
          <cell r="D633" t="str">
            <v>PER</v>
          </cell>
          <cell r="E633">
            <v>1</v>
          </cell>
          <cell r="F633">
            <v>525</v>
          </cell>
          <cell r="G633">
            <v>525</v>
          </cell>
          <cell r="H633">
            <v>525</v>
          </cell>
        </row>
        <row r="635">
          <cell r="B635">
            <v>28</v>
          </cell>
          <cell r="C635" t="str">
            <v xml:space="preserve">Roof waterproofing, insulation and allied works covering , installing , repairing, finishing, curing, testing, protection, maintenance till handing over insulation and allied work for buildings, conforming to IS:73, 702, 1203, 1322, 1346. </v>
          </cell>
        </row>
        <row r="636">
          <cell r="B636" t="str">
            <v>a</v>
          </cell>
          <cell r="C636" t="str">
            <v xml:space="preserve">(a) Cement Based foam Concrete </v>
          </cell>
        </row>
        <row r="637">
          <cell r="C637" t="str">
            <v xml:space="preserve">Cost Of Foam concrete </v>
          </cell>
          <cell r="D637" t="str">
            <v>CUM</v>
          </cell>
          <cell r="E637">
            <v>1</v>
          </cell>
          <cell r="F637">
            <v>2102</v>
          </cell>
          <cell r="G637">
            <v>2102</v>
          </cell>
        </row>
        <row r="638">
          <cell r="C638" t="str">
            <v>Water proofing compund 4% of Cement ( i.e 6 bags = 50kg *0.04)</v>
          </cell>
          <cell r="D638" t="str">
            <v>KG</v>
          </cell>
          <cell r="E638">
            <v>16.8</v>
          </cell>
          <cell r="F638">
            <v>35</v>
          </cell>
          <cell r="G638">
            <v>588</v>
          </cell>
        </row>
        <row r="639">
          <cell r="C639" t="str">
            <v xml:space="preserve">Extra labour for finishing </v>
          </cell>
          <cell r="D639" t="str">
            <v>Sqm</v>
          </cell>
          <cell r="E639">
            <v>8</v>
          </cell>
          <cell r="F639">
            <v>10</v>
          </cell>
          <cell r="G639">
            <v>80</v>
          </cell>
        </row>
        <row r="641">
          <cell r="A641" t="str">
            <v>RWC</v>
          </cell>
          <cell r="B641">
            <v>0</v>
          </cell>
          <cell r="C641" t="str">
            <v>Cost of Cement based Foam Concrete</v>
          </cell>
          <cell r="D641" t="str">
            <v>PER</v>
          </cell>
          <cell r="E641" t="str">
            <v>CUM</v>
          </cell>
          <cell r="F641" t="str">
            <v>RS</v>
          </cell>
          <cell r="G641">
            <v>2770</v>
          </cell>
          <cell r="H641">
            <v>2770</v>
          </cell>
        </row>
        <row r="643">
          <cell r="A643" t="str">
            <v>RWP</v>
          </cell>
          <cell r="B643" t="str">
            <v>b</v>
          </cell>
          <cell r="C643" t="str">
            <v xml:space="preserve">(b) Poly urethene based 50mm. Thick Rigid Foam </v>
          </cell>
          <cell r="D643" t="str">
            <v>SQM</v>
          </cell>
          <cell r="E643">
            <v>1</v>
          </cell>
          <cell r="F643">
            <v>1650</v>
          </cell>
          <cell r="G643">
            <v>1650</v>
          </cell>
          <cell r="H643">
            <v>1650</v>
          </cell>
        </row>
        <row r="645">
          <cell r="B645" t="str">
            <v>c</v>
          </cell>
          <cell r="C645" t="str">
            <v>150*50mm Concrete fillets</v>
          </cell>
        </row>
        <row r="646">
          <cell r="C646" t="str">
            <v>Cost of M20 Concrete</v>
          </cell>
          <cell r="D646" t="str">
            <v>RM</v>
          </cell>
          <cell r="E646">
            <v>7.4999999999999997E-3</v>
          </cell>
          <cell r="F646">
            <v>3434</v>
          </cell>
          <cell r="G646">
            <v>25.754999999999999</v>
          </cell>
        </row>
        <row r="647">
          <cell r="C647" t="str">
            <v>Cost of Labour for Placing</v>
          </cell>
          <cell r="D647" t="str">
            <v>Sqm/rm</v>
          </cell>
          <cell r="E647">
            <v>1</v>
          </cell>
          <cell r="F647">
            <v>50</v>
          </cell>
          <cell r="G647">
            <v>50</v>
          </cell>
        </row>
        <row r="649">
          <cell r="A649" t="str">
            <v>RWF</v>
          </cell>
          <cell r="B649">
            <v>0</v>
          </cell>
          <cell r="C649" t="str">
            <v>150*50mm Concrete fillets</v>
          </cell>
          <cell r="D649" t="str">
            <v>PER</v>
          </cell>
          <cell r="E649" t="str">
            <v>RM</v>
          </cell>
          <cell r="F649" t="str">
            <v>RS</v>
          </cell>
          <cell r="G649">
            <v>75.754999999999995</v>
          </cell>
          <cell r="H649">
            <v>76</v>
          </cell>
        </row>
        <row r="651">
          <cell r="B651">
            <v>29</v>
          </cell>
          <cell r="C651" t="str">
            <v xml:space="preserve">carpentry &amp; toinery works : Providing, fitting and fixing of timber frames to doors and windows with MS holdfasts, penelled or flush doors, windows, shutters, particulars, wall panelling, pelments, shelves, etc., including aprime coat of approved paint , </v>
          </cell>
          <cell r="D651" t="str">
            <v>Cum</v>
          </cell>
          <cell r="E651">
            <v>1</v>
          </cell>
          <cell r="F651">
            <v>60000</v>
          </cell>
          <cell r="G651">
            <v>60000</v>
          </cell>
          <cell r="H651">
            <v>60000</v>
          </cell>
        </row>
        <row r="653">
          <cell r="B653">
            <v>30</v>
          </cell>
          <cell r="C653" t="str">
            <v>supplying and erecting and installing of all metal doors, windows, ventilators, louvres, glazed partitions, etc., including a prime coat, standard fittings and fixtures for different doors and windows as per drawing requirements, conforming to IS: 1038, 1</v>
          </cell>
        </row>
        <row r="654">
          <cell r="A654" t="str">
            <v>D40</v>
          </cell>
          <cell r="B654" t="str">
            <v>a</v>
          </cell>
          <cell r="C654" t="str">
            <v xml:space="preserve">40mm thk Hollow flush steel doors, double plated with pressed steel frames, including priming and two coats of synthetic enamel paint </v>
          </cell>
          <cell r="D654" t="str">
            <v>Sqm</v>
          </cell>
          <cell r="E654">
            <v>1</v>
          </cell>
          <cell r="F654">
            <v>4500</v>
          </cell>
          <cell r="G654">
            <v>4500</v>
          </cell>
          <cell r="H654">
            <v>4500</v>
          </cell>
        </row>
        <row r="655">
          <cell r="A655" t="str">
            <v>DS</v>
          </cell>
          <cell r="B655" t="str">
            <v>b</v>
          </cell>
          <cell r="C655" t="str">
            <v xml:space="preserve">Steel openable/fixed windows as per IS 1038, including priming and two coats of synthetic enamel paint  </v>
          </cell>
          <cell r="D655" t="str">
            <v>Sqm</v>
          </cell>
          <cell r="E655">
            <v>1</v>
          </cell>
          <cell r="F655">
            <v>2800</v>
          </cell>
          <cell r="G655">
            <v>2800</v>
          </cell>
          <cell r="H655">
            <v>2800</v>
          </cell>
        </row>
        <row r="656">
          <cell r="A656" t="str">
            <v>DG</v>
          </cell>
          <cell r="B656" t="str">
            <v>c</v>
          </cell>
          <cell r="C656" t="str">
            <v xml:space="preserve">Glazed louvers with M.S. frames, fixtures including painting  </v>
          </cell>
          <cell r="D656" t="str">
            <v>Sqm</v>
          </cell>
          <cell r="E656">
            <v>1</v>
          </cell>
          <cell r="F656">
            <v>3500</v>
          </cell>
          <cell r="G656">
            <v>3500</v>
          </cell>
          <cell r="H656">
            <v>3500</v>
          </cell>
        </row>
        <row r="657">
          <cell r="A657" t="str">
            <v>DAGD</v>
          </cell>
          <cell r="B657" t="str">
            <v>d</v>
          </cell>
          <cell r="C657" t="str">
            <v xml:space="preserve">Aluminium glazed doors </v>
          </cell>
          <cell r="D657" t="str">
            <v>Sqm</v>
          </cell>
          <cell r="E657">
            <v>1</v>
          </cell>
          <cell r="F657">
            <v>6000</v>
          </cell>
          <cell r="G657">
            <v>6000</v>
          </cell>
          <cell r="H657">
            <v>6000</v>
          </cell>
        </row>
        <row r="658">
          <cell r="A658" t="str">
            <v>DAGP1</v>
          </cell>
          <cell r="B658" t="str">
            <v>e</v>
          </cell>
          <cell r="C658" t="str">
            <v xml:space="preserve">Aluminium glazed fixed partition </v>
          </cell>
          <cell r="D658" t="str">
            <v>Sqm</v>
          </cell>
          <cell r="E658">
            <v>1</v>
          </cell>
          <cell r="F658">
            <v>6000</v>
          </cell>
          <cell r="G658">
            <v>6000</v>
          </cell>
          <cell r="H658">
            <v>6000</v>
          </cell>
        </row>
        <row r="659">
          <cell r="A659" t="str">
            <v>DWD</v>
          </cell>
          <cell r="B659" t="str">
            <v>f</v>
          </cell>
          <cell r="C659" t="str">
            <v xml:space="preserve">window with double glazing </v>
          </cell>
          <cell r="D659" t="str">
            <v>Sqm</v>
          </cell>
          <cell r="E659">
            <v>1</v>
          </cell>
          <cell r="F659">
            <v>2500</v>
          </cell>
          <cell r="G659">
            <v>2500</v>
          </cell>
          <cell r="H659">
            <v>2500</v>
          </cell>
        </row>
        <row r="660">
          <cell r="A660" t="str">
            <v>DAGP2</v>
          </cell>
          <cell r="B660" t="str">
            <v>g</v>
          </cell>
          <cell r="C660" t="str">
            <v xml:space="preserve">Aluminium glazed fixed partition </v>
          </cell>
          <cell r="D660" t="str">
            <v>Sqm</v>
          </cell>
          <cell r="E660">
            <v>1</v>
          </cell>
          <cell r="F660">
            <v>6000</v>
          </cell>
          <cell r="G660">
            <v>6000</v>
          </cell>
          <cell r="H660">
            <v>6000</v>
          </cell>
        </row>
        <row r="661">
          <cell r="A661" t="str">
            <v>DWS</v>
          </cell>
          <cell r="B661" t="str">
            <v>h</v>
          </cell>
          <cell r="C661" t="str">
            <v xml:space="preserve">Window with single glazing </v>
          </cell>
          <cell r="D661" t="str">
            <v>Sqm</v>
          </cell>
          <cell r="E661">
            <v>1</v>
          </cell>
          <cell r="F661">
            <v>2000</v>
          </cell>
          <cell r="G661">
            <v>2000</v>
          </cell>
          <cell r="H661">
            <v>2000</v>
          </cell>
        </row>
        <row r="662">
          <cell r="A662" t="str">
            <v>D35</v>
          </cell>
          <cell r="B662" t="str">
            <v>i</v>
          </cell>
          <cell r="C662" t="str">
            <v xml:space="preserve">35mm thk flush doors with water proof, termite proof commercial plywood (10mm thk) on both faces including synthetic enamel paint </v>
          </cell>
          <cell r="D662" t="str">
            <v>Sqm</v>
          </cell>
          <cell r="E662">
            <v>1</v>
          </cell>
          <cell r="F662">
            <v>4750</v>
          </cell>
          <cell r="G662">
            <v>4750</v>
          </cell>
          <cell r="H662">
            <v>4750</v>
          </cell>
        </row>
        <row r="663">
          <cell r="A663" t="str">
            <v>DFP</v>
          </cell>
          <cell r="B663" t="str">
            <v>j</v>
          </cell>
          <cell r="C663" t="str">
            <v xml:space="preserve">Hinged type fire proof double leaf doors (Steel Door) 2hr rating without Panic Bar </v>
          </cell>
          <cell r="D663" t="str">
            <v>Sqm</v>
          </cell>
          <cell r="E663">
            <v>1</v>
          </cell>
          <cell r="F663">
            <v>23500</v>
          </cell>
          <cell r="G663">
            <v>23500</v>
          </cell>
          <cell r="H663">
            <v>23500</v>
          </cell>
        </row>
        <row r="664">
          <cell r="A664" t="str">
            <v>DF</v>
          </cell>
          <cell r="B664" t="str">
            <v>k</v>
          </cell>
          <cell r="C664" t="str">
            <v xml:space="preserve">Hinged type fire proof single leaf doors (Steel Door) 2hr rating without Panic Bar </v>
          </cell>
          <cell r="D664" t="str">
            <v>Sqm</v>
          </cell>
          <cell r="E664">
            <v>1</v>
          </cell>
          <cell r="F664">
            <v>21500</v>
          </cell>
          <cell r="G664">
            <v>21500</v>
          </cell>
          <cell r="H664">
            <v>21500</v>
          </cell>
        </row>
        <row r="665">
          <cell r="A665" t="str">
            <v>D18</v>
          </cell>
          <cell r="B665" t="str">
            <v>l</v>
          </cell>
          <cell r="C665" t="str">
            <v xml:space="preserve">18 SWG MS steel rolling shutter gear type Mechanically Operated </v>
          </cell>
          <cell r="D665" t="str">
            <v>Sqm</v>
          </cell>
          <cell r="E665">
            <v>1</v>
          </cell>
          <cell r="F665">
            <v>5500</v>
          </cell>
          <cell r="G665">
            <v>5500</v>
          </cell>
          <cell r="H665">
            <v>5500</v>
          </cell>
        </row>
        <row r="666">
          <cell r="A666" t="str">
            <v>DRS</v>
          </cell>
          <cell r="B666" t="str">
            <v>m</v>
          </cell>
          <cell r="C666" t="str">
            <v xml:space="preserve">Rolling stell shutters/grills covers the design, materials, fabrication and erection of rolling shutters/grills with motor drive including all accessories as IS 6248 required </v>
          </cell>
          <cell r="D666" t="str">
            <v>Sqm</v>
          </cell>
          <cell r="E666">
            <v>1</v>
          </cell>
          <cell r="F666">
            <v>6500</v>
          </cell>
          <cell r="G666">
            <v>6500</v>
          </cell>
          <cell r="H666">
            <v>6500</v>
          </cell>
        </row>
        <row r="667">
          <cell r="A667" t="str">
            <v>DWW</v>
          </cell>
          <cell r="B667" t="str">
            <v>n</v>
          </cell>
          <cell r="C667" t="str">
            <v xml:space="preserve">Woody window with single glazing </v>
          </cell>
          <cell r="D667" t="str">
            <v>Sqm</v>
          </cell>
          <cell r="E667">
            <v>1</v>
          </cell>
          <cell r="F667">
            <v>1200</v>
          </cell>
          <cell r="G667">
            <v>1200</v>
          </cell>
          <cell r="H667">
            <v>1200</v>
          </cell>
        </row>
        <row r="669">
          <cell r="B669">
            <v>31</v>
          </cell>
          <cell r="C669" t="str">
            <v>The work covers the furnishing of all materials, labour, tools, equipment, supervision and services necessary for incidental to the supply, installation, finishing and completion of suspended ceiling work of various profiles and at all elevations as per d</v>
          </cell>
        </row>
        <row r="670">
          <cell r="A670" t="str">
            <v>SCA</v>
          </cell>
          <cell r="B670" t="str">
            <v>a</v>
          </cell>
          <cell r="C670" t="str">
            <v xml:space="preserve">Acoustic 12mm Thick perforated wooden particle board(with G.I.M.S.grid)  </v>
          </cell>
          <cell r="D670" t="str">
            <v>Sqm</v>
          </cell>
          <cell r="E670">
            <v>1</v>
          </cell>
          <cell r="F670">
            <v>4200</v>
          </cell>
          <cell r="G670">
            <v>4200</v>
          </cell>
          <cell r="H670">
            <v>4200</v>
          </cell>
        </row>
        <row r="671">
          <cell r="A671" t="str">
            <v>SC12</v>
          </cell>
          <cell r="B671" t="str">
            <v>b</v>
          </cell>
          <cell r="C671" t="str">
            <v xml:space="preserve">12mm. Thick Gypsum boards(with G.I.M.S.grid)  </v>
          </cell>
          <cell r="D671" t="str">
            <v>Sqm</v>
          </cell>
          <cell r="E671">
            <v>1</v>
          </cell>
          <cell r="F671">
            <v>4000</v>
          </cell>
          <cell r="G671">
            <v>4000</v>
          </cell>
          <cell r="H671">
            <v>4000</v>
          </cell>
        </row>
        <row r="672">
          <cell r="A672" t="str">
            <v>SCIGI</v>
          </cell>
          <cell r="B672" t="str">
            <v>c</v>
          </cell>
          <cell r="C672" t="str">
            <v xml:space="preserve">insulation/acoustic boards (with G.I.M.S.grid) </v>
          </cell>
          <cell r="D672" t="str">
            <v>Sqm</v>
          </cell>
          <cell r="E672">
            <v>1</v>
          </cell>
          <cell r="F672">
            <v>6800</v>
          </cell>
          <cell r="G672">
            <v>6800</v>
          </cell>
          <cell r="H672">
            <v>6800</v>
          </cell>
        </row>
        <row r="673">
          <cell r="A673" t="str">
            <v>SCIAA</v>
          </cell>
          <cell r="B673" t="str">
            <v>d</v>
          </cell>
          <cell r="C673" t="str">
            <v xml:space="preserve">insulation/acoustic boards (with Aluminum alloy grid) </v>
          </cell>
          <cell r="D673" t="str">
            <v>Sqm</v>
          </cell>
          <cell r="E673">
            <v>1</v>
          </cell>
          <cell r="F673">
            <v>6800</v>
          </cell>
          <cell r="G673">
            <v>6800</v>
          </cell>
          <cell r="H673">
            <v>6800</v>
          </cell>
        </row>
        <row r="674">
          <cell r="A674" t="str">
            <v>SCPGI</v>
          </cell>
          <cell r="B674" t="str">
            <v>e</v>
          </cell>
          <cell r="C674" t="str">
            <v xml:space="preserve">plaster of Paris boards(with G.I.M.S.grid) </v>
          </cell>
          <cell r="D674" t="str">
            <v>Sqm</v>
          </cell>
          <cell r="E674">
            <v>1</v>
          </cell>
          <cell r="F674">
            <v>1250</v>
          </cell>
          <cell r="G674">
            <v>1250</v>
          </cell>
          <cell r="H674">
            <v>1250</v>
          </cell>
        </row>
        <row r="675">
          <cell r="A675" t="str">
            <v>SCPAA</v>
          </cell>
          <cell r="B675" t="str">
            <v>f</v>
          </cell>
          <cell r="C675" t="str">
            <v xml:space="preserve">plaster of Paris boards(with Aluminum alloy grid) </v>
          </cell>
          <cell r="D675" t="str">
            <v>Sqm</v>
          </cell>
          <cell r="E675">
            <v>1</v>
          </cell>
          <cell r="F675">
            <v>1250</v>
          </cell>
          <cell r="G675">
            <v>1250</v>
          </cell>
          <cell r="H675">
            <v>1250</v>
          </cell>
        </row>
        <row r="677">
          <cell r="B677">
            <v>32</v>
          </cell>
          <cell r="C677" t="str">
            <v>providing and erecting the following work including the cost of all labour, material and equipment, making cutting plan,cutting,jointing,assembly,edge preparation,welding,drilling,gainst damage in transit,breaking wall and repairing,stability of erection,</v>
          </cell>
        </row>
        <row r="678">
          <cell r="A678" t="str">
            <v>DPP100</v>
          </cell>
          <cell r="B678" t="str">
            <v>a</v>
          </cell>
          <cell r="C678" t="str">
            <v xml:space="preserve">100mm NB roof drain and floor drain pipe in PVC 4 kg/sq. sm presser  </v>
          </cell>
          <cell r="D678" t="str">
            <v>RM</v>
          </cell>
          <cell r="E678">
            <v>1</v>
          </cell>
          <cell r="F678">
            <v>650</v>
          </cell>
          <cell r="G678">
            <v>650</v>
          </cell>
          <cell r="H678">
            <v>650</v>
          </cell>
        </row>
        <row r="679">
          <cell r="A679" t="str">
            <v>DPS100</v>
          </cell>
          <cell r="B679" t="str">
            <v>b</v>
          </cell>
          <cell r="C679" t="str">
            <v xml:space="preserve">100mm NB roof drain and floor drain steel pipe including corrosive paint (MS Midium Pipe) </v>
          </cell>
          <cell r="D679" t="str">
            <v>RM</v>
          </cell>
          <cell r="E679">
            <v>1</v>
          </cell>
          <cell r="F679">
            <v>1100</v>
          </cell>
          <cell r="G679">
            <v>1100</v>
          </cell>
          <cell r="H679">
            <v>1100</v>
          </cell>
        </row>
        <row r="680">
          <cell r="A680" t="str">
            <v>DPP150</v>
          </cell>
          <cell r="B680" t="str">
            <v>c</v>
          </cell>
          <cell r="C680" t="str">
            <v xml:space="preserve">150mm NB roof drain and floor drain pipe in PVC 4 kg/sq. sm presser </v>
          </cell>
          <cell r="D680" t="str">
            <v>RM</v>
          </cell>
          <cell r="E680">
            <v>1</v>
          </cell>
          <cell r="F680">
            <v>850</v>
          </cell>
          <cell r="G680">
            <v>850</v>
          </cell>
          <cell r="H680">
            <v>850</v>
          </cell>
        </row>
        <row r="681">
          <cell r="A681" t="str">
            <v>DPS150</v>
          </cell>
          <cell r="B681" t="str">
            <v>d</v>
          </cell>
          <cell r="C681" t="str">
            <v xml:space="preserve">150mm NB roof drain and floor drain steel pipe including corrosive paint  (MS Midium Pipe) </v>
          </cell>
          <cell r="D681" t="str">
            <v>RM</v>
          </cell>
          <cell r="E681">
            <v>1</v>
          </cell>
          <cell r="F681">
            <v>1850</v>
          </cell>
          <cell r="G681">
            <v>1850</v>
          </cell>
          <cell r="H681">
            <v>1850</v>
          </cell>
        </row>
        <row r="682">
          <cell r="A682" t="str">
            <v>RDC100</v>
          </cell>
          <cell r="B682" t="str">
            <v>e</v>
          </cell>
          <cell r="C682" t="str">
            <v xml:space="preserve">roof drain heads with gratings for 100mm NB.pipes (Cast Iron) </v>
          </cell>
          <cell r="D682" t="str">
            <v>No</v>
          </cell>
          <cell r="E682">
            <v>1</v>
          </cell>
          <cell r="F682">
            <v>750</v>
          </cell>
          <cell r="G682">
            <v>750</v>
          </cell>
          <cell r="H682">
            <v>750</v>
          </cell>
        </row>
        <row r="683">
          <cell r="A683" t="str">
            <v>RDC150</v>
          </cell>
          <cell r="B683" t="str">
            <v>f</v>
          </cell>
          <cell r="C683" t="str">
            <v xml:space="preserve">roof drain heads with gratings for 150mm NB.pipes  (Cast Iron) </v>
          </cell>
          <cell r="D683" t="str">
            <v>No</v>
          </cell>
          <cell r="E683">
            <v>1</v>
          </cell>
          <cell r="F683">
            <v>1000</v>
          </cell>
          <cell r="G683">
            <v>1000</v>
          </cell>
          <cell r="H683">
            <v>1000</v>
          </cell>
        </row>
        <row r="684">
          <cell r="A684" t="str">
            <v>PVCWS</v>
          </cell>
          <cell r="B684" t="str">
            <v>g</v>
          </cell>
          <cell r="C684" t="str">
            <v>PVC  water skip</v>
          </cell>
          <cell r="D684" t="str">
            <v>No</v>
          </cell>
          <cell r="E684">
            <v>1</v>
          </cell>
          <cell r="F684">
            <v>150</v>
          </cell>
          <cell r="G684">
            <v>150</v>
          </cell>
          <cell r="H684">
            <v>150</v>
          </cell>
        </row>
        <row r="686">
          <cell r="B686">
            <v>33</v>
          </cell>
          <cell r="C686" t="str">
            <v>providing and erecting the following work including the cost of all labour, material and equipment, making cutting plan,cutting,jointing,assembly,edge preparation, welding, drilling, gainst damage in transit, breaking wall and repairing, stability of erec</v>
          </cell>
        </row>
        <row r="687">
          <cell r="A687" t="str">
            <v>15BS</v>
          </cell>
          <cell r="B687" t="str">
            <v>a</v>
          </cell>
          <cell r="C687" t="str">
            <v>15mm NB. CP brass screw down bib taps heavy grade</v>
          </cell>
          <cell r="D687" t="str">
            <v>No</v>
          </cell>
          <cell r="E687">
            <v>1</v>
          </cell>
          <cell r="F687">
            <v>850</v>
          </cell>
          <cell r="G687">
            <v>850</v>
          </cell>
          <cell r="H687">
            <v>850</v>
          </cell>
        </row>
        <row r="688">
          <cell r="A688" t="str">
            <v>SVB50</v>
          </cell>
          <cell r="B688" t="str">
            <v>b</v>
          </cell>
          <cell r="C688" t="str">
            <v xml:space="preserve">50 NB. CP brass stop valves heavy grade </v>
          </cell>
          <cell r="D688" t="str">
            <v>No</v>
          </cell>
          <cell r="E688">
            <v>1</v>
          </cell>
          <cell r="F688">
            <v>3000</v>
          </cell>
          <cell r="G688">
            <v>3000</v>
          </cell>
          <cell r="H688">
            <v>3000</v>
          </cell>
        </row>
        <row r="689">
          <cell r="A689" t="str">
            <v>SVB40</v>
          </cell>
          <cell r="B689" t="str">
            <v>c</v>
          </cell>
          <cell r="C689" t="str">
            <v xml:space="preserve">40 NB. CP brass stop valves heavy grade </v>
          </cell>
          <cell r="D689" t="str">
            <v>No</v>
          </cell>
          <cell r="E689">
            <v>1</v>
          </cell>
          <cell r="F689">
            <v>1500</v>
          </cell>
          <cell r="G689">
            <v>1500</v>
          </cell>
          <cell r="H689">
            <v>1500</v>
          </cell>
        </row>
        <row r="690">
          <cell r="A690" t="str">
            <v>SVB32</v>
          </cell>
          <cell r="B690" t="str">
            <v>d</v>
          </cell>
          <cell r="C690" t="str">
            <v xml:space="preserve">32 NB. CP brass stop valves heavy grade </v>
          </cell>
          <cell r="D690" t="str">
            <v>No</v>
          </cell>
          <cell r="E690">
            <v>1</v>
          </cell>
          <cell r="F690">
            <v>1100</v>
          </cell>
          <cell r="G690">
            <v>1100</v>
          </cell>
          <cell r="H690">
            <v>1100</v>
          </cell>
        </row>
        <row r="691">
          <cell r="A691" t="str">
            <v>SVB25</v>
          </cell>
          <cell r="B691" t="str">
            <v>e</v>
          </cell>
          <cell r="C691" t="str">
            <v xml:space="preserve">25 NB. CP brass stop valves heavy grade </v>
          </cell>
          <cell r="D691" t="str">
            <v>No</v>
          </cell>
          <cell r="E691">
            <v>1</v>
          </cell>
          <cell r="F691">
            <v>850</v>
          </cell>
          <cell r="G691">
            <v>850</v>
          </cell>
          <cell r="H691">
            <v>850</v>
          </cell>
        </row>
        <row r="692">
          <cell r="A692" t="str">
            <v>SVB20</v>
          </cell>
          <cell r="B692" t="str">
            <v>f</v>
          </cell>
          <cell r="C692" t="str">
            <v xml:space="preserve">20 NB. CP brass stop valves heavy grade </v>
          </cell>
          <cell r="D692" t="str">
            <v>No</v>
          </cell>
          <cell r="E692">
            <v>1</v>
          </cell>
          <cell r="F692">
            <v>680</v>
          </cell>
          <cell r="G692">
            <v>680</v>
          </cell>
          <cell r="H692">
            <v>680</v>
          </cell>
        </row>
        <row r="693">
          <cell r="A693" t="str">
            <v>SVB15</v>
          </cell>
          <cell r="B693" t="str">
            <v>g</v>
          </cell>
          <cell r="C693" t="str">
            <v xml:space="preserve">15 NB. CP brass stop valves heavy grade </v>
          </cell>
          <cell r="D693" t="str">
            <v>No</v>
          </cell>
          <cell r="E693">
            <v>1</v>
          </cell>
          <cell r="F693">
            <v>510</v>
          </cell>
          <cell r="G693">
            <v>510</v>
          </cell>
          <cell r="H693">
            <v>510</v>
          </cell>
        </row>
        <row r="695">
          <cell r="A695" t="str">
            <v>WCRT</v>
          </cell>
          <cell r="B695" t="str">
            <v>34a</v>
          </cell>
          <cell r="C695" t="str">
            <v>Water Closet Raised type:It shall include glazed vitreous china basin with siphon, open front solid plastic seat and plastic cover, low level PVC flushing cistern with valveless fittings, supply connections and necessary fittings. All fittings shall be ch</v>
          </cell>
          <cell r="D695" t="str">
            <v>Set</v>
          </cell>
          <cell r="E695">
            <v>1</v>
          </cell>
          <cell r="F695">
            <v>8500</v>
          </cell>
          <cell r="G695">
            <v>8500</v>
          </cell>
          <cell r="H695">
            <v>8500</v>
          </cell>
        </row>
        <row r="696">
          <cell r="A696" t="str">
            <v>WCST</v>
          </cell>
          <cell r="B696" t="str">
            <v>b</v>
          </cell>
          <cell r="C696" t="str">
            <v xml:space="preserve">Water Closet Squatting type:It shall include glazed vitreous china pan with foot rests and high level PVC flushing cis­tern with valveless fittings, supply connections and necessary fittings. All fittings shall be chromium plated. The foot rests shall be </v>
          </cell>
          <cell r="D696" t="str">
            <v>Set</v>
          </cell>
          <cell r="E696">
            <v>1</v>
          </cell>
          <cell r="F696">
            <v>5920</v>
          </cell>
          <cell r="G696">
            <v>5920</v>
          </cell>
          <cell r="H696">
            <v>5920</v>
          </cell>
        </row>
        <row r="697">
          <cell r="A697" t="str">
            <v>U</v>
          </cell>
          <cell r="B697" t="str">
            <v>c</v>
          </cell>
          <cell r="C697" t="str">
            <v>Urinals (two set urinals and one tank of 5 litre capacity): It shall consist of wall type glazed vitreous china urinals, PVC automatic flushing cistern complete with supply connections, flush pipe, lead pipes, grat­ings, traps and all other necessary fitt</v>
          </cell>
          <cell r="D697" t="str">
            <v>Set</v>
          </cell>
          <cell r="E697">
            <v>1</v>
          </cell>
          <cell r="F697">
            <v>13680</v>
          </cell>
          <cell r="G697">
            <v>13680</v>
          </cell>
          <cell r="H697">
            <v>13680</v>
          </cell>
        </row>
        <row r="698">
          <cell r="A698" t="str">
            <v>WB</v>
          </cell>
          <cell r="B698" t="str">
            <v>d</v>
          </cell>
          <cell r="C698" t="str">
            <v>wash basin: It shall be made of glazed vitreous china. The basin shall be flat back, wall hung by painted cast iron brackets and complete with pattern with hot and cold brass faucets with nylon washers, waste chain, waste washers, lead waste pipes with tr</v>
          </cell>
          <cell r="D698" t="str">
            <v>Set</v>
          </cell>
          <cell r="E698">
            <v>1</v>
          </cell>
          <cell r="F698">
            <v>2250</v>
          </cell>
          <cell r="G698">
            <v>2250</v>
          </cell>
          <cell r="H698">
            <v>2250</v>
          </cell>
        </row>
        <row r="699">
          <cell r="A699" t="str">
            <v>S</v>
          </cell>
          <cell r="B699" t="str">
            <v>e</v>
          </cell>
          <cell r="C699" t="str">
            <v>Sink: It shall be made of stainless steel. It shall be wall hung by painted cast iron brackets and complete with one brass faucet with nylon washers, waste chain, waste washers, lead waste pipes with traps, perforated waste coupling with necessary fitting</v>
          </cell>
          <cell r="D699" t="str">
            <v>Set</v>
          </cell>
          <cell r="E699">
            <v>1</v>
          </cell>
          <cell r="F699">
            <v>9750</v>
          </cell>
          <cell r="G699">
            <v>9750</v>
          </cell>
          <cell r="H699">
            <v>9750</v>
          </cell>
        </row>
        <row r="700">
          <cell r="A700" t="str">
            <v>BM</v>
          </cell>
          <cell r="B700" t="str">
            <v>f</v>
          </cell>
          <cell r="C700" t="str">
            <v xml:space="preserve">Bathroom Mirror: It shall be made of the best quality 6 mm thick glass and manufactured by a reputed mirror manufacturer. It shall be wall mounted with adjustable revolving brackets. The brackets, screws and other fittings shall be chromium plated. (Size </v>
          </cell>
          <cell r="D700" t="str">
            <v>No</v>
          </cell>
          <cell r="E700">
            <v>1</v>
          </cell>
          <cell r="F700">
            <v>1470</v>
          </cell>
          <cell r="G700">
            <v>1470</v>
          </cell>
          <cell r="H700">
            <v>1470</v>
          </cell>
        </row>
        <row r="701">
          <cell r="A701" t="str">
            <v>GS</v>
          </cell>
          <cell r="B701" t="str">
            <v>g</v>
          </cell>
          <cell r="C701" t="str">
            <v xml:space="preserve">Glass Shelves: Glass shelves shall consist of 6 mm thick clear sheet glass with guard rails and shall be wall mounted with bracket etc. All brackets, guard rails and screws shall be chromium plated. (Size 150x450) </v>
          </cell>
          <cell r="D701" t="str">
            <v>Set</v>
          </cell>
          <cell r="E701">
            <v>1</v>
          </cell>
          <cell r="F701">
            <v>950</v>
          </cell>
          <cell r="G701">
            <v>950</v>
          </cell>
          <cell r="H701">
            <v>950</v>
          </cell>
        </row>
        <row r="702">
          <cell r="A702" t="str">
            <v>TRCP</v>
          </cell>
          <cell r="B702" t="str">
            <v>h</v>
          </cell>
          <cell r="C702" t="str">
            <v xml:space="preserve">Towel Rail CP: Towel rails shall be 20 mm NB chromium plated brass pipes wall mounted with steel brackets. The brackets, screws etc. shall also be chromium plated </v>
          </cell>
          <cell r="D702" t="str">
            <v>Set</v>
          </cell>
          <cell r="E702">
            <v>1</v>
          </cell>
          <cell r="F702">
            <v>530</v>
          </cell>
          <cell r="G702">
            <v>530</v>
          </cell>
          <cell r="H702">
            <v>530</v>
          </cell>
        </row>
        <row r="703">
          <cell r="A703" t="str">
            <v>SHCP</v>
          </cell>
          <cell r="B703" t="str">
            <v>i</v>
          </cell>
          <cell r="C703" t="str">
            <v xml:space="preserve">Soap Holder CP: It shall be made of chromium plated brass. The holders shall be wall mounted with chromium plated screws. </v>
          </cell>
          <cell r="D703" t="str">
            <v>Set</v>
          </cell>
          <cell r="E703">
            <v>1</v>
          </cell>
          <cell r="F703">
            <v>525</v>
          </cell>
          <cell r="G703">
            <v>525</v>
          </cell>
          <cell r="H703">
            <v>525</v>
          </cell>
        </row>
        <row r="704">
          <cell r="A704" t="str">
            <v>LSDCP</v>
          </cell>
          <cell r="B704" t="str">
            <v>j</v>
          </cell>
          <cell r="C704" t="str">
            <v xml:space="preserve">Liquid Soap Dispenser CP : It shall be round and easily revolving with removable threaded nozzle. The body, bracket for wall mounting and screws shall be chromium plated. </v>
          </cell>
          <cell r="D704" t="str">
            <v>Set</v>
          </cell>
          <cell r="E704">
            <v>1</v>
          </cell>
          <cell r="F704">
            <v>575</v>
          </cell>
          <cell r="G704">
            <v>575</v>
          </cell>
          <cell r="H704">
            <v>575</v>
          </cell>
        </row>
        <row r="705">
          <cell r="A705" t="str">
            <v>TRHCP</v>
          </cell>
          <cell r="B705" t="str">
            <v>k</v>
          </cell>
          <cell r="C705" t="str">
            <v xml:space="preserve">Toilet Roll Holder CP : It shall be made of glazed vitreous china with suitable cover cum cutter. Wall mounting screws shall be chromium plated. </v>
          </cell>
          <cell r="D705" t="str">
            <v>Set</v>
          </cell>
          <cell r="E705">
            <v>1</v>
          </cell>
          <cell r="F705">
            <v>500</v>
          </cell>
          <cell r="G705">
            <v>500</v>
          </cell>
          <cell r="H705">
            <v>500</v>
          </cell>
        </row>
        <row r="707">
          <cell r="B707">
            <v>35</v>
          </cell>
          <cell r="C707" t="str">
            <v>providing and erecting the following work including the cost of all labour, material and equipment, making cutting plan, cutting, jointing, assembly, edge preparation welding,drilling,gainst damage in transit,stability of erecting, all other activities re</v>
          </cell>
        </row>
        <row r="708">
          <cell r="A708" t="str">
            <v>15CS</v>
          </cell>
          <cell r="B708" t="str">
            <v>a</v>
          </cell>
          <cell r="C708" t="str">
            <v xml:space="preserve">15mm NB. CP chrome plating screw down bib taps heavy grade </v>
          </cell>
          <cell r="D708" t="str">
            <v>NO</v>
          </cell>
          <cell r="E708">
            <v>1</v>
          </cell>
          <cell r="F708">
            <v>900</v>
          </cell>
          <cell r="G708">
            <v>900</v>
          </cell>
          <cell r="H708">
            <v>900</v>
          </cell>
        </row>
        <row r="709">
          <cell r="A709" t="str">
            <v>SVC50</v>
          </cell>
          <cell r="B709" t="str">
            <v>b</v>
          </cell>
          <cell r="C709" t="str">
            <v xml:space="preserve">50 NB. CP chrome plating stop valves heavy grade </v>
          </cell>
          <cell r="D709" t="str">
            <v>NO</v>
          </cell>
          <cell r="E709">
            <v>1</v>
          </cell>
          <cell r="F709">
            <v>3050</v>
          </cell>
          <cell r="G709">
            <v>3050</v>
          </cell>
          <cell r="H709">
            <v>3050</v>
          </cell>
        </row>
        <row r="710">
          <cell r="A710" t="str">
            <v>SVC40</v>
          </cell>
          <cell r="B710" t="str">
            <v>c</v>
          </cell>
          <cell r="C710" t="str">
            <v xml:space="preserve">40 NB. CP chrome plating stop valves heavy grade </v>
          </cell>
          <cell r="D710" t="str">
            <v>NO</v>
          </cell>
          <cell r="E710">
            <v>1</v>
          </cell>
          <cell r="F710">
            <v>1550</v>
          </cell>
          <cell r="G710">
            <v>1550</v>
          </cell>
          <cell r="H710">
            <v>1550</v>
          </cell>
        </row>
        <row r="711">
          <cell r="A711" t="str">
            <v>SVC32</v>
          </cell>
          <cell r="B711" t="str">
            <v>d</v>
          </cell>
          <cell r="C711" t="str">
            <v xml:space="preserve">32 NB. CP chrome plating stop valves heavy grade </v>
          </cell>
          <cell r="D711" t="str">
            <v>NO</v>
          </cell>
          <cell r="E711">
            <v>1</v>
          </cell>
          <cell r="F711">
            <v>1150</v>
          </cell>
          <cell r="G711">
            <v>1150</v>
          </cell>
          <cell r="H711">
            <v>1150</v>
          </cell>
        </row>
        <row r="712">
          <cell r="A712" t="str">
            <v>SVC25</v>
          </cell>
          <cell r="B712" t="str">
            <v>e</v>
          </cell>
          <cell r="C712" t="str">
            <v xml:space="preserve">25 NB. CP chrome plating stop valves heavy grade </v>
          </cell>
          <cell r="D712" t="str">
            <v>NO</v>
          </cell>
          <cell r="E712">
            <v>1</v>
          </cell>
          <cell r="F712">
            <v>900</v>
          </cell>
          <cell r="G712">
            <v>900</v>
          </cell>
          <cell r="H712">
            <v>900</v>
          </cell>
        </row>
        <row r="713">
          <cell r="A713" t="str">
            <v>SVC20</v>
          </cell>
          <cell r="B713" t="str">
            <v>f</v>
          </cell>
          <cell r="C713" t="str">
            <v xml:space="preserve">20 NB. CP chrome plating stop valves heavy grade </v>
          </cell>
          <cell r="D713" t="str">
            <v>NO</v>
          </cell>
          <cell r="E713">
            <v>1</v>
          </cell>
          <cell r="F713">
            <v>730</v>
          </cell>
          <cell r="G713">
            <v>730</v>
          </cell>
          <cell r="H713">
            <v>730</v>
          </cell>
        </row>
        <row r="714">
          <cell r="A714" t="str">
            <v>SVC15</v>
          </cell>
          <cell r="B714" t="str">
            <v>g</v>
          </cell>
          <cell r="C714" t="str">
            <v xml:space="preserve">15 NB. CP chrome plating stop valves heavy grade </v>
          </cell>
          <cell r="D714" t="str">
            <v>NO</v>
          </cell>
          <cell r="E714">
            <v>1</v>
          </cell>
          <cell r="F714">
            <v>560</v>
          </cell>
          <cell r="G714">
            <v>560</v>
          </cell>
          <cell r="H714">
            <v>560</v>
          </cell>
        </row>
        <row r="715">
          <cell r="D715" t="str">
            <v>NO</v>
          </cell>
          <cell r="E715">
            <v>1</v>
          </cell>
          <cell r="F715">
            <v>0</v>
          </cell>
          <cell r="G715">
            <v>0</v>
          </cell>
        </row>
        <row r="716">
          <cell r="B716">
            <v>36</v>
          </cell>
          <cell r="C716" t="str">
            <v>providing and erecting Valves with flanges. Gaskets. Bolts. Washers.ect. including the cost of all labour, material and equipment, making cutting plan,cutting,jointing,assembly,edge preparation,welding,drilling,gainst damage in transit,breaking wall and r</v>
          </cell>
        </row>
        <row r="717">
          <cell r="A717" t="str">
            <v>VF40</v>
          </cell>
          <cell r="B717" t="str">
            <v>a</v>
          </cell>
          <cell r="C717" t="str">
            <v>40mm NB.</v>
          </cell>
          <cell r="D717" t="str">
            <v>NO</v>
          </cell>
          <cell r="E717">
            <v>1</v>
          </cell>
          <cell r="F717">
            <v>1500</v>
          </cell>
          <cell r="G717">
            <v>1500</v>
          </cell>
          <cell r="H717">
            <v>1500</v>
          </cell>
        </row>
        <row r="718">
          <cell r="A718" t="str">
            <v>VF50</v>
          </cell>
          <cell r="B718" t="str">
            <v>b</v>
          </cell>
          <cell r="C718" t="str">
            <v>50mm NB.</v>
          </cell>
          <cell r="D718" t="str">
            <v>NO</v>
          </cell>
          <cell r="E718">
            <v>1</v>
          </cell>
          <cell r="F718">
            <v>3000</v>
          </cell>
          <cell r="G718">
            <v>3000</v>
          </cell>
          <cell r="H718">
            <v>3000</v>
          </cell>
        </row>
        <row r="719">
          <cell r="A719" t="str">
            <v>VF80</v>
          </cell>
          <cell r="B719" t="str">
            <v>c</v>
          </cell>
          <cell r="C719" t="str">
            <v>80mm NB.</v>
          </cell>
          <cell r="D719" t="str">
            <v>NO</v>
          </cell>
          <cell r="E719">
            <v>1</v>
          </cell>
          <cell r="F719">
            <v>4500</v>
          </cell>
          <cell r="G719">
            <v>4500</v>
          </cell>
          <cell r="H719">
            <v>4500</v>
          </cell>
        </row>
        <row r="720">
          <cell r="A720" t="str">
            <v>VF100</v>
          </cell>
          <cell r="B720" t="str">
            <v>d</v>
          </cell>
          <cell r="C720" t="str">
            <v>100mm NB.</v>
          </cell>
          <cell r="D720" t="str">
            <v>NO</v>
          </cell>
          <cell r="E720">
            <v>1</v>
          </cell>
          <cell r="F720">
            <v>5500</v>
          </cell>
          <cell r="G720">
            <v>5500</v>
          </cell>
          <cell r="H720">
            <v>5500</v>
          </cell>
        </row>
        <row r="722">
          <cell r="B722">
            <v>37</v>
          </cell>
          <cell r="C722" t="str">
            <v>providing and erecting the following work including the cost of all labour, material and equipment, making cutting plan,cutting,jointing,assembly,edge preparation,welding,drilling,breaking wall and repairing, painting, gainst damage in transit,stability o</v>
          </cell>
        </row>
        <row r="723">
          <cell r="A723" t="str">
            <v>15B</v>
          </cell>
          <cell r="B723" t="str">
            <v>a</v>
          </cell>
          <cell r="C723" t="str">
            <v xml:space="preserve">15mm NB. Meadium grade Class B （including steel elbow pipe, tee pipe,reducer pipe and pipe cap etc.) </v>
          </cell>
          <cell r="D723" t="str">
            <v>RM</v>
          </cell>
          <cell r="E723">
            <v>1</v>
          </cell>
          <cell r="F723">
            <v>1250</v>
          </cell>
          <cell r="G723">
            <v>1250</v>
          </cell>
          <cell r="H723">
            <v>1250</v>
          </cell>
        </row>
        <row r="724">
          <cell r="A724" t="str">
            <v>20B</v>
          </cell>
          <cell r="B724" t="str">
            <v>b</v>
          </cell>
          <cell r="C724" t="str">
            <v xml:space="preserve">20mm NB. Meadium grade Class B  （including steel elbow pipe, tee pipe,reducer pipe and pipe cap etc.) </v>
          </cell>
          <cell r="D724" t="str">
            <v>RM</v>
          </cell>
          <cell r="E724">
            <v>1</v>
          </cell>
          <cell r="F724">
            <v>1655</v>
          </cell>
          <cell r="G724">
            <v>1655</v>
          </cell>
          <cell r="H724">
            <v>1655</v>
          </cell>
        </row>
        <row r="725">
          <cell r="A725" t="str">
            <v>25B</v>
          </cell>
          <cell r="B725" t="str">
            <v>c</v>
          </cell>
          <cell r="C725" t="str">
            <v xml:space="preserve">25mm NB. Meadium grade Class B  （including steel elbow pipe, tee pipe,reducer pipe and pipe cap etc. </v>
          </cell>
          <cell r="D725" t="str">
            <v>RM</v>
          </cell>
          <cell r="E725">
            <v>1</v>
          </cell>
          <cell r="F725">
            <v>2030</v>
          </cell>
          <cell r="G725">
            <v>2030</v>
          </cell>
          <cell r="H725">
            <v>2030</v>
          </cell>
        </row>
        <row r="726">
          <cell r="A726" t="str">
            <v>32B</v>
          </cell>
          <cell r="B726" t="str">
            <v>d</v>
          </cell>
          <cell r="C726" t="str">
            <v xml:space="preserve">32mm NB. Meadium grade Class B  （including steel elbow pipe, tee pipe,reducer pipe and pipe cap etc.) </v>
          </cell>
          <cell r="D726" t="str">
            <v>RM</v>
          </cell>
          <cell r="E726">
            <v>1</v>
          </cell>
          <cell r="F726">
            <v>2200</v>
          </cell>
          <cell r="G726">
            <v>2200</v>
          </cell>
          <cell r="H726">
            <v>2200</v>
          </cell>
        </row>
        <row r="727">
          <cell r="A727" t="str">
            <v>40B</v>
          </cell>
          <cell r="B727" t="str">
            <v>e</v>
          </cell>
          <cell r="C727" t="str">
            <v xml:space="preserve">40mm NB. Meadium grade Class B （including steel elbow pipe, tee pipe,reducer pipe and pipe cap etc.) </v>
          </cell>
          <cell r="D727" t="str">
            <v>RM</v>
          </cell>
          <cell r="E727">
            <v>1</v>
          </cell>
          <cell r="F727">
            <v>2390</v>
          </cell>
          <cell r="G727">
            <v>2390</v>
          </cell>
          <cell r="H727">
            <v>2390</v>
          </cell>
        </row>
        <row r="728">
          <cell r="A728" t="str">
            <v>50B</v>
          </cell>
          <cell r="B728" t="str">
            <v>f</v>
          </cell>
          <cell r="C728" t="str">
            <v xml:space="preserve">50mm NB. Meadium grade Class B （including steel elbow pipe, tee pipe,reducer pipe and pipe cap etc.) </v>
          </cell>
          <cell r="D728" t="str">
            <v>RM</v>
          </cell>
          <cell r="E728">
            <v>1</v>
          </cell>
          <cell r="F728">
            <v>2800</v>
          </cell>
          <cell r="G728">
            <v>2800</v>
          </cell>
          <cell r="H728">
            <v>2800</v>
          </cell>
        </row>
        <row r="729">
          <cell r="A729" t="str">
            <v>80B</v>
          </cell>
          <cell r="B729" t="str">
            <v>g</v>
          </cell>
          <cell r="C729" t="str">
            <v xml:space="preserve">80mm NB. Meadium grade Class B （including steel elbow pipe, tee pipe,reducer pipe and pipe cap etc.) </v>
          </cell>
          <cell r="D729" t="str">
            <v>RM</v>
          </cell>
          <cell r="E729">
            <v>1</v>
          </cell>
          <cell r="F729">
            <v>2975</v>
          </cell>
          <cell r="G729">
            <v>2975</v>
          </cell>
          <cell r="H729">
            <v>2975</v>
          </cell>
        </row>
        <row r="730">
          <cell r="A730" t="str">
            <v>100B</v>
          </cell>
          <cell r="B730" t="str">
            <v>h</v>
          </cell>
          <cell r="C730" t="str">
            <v xml:space="preserve">100mm NB. Meadium grade Class B （including steel elbow pipe, tee pipe,reducer pipe and pipe cap etc.)  </v>
          </cell>
          <cell r="D730" t="str">
            <v>RM</v>
          </cell>
          <cell r="E730">
            <v>1</v>
          </cell>
          <cell r="F730">
            <v>3130</v>
          </cell>
          <cell r="G730">
            <v>3130</v>
          </cell>
          <cell r="H730">
            <v>3130</v>
          </cell>
        </row>
        <row r="731">
          <cell r="A731" t="str">
            <v>150B</v>
          </cell>
          <cell r="B731" t="str">
            <v>i</v>
          </cell>
          <cell r="C731" t="str">
            <v xml:space="preserve">150mm NB. Meadium grade Class B （including steel elbow pipe, tee pipe,reducer pipe and pipe cap etc.) </v>
          </cell>
          <cell r="D731" t="str">
            <v>RM</v>
          </cell>
          <cell r="E731">
            <v>1</v>
          </cell>
          <cell r="F731">
            <v>3550</v>
          </cell>
          <cell r="G731">
            <v>3550</v>
          </cell>
          <cell r="H731">
            <v>3550</v>
          </cell>
        </row>
        <row r="733">
          <cell r="B733">
            <v>38</v>
          </cell>
          <cell r="C733" t="str">
            <v>providing and erecting the following work including the cost of all labour, material and equipment, making cutting plan,cutting,jointing,assembly,edge preparation,welding,drilling,breaking wall and repairing, painting, gainst damage in transit,stability o</v>
          </cell>
        </row>
        <row r="734">
          <cell r="A734" t="str">
            <v>15GB</v>
          </cell>
          <cell r="B734" t="str">
            <v>a</v>
          </cell>
          <cell r="C734" t="str">
            <v xml:space="preserve">15mm NB. Meadium grade GI pipe Class B （including steel elbow pipe, tee pipe,reducer pipe and pipe cap etc.) </v>
          </cell>
          <cell r="D734" t="str">
            <v>RM</v>
          </cell>
          <cell r="E734">
            <v>1</v>
          </cell>
          <cell r="F734">
            <v>900</v>
          </cell>
          <cell r="G734">
            <v>900</v>
          </cell>
          <cell r="H734">
            <v>900</v>
          </cell>
        </row>
        <row r="735">
          <cell r="A735" t="str">
            <v>20GB</v>
          </cell>
          <cell r="B735" t="str">
            <v>b</v>
          </cell>
          <cell r="C735" t="str">
            <v xml:space="preserve">20mm NB. Meadium grade GI pipe Class B （including steel elbow pipe, tee pipe,reducer pipe and pipe cap etc.) </v>
          </cell>
          <cell r="D735" t="str">
            <v>RM</v>
          </cell>
          <cell r="E735">
            <v>1</v>
          </cell>
          <cell r="F735">
            <v>1135</v>
          </cell>
          <cell r="G735">
            <v>1135</v>
          </cell>
          <cell r="H735">
            <v>1135</v>
          </cell>
        </row>
        <row r="736">
          <cell r="A736" t="str">
            <v>25GB</v>
          </cell>
          <cell r="B736" t="str">
            <v>c</v>
          </cell>
          <cell r="C736" t="str">
            <v xml:space="preserve">25mm NB. Meadium grade GI pipe Class B （including steel elbow pipe, tee pipe,reducer pipe and pipe cap etc. </v>
          </cell>
          <cell r="D736" t="str">
            <v>RM</v>
          </cell>
          <cell r="E736">
            <v>1</v>
          </cell>
          <cell r="F736">
            <v>1360</v>
          </cell>
          <cell r="G736">
            <v>1360</v>
          </cell>
          <cell r="H736">
            <v>1360</v>
          </cell>
        </row>
        <row r="737">
          <cell r="A737" t="str">
            <v>32GB</v>
          </cell>
          <cell r="B737" t="str">
            <v>d</v>
          </cell>
          <cell r="C737" t="str">
            <v xml:space="preserve">32mm NB. Meadium grade GI pipe Class B （including steel elbow pipe, tee pipe,reducer pipe and pipe cap etc.) </v>
          </cell>
          <cell r="D737" t="str">
            <v>RM</v>
          </cell>
          <cell r="E737">
            <v>1</v>
          </cell>
          <cell r="F737">
            <v>1560</v>
          </cell>
          <cell r="G737">
            <v>1560</v>
          </cell>
          <cell r="H737">
            <v>1560</v>
          </cell>
        </row>
        <row r="738">
          <cell r="A738" t="str">
            <v>40GB</v>
          </cell>
          <cell r="B738" t="str">
            <v>e</v>
          </cell>
          <cell r="C738" t="str">
            <v xml:space="preserve">40mm NB. Meadium grade GI pipe Class B （including steel elbow pipe, tee pipe,reducer pipe and pipe cap etc.)  </v>
          </cell>
          <cell r="D738" t="str">
            <v>RM</v>
          </cell>
          <cell r="E738">
            <v>1</v>
          </cell>
          <cell r="F738">
            <v>1850</v>
          </cell>
          <cell r="G738">
            <v>1850</v>
          </cell>
          <cell r="H738">
            <v>1850</v>
          </cell>
        </row>
        <row r="739">
          <cell r="A739" t="str">
            <v>50GB</v>
          </cell>
          <cell r="B739" t="str">
            <v>f</v>
          </cell>
          <cell r="C739" t="str">
            <v xml:space="preserve">50mm NB. Meadium grade GI pipe Class B  （including steel elbow pipe, tee pipe,reducer pipe and pipe cap etc.)  </v>
          </cell>
          <cell r="D739" t="str">
            <v>RM</v>
          </cell>
          <cell r="E739">
            <v>1</v>
          </cell>
          <cell r="F739">
            <v>2850</v>
          </cell>
          <cell r="G739">
            <v>2850</v>
          </cell>
          <cell r="H739">
            <v>2850</v>
          </cell>
        </row>
        <row r="740">
          <cell r="A740" t="str">
            <v>65BG</v>
          </cell>
          <cell r="B740" t="str">
            <v>g</v>
          </cell>
          <cell r="C740" t="str">
            <v>65mm NB. Meadium grade GI pipe Class B  （including steel elbow pipe, tee pipe,reducer pipe and pipe cap etc.)</v>
          </cell>
          <cell r="D740" t="str">
            <v>RM</v>
          </cell>
          <cell r="E740">
            <v>1</v>
          </cell>
          <cell r="F740">
            <v>3000</v>
          </cell>
          <cell r="G740">
            <v>3000</v>
          </cell>
          <cell r="H740">
            <v>3000</v>
          </cell>
        </row>
        <row r="741">
          <cell r="A741" t="str">
            <v>80GB</v>
          </cell>
          <cell r="B741" t="str">
            <v>h</v>
          </cell>
          <cell r="C741" t="str">
            <v xml:space="preserve">80mm NB. Meadium grade GI pipe Class B  （including steel elbow pipe, tee pipe,reducer pipe and pipe cap etc. </v>
          </cell>
          <cell r="D741" t="str">
            <v>RM</v>
          </cell>
          <cell r="E741">
            <v>1</v>
          </cell>
          <cell r="F741">
            <v>3185</v>
          </cell>
          <cell r="G741">
            <v>3185</v>
          </cell>
          <cell r="H741">
            <v>3185</v>
          </cell>
        </row>
        <row r="742">
          <cell r="A742" t="str">
            <v>100GB</v>
          </cell>
          <cell r="B742" t="str">
            <v>i</v>
          </cell>
          <cell r="C742" t="str">
            <v xml:space="preserve">100mm NB. Meadium grade GI pipe Class B  （including steel elbow pipe, tee pipe,reducer pipe and pipe cap etc.) </v>
          </cell>
          <cell r="D742" t="str">
            <v>RM</v>
          </cell>
          <cell r="E742">
            <v>1</v>
          </cell>
          <cell r="F742">
            <v>3420</v>
          </cell>
          <cell r="G742">
            <v>3420</v>
          </cell>
          <cell r="H742">
            <v>3420</v>
          </cell>
        </row>
        <row r="745">
          <cell r="B745">
            <v>39</v>
          </cell>
          <cell r="C745" t="str">
            <v>providing and erecting the following work including the cost of all labour, material and equipment, making cutting plan,cutting,jointing,assembly,edge preparation,welding,drilling,breaking wall and repairing, painting, gainst damage in transit,stability o</v>
          </cell>
        </row>
        <row r="746">
          <cell r="A746" t="str">
            <v>80SDP</v>
          </cell>
          <cell r="B746" t="str">
            <v>a</v>
          </cell>
          <cell r="C746" t="str">
            <v xml:space="preserve">80 mm NB. Extra heavy cast iron soil drain pipe, above ground </v>
          </cell>
          <cell r="D746" t="str">
            <v>RM</v>
          </cell>
          <cell r="E746">
            <v>1</v>
          </cell>
          <cell r="F746">
            <v>1500</v>
          </cell>
          <cell r="G746">
            <v>1500</v>
          </cell>
          <cell r="H746">
            <v>1500</v>
          </cell>
        </row>
        <row r="747">
          <cell r="A747" t="str">
            <v>100SDP</v>
          </cell>
          <cell r="B747" t="str">
            <v>b</v>
          </cell>
          <cell r="C747" t="str">
            <v xml:space="preserve">100 mm NB. Extra heavy cast iron soil drain pipe, above ground  </v>
          </cell>
          <cell r="D747" t="str">
            <v>RM</v>
          </cell>
          <cell r="E747">
            <v>1</v>
          </cell>
          <cell r="F747">
            <v>2000</v>
          </cell>
          <cell r="G747">
            <v>2000</v>
          </cell>
          <cell r="H747">
            <v>2000</v>
          </cell>
        </row>
        <row r="748">
          <cell r="A748" t="str">
            <v>150SDP</v>
          </cell>
          <cell r="B748" t="str">
            <v>c</v>
          </cell>
          <cell r="C748" t="str">
            <v xml:space="preserve">150 mm NB. Extra heavy cast iron soil drain pipe, above ground  </v>
          </cell>
          <cell r="D748" t="str">
            <v>RM</v>
          </cell>
          <cell r="E748">
            <v>1</v>
          </cell>
          <cell r="F748">
            <v>2250</v>
          </cell>
          <cell r="G748">
            <v>2250</v>
          </cell>
          <cell r="H748">
            <v>2250</v>
          </cell>
        </row>
        <row r="749">
          <cell r="A749" t="str">
            <v>80ASP</v>
          </cell>
          <cell r="B749" t="str">
            <v>d</v>
          </cell>
          <cell r="C749" t="str">
            <v xml:space="preserve">80 mm NB. Extra heavy cast iron anti syphonage pipe, above ground  </v>
          </cell>
          <cell r="D749" t="str">
            <v>RM</v>
          </cell>
          <cell r="E749">
            <v>1</v>
          </cell>
          <cell r="F749">
            <v>1750</v>
          </cell>
          <cell r="G749">
            <v>1750</v>
          </cell>
          <cell r="H749">
            <v>1750</v>
          </cell>
        </row>
        <row r="752">
          <cell r="A752" t="str">
            <v>NQ</v>
          </cell>
          <cell r="B752">
            <v>40</v>
          </cell>
          <cell r="C752" t="str">
            <v>NOT QUOTED</v>
          </cell>
          <cell r="D752">
            <v>0</v>
          </cell>
          <cell r="E752">
            <v>0</v>
          </cell>
          <cell r="F752">
            <v>0</v>
          </cell>
          <cell r="G752">
            <v>0</v>
          </cell>
          <cell r="H752" t="str">
            <v>NQ</v>
          </cell>
        </row>
        <row r="756">
          <cell r="C756" t="str">
            <v>- END -</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PLAN_FEB97"/>
      <sheetName val="S2groupcode"/>
      <sheetName val="Index"/>
      <sheetName val="Manpower"/>
      <sheetName val="Plant Cost"/>
      <sheetName val="cul-invSUBMITTED"/>
      <sheetName val="INPUT"/>
      <sheetName val="FORM7"/>
      <sheetName val="INPUT SHEET"/>
      <sheetName val="DETAILED"/>
      <sheetName val="21-Rate Analysi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Rate Analysi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Management Main"/>
      <sheetName val="PM Framework"/>
      <sheetName val="CHECKLISTS ----&gt;"/>
      <sheetName val="Project Startup Checklist"/>
      <sheetName val="Project Planning Checklist"/>
      <sheetName val="Sponsor Chklst"/>
      <sheetName val="QA Chklst"/>
      <sheetName val="Transition Chklst"/>
      <sheetName val="Proj Closeout Chklst"/>
      <sheetName val="TEMPLATES ----&gt;"/>
      <sheetName val="Project Scope"/>
      <sheetName val="Project Scope Change"/>
      <sheetName val="Status Report"/>
      <sheetName val="Green Light"/>
      <sheetName val="Activity List"/>
      <sheetName val="Risk Log"/>
      <sheetName val="Issue Log"/>
      <sheetName val="Resource Planning"/>
      <sheetName val="Comm matrix"/>
      <sheetName val="User Forms ----&gt;"/>
      <sheetName val="User Defined 1"/>
      <sheetName val="User Defined 2"/>
      <sheetName val="User Defined 3"/>
      <sheetName val="Guidelines ----&gt;"/>
      <sheetName val="Issue Mgmt"/>
      <sheetName val="Status Reporting"/>
      <sheetName val="Project Scope Changes"/>
      <sheetName val="Roles and Resp"/>
      <sheetName val="Sheet2"/>
      <sheetName val="ORGANOGRAM"/>
      <sheetName val="Pier Design(with offset)"/>
      <sheetName val="Analy_7-10"/>
    </sheetNames>
    <sheetDataSet>
      <sheetData sheetId="0">
        <row r="10">
          <cell r="D10" t="str">
            <v>IOCL, Paradeep</v>
          </cell>
        </row>
        <row r="12">
          <cell r="D12" t="str">
            <v>Mr. Virender Roy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량집계표"/>
      <sheetName val="Bresk-civil2"/>
      <sheetName val="내역(한신APT)"/>
      <sheetName val="POWER"/>
      <sheetName val="계측"/>
      <sheetName val="현황CODE"/>
      <sheetName val="손익현황"/>
      <sheetName val="예산서"/>
      <sheetName val="Sheet1"/>
      <sheetName val="REDUCER"/>
      <sheetName val="WE'T"/>
      <sheetName val="BOM_DWG"/>
      <sheetName val="CABLE BULK"/>
      <sheetName val="Attachment 1"/>
      <sheetName val="MEXICO-C"/>
      <sheetName val="Data Description"/>
      <sheetName val="BM"/>
      <sheetName val="DB_ET200(R. A)"/>
      <sheetName val="HRSG PRINT"/>
      <sheetName val="cover"/>
      <sheetName val="PipWT"/>
      <sheetName val="BQ_Methanol"/>
      <sheetName val="Insulation_Utl_Off"/>
      <sheetName val="Note_Piping"/>
      <sheetName val="Testing"/>
      <sheetName val="A"/>
      <sheetName val="SIZING"/>
      <sheetName val="남양시작동자105노65기1.3화1.2"/>
      <sheetName val="TOEC"/>
      <sheetName val="현장지지물물량"/>
      <sheetName val="단면치수"/>
      <sheetName val="Code 02"/>
      <sheetName val="Code 03"/>
      <sheetName val="Code 04"/>
      <sheetName val="Code 05"/>
      <sheetName val="Code 06"/>
      <sheetName val="Code 07"/>
      <sheetName val="Code 09"/>
      <sheetName val="Code03"/>
      <sheetName val="SUMMARY"/>
      <sheetName val="5-Digit"/>
      <sheetName val="MixBed"/>
      <sheetName val="CondPol"/>
      <sheetName val="Breakdown"/>
      <sheetName val="설계명세서"/>
      <sheetName val="자바라1"/>
      <sheetName val="L_RPTA05_목록"/>
      <sheetName val="기준"/>
      <sheetName val="seting MP"/>
      <sheetName val="RFP002"/>
      <sheetName val="RFP003E"/>
      <sheetName val="Steam-Sys"/>
      <sheetName val="토목"/>
      <sheetName val="대공종"/>
      <sheetName val="ABUT수량-A1"/>
      <sheetName val="서울대규장각(가시설흙막이)"/>
      <sheetName val="96배수"/>
      <sheetName val="도"/>
      <sheetName val="Bresk-civil2.xls"/>
      <sheetName val="Valve-electro"/>
      <sheetName val="#REF"/>
      <sheetName val="출력X"/>
      <sheetName val="Sub Str"/>
      <sheetName val="Quant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LLsumpWS"/>
      <sheetName val="3LLsumpWSAnx"/>
      <sheetName val="Inlet 5LLsump-Thi"/>
      <sheetName val="5LLsump-Thi-ax"/>
      <sheetName val="1LLsumpWS "/>
      <sheetName val="1LLsumpWSAnx "/>
      <sheetName val="60sumpWS CH"/>
      <sheetName val="60sumpWS-CHax"/>
      <sheetName val="60sumpWS NM"/>
      <sheetName val="60sumpWS-NMax"/>
      <sheetName val="Inlet 5LLsump-Thi (2)"/>
      <sheetName val="5LLsump-Thi-ax (2)"/>
      <sheetName val="60sumpWS CH (2)"/>
      <sheetName val="60sumpWS-CHax (2)"/>
      <sheetName val="FORM-W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sheetData sheetId="1"/>
      <sheetData sheetId="2"/>
      <sheetData sheetId="3"/>
      <sheetData sheetId="4">
        <row r="3">
          <cell r="C3" t="str">
            <v>CHAPTER-1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 A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forced Earthwork"/>
      <sheetName val="Barrier, Railings"/>
      <sheetName val="VARIOUS STONES"/>
      <sheetName val="Catch Pit"/>
      <sheetName val="KERBS"/>
      <sheetName val="LOCAL RATES"/>
      <sheetName val="S2groupcode"/>
      <sheetName val="Index"/>
      <sheetName val="scour depth"/>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sheetName val="dummy"/>
      <sheetName val="Sales"/>
      <sheetName val="GM"/>
      <sheetName val="Outstandings"/>
      <sheetName val="Issues"/>
      <sheetName val="purpose&amp;input"/>
      <sheetName val="RECAPITULATION"/>
      <sheetName val="RANGE"/>
      <sheetName val="BOQ_Direct_selling cost"/>
      <sheetName val="estimate"/>
      <sheetName val="Assumptions"/>
    </sheetNames>
    <sheetDataSet>
      <sheetData sheetId="0" refreshError="1"/>
      <sheetData sheetId="1" refreshError="1">
        <row r="2">
          <cell r="A2" t="str">
            <v>DCBC1038</v>
          </cell>
          <cell r="B2" t="str">
            <v>FINISHING ITEM SCOPE-DELHI</v>
          </cell>
          <cell r="C2">
            <v>42.86</v>
          </cell>
          <cell r="D2">
            <v>0</v>
          </cell>
          <cell r="E2">
            <v>3639.25</v>
          </cell>
          <cell r="F2">
            <v>540.82000000000005</v>
          </cell>
          <cell r="G2">
            <v>-59.45</v>
          </cell>
          <cell r="H2">
            <v>3675.89</v>
          </cell>
          <cell r="I2">
            <v>36.758899999999997</v>
          </cell>
        </row>
        <row r="3">
          <cell r="A3" t="str">
            <v>DCBC1070</v>
          </cell>
          <cell r="B3" t="str">
            <v>SCOPE</v>
          </cell>
          <cell r="C3">
            <v>0</v>
          </cell>
          <cell r="D3">
            <v>0</v>
          </cell>
          <cell r="E3">
            <v>2343.2800000000002</v>
          </cell>
          <cell r="F3">
            <v>21.99</v>
          </cell>
          <cell r="G3">
            <v>3.28</v>
          </cell>
          <cell r="H3">
            <v>2366.9499999999998</v>
          </cell>
          <cell r="I3">
            <v>23.669499999999999</v>
          </cell>
        </row>
        <row r="4">
          <cell r="A4" t="str">
            <v>DCBC183B</v>
          </cell>
          <cell r="B4" t="str">
            <v>SAHARA MALL - FINISHING WORKS</v>
          </cell>
          <cell r="C4">
            <v>0</v>
          </cell>
          <cell r="D4">
            <v>0</v>
          </cell>
          <cell r="E4">
            <v>0</v>
          </cell>
          <cell r="F4">
            <v>0</v>
          </cell>
          <cell r="G4">
            <v>0</v>
          </cell>
          <cell r="H4">
            <v>0</v>
          </cell>
          <cell r="I4">
            <v>0</v>
          </cell>
        </row>
        <row r="5">
          <cell r="A5" t="str">
            <v>DCBC3464</v>
          </cell>
          <cell r="B5" t="str">
            <v>BC</v>
          </cell>
          <cell r="C5">
            <v>5.13</v>
          </cell>
          <cell r="D5">
            <v>0</v>
          </cell>
          <cell r="E5">
            <v>1017.27</v>
          </cell>
          <cell r="F5">
            <v>113.14</v>
          </cell>
          <cell r="G5">
            <v>5.51</v>
          </cell>
          <cell r="H5">
            <v>1027.55</v>
          </cell>
          <cell r="I5">
            <v>10.275499999999999</v>
          </cell>
        </row>
        <row r="6">
          <cell r="A6" t="str">
            <v>DCBC3745</v>
          </cell>
          <cell r="B6" t="str">
            <v>TRANSWORLD RADIO</v>
          </cell>
          <cell r="C6">
            <v>0</v>
          </cell>
          <cell r="D6">
            <v>0</v>
          </cell>
          <cell r="E6">
            <v>141.96</v>
          </cell>
          <cell r="F6">
            <v>14.83</v>
          </cell>
          <cell r="G6">
            <v>1.71</v>
          </cell>
          <cell r="H6">
            <v>141.96</v>
          </cell>
          <cell r="I6">
            <v>0</v>
          </cell>
        </row>
        <row r="7">
          <cell r="A7" t="str">
            <v>DCBC4193</v>
          </cell>
          <cell r="B7" t="str">
            <v>SAHARA MALL, GURGOAN</v>
          </cell>
          <cell r="C7">
            <v>100.29</v>
          </cell>
          <cell r="D7">
            <v>0</v>
          </cell>
          <cell r="E7">
            <v>699.12</v>
          </cell>
          <cell r="F7">
            <v>-68.5</v>
          </cell>
          <cell r="G7">
            <v>7.5</v>
          </cell>
          <cell r="H7">
            <v>706.18</v>
          </cell>
          <cell r="I7">
            <v>7.0617999999999999</v>
          </cell>
        </row>
        <row r="8">
          <cell r="A8" t="str">
            <v>DCBG186B</v>
          </cell>
          <cell r="B8" t="str">
            <v>STATION BUILDINGS</v>
          </cell>
          <cell r="C8">
            <v>0</v>
          </cell>
          <cell r="D8">
            <v>0</v>
          </cell>
          <cell r="E8">
            <v>0</v>
          </cell>
          <cell r="F8">
            <v>0</v>
          </cell>
          <cell r="G8">
            <v>0</v>
          </cell>
          <cell r="H8">
            <v>0</v>
          </cell>
          <cell r="I8">
            <v>0</v>
          </cell>
        </row>
        <row r="9">
          <cell r="A9" t="str">
            <v>DCBG2295</v>
          </cell>
          <cell r="B9" t="str">
            <v>NJA BHOPAL</v>
          </cell>
          <cell r="C9">
            <v>35.57</v>
          </cell>
          <cell r="D9">
            <v>0</v>
          </cell>
          <cell r="E9">
            <v>4060.05</v>
          </cell>
          <cell r="F9">
            <v>450.19</v>
          </cell>
          <cell r="G9">
            <v>-71.430000000000007</v>
          </cell>
          <cell r="H9">
            <v>4060.05</v>
          </cell>
          <cell r="I9">
            <v>0</v>
          </cell>
        </row>
        <row r="10">
          <cell r="A10" t="str">
            <v>DCBG235B</v>
          </cell>
          <cell r="B10" t="str">
            <v>ENGG. COLLEGE FOR HERO GROUP, NOIDA</v>
          </cell>
          <cell r="C10">
            <v>0</v>
          </cell>
          <cell r="D10">
            <v>0</v>
          </cell>
          <cell r="E10">
            <v>0</v>
          </cell>
          <cell r="F10">
            <v>0</v>
          </cell>
          <cell r="G10">
            <v>0</v>
          </cell>
          <cell r="H10">
            <v>0</v>
          </cell>
          <cell r="I10">
            <v>0</v>
          </cell>
        </row>
        <row r="11">
          <cell r="A11" t="str">
            <v>DCBG236B</v>
          </cell>
          <cell r="B11" t="str">
            <v>5000 PRECAST SCHOOLS IN MP</v>
          </cell>
          <cell r="C11">
            <v>0</v>
          </cell>
          <cell r="D11">
            <v>0</v>
          </cell>
          <cell r="E11">
            <v>0</v>
          </cell>
          <cell r="F11">
            <v>0</v>
          </cell>
          <cell r="G11">
            <v>0</v>
          </cell>
          <cell r="H11">
            <v>0</v>
          </cell>
          <cell r="I11">
            <v>0</v>
          </cell>
        </row>
        <row r="12">
          <cell r="A12" t="str">
            <v>DCBG2583</v>
          </cell>
          <cell r="B12" t="str">
            <v>CONSTRUCTION OF ADDL WINGS/FLOORS AT IIT, DELHI</v>
          </cell>
          <cell r="C12">
            <v>0</v>
          </cell>
          <cell r="D12">
            <v>0</v>
          </cell>
          <cell r="E12">
            <v>0</v>
          </cell>
          <cell r="F12">
            <v>0</v>
          </cell>
          <cell r="G12">
            <v>0</v>
          </cell>
          <cell r="H12">
            <v>0</v>
          </cell>
          <cell r="I12">
            <v>0</v>
          </cell>
        </row>
        <row r="13">
          <cell r="A13" t="str">
            <v>DCBG2680</v>
          </cell>
          <cell r="B13" t="str">
            <v>COLLEGE BULDG FOR MAHARAJI EDUCATIONAL TRUST SANTO</v>
          </cell>
          <cell r="C13">
            <v>0</v>
          </cell>
          <cell r="D13">
            <v>0.16</v>
          </cell>
          <cell r="E13">
            <v>964.84</v>
          </cell>
          <cell r="F13">
            <v>-58.1</v>
          </cell>
          <cell r="G13">
            <v>-106.11</v>
          </cell>
          <cell r="H13">
            <v>964.84</v>
          </cell>
          <cell r="I13">
            <v>0</v>
          </cell>
        </row>
        <row r="14">
          <cell r="A14" t="str">
            <v>DCBG3148</v>
          </cell>
          <cell r="B14" t="str">
            <v>DISTRIBUTION CENTRE AND AMENITIES BUILDING</v>
          </cell>
          <cell r="C14">
            <v>0</v>
          </cell>
          <cell r="D14">
            <v>0</v>
          </cell>
          <cell r="E14">
            <v>825.96</v>
          </cell>
          <cell r="F14">
            <v>161.5</v>
          </cell>
          <cell r="G14">
            <v>-4.0999999999999996</v>
          </cell>
          <cell r="H14">
            <v>825.96</v>
          </cell>
          <cell r="I14">
            <v>0</v>
          </cell>
        </row>
        <row r="15">
          <cell r="A15" t="str">
            <v>DCBG3555</v>
          </cell>
          <cell r="B15" t="str">
            <v>S &amp; T TECHNICAL INSTITUTE FOR OIST - BHOPAL</v>
          </cell>
          <cell r="C15">
            <v>2.29</v>
          </cell>
          <cell r="D15">
            <v>0</v>
          </cell>
          <cell r="E15">
            <v>314.83999999999997</v>
          </cell>
          <cell r="F15">
            <v>-165.32</v>
          </cell>
          <cell r="G15">
            <v>-1.47</v>
          </cell>
          <cell r="H15">
            <v>318.02</v>
          </cell>
          <cell r="I15">
            <v>3.1801999999999997</v>
          </cell>
        </row>
        <row r="16">
          <cell r="A16" t="str">
            <v>DCBG3660</v>
          </cell>
          <cell r="B16" t="str">
            <v>MCI NEW CAMPUS DWARKA NEW DELHI</v>
          </cell>
          <cell r="C16">
            <v>358.22</v>
          </cell>
          <cell r="D16">
            <v>257.89</v>
          </cell>
          <cell r="E16">
            <v>670.41</v>
          </cell>
          <cell r="F16">
            <v>-3.62</v>
          </cell>
          <cell r="G16">
            <v>-3.62</v>
          </cell>
          <cell r="H16">
            <v>623.49</v>
          </cell>
          <cell r="I16">
            <v>18.704699999999999</v>
          </cell>
        </row>
        <row r="17">
          <cell r="A17" t="str">
            <v>DCBG3792</v>
          </cell>
          <cell r="B17" t="str">
            <v>R&amp;R TECH, NOIDA</v>
          </cell>
          <cell r="C17">
            <v>-103.75</v>
          </cell>
          <cell r="D17">
            <v>972.33</v>
          </cell>
          <cell r="E17">
            <v>0</v>
          </cell>
          <cell r="F17">
            <v>0</v>
          </cell>
          <cell r="G17">
            <v>0</v>
          </cell>
          <cell r="H17">
            <v>0</v>
          </cell>
        </row>
        <row r="18">
          <cell r="A18" t="str">
            <v>DCBG3873</v>
          </cell>
          <cell r="B18" t="str">
            <v>NTPC NOIDA R&amp;D BLDG</v>
          </cell>
          <cell r="C18">
            <v>0.92</v>
          </cell>
          <cell r="D18">
            <v>0</v>
          </cell>
          <cell r="E18">
            <v>1827.03</v>
          </cell>
          <cell r="F18">
            <v>73.67</v>
          </cell>
          <cell r="G18">
            <v>-160.57</v>
          </cell>
          <cell r="H18">
            <v>1844.72</v>
          </cell>
          <cell r="I18">
            <v>18.447200000000002</v>
          </cell>
        </row>
        <row r="19">
          <cell r="A19" t="str">
            <v>DCBG3895</v>
          </cell>
          <cell r="B19" t="str">
            <v>BPCL NOIDA</v>
          </cell>
          <cell r="C19">
            <v>5.57</v>
          </cell>
          <cell r="D19">
            <v>0</v>
          </cell>
          <cell r="E19">
            <v>556.97</v>
          </cell>
          <cell r="F19">
            <v>132.06</v>
          </cell>
          <cell r="G19">
            <v>5.43</v>
          </cell>
          <cell r="H19">
            <v>556.97</v>
          </cell>
          <cell r="I19">
            <v>0</v>
          </cell>
        </row>
        <row r="20">
          <cell r="A20" t="str">
            <v>DCBG3962</v>
          </cell>
          <cell r="B20" t="str">
            <v>IIITM-GWALIOR</v>
          </cell>
          <cell r="C20">
            <v>932.49</v>
          </cell>
          <cell r="D20">
            <v>110.99</v>
          </cell>
          <cell r="E20">
            <v>2911.21</v>
          </cell>
          <cell r="F20">
            <v>-11.56</v>
          </cell>
          <cell r="G20">
            <v>-11.56</v>
          </cell>
          <cell r="H20">
            <v>2928.01</v>
          </cell>
          <cell r="I20">
            <v>43.92015</v>
          </cell>
        </row>
        <row r="21">
          <cell r="A21" t="str">
            <v>DCBG3997</v>
          </cell>
          <cell r="B21" t="str">
            <v>TN GH CHANAKYAPURI</v>
          </cell>
          <cell r="C21">
            <v>672.96</v>
          </cell>
          <cell r="D21">
            <v>12.7</v>
          </cell>
          <cell r="E21">
            <v>1402.33</v>
          </cell>
          <cell r="F21">
            <v>130.62</v>
          </cell>
          <cell r="G21">
            <v>144.22999999999999</v>
          </cell>
          <cell r="H21">
            <v>1412.3</v>
          </cell>
          <cell r="I21">
            <v>21.1845</v>
          </cell>
        </row>
        <row r="22">
          <cell r="A22" t="str">
            <v>DCBG4314</v>
          </cell>
          <cell r="B22" t="str">
            <v>CONSTRUCTION OF PACKAGING CUM STORAGE BUILDING</v>
          </cell>
          <cell r="C22">
            <v>5.66</v>
          </cell>
          <cell r="D22">
            <v>0</v>
          </cell>
          <cell r="E22">
            <v>274.95999999999998</v>
          </cell>
          <cell r="F22">
            <v>62.4</v>
          </cell>
          <cell r="G22">
            <v>-9.76</v>
          </cell>
          <cell r="H22">
            <v>274.95999999999998</v>
          </cell>
          <cell r="I22">
            <v>0</v>
          </cell>
        </row>
        <row r="23">
          <cell r="A23" t="str">
            <v>DCBG4535</v>
          </cell>
          <cell r="B23" t="str">
            <v>CORPORATE OFFICE BUILDING FOR IOCL, NEW DELHI</v>
          </cell>
          <cell r="C23">
            <v>673.83</v>
          </cell>
          <cell r="D23">
            <v>2250.37</v>
          </cell>
          <cell r="E23">
            <v>717.05</v>
          </cell>
          <cell r="F23">
            <v>0</v>
          </cell>
          <cell r="G23">
            <v>0</v>
          </cell>
          <cell r="H23">
            <v>681.17</v>
          </cell>
          <cell r="I23">
            <v>0</v>
          </cell>
        </row>
        <row r="24">
          <cell r="A24" t="str">
            <v>DCBH3216</v>
          </cell>
          <cell r="B24" t="str">
            <v>UDAIVILAS AT UDAIPUR FOR EIH LIMITED, DELHI</v>
          </cell>
          <cell r="C24">
            <v>0</v>
          </cell>
          <cell r="D24">
            <v>0</v>
          </cell>
          <cell r="E24">
            <v>830.88</v>
          </cell>
          <cell r="F24">
            <v>93.82</v>
          </cell>
          <cell r="G24">
            <v>-0.2</v>
          </cell>
          <cell r="H24">
            <v>830.88</v>
          </cell>
          <cell r="I24">
            <v>0</v>
          </cell>
        </row>
        <row r="25">
          <cell r="A25" t="str">
            <v>DCBH3356</v>
          </cell>
          <cell r="B25" t="str">
            <v>EXTERNAL WORKS FOR THE OBEROI AGRA (U.P)</v>
          </cell>
          <cell r="C25">
            <v>36.229999999999997</v>
          </cell>
          <cell r="D25">
            <v>0</v>
          </cell>
          <cell r="E25">
            <v>625.67999999999995</v>
          </cell>
          <cell r="F25">
            <v>52.32</v>
          </cell>
          <cell r="G25">
            <v>36.54</v>
          </cell>
          <cell r="H25">
            <v>625.67999999999995</v>
          </cell>
          <cell r="I25">
            <v>0</v>
          </cell>
        </row>
        <row r="26">
          <cell r="A26" t="str">
            <v>DCBI240B</v>
          </cell>
          <cell r="B26" t="str">
            <v>FOOD BANK SILOS IN PUNJAB</v>
          </cell>
          <cell r="C26">
            <v>0</v>
          </cell>
          <cell r="D26">
            <v>0</v>
          </cell>
          <cell r="E26">
            <v>0</v>
          </cell>
          <cell r="F26">
            <v>0</v>
          </cell>
          <cell r="G26">
            <v>0</v>
          </cell>
          <cell r="H26">
            <v>0</v>
          </cell>
          <cell r="I26">
            <v>0</v>
          </cell>
        </row>
        <row r="27">
          <cell r="A27" t="str">
            <v>DCBL2203</v>
          </cell>
          <cell r="B27" t="str">
            <v>CIVIL WORK FOR PARLIAMENT LIBRARY.</v>
          </cell>
          <cell r="C27">
            <v>174.2</v>
          </cell>
          <cell r="D27">
            <v>0</v>
          </cell>
          <cell r="E27">
            <v>5296.2</v>
          </cell>
          <cell r="F27">
            <v>401.53</v>
          </cell>
          <cell r="G27">
            <v>93.76</v>
          </cell>
          <cell r="H27">
            <v>5296.2</v>
          </cell>
          <cell r="I27">
            <v>0</v>
          </cell>
        </row>
        <row r="28">
          <cell r="A28" t="str">
            <v>DCBL3722</v>
          </cell>
          <cell r="B28" t="str">
            <v>PLP DOMES DELHI</v>
          </cell>
          <cell r="C28">
            <v>114.91</v>
          </cell>
          <cell r="D28">
            <v>0</v>
          </cell>
          <cell r="E28">
            <v>1854.65</v>
          </cell>
          <cell r="F28">
            <v>107.68</v>
          </cell>
          <cell r="G28">
            <v>41.41</v>
          </cell>
          <cell r="H28">
            <v>1854.65</v>
          </cell>
          <cell r="I28">
            <v>0</v>
          </cell>
        </row>
        <row r="29">
          <cell r="A29" t="str">
            <v>DCBL4257</v>
          </cell>
          <cell r="B29" t="str">
            <v>PLP WOODEN FIRE RESISTANCE/CHECK WORKS</v>
          </cell>
          <cell r="C29">
            <v>0</v>
          </cell>
          <cell r="D29">
            <v>0</v>
          </cell>
          <cell r="E29">
            <v>0</v>
          </cell>
          <cell r="F29">
            <v>0</v>
          </cell>
          <cell r="G29">
            <v>0</v>
          </cell>
          <cell r="H29">
            <v>0</v>
          </cell>
          <cell r="I29">
            <v>0</v>
          </cell>
        </row>
        <row r="30">
          <cell r="A30" t="str">
            <v>DCBO185B</v>
          </cell>
          <cell r="B30" t="str">
            <v>NTPC , LUCKNOW</v>
          </cell>
          <cell r="C30">
            <v>0</v>
          </cell>
          <cell r="D30">
            <v>0</v>
          </cell>
          <cell r="E30">
            <v>0</v>
          </cell>
          <cell r="F30">
            <v>0</v>
          </cell>
          <cell r="G30">
            <v>0</v>
          </cell>
          <cell r="H30">
            <v>0</v>
          </cell>
          <cell r="I30">
            <v>0</v>
          </cell>
        </row>
        <row r="31">
          <cell r="A31" t="str">
            <v>DCBR1102</v>
          </cell>
          <cell r="B31" t="str">
            <v>SRI SATYA SAI CENTRE , NEW DEL</v>
          </cell>
          <cell r="C31">
            <v>0</v>
          </cell>
          <cell r="D31">
            <v>0</v>
          </cell>
          <cell r="E31">
            <v>409.86</v>
          </cell>
          <cell r="F31">
            <v>-20.71</v>
          </cell>
          <cell r="G31">
            <v>-33.78</v>
          </cell>
          <cell r="H31">
            <v>409.86</v>
          </cell>
          <cell r="I31">
            <v>0</v>
          </cell>
        </row>
        <row r="32">
          <cell r="A32" t="str">
            <v>DCBR2672</v>
          </cell>
          <cell r="B32" t="str">
            <v>BULDG FOR VISHWA KALYAN KENDRA AT MATHURA FOR RANG</v>
          </cell>
          <cell r="C32">
            <v>0</v>
          </cell>
          <cell r="D32">
            <v>0</v>
          </cell>
          <cell r="E32">
            <v>817.33</v>
          </cell>
          <cell r="F32">
            <v>-271.02</v>
          </cell>
          <cell r="G32">
            <v>-107.83</v>
          </cell>
          <cell r="H32">
            <v>817.33</v>
          </cell>
          <cell r="I32">
            <v>0</v>
          </cell>
        </row>
        <row r="33">
          <cell r="A33" t="str">
            <v>DCBR3083</v>
          </cell>
          <cell r="B33" t="str">
            <v>VKK-SERVICES WORKS AT BARSANA (U.P)</v>
          </cell>
          <cell r="C33">
            <v>0</v>
          </cell>
          <cell r="D33">
            <v>0</v>
          </cell>
          <cell r="E33">
            <v>310.39999999999998</v>
          </cell>
          <cell r="F33">
            <v>-57.96</v>
          </cell>
          <cell r="G33">
            <v>-4.5599999999999996</v>
          </cell>
          <cell r="H33">
            <v>310.39999999999998</v>
          </cell>
          <cell r="I33">
            <v>0</v>
          </cell>
        </row>
        <row r="34">
          <cell r="A34" t="str">
            <v>DCBR3172</v>
          </cell>
          <cell r="B34" t="str">
            <v>COMMUNITY HALL</v>
          </cell>
          <cell r="C34">
            <v>0</v>
          </cell>
          <cell r="D34">
            <v>0</v>
          </cell>
          <cell r="E34">
            <v>0</v>
          </cell>
          <cell r="F34">
            <v>0</v>
          </cell>
          <cell r="G34">
            <v>0</v>
          </cell>
          <cell r="H34">
            <v>0</v>
          </cell>
        </row>
        <row r="35">
          <cell r="A35" t="str">
            <v>DCBR3755</v>
          </cell>
          <cell r="B35" t="str">
            <v>Construction of Khalsa Heritage Complex</v>
          </cell>
          <cell r="C35">
            <v>507.47</v>
          </cell>
          <cell r="D35">
            <v>4.26</v>
          </cell>
          <cell r="E35">
            <v>3710.84</v>
          </cell>
          <cell r="F35">
            <v>430.28</v>
          </cell>
          <cell r="G35">
            <v>115.48</v>
          </cell>
          <cell r="H35">
            <v>3735.74</v>
          </cell>
          <cell r="I35">
            <v>56.036099999999998</v>
          </cell>
        </row>
        <row r="36">
          <cell r="A36" t="str">
            <v>DCBR4047</v>
          </cell>
          <cell r="B36" t="str">
            <v>KHALSA FINISHING WOR</v>
          </cell>
          <cell r="C36">
            <v>553.70000000000005</v>
          </cell>
          <cell r="D36">
            <v>334.98</v>
          </cell>
          <cell r="E36">
            <v>1641.03</v>
          </cell>
          <cell r="F36">
            <v>31.95</v>
          </cell>
          <cell r="G36">
            <v>31.95</v>
          </cell>
          <cell r="H36">
            <v>1590.16</v>
          </cell>
          <cell r="I36">
            <v>0</v>
          </cell>
        </row>
        <row r="37">
          <cell r="A37" t="str">
            <v>DCBR4187</v>
          </cell>
          <cell r="B37" t="str">
            <v>CHINMAYA VIDYALAYA AT VASANT VIHAR PH-III</v>
          </cell>
          <cell r="C37">
            <v>3.84</v>
          </cell>
          <cell r="D37">
            <v>267.91000000000003</v>
          </cell>
          <cell r="E37">
            <v>3.97</v>
          </cell>
          <cell r="F37">
            <v>0</v>
          </cell>
          <cell r="G37">
            <v>0</v>
          </cell>
          <cell r="H37">
            <v>7.45</v>
          </cell>
          <cell r="I37">
            <v>0</v>
          </cell>
        </row>
        <row r="38">
          <cell r="A38" t="str">
            <v>DCBX231B</v>
          </cell>
          <cell r="B38" t="str">
            <v>500 BED HOSPITAL, TANDA , HP</v>
          </cell>
          <cell r="C38">
            <v>0</v>
          </cell>
          <cell r="D38">
            <v>0</v>
          </cell>
          <cell r="E38">
            <v>0</v>
          </cell>
          <cell r="F38">
            <v>0</v>
          </cell>
          <cell r="G38">
            <v>0</v>
          </cell>
          <cell r="H38">
            <v>0</v>
          </cell>
        </row>
        <row r="39">
          <cell r="A39" t="str">
            <v>DCBX232B</v>
          </cell>
          <cell r="B39" t="str">
            <v>500 BED HOSPITAL, TANDA , HP</v>
          </cell>
          <cell r="C39">
            <v>0</v>
          </cell>
          <cell r="D39">
            <v>0</v>
          </cell>
          <cell r="E39">
            <v>0</v>
          </cell>
          <cell r="F39">
            <v>0</v>
          </cell>
          <cell r="G39">
            <v>0</v>
          </cell>
          <cell r="H39">
            <v>0</v>
          </cell>
        </row>
        <row r="40">
          <cell r="A40" t="str">
            <v>DCBX233B</v>
          </cell>
          <cell r="B40" t="str">
            <v>EXPANSION OF PIMS, JALANDHAR</v>
          </cell>
          <cell r="C40">
            <v>0</v>
          </cell>
          <cell r="D40">
            <v>0</v>
          </cell>
          <cell r="E40">
            <v>0</v>
          </cell>
          <cell r="F40">
            <v>0</v>
          </cell>
          <cell r="G40">
            <v>0</v>
          </cell>
          <cell r="H40">
            <v>0</v>
          </cell>
        </row>
        <row r="41">
          <cell r="A41" t="str">
            <v>DCBX234B</v>
          </cell>
          <cell r="B41" t="str">
            <v>MEDICAL COLLEGE FOR SAFDARJUNG HOSPITAL, NEW DELH</v>
          </cell>
          <cell r="C41">
            <v>0</v>
          </cell>
          <cell r="D41">
            <v>0</v>
          </cell>
          <cell r="E41">
            <v>0</v>
          </cell>
          <cell r="F41">
            <v>0</v>
          </cell>
          <cell r="G41">
            <v>0</v>
          </cell>
          <cell r="H41">
            <v>0</v>
          </cell>
        </row>
        <row r="42">
          <cell r="A42" t="str">
            <v>DCBX2462</v>
          </cell>
          <cell r="B42" t="str">
            <v>HOSPITAL HOUSING BLOCKS CONSTRUCTION FOR BALAJI ME</v>
          </cell>
          <cell r="C42">
            <v>0</v>
          </cell>
          <cell r="D42">
            <v>0</v>
          </cell>
          <cell r="E42">
            <v>1323.18</v>
          </cell>
          <cell r="F42">
            <v>-299.8</v>
          </cell>
          <cell r="G42">
            <v>-412.3</v>
          </cell>
          <cell r="H42">
            <v>1323.18</v>
          </cell>
          <cell r="I42">
            <v>0</v>
          </cell>
        </row>
        <row r="43">
          <cell r="A43" t="str">
            <v>DCBX2705</v>
          </cell>
          <cell r="B43" t="str">
            <v>FIRE PROTETION, ELEC. P.A.FOR BALAJI MEDICAL CENTR</v>
          </cell>
          <cell r="C43">
            <v>0</v>
          </cell>
          <cell r="D43">
            <v>0</v>
          </cell>
          <cell r="E43">
            <v>161.22</v>
          </cell>
          <cell r="F43">
            <v>36.78</v>
          </cell>
          <cell r="G43">
            <v>-0.19</v>
          </cell>
          <cell r="H43">
            <v>161.22</v>
          </cell>
          <cell r="I43">
            <v>0</v>
          </cell>
        </row>
        <row r="44">
          <cell r="A44" t="str">
            <v>DCBX3065</v>
          </cell>
          <cell r="B44" t="str">
            <v>MULTI-STORYED BLOCK EXTN HEART INSTT FOR ESCORTS A</v>
          </cell>
          <cell r="C44">
            <v>182.13</v>
          </cell>
          <cell r="D44">
            <v>0</v>
          </cell>
          <cell r="E44">
            <v>1368.1</v>
          </cell>
          <cell r="F44">
            <v>207.57</v>
          </cell>
          <cell r="G44">
            <v>80.25</v>
          </cell>
          <cell r="H44">
            <v>1368.1</v>
          </cell>
          <cell r="I44">
            <v>0</v>
          </cell>
        </row>
        <row r="45">
          <cell r="A45" t="str">
            <v>DCBX4236</v>
          </cell>
          <cell r="B45" t="str">
            <v>PIMS CIVIL WORKS</v>
          </cell>
          <cell r="C45">
            <v>2344.66</v>
          </cell>
          <cell r="D45">
            <v>2647.02</v>
          </cell>
          <cell r="E45">
            <v>2788.38</v>
          </cell>
          <cell r="F45">
            <v>3.81</v>
          </cell>
          <cell r="G45">
            <v>3.81</v>
          </cell>
          <cell r="H45">
            <v>2652.98</v>
          </cell>
          <cell r="I45">
            <v>0</v>
          </cell>
        </row>
        <row r="46">
          <cell r="A46" t="str">
            <v>DCBX4333</v>
          </cell>
          <cell r="B46" t="str">
            <v>CONSTRUCTION OF HOSPITAL BUILDING</v>
          </cell>
          <cell r="C46">
            <v>1.04</v>
          </cell>
          <cell r="D46">
            <v>5301</v>
          </cell>
          <cell r="E46">
            <v>1.04</v>
          </cell>
          <cell r="F46">
            <v>0</v>
          </cell>
          <cell r="G46">
            <v>0</v>
          </cell>
          <cell r="H46">
            <v>0</v>
          </cell>
        </row>
        <row r="47">
          <cell r="A47" t="str">
            <v>DRBO4865</v>
          </cell>
          <cell r="B47" t="str">
            <v>IMCC/RCC WORKS AT VARIOUS STATIONS/NEW DELHI</v>
          </cell>
          <cell r="C47">
            <v>322.92</v>
          </cell>
          <cell r="D47">
            <v>3591.92</v>
          </cell>
          <cell r="E47">
            <v>322.92</v>
          </cell>
          <cell r="F47">
            <v>0</v>
          </cell>
          <cell r="G47">
            <v>0</v>
          </cell>
          <cell r="H47">
            <v>177.08</v>
          </cell>
          <cell r="I47">
            <v>0</v>
          </cell>
        </row>
        <row r="48">
          <cell r="A48" t="str">
            <v>DRBX1111</v>
          </cell>
          <cell r="B48" t="str">
            <v>ICB Common Job</v>
          </cell>
          <cell r="C48">
            <v>0</v>
          </cell>
          <cell r="D48">
            <v>14082.8</v>
          </cell>
          <cell r="E48">
            <v>0</v>
          </cell>
          <cell r="F48">
            <v>0</v>
          </cell>
          <cell r="G48">
            <v>0</v>
          </cell>
          <cell r="H48">
            <v>0</v>
          </cell>
        </row>
        <row r="51">
          <cell r="A51" t="str">
            <v>DCAR237B</v>
          </cell>
          <cell r="B51" t="str">
            <v>DDA  HOUSING (ITEM RATE)</v>
          </cell>
          <cell r="C51">
            <v>0</v>
          </cell>
          <cell r="D51">
            <v>0</v>
          </cell>
          <cell r="E51">
            <v>0</v>
          </cell>
          <cell r="F51">
            <v>0</v>
          </cell>
          <cell r="G51">
            <v>0</v>
          </cell>
        </row>
        <row r="52">
          <cell r="A52" t="str">
            <v>DCBC3200</v>
          </cell>
          <cell r="B52" t="str">
            <v>LOADING &amp; DESPATCH BLDG FOR HERO CYCLES AT LUDHIAN</v>
          </cell>
          <cell r="C52">
            <v>5.7</v>
          </cell>
          <cell r="D52">
            <v>0</v>
          </cell>
          <cell r="E52">
            <v>569.74</v>
          </cell>
          <cell r="F52">
            <v>48.1</v>
          </cell>
          <cell r="G52">
            <v>-10.71</v>
          </cell>
        </row>
        <row r="53">
          <cell r="A53" t="str">
            <v>DCBC3435</v>
          </cell>
          <cell r="B53" t="str">
            <v>HERO RIM PLANT LUDHIANA</v>
          </cell>
          <cell r="C53">
            <v>62.59</v>
          </cell>
          <cell r="D53">
            <v>0</v>
          </cell>
          <cell r="E53">
            <v>703.77</v>
          </cell>
          <cell r="F53">
            <v>161.22</v>
          </cell>
          <cell r="G53">
            <v>28.9</v>
          </cell>
        </row>
        <row r="54">
          <cell r="A54" t="str">
            <v>DCBI4145</v>
          </cell>
          <cell r="B54" t="str">
            <v>HERO CYCLES TUBULAR PLANT</v>
          </cell>
          <cell r="C54">
            <v>198.59</v>
          </cell>
          <cell r="D54">
            <v>1.05</v>
          </cell>
          <cell r="E54">
            <v>540.41</v>
          </cell>
          <cell r="F54">
            <v>123.77</v>
          </cell>
          <cell r="G54">
            <v>72.569999999999993</v>
          </cell>
        </row>
        <row r="55">
          <cell r="A55" t="str">
            <v>DCBI4153</v>
          </cell>
          <cell r="B55" t="str">
            <v>HERO CYCLES AUTO RIM PLT, NICHI MANGLI LUDHIANA</v>
          </cell>
          <cell r="C55">
            <v>110.81</v>
          </cell>
          <cell r="D55">
            <v>0</v>
          </cell>
          <cell r="E55">
            <v>542.63</v>
          </cell>
          <cell r="F55">
            <v>107.45</v>
          </cell>
          <cell r="G55">
            <v>35.22</v>
          </cell>
        </row>
        <row r="56">
          <cell r="A56" t="str">
            <v>DCBO187B</v>
          </cell>
          <cell r="B56" t="str">
            <v>DDA TURNKEY PROJECT- BAKKARWALA, NEW DELHI</v>
          </cell>
          <cell r="C56">
            <v>0</v>
          </cell>
          <cell r="D56">
            <v>0</v>
          </cell>
          <cell r="E56">
            <v>0</v>
          </cell>
          <cell r="F56">
            <v>0</v>
          </cell>
          <cell r="G56">
            <v>0</v>
          </cell>
        </row>
        <row r="57">
          <cell r="A57" t="str">
            <v>DCBX1111</v>
          </cell>
          <cell r="B57" t="str">
            <v>SHIS Common Job</v>
          </cell>
          <cell r="C57">
            <v>0</v>
          </cell>
          <cell r="D57">
            <v>0.01</v>
          </cell>
          <cell r="E57">
            <v>0</v>
          </cell>
          <cell r="F57">
            <v>0</v>
          </cell>
          <cell r="G57">
            <v>0</v>
          </cell>
        </row>
        <row r="58">
          <cell r="A58" t="str">
            <v>DCBX9999</v>
          </cell>
          <cell r="B58" t="str">
            <v>COMMON EXP. CODE</v>
          </cell>
          <cell r="C58">
            <v>0</v>
          </cell>
          <cell r="D58">
            <v>0</v>
          </cell>
          <cell r="E58">
            <v>0</v>
          </cell>
          <cell r="F58">
            <v>0</v>
          </cell>
          <cell r="G58">
            <v>0</v>
          </cell>
        </row>
        <row r="59">
          <cell r="A59" t="str">
            <v>DCGO9997</v>
          </cell>
          <cell r="B59" t="str">
            <v>closed job</v>
          </cell>
          <cell r="C59">
            <v>0</v>
          </cell>
          <cell r="D59">
            <v>0.01</v>
          </cell>
          <cell r="E59">
            <v>145.77000000000001</v>
          </cell>
          <cell r="F59">
            <v>-181.39</v>
          </cell>
          <cell r="G59">
            <v>-98</v>
          </cell>
        </row>
        <row r="60">
          <cell r="A60" t="str">
            <v>DCHG182B</v>
          </cell>
          <cell r="B60" t="str">
            <v>DDA,VASANT KUNJ</v>
          </cell>
          <cell r="C60">
            <v>0</v>
          </cell>
          <cell r="D60">
            <v>0</v>
          </cell>
          <cell r="E60">
            <v>0</v>
          </cell>
          <cell r="F60">
            <v>0</v>
          </cell>
          <cell r="G60">
            <v>0</v>
          </cell>
        </row>
        <row r="61">
          <cell r="A61" t="str">
            <v>DCHG238B</v>
          </cell>
          <cell r="B61" t="str">
            <v>DDA  HOUSING (ITEM RATE)</v>
          </cell>
          <cell r="C61">
            <v>0</v>
          </cell>
          <cell r="D61">
            <v>0</v>
          </cell>
          <cell r="E61">
            <v>0</v>
          </cell>
          <cell r="F61">
            <v>0</v>
          </cell>
          <cell r="G61">
            <v>0</v>
          </cell>
        </row>
        <row r="62">
          <cell r="A62" t="str">
            <v>DCHG4294</v>
          </cell>
          <cell r="B62" t="str">
            <v>CONSTRUCTION OF MEGA HOUSING PROJECT FOR DDA</v>
          </cell>
          <cell r="C62">
            <v>1164.3599999999999</v>
          </cell>
          <cell r="D62">
            <v>2616.4499999999998</v>
          </cell>
          <cell r="E62">
            <v>1638.33</v>
          </cell>
          <cell r="F62">
            <v>0</v>
          </cell>
          <cell r="G62">
            <v>0</v>
          </cell>
        </row>
        <row r="63">
          <cell r="A63" t="str">
            <v>DCHG4618</v>
          </cell>
          <cell r="B63" t="str">
            <v>HOUSING/VASANT KUNJ</v>
          </cell>
          <cell r="C63">
            <v>269.37</v>
          </cell>
          <cell r="D63">
            <v>3487.55</v>
          </cell>
          <cell r="E63">
            <v>272.02999999999997</v>
          </cell>
          <cell r="F63">
            <v>0</v>
          </cell>
          <cell r="G63">
            <v>0</v>
          </cell>
        </row>
        <row r="64">
          <cell r="A64" t="str">
            <v>DCHG4642</v>
          </cell>
          <cell r="B64" t="str">
            <v>LIG HOUSES AT BAKKARWALA POCKET-C</v>
          </cell>
          <cell r="C64">
            <v>211.49</v>
          </cell>
          <cell r="D64">
            <v>4155.24</v>
          </cell>
          <cell r="E64">
            <v>211.49</v>
          </cell>
          <cell r="F64">
            <v>0</v>
          </cell>
          <cell r="G64">
            <v>0</v>
          </cell>
        </row>
        <row r="65">
          <cell r="A65" t="str">
            <v>DCIC2811</v>
          </cell>
          <cell r="B65" t="str">
            <v>ITC BALANCE CIVIL WORKS AT SAHARANPUR - ITC FACTOR</v>
          </cell>
          <cell r="C65">
            <v>0</v>
          </cell>
          <cell r="D65">
            <v>0</v>
          </cell>
          <cell r="E65">
            <v>0</v>
          </cell>
          <cell r="F65">
            <v>0</v>
          </cell>
          <cell r="G65">
            <v>0</v>
          </cell>
        </row>
        <row r="66">
          <cell r="A66" t="str">
            <v>DCII1028</v>
          </cell>
          <cell r="B66" t="str">
            <v>USHA INDIA FACTORY BUILDING</v>
          </cell>
          <cell r="C66">
            <v>0</v>
          </cell>
          <cell r="D66">
            <v>0</v>
          </cell>
          <cell r="E66">
            <v>404.4</v>
          </cell>
          <cell r="F66">
            <v>9.2100000000000009</v>
          </cell>
          <cell r="G66">
            <v>-50.49</v>
          </cell>
        </row>
        <row r="67">
          <cell r="A67" t="str">
            <v>DCII188B</v>
          </cell>
          <cell r="B67" t="str">
            <v>HERO CYCLES EXPANSION, LUDHIYANA</v>
          </cell>
          <cell r="C67">
            <v>0</v>
          </cell>
          <cell r="D67">
            <v>0</v>
          </cell>
          <cell r="E67">
            <v>0</v>
          </cell>
          <cell r="F67">
            <v>0</v>
          </cell>
          <cell r="G67">
            <v>0</v>
          </cell>
        </row>
        <row r="68">
          <cell r="A68" t="str">
            <v>DCII2512</v>
          </cell>
          <cell r="B68" t="str">
            <v>MICO BUILDING-JAIPUR</v>
          </cell>
          <cell r="C68">
            <v>0</v>
          </cell>
          <cell r="D68">
            <v>0</v>
          </cell>
          <cell r="E68">
            <v>0</v>
          </cell>
          <cell r="F68">
            <v>0</v>
          </cell>
          <cell r="G68">
            <v>0</v>
          </cell>
        </row>
        <row r="69">
          <cell r="A69" t="str">
            <v>DCII2615</v>
          </cell>
          <cell r="B69" t="str">
            <v>CS WORKS FOR TECU</v>
          </cell>
          <cell r="C69">
            <v>0</v>
          </cell>
          <cell r="D69">
            <v>0</v>
          </cell>
          <cell r="E69">
            <v>1143.51</v>
          </cell>
          <cell r="F69">
            <v>268.04000000000002</v>
          </cell>
          <cell r="G69">
            <v>-0.44</v>
          </cell>
        </row>
        <row r="70">
          <cell r="A70" t="str">
            <v>DCII3187</v>
          </cell>
          <cell r="B70" t="str">
            <v>ERECT OF M/C SHOP NO</v>
          </cell>
          <cell r="C70">
            <v>0</v>
          </cell>
          <cell r="D70">
            <v>0</v>
          </cell>
          <cell r="E70">
            <v>0</v>
          </cell>
          <cell r="F70">
            <v>0</v>
          </cell>
          <cell r="G70">
            <v>0</v>
          </cell>
        </row>
        <row r="71">
          <cell r="A71" t="str">
            <v>DCII3225</v>
          </cell>
          <cell r="B71" t="str">
            <v>FACTORY BLDG AT NOIDA FOR MOSER BAER (I) LTD.</v>
          </cell>
          <cell r="C71">
            <v>16.3</v>
          </cell>
          <cell r="D71">
            <v>0</v>
          </cell>
          <cell r="E71">
            <v>1657.07</v>
          </cell>
          <cell r="F71">
            <v>514</v>
          </cell>
          <cell r="G71">
            <v>15.87</v>
          </cell>
        </row>
        <row r="72">
          <cell r="A72" t="str">
            <v>DCII4523</v>
          </cell>
          <cell r="B72" t="str">
            <v>HERO NEW CYCLE PLANT AT LUDHIYANA</v>
          </cell>
          <cell r="C72">
            <v>420.28</v>
          </cell>
          <cell r="D72">
            <v>0</v>
          </cell>
          <cell r="E72">
            <v>1125.2</v>
          </cell>
          <cell r="F72">
            <v>300.33999999999997</v>
          </cell>
          <cell r="G72">
            <v>167.73</v>
          </cell>
        </row>
        <row r="73">
          <cell r="A73" t="str">
            <v>DCIT1087</v>
          </cell>
          <cell r="B73" t="str">
            <v>SPINNING PLANT INDO</v>
          </cell>
          <cell r="C73">
            <v>0</v>
          </cell>
          <cell r="D73">
            <v>0</v>
          </cell>
          <cell r="E73">
            <v>1748.85</v>
          </cell>
          <cell r="F73">
            <v>193.57</v>
          </cell>
          <cell r="G73">
            <v>-147</v>
          </cell>
        </row>
        <row r="74">
          <cell r="A74" t="str">
            <v>DJHG4958</v>
          </cell>
          <cell r="B74" t="str">
            <v>Sahara Grace Gurgaon</v>
          </cell>
          <cell r="C74">
            <v>0.1</v>
          </cell>
          <cell r="D74">
            <v>5000</v>
          </cell>
          <cell r="E74">
            <v>0.1</v>
          </cell>
          <cell r="F74">
            <v>0</v>
          </cell>
          <cell r="G7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HG Unit"/>
      <sheetName val="HD Unit"/>
      <sheetName val="ASME B 36.10 M"/>
      <sheetName val="ASME B 36_10 M"/>
      <sheetName val="Piping material HG take off - R"/>
      <sheetName val="steam table"/>
      <sheetName val="Testing"/>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Joints"/>
      <sheetName val="mech"/>
      <sheetName val="IBASE"/>
      <sheetName val="HG_Unit1"/>
      <sheetName val="HD_Unit1"/>
      <sheetName val="ASME_B_36_10_M2"/>
      <sheetName val="ASME_B_36_10_M3"/>
      <sheetName val="Piping_material_HG_take_off_-_1"/>
      <sheetName val="steam_table"/>
      <sheetName val="HG_Unit"/>
      <sheetName val="HD_Unit"/>
      <sheetName val="ASME_B_36_10_M"/>
      <sheetName val="ASME_B_36_10_M1"/>
      <sheetName val="Piping_material_HG_take_off_-_R"/>
      <sheetName val="갑지1"/>
      <sheetName val="MOTOR"/>
      <sheetName val="내역"/>
      <sheetName val="POWER"/>
      <sheetName val="BM"/>
      <sheetName val="PipWT"/>
      <sheetName val="BQ_Methanol"/>
      <sheetName val="Insulation_Utl_Off"/>
      <sheetName val="Note_Piping"/>
      <sheetName val="6-2차"/>
      <sheetName val="Code 02"/>
      <sheetName val="Code 03"/>
      <sheetName val="Code 04"/>
      <sheetName val="Code 05"/>
      <sheetName val="Code 06"/>
      <sheetName val="Code 07"/>
      <sheetName val="Code 09"/>
      <sheetName val="HG_Unit2"/>
      <sheetName val="HD_Unit2"/>
      <sheetName val="ASME_B_36_10_M4"/>
      <sheetName val="ASME_B_36_10_M5"/>
      <sheetName val="Piping_material_HG_take_off_-_2"/>
      <sheetName val="steam_table1"/>
      <sheetName val="CABLE BULK"/>
      <sheetName val="RATE"/>
    </sheetNames>
    <definedNames>
      <definedName name="scaffolding"/>
    </definedNames>
    <sheetDataSet>
      <sheetData sheetId="0"/>
      <sheetData sheetId="1"/>
      <sheetData sheetId="2"/>
      <sheetData sheetId="3">
        <row r="3">
          <cell r="E3">
            <v>5</v>
          </cell>
        </row>
      </sheetData>
      <sheetData sheetId="4"/>
      <sheetData sheetId="5" refreshError="1"/>
      <sheetData sheetId="6" refreshError="1"/>
      <sheetData sheetId="7"/>
      <sheetData sheetId="8"/>
      <sheetData sheetId="9"/>
      <sheetData sheetId="10">
        <row r="3">
          <cell r="E3">
            <v>5</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LAN_FEB9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ASME B 36.10 M"/>
      <sheetName val="OrderBM(Power)"/>
      <sheetName val="BM"/>
      <sheetName val="IT-BAT"/>
      <sheetName val="POWER"/>
      <sheetName val="steam table"/>
      <sheetName val="Testing"/>
      <sheetName val="eq_data"/>
      <sheetName val="八幡"/>
      <sheetName val="GM 000"/>
      <sheetName val="csdim"/>
      <sheetName val="cdsload"/>
      <sheetName val="chsload"/>
      <sheetName val="CLAMP"/>
      <sheetName val="cvsload"/>
      <sheetName val="pipe"/>
      <sheetName val="Cash2"/>
      <sheetName val="Z"/>
      <sheetName val="환산표"/>
      <sheetName val="DI-ESTI"/>
    </sheetNames>
    <sheetDataSet>
      <sheetData sheetId="0" refreshError="1"/>
      <sheetData sheetId="1" refreshError="1"/>
      <sheetData sheetId="2">
        <row r="2">
          <cell r="S2" t="str">
            <v>LENGTH</v>
          </cell>
        </row>
        <row r="3">
          <cell r="S3" t="str">
            <v>(M)</v>
          </cell>
        </row>
        <row r="5">
          <cell r="S5">
            <v>35</v>
          </cell>
        </row>
        <row r="6">
          <cell r="S6">
            <v>35</v>
          </cell>
        </row>
        <row r="7">
          <cell r="S7">
            <v>35</v>
          </cell>
        </row>
        <row r="8">
          <cell r="S8">
            <v>35</v>
          </cell>
        </row>
        <row r="9">
          <cell r="S9">
            <v>35</v>
          </cell>
        </row>
        <row r="10">
          <cell r="S10">
            <v>35</v>
          </cell>
        </row>
        <row r="12">
          <cell r="S12">
            <v>30</v>
          </cell>
        </row>
        <row r="13">
          <cell r="S13">
            <v>30</v>
          </cell>
        </row>
        <row r="14">
          <cell r="S14">
            <v>30</v>
          </cell>
        </row>
        <row r="15">
          <cell r="S15">
            <v>30</v>
          </cell>
        </row>
        <row r="16">
          <cell r="S16">
            <v>30</v>
          </cell>
        </row>
        <row r="17">
          <cell r="S17">
            <v>30</v>
          </cell>
        </row>
        <row r="19">
          <cell r="S19">
            <v>25</v>
          </cell>
        </row>
        <row r="20">
          <cell r="S20">
            <v>25</v>
          </cell>
        </row>
        <row r="21">
          <cell r="S21">
            <v>25</v>
          </cell>
        </row>
        <row r="22">
          <cell r="S22">
            <v>25</v>
          </cell>
        </row>
        <row r="23">
          <cell r="S23">
            <v>25</v>
          </cell>
        </row>
        <row r="24">
          <cell r="S24">
            <v>25</v>
          </cell>
        </row>
        <row r="26">
          <cell r="S26">
            <v>35</v>
          </cell>
        </row>
        <row r="27">
          <cell r="S27">
            <v>35</v>
          </cell>
        </row>
        <row r="28">
          <cell r="S28">
            <v>35</v>
          </cell>
        </row>
        <row r="29">
          <cell r="S29">
            <v>35</v>
          </cell>
        </row>
        <row r="30">
          <cell r="S30">
            <v>35</v>
          </cell>
        </row>
        <row r="31">
          <cell r="S31">
            <v>35</v>
          </cell>
        </row>
        <row r="33">
          <cell r="S33">
            <v>25</v>
          </cell>
        </row>
        <row r="34">
          <cell r="S34">
            <v>25</v>
          </cell>
        </row>
        <row r="35">
          <cell r="S35">
            <v>25</v>
          </cell>
        </row>
        <row r="36">
          <cell r="S36">
            <v>25</v>
          </cell>
        </row>
        <row r="37">
          <cell r="S37">
            <v>25</v>
          </cell>
        </row>
        <row r="38">
          <cell r="S38">
            <v>25</v>
          </cell>
        </row>
        <row r="40">
          <cell r="S40">
            <v>25</v>
          </cell>
        </row>
        <row r="41">
          <cell r="S41">
            <v>25</v>
          </cell>
        </row>
        <row r="42">
          <cell r="S42">
            <v>25</v>
          </cell>
        </row>
        <row r="43">
          <cell r="S43">
            <v>25</v>
          </cell>
        </row>
        <row r="45">
          <cell r="S45">
            <v>35</v>
          </cell>
        </row>
        <row r="46">
          <cell r="S46">
            <v>35</v>
          </cell>
        </row>
        <row r="47">
          <cell r="S47">
            <v>35</v>
          </cell>
        </row>
        <row r="48">
          <cell r="S48">
            <v>35</v>
          </cell>
        </row>
        <row r="49">
          <cell r="S49">
            <v>35</v>
          </cell>
        </row>
        <row r="50">
          <cell r="S50">
            <v>35</v>
          </cell>
        </row>
        <row r="52">
          <cell r="S52">
            <v>30</v>
          </cell>
        </row>
        <row r="53">
          <cell r="S53">
            <v>30</v>
          </cell>
        </row>
        <row r="54">
          <cell r="S54">
            <v>30</v>
          </cell>
        </row>
        <row r="55">
          <cell r="S55">
            <v>30</v>
          </cell>
        </row>
        <row r="56">
          <cell r="S56">
            <v>30</v>
          </cell>
        </row>
        <row r="57">
          <cell r="S57">
            <v>30</v>
          </cell>
        </row>
        <row r="59">
          <cell r="S59">
            <v>25</v>
          </cell>
        </row>
        <row r="60">
          <cell r="S60">
            <v>25</v>
          </cell>
        </row>
        <row r="61">
          <cell r="S61">
            <v>25</v>
          </cell>
        </row>
        <row r="62">
          <cell r="S62">
            <v>25</v>
          </cell>
        </row>
        <row r="63">
          <cell r="S63">
            <v>25</v>
          </cell>
        </row>
        <row r="64">
          <cell r="S64">
            <v>25</v>
          </cell>
        </row>
        <row r="66">
          <cell r="S66">
            <v>30</v>
          </cell>
        </row>
        <row r="67">
          <cell r="S67">
            <v>30</v>
          </cell>
        </row>
        <row r="68">
          <cell r="S68">
            <v>30</v>
          </cell>
        </row>
        <row r="69">
          <cell r="S69">
            <v>30</v>
          </cell>
        </row>
        <row r="70">
          <cell r="S70">
            <v>30</v>
          </cell>
        </row>
        <row r="71">
          <cell r="S71">
            <v>30</v>
          </cell>
        </row>
        <row r="73">
          <cell r="S73">
            <v>25</v>
          </cell>
        </row>
        <row r="74">
          <cell r="S74">
            <v>25</v>
          </cell>
        </row>
        <row r="75">
          <cell r="S75">
            <v>25</v>
          </cell>
        </row>
        <row r="76">
          <cell r="S76">
            <v>25</v>
          </cell>
        </row>
        <row r="77">
          <cell r="S77">
            <v>25</v>
          </cell>
        </row>
        <row r="78">
          <cell r="S78">
            <v>25</v>
          </cell>
        </row>
        <row r="80">
          <cell r="S80">
            <v>25</v>
          </cell>
        </row>
        <row r="81">
          <cell r="S81">
            <v>25</v>
          </cell>
        </row>
        <row r="82">
          <cell r="S82">
            <v>25</v>
          </cell>
        </row>
        <row r="83">
          <cell r="S83">
            <v>25</v>
          </cell>
        </row>
        <row r="85">
          <cell r="S85">
            <v>1970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 MASTER"/>
      <sheetName val="TEL CALC"/>
      <sheetName val="TEL LONG"/>
      <sheetName val="GLOSSARY"/>
      <sheetName val="ABUT MASTER (4)"/>
      <sheetName val="ABUT MASTER (3)"/>
      <sheetName val="ABUTMENT"/>
      <sheetName val="TOC"/>
      <sheetName val="SPECIFICATIONS"/>
      <sheetName val="DATA LIST "/>
      <sheetName val="Sheet1"/>
      <sheetName val="Sheet2"/>
      <sheetName val="Sheet3"/>
      <sheetName val="#REF"/>
      <sheetName val="LOCAL RATES"/>
      <sheetName val="Technical Statement"/>
      <sheetName val="TEL_CALC"/>
      <sheetName val="TEL_LONG"/>
      <sheetName val="ABUT_MASTER_(4)"/>
      <sheetName val="ABUT_MASTER_(3)"/>
      <sheetName val="ABUT_MASTER"/>
      <sheetName val="DATA_LIST_"/>
      <sheetName val="TEL_CALC1"/>
      <sheetName val="TEL_LONG1"/>
      <sheetName val="ABUT_MASTER_(4)1"/>
      <sheetName val="ABUT_MASTER_(3)1"/>
      <sheetName val="ABUT_MASTER1"/>
      <sheetName val="DATA_LIST_1"/>
      <sheetName val="TEL_CALC2"/>
      <sheetName val="TEL_LONG2"/>
      <sheetName val="ABUT_MASTER_(4)2"/>
      <sheetName val="ABUT_MASTER_(3)2"/>
      <sheetName val="ABUT_MASTER2"/>
      <sheetName val="DATA_LIST_2"/>
      <sheetName val="TEL_CALC3"/>
      <sheetName val="TEL_LONG3"/>
      <sheetName val="ABUT_MASTER_(4)3"/>
      <sheetName val="ABUT_MASTER_(3)3"/>
      <sheetName val="ABUT_MASTER3"/>
      <sheetName val="DATA_LIST_3"/>
      <sheetName val="TEL_CALC4"/>
      <sheetName val="TEL_LONG4"/>
      <sheetName val="ABUT_MASTER_(4)4"/>
      <sheetName val="ABUT_MASTER_(3)4"/>
      <sheetName val="ABUT_MASTER4"/>
      <sheetName val="DATA_LIST_4"/>
      <sheetName val="TEL_CALC5"/>
      <sheetName val="TEL_LONG5"/>
      <sheetName val="ABUT_MASTER_(4)5"/>
      <sheetName val="ABUT_MASTER_(3)5"/>
      <sheetName val="ABUT_MASTER5"/>
      <sheetName val="DATA_LIST_5"/>
      <sheetName val="Anl"/>
      <sheetName val="PROCTOR"/>
      <sheetName val="Data"/>
      <sheetName val="TABLES"/>
      <sheetName val="Labour"/>
      <sheetName val="scour depth"/>
      <sheetName val="Hydraulic"/>
      <sheetName val="SLAB DESIGN"/>
      <sheetName val=" AnalysisPCC"/>
      <sheetName val="Analysis-NH-Culverts"/>
      <sheetName val="Analysis-NH-Roads"/>
      <sheetName val="Analysis-NH-Bridges"/>
      <sheetName val="Labour &amp; Plant"/>
      <sheetName val=" Type III"/>
      <sheetName val="FT-05-02IsoBOM"/>
    </sheetNames>
    <sheetDataSet>
      <sheetData sheetId="0" refreshError="1">
        <row r="57">
          <cell r="K57">
            <v>0.3</v>
          </cell>
        </row>
      </sheetData>
      <sheetData sheetId="1">
        <row r="57">
          <cell r="K57">
            <v>0.3</v>
          </cell>
        </row>
      </sheetData>
      <sheetData sheetId="2"/>
      <sheetData sheetId="3">
        <row r="57">
          <cell r="K57">
            <v>0.3</v>
          </cell>
        </row>
      </sheetData>
      <sheetData sheetId="4">
        <row r="57">
          <cell r="K57">
            <v>0.3</v>
          </cell>
        </row>
      </sheetData>
      <sheetData sheetId="5">
        <row r="57">
          <cell r="K57">
            <v>0.3</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ow r="57">
          <cell r="K57">
            <v>0.3</v>
          </cell>
        </row>
      </sheetData>
      <sheetData sheetId="19">
        <row r="57">
          <cell r="K57">
            <v>0.3</v>
          </cell>
        </row>
      </sheetData>
      <sheetData sheetId="20">
        <row r="57">
          <cell r="K57">
            <v>0.3</v>
          </cell>
        </row>
      </sheetData>
      <sheetData sheetId="21" refreshError="1"/>
      <sheetData sheetId="22" refreshError="1"/>
      <sheetData sheetId="23">
        <row r="57">
          <cell r="K57">
            <v>0.3</v>
          </cell>
        </row>
      </sheetData>
      <sheetData sheetId="24">
        <row r="57">
          <cell r="K57">
            <v>0.3</v>
          </cell>
        </row>
      </sheetData>
      <sheetData sheetId="25">
        <row r="57">
          <cell r="K57">
            <v>0.3</v>
          </cell>
        </row>
      </sheetData>
      <sheetData sheetId="26">
        <row r="57">
          <cell r="K57">
            <v>0.3</v>
          </cell>
        </row>
      </sheetData>
      <sheetData sheetId="27">
        <row r="57">
          <cell r="K57">
            <v>0.3</v>
          </cell>
        </row>
      </sheetData>
      <sheetData sheetId="28">
        <row r="57">
          <cell r="K57">
            <v>0.3</v>
          </cell>
        </row>
      </sheetData>
      <sheetData sheetId="29">
        <row r="57">
          <cell r="K57">
            <v>0.3</v>
          </cell>
        </row>
      </sheetData>
      <sheetData sheetId="30">
        <row r="57">
          <cell r="K57">
            <v>0.3</v>
          </cell>
        </row>
      </sheetData>
      <sheetData sheetId="31">
        <row r="57">
          <cell r="K57">
            <v>0.3</v>
          </cell>
        </row>
      </sheetData>
      <sheetData sheetId="32">
        <row r="57">
          <cell r="K57">
            <v>0.3</v>
          </cell>
        </row>
      </sheetData>
      <sheetData sheetId="33">
        <row r="57">
          <cell r="K57">
            <v>0.3</v>
          </cell>
        </row>
      </sheetData>
      <sheetData sheetId="34">
        <row r="57">
          <cell r="K57">
            <v>0.3</v>
          </cell>
        </row>
      </sheetData>
      <sheetData sheetId="35">
        <row r="57">
          <cell r="K57">
            <v>0.3</v>
          </cell>
        </row>
      </sheetData>
      <sheetData sheetId="36">
        <row r="57">
          <cell r="K57">
            <v>0.3</v>
          </cell>
        </row>
      </sheetData>
      <sheetData sheetId="37">
        <row r="57">
          <cell r="K57">
            <v>0.3</v>
          </cell>
        </row>
      </sheetData>
      <sheetData sheetId="38">
        <row r="57">
          <cell r="K57">
            <v>0.3</v>
          </cell>
        </row>
      </sheetData>
      <sheetData sheetId="39">
        <row r="57">
          <cell r="K57">
            <v>0.3</v>
          </cell>
        </row>
      </sheetData>
      <sheetData sheetId="40">
        <row r="57">
          <cell r="K57">
            <v>0.3</v>
          </cell>
        </row>
      </sheetData>
      <sheetData sheetId="41" refreshError="1"/>
      <sheetData sheetId="42">
        <row r="57">
          <cell r="K57">
            <v>0.3</v>
          </cell>
        </row>
      </sheetData>
      <sheetData sheetId="43">
        <row r="57">
          <cell r="K57">
            <v>0.3</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DESIGN"/>
      <sheetName val="GATE OPER. SLAB"/>
      <sheetName val="BBS"/>
      <sheetName val="WINGWALL"/>
      <sheetName val="GATE HEADWALL"/>
      <sheetName val="Ene"/>
      <sheetName val="CODE BOOK REFERENCE"/>
      <sheetName val="Eg-1"/>
      <sheetName val="Eg-2"/>
      <sheetName val="Eg-3"/>
      <sheetName val="Eg-4"/>
      <sheetName val="Eg-5"/>
      <sheetName val="Eg-6)"/>
      <sheetName val="Eg-7"/>
      <sheetName val="Eg-8"/>
      <sheetName val="Eg-9"/>
      <sheetName val="Eg-10"/>
      <sheetName val="Chart2"/>
      <sheetName val="Chart3"/>
      <sheetName val="Chart4"/>
      <sheetName val="Charts Data"/>
      <sheetName val="Sheet1"/>
      <sheetName val="Sheet11"/>
      <sheetName val="FLUME WALL EST"/>
      <sheetName val="scour dep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655"/>
      <sheetName val="0+655"/>
      <sheetName val="1+385"/>
      <sheetName val="2+068"/>
      <sheetName val="Rate Analysis "/>
    </sheetNames>
    <sheetDataSet>
      <sheetData sheetId="0"/>
      <sheetData sheetId="1"/>
      <sheetData sheetId="2"/>
      <sheetData sheetId="3"/>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RM"/>
    </sheetNames>
    <sheetDataSet>
      <sheetData sheetId="0" refreshError="1">
        <row r="7">
          <cell r="E7">
            <v>38718</v>
          </cell>
        </row>
      </sheetData>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조건"/>
      <sheetName val="1.Total Summary"/>
      <sheetName val="3.1Summary "/>
      <sheetName val="3.2 Arch(BOQ)"/>
      <sheetName val="A.MATERIAL"/>
      <sheetName val="B. Labor"/>
      <sheetName val="C. EQUIPMENT"/>
      <sheetName val="3.3Temp"/>
      <sheetName val="5.1Summary "/>
      <sheetName val="5.2 Civil(BOQ)"/>
      <sheetName val="Ref. Equip"/>
      <sheetName val="Ref. Labor"/>
      <sheetName val="Ref.Material"/>
      <sheetName val="Ref.Remicon"/>
      <sheetName val="QUES "/>
      <sheetName val="ASME B 36.10 M"/>
      <sheetName val="DG3285"/>
      <sheetName val="CABLE BU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Calc1"/>
      <sheetName val="Calc2"/>
      <sheetName val="PSC_length"/>
      <sheetName val="SktWt"/>
      <sheetName val="spare"/>
      <sheetName val="spare2"/>
      <sheetName val="SLAB DESIGN"/>
    </sheetNames>
    <sheetDataSet>
      <sheetData sheetId="0"/>
      <sheetData sheetId="1"/>
      <sheetData sheetId="2">
        <row r="63">
          <cell r="B63">
            <v>1</v>
          </cell>
          <cell r="C63" t="str">
            <v xml:space="preserve"> Barrel 1M length</v>
          </cell>
          <cell r="D63">
            <v>1</v>
          </cell>
          <cell r="E63">
            <v>275</v>
          </cell>
          <cell r="F63">
            <v>3.53</v>
          </cell>
          <cell r="G63">
            <v>3.75</v>
          </cell>
        </row>
        <row r="64">
          <cell r="B64">
            <v>2</v>
          </cell>
          <cell r="C64" t="str">
            <v xml:space="preserve"> 0 to 30 deg Bend S/s</v>
          </cell>
          <cell r="D64">
            <v>1.52</v>
          </cell>
          <cell r="E64">
            <v>421</v>
          </cell>
          <cell r="F64">
            <v>5.66</v>
          </cell>
          <cell r="G64">
            <v>6.46</v>
          </cell>
        </row>
        <row r="65">
          <cell r="B65">
            <v>3</v>
          </cell>
          <cell r="C65" t="str">
            <v xml:space="preserve"> 31 to 45 deg Bend S/s</v>
          </cell>
          <cell r="D65">
            <v>2.14</v>
          </cell>
          <cell r="E65">
            <v>592</v>
          </cell>
          <cell r="F65">
            <v>7.85</v>
          </cell>
          <cell r="G65">
            <v>8.7799999999999994</v>
          </cell>
        </row>
        <row r="66">
          <cell r="B66">
            <v>4</v>
          </cell>
          <cell r="C66" t="str">
            <v xml:space="preserve"> 46 to 60 deg Bend S/s</v>
          </cell>
          <cell r="D66">
            <v>2.2799999999999998</v>
          </cell>
          <cell r="E66">
            <v>630</v>
          </cell>
          <cell r="F66">
            <v>8.35</v>
          </cell>
          <cell r="G66">
            <v>9.31</v>
          </cell>
        </row>
        <row r="67">
          <cell r="B67">
            <v>5</v>
          </cell>
          <cell r="C67" t="str">
            <v xml:space="preserve"> 61 to 90 deg bend S/s</v>
          </cell>
          <cell r="D67">
            <v>3.2</v>
          </cell>
          <cell r="E67">
            <v>882</v>
          </cell>
          <cell r="F67">
            <v>11.6</v>
          </cell>
          <cell r="G67">
            <v>12.76</v>
          </cell>
        </row>
        <row r="68">
          <cell r="B68">
            <v>6</v>
          </cell>
          <cell r="C68" t="str">
            <v xml:space="preserve"> 0 to 30 deg Bend Plain/Plain</v>
          </cell>
          <cell r="D68">
            <v>1.52</v>
          </cell>
          <cell r="E68">
            <v>419</v>
          </cell>
          <cell r="F68">
            <v>5.37</v>
          </cell>
          <cell r="G68">
            <v>5.71</v>
          </cell>
        </row>
        <row r="69">
          <cell r="B69">
            <v>7</v>
          </cell>
          <cell r="C69" t="str">
            <v xml:space="preserve"> 31 to 45 deg Bend Plain/Plain</v>
          </cell>
          <cell r="D69">
            <v>2.14</v>
          </cell>
          <cell r="E69">
            <v>589</v>
          </cell>
          <cell r="F69">
            <v>7.56</v>
          </cell>
          <cell r="G69">
            <v>8.0299999999999994</v>
          </cell>
        </row>
        <row r="70">
          <cell r="B70">
            <v>8</v>
          </cell>
          <cell r="C70" t="str">
            <v xml:space="preserve"> 46 to 60 deg Bend Plain/Plain</v>
          </cell>
          <cell r="D70">
            <v>2.2799999999999998</v>
          </cell>
          <cell r="E70">
            <v>628</v>
          </cell>
          <cell r="F70">
            <v>8.06</v>
          </cell>
          <cell r="G70">
            <v>8.56</v>
          </cell>
        </row>
        <row r="71">
          <cell r="B71">
            <v>9</v>
          </cell>
          <cell r="C71" t="str">
            <v xml:space="preserve"> 61 to 90 deg bend Plain/Plain</v>
          </cell>
          <cell r="D71">
            <v>3.2</v>
          </cell>
          <cell r="E71">
            <v>880</v>
          </cell>
          <cell r="F71">
            <v>11.31</v>
          </cell>
          <cell r="G71">
            <v>12.01</v>
          </cell>
        </row>
        <row r="72">
          <cell r="B72">
            <v>10</v>
          </cell>
          <cell r="C72" t="str">
            <v xml:space="preserve"> 0 to 30 deg Bend Fld/Plain</v>
          </cell>
          <cell r="D72">
            <v>1.52</v>
          </cell>
          <cell r="E72">
            <v>421</v>
          </cell>
          <cell r="F72">
            <v>5.37</v>
          </cell>
          <cell r="G72">
            <v>5.71</v>
          </cell>
        </row>
        <row r="73">
          <cell r="B73">
            <v>11</v>
          </cell>
          <cell r="C73" t="str">
            <v xml:space="preserve"> 31 to 45 deg Bend Fld/Plain</v>
          </cell>
          <cell r="D73">
            <v>2.14</v>
          </cell>
          <cell r="E73">
            <v>591</v>
          </cell>
          <cell r="F73">
            <v>7.56</v>
          </cell>
          <cell r="G73">
            <v>8.0299999999999994</v>
          </cell>
        </row>
        <row r="74">
          <cell r="B74">
            <v>12</v>
          </cell>
          <cell r="C74" t="str">
            <v xml:space="preserve"> 46 to 60 deg Bend Fld/Plain</v>
          </cell>
          <cell r="D74">
            <v>2.2799999999999998</v>
          </cell>
          <cell r="E74">
            <v>629</v>
          </cell>
          <cell r="F74">
            <v>8.06</v>
          </cell>
          <cell r="G74">
            <v>8.56</v>
          </cell>
        </row>
        <row r="75">
          <cell r="B75">
            <v>13</v>
          </cell>
          <cell r="C75" t="str">
            <v xml:space="preserve"> 61 to 90 deg bend Fld/Plain</v>
          </cell>
          <cell r="D75">
            <v>3.2</v>
          </cell>
          <cell r="E75">
            <v>882</v>
          </cell>
          <cell r="F75">
            <v>11.31</v>
          </cell>
          <cell r="G75">
            <v>12.01</v>
          </cell>
        </row>
        <row r="76">
          <cell r="B76">
            <v>14</v>
          </cell>
          <cell r="C76" t="str">
            <v xml:space="preserve"> 0 to 30 deg Bend Skt/Plain</v>
          </cell>
          <cell r="D76">
            <v>1.52</v>
          </cell>
          <cell r="E76">
            <v>421</v>
          </cell>
          <cell r="F76">
            <v>5.37</v>
          </cell>
          <cell r="G76">
            <v>6.46</v>
          </cell>
        </row>
        <row r="77">
          <cell r="B77">
            <v>15</v>
          </cell>
          <cell r="C77" t="str">
            <v xml:space="preserve"> 31 to 45 deg Bend Skt/Plain</v>
          </cell>
          <cell r="D77">
            <v>2.14</v>
          </cell>
          <cell r="E77">
            <v>592</v>
          </cell>
          <cell r="F77">
            <v>7.56</v>
          </cell>
          <cell r="G77">
            <v>8.7799999999999994</v>
          </cell>
        </row>
        <row r="78">
          <cell r="B78">
            <v>16</v>
          </cell>
          <cell r="C78" t="str">
            <v xml:space="preserve"> 46 to 60 deg Bend Skt/Plain</v>
          </cell>
          <cell r="D78">
            <v>2.2799999999999998</v>
          </cell>
          <cell r="E78">
            <v>630</v>
          </cell>
          <cell r="F78">
            <v>8.06</v>
          </cell>
          <cell r="G78">
            <v>9.31</v>
          </cell>
        </row>
        <row r="79">
          <cell r="B79">
            <v>17</v>
          </cell>
          <cell r="C79" t="str">
            <v xml:space="preserve"> 61 to 90 deg bend Skt/Plain</v>
          </cell>
          <cell r="D79">
            <v>3.2</v>
          </cell>
          <cell r="E79">
            <v>882</v>
          </cell>
          <cell r="F79">
            <v>11.31</v>
          </cell>
          <cell r="G79">
            <v>12.76</v>
          </cell>
        </row>
        <row r="80">
          <cell r="B80">
            <v>18</v>
          </cell>
          <cell r="C80" t="str">
            <v xml:space="preserve"> 0 to 30 deg Bend Spt/Plain</v>
          </cell>
          <cell r="D80">
            <v>1.52</v>
          </cell>
          <cell r="E80">
            <v>419</v>
          </cell>
          <cell r="F80">
            <v>5.66</v>
          </cell>
          <cell r="G80">
            <v>5.71</v>
          </cell>
        </row>
        <row r="81">
          <cell r="B81">
            <v>19</v>
          </cell>
          <cell r="C81" t="str">
            <v xml:space="preserve"> 31 to 45 deg Bend Spt/Plain</v>
          </cell>
          <cell r="D81">
            <v>2.14</v>
          </cell>
          <cell r="E81">
            <v>589</v>
          </cell>
          <cell r="F81">
            <v>7.85</v>
          </cell>
          <cell r="G81">
            <v>8.0299999999999994</v>
          </cell>
        </row>
        <row r="82">
          <cell r="B82">
            <v>20</v>
          </cell>
          <cell r="C82" t="str">
            <v xml:space="preserve"> 46 to 60 deg Bend Spt/Plain</v>
          </cell>
          <cell r="D82">
            <v>2.2799999999999998</v>
          </cell>
          <cell r="E82">
            <v>628</v>
          </cell>
          <cell r="F82">
            <v>8.35</v>
          </cell>
          <cell r="G82">
            <v>8.56</v>
          </cell>
        </row>
        <row r="83">
          <cell r="B83">
            <v>21</v>
          </cell>
          <cell r="C83" t="str">
            <v xml:space="preserve"> 61 to 90 deg bend Spt/Plain</v>
          </cell>
          <cell r="D83">
            <v>3.2</v>
          </cell>
          <cell r="E83">
            <v>880</v>
          </cell>
          <cell r="F83">
            <v>11.6</v>
          </cell>
          <cell r="G83">
            <v>12.01</v>
          </cell>
        </row>
        <row r="84">
          <cell r="B84">
            <v>22</v>
          </cell>
          <cell r="C84" t="str">
            <v xml:space="preserve"> Scour Tee</v>
          </cell>
          <cell r="D84">
            <v>1.92</v>
          </cell>
          <cell r="E84">
            <v>544</v>
          </cell>
          <cell r="F84">
            <v>7.08</v>
          </cell>
          <cell r="G84">
            <v>7.96</v>
          </cell>
        </row>
        <row r="85">
          <cell r="B85">
            <v>23</v>
          </cell>
          <cell r="C85" t="str">
            <v xml:space="preserve">  AV Tee</v>
          </cell>
          <cell r="D85">
            <v>1.47</v>
          </cell>
          <cell r="E85">
            <v>409</v>
          </cell>
          <cell r="F85">
            <v>5.49</v>
          </cell>
          <cell r="G85">
            <v>6.27</v>
          </cell>
        </row>
        <row r="86">
          <cell r="B86">
            <v>24</v>
          </cell>
          <cell r="C86" t="str">
            <v xml:space="preserve">  Skt/Spt Taper(1) </v>
          </cell>
          <cell r="D86">
            <v>2.7</v>
          </cell>
          <cell r="E86">
            <v>543</v>
          </cell>
          <cell r="F86">
            <v>7.09</v>
          </cell>
          <cell r="G86">
            <v>8.34</v>
          </cell>
        </row>
        <row r="87">
          <cell r="B87">
            <v>25</v>
          </cell>
          <cell r="C87" t="str">
            <v xml:space="preserve">  Skt/Spt Taper(2) </v>
          </cell>
          <cell r="D87">
            <v>2.9</v>
          </cell>
          <cell r="E87">
            <v>565</v>
          </cell>
          <cell r="F87">
            <v>7.37</v>
          </cell>
          <cell r="G87">
            <v>8.68</v>
          </cell>
        </row>
        <row r="88">
          <cell r="B88">
            <v>26</v>
          </cell>
          <cell r="C88" t="str">
            <v xml:space="preserve">  Skt/Spt Taper(3) </v>
          </cell>
          <cell r="D88">
            <v>4.7</v>
          </cell>
          <cell r="E88">
            <v>653</v>
          </cell>
          <cell r="F88" t="e">
            <v>#N/A</v>
          </cell>
          <cell r="G88">
            <v>10.27</v>
          </cell>
        </row>
        <row r="89">
          <cell r="B89">
            <v>27</v>
          </cell>
          <cell r="C89" t="str">
            <v xml:space="preserve">   Tee(1)</v>
          </cell>
          <cell r="D89">
            <v>1.67</v>
          </cell>
          <cell r="E89">
            <v>469</v>
          </cell>
          <cell r="F89">
            <v>6.19</v>
          </cell>
          <cell r="G89">
            <v>7.22</v>
          </cell>
        </row>
        <row r="90">
          <cell r="B90">
            <v>28</v>
          </cell>
          <cell r="C90" t="str">
            <v xml:space="preserve">   Tee(2)</v>
          </cell>
          <cell r="D90">
            <v>1.32</v>
          </cell>
          <cell r="E90">
            <v>364</v>
          </cell>
          <cell r="F90">
            <v>4.96</v>
          </cell>
          <cell r="G90" t="e">
            <v>#N/A</v>
          </cell>
        </row>
        <row r="91">
          <cell r="B91">
            <v>29</v>
          </cell>
          <cell r="C91" t="str">
            <v xml:space="preserve">   Tee(3)</v>
          </cell>
          <cell r="D91">
            <v>1.32</v>
          </cell>
          <cell r="E91">
            <v>364</v>
          </cell>
          <cell r="F91">
            <v>4.96</v>
          </cell>
          <cell r="G91" t="e">
            <v>#N/A</v>
          </cell>
        </row>
        <row r="92">
          <cell r="B92">
            <v>30</v>
          </cell>
          <cell r="C92" t="str">
            <v xml:space="preserve"> 1 m Skt/spt Tail piece</v>
          </cell>
          <cell r="D92">
            <v>1</v>
          </cell>
          <cell r="E92">
            <v>276</v>
          </cell>
          <cell r="F92">
            <v>3.82</v>
          </cell>
          <cell r="G92">
            <v>4.5</v>
          </cell>
        </row>
        <row r="93">
          <cell r="B93">
            <v>31</v>
          </cell>
          <cell r="C93" t="str">
            <v xml:space="preserve"> 1 m Skt/Flg Tail piece</v>
          </cell>
          <cell r="D93">
            <v>1</v>
          </cell>
          <cell r="E93">
            <v>276</v>
          </cell>
          <cell r="F93">
            <v>3.53</v>
          </cell>
          <cell r="G93">
            <v>4.5</v>
          </cell>
        </row>
        <row r="94">
          <cell r="B94">
            <v>32</v>
          </cell>
          <cell r="C94" t="str">
            <v>Socket wt</v>
          </cell>
          <cell r="D94">
            <v>0</v>
          </cell>
          <cell r="E94">
            <v>98</v>
          </cell>
          <cell r="F94">
            <v>0</v>
          </cell>
          <cell r="G94">
            <v>0</v>
          </cell>
        </row>
        <row r="95">
          <cell r="B95">
            <v>33</v>
          </cell>
          <cell r="C95" t="str">
            <v>Spigot wt</v>
          </cell>
          <cell r="D95">
            <v>0</v>
          </cell>
          <cell r="E95">
            <v>39</v>
          </cell>
          <cell r="F95">
            <v>0</v>
          </cell>
          <cell r="G95">
            <v>0</v>
          </cell>
        </row>
        <row r="96">
          <cell r="B96">
            <v>34</v>
          </cell>
          <cell r="C96" t="str">
            <v>Flange wt</v>
          </cell>
          <cell r="D96">
            <v>0</v>
          </cell>
          <cell r="E96">
            <v>116</v>
          </cell>
          <cell r="F96">
            <v>0</v>
          </cell>
          <cell r="G96">
            <v>0</v>
          </cell>
        </row>
        <row r="97">
          <cell r="B97">
            <v>35</v>
          </cell>
          <cell r="C97" t="str">
            <v xml:space="preserve">  Collar</v>
          </cell>
          <cell r="D97">
            <v>0.15</v>
          </cell>
          <cell r="E97">
            <v>43</v>
          </cell>
          <cell r="F97">
            <v>0.53</v>
          </cell>
          <cell r="G97">
            <v>0.56000000000000005</v>
          </cell>
        </row>
        <row r="103">
          <cell r="C103" t="str">
            <v xml:space="preserve">   Tee(1) Plain ends</v>
          </cell>
          <cell r="D103">
            <v>27</v>
          </cell>
          <cell r="E103" t="str">
            <v>1100 mm x 350 mm  Tee Plain ends</v>
          </cell>
        </row>
        <row r="104">
          <cell r="C104" t="str">
            <v xml:space="preserve">   Tee(2) Plain ends</v>
          </cell>
          <cell r="D104">
            <v>28</v>
          </cell>
          <cell r="E104" t="str">
            <v>1100 mm x 0 mm  Tee Plain ends</v>
          </cell>
        </row>
        <row r="105">
          <cell r="C105" t="str">
            <v xml:space="preserve">   Tee(3) Plain ends</v>
          </cell>
          <cell r="D105">
            <v>29</v>
          </cell>
          <cell r="E105" t="str">
            <v>1100 mm x 0 mm  Tee Plain ends</v>
          </cell>
        </row>
        <row r="106">
          <cell r="C106" t="str">
            <v xml:space="preserve">  AV Tee Plain ends</v>
          </cell>
          <cell r="D106">
            <v>23</v>
          </cell>
          <cell r="E106" t="str">
            <v>1100 mm x 150 mm AV Tee Plain ends</v>
          </cell>
        </row>
        <row r="107">
          <cell r="C107" t="str">
            <v xml:space="preserve">  Collar Plain ends</v>
          </cell>
          <cell r="D107">
            <v>35</v>
          </cell>
          <cell r="E107" t="str">
            <v>1100 mm  Collar Plain ends</v>
          </cell>
        </row>
        <row r="108">
          <cell r="C108" t="str">
            <v xml:space="preserve"> 0 to 30 deg Bend Fld/Plain</v>
          </cell>
          <cell r="D108">
            <v>10</v>
          </cell>
          <cell r="E108" t="str">
            <v>1100 mm 0 to 30 deg Bend Fld/Plain</v>
          </cell>
        </row>
        <row r="109">
          <cell r="C109" t="str">
            <v xml:space="preserve"> 0 to 30 deg Bend Plain/Plain</v>
          </cell>
          <cell r="D109">
            <v>6</v>
          </cell>
          <cell r="E109" t="str">
            <v>1100 mm 0 to 30 deg Bend Plain/Plain</v>
          </cell>
        </row>
        <row r="110">
          <cell r="C110" t="str">
            <v xml:space="preserve"> 0 to 30 deg Bend S/s</v>
          </cell>
          <cell r="D110">
            <v>2</v>
          </cell>
          <cell r="E110" t="str">
            <v>1100 mm 0 to 30 deg Bend S/s</v>
          </cell>
        </row>
        <row r="111">
          <cell r="C111" t="str">
            <v xml:space="preserve"> 0 to 30 deg Bend Skt/Plain</v>
          </cell>
          <cell r="D111">
            <v>14</v>
          </cell>
          <cell r="E111" t="str">
            <v>1100 mm 0 to 30 deg Bend Skt/Plain</v>
          </cell>
        </row>
        <row r="112">
          <cell r="C112" t="str">
            <v xml:space="preserve"> 0 to 30 deg Bend Spt/Plain</v>
          </cell>
          <cell r="D112">
            <v>18</v>
          </cell>
          <cell r="E112" t="str">
            <v>1100 mm 0 to 30 deg Bend Spt/Plain</v>
          </cell>
        </row>
        <row r="113">
          <cell r="C113" t="str">
            <v xml:space="preserve"> 1 m Tail piece Plain ends</v>
          </cell>
          <cell r="D113">
            <v>31</v>
          </cell>
          <cell r="E113" t="str">
            <v>1100 mm x1 m Tail piece Plain ends</v>
          </cell>
        </row>
        <row r="114">
          <cell r="C114" t="str">
            <v xml:space="preserve"> 1 m Tail piece Plain ends</v>
          </cell>
          <cell r="D114">
            <v>30</v>
          </cell>
          <cell r="E114" t="str">
            <v>1100 mm x1 m Tail piece Plain ends</v>
          </cell>
        </row>
        <row r="115">
          <cell r="C115" t="str">
            <v xml:space="preserve"> 31 to 45 deg Bend Fld/Plain</v>
          </cell>
          <cell r="D115">
            <v>11</v>
          </cell>
          <cell r="E115" t="str">
            <v>1100 mm 31 to 45 deg Bend Fld/Plain</v>
          </cell>
        </row>
        <row r="116">
          <cell r="C116" t="str">
            <v xml:space="preserve"> 31 to 45 deg Bend Plain/Plain</v>
          </cell>
          <cell r="D116">
            <v>7</v>
          </cell>
          <cell r="E116" t="str">
            <v>1100 mm 31 to 45 deg Bend Plain/Plain</v>
          </cell>
        </row>
        <row r="117">
          <cell r="C117" t="str">
            <v xml:space="preserve"> 31 to 45 deg Bend S/s</v>
          </cell>
          <cell r="D117">
            <v>3</v>
          </cell>
          <cell r="E117" t="str">
            <v>1100 mm 31 to 45 deg Bend S/s</v>
          </cell>
        </row>
        <row r="118">
          <cell r="C118" t="str">
            <v xml:space="preserve"> 31 to 45 deg Bend Skt/Plain</v>
          </cell>
          <cell r="D118">
            <v>15</v>
          </cell>
          <cell r="E118" t="str">
            <v>1100 mm 31 to 45 deg Bend Skt/Plain</v>
          </cell>
        </row>
        <row r="119">
          <cell r="C119" t="str">
            <v xml:space="preserve"> 31 to 45 deg Bend Spt/Plain</v>
          </cell>
          <cell r="D119">
            <v>19</v>
          </cell>
          <cell r="E119" t="str">
            <v>1100 mm 31 to 45 deg Bend Spt/Plain</v>
          </cell>
        </row>
        <row r="120">
          <cell r="C120" t="str">
            <v xml:space="preserve"> 46 to 60 deg Bend Fld/Plain</v>
          </cell>
          <cell r="D120">
            <v>12</v>
          </cell>
          <cell r="E120" t="str">
            <v>1100 mm 46 to 60 deg Bend Fld/Plain</v>
          </cell>
        </row>
        <row r="121">
          <cell r="C121" t="str">
            <v xml:space="preserve"> 46 to 60 deg Bend Plain/Plain</v>
          </cell>
          <cell r="D121">
            <v>8</v>
          </cell>
          <cell r="E121" t="str">
            <v>1100 mm 46 to 60 deg Bend Plain/Plain</v>
          </cell>
        </row>
        <row r="122">
          <cell r="C122" t="str">
            <v xml:space="preserve"> 46 to 60 deg Bend S/s</v>
          </cell>
          <cell r="D122">
            <v>4</v>
          </cell>
          <cell r="E122" t="str">
            <v>1100 mm 46 to 60 deg Bend S/s</v>
          </cell>
        </row>
        <row r="123">
          <cell r="C123" t="str">
            <v xml:space="preserve"> 46 to 60 deg Bend Skt/Plain</v>
          </cell>
          <cell r="D123">
            <v>16</v>
          </cell>
          <cell r="E123" t="str">
            <v>1100 mm 46 to 60 deg Bend Skt/Plain</v>
          </cell>
        </row>
        <row r="124">
          <cell r="C124" t="str">
            <v xml:space="preserve"> 46 to 60 deg Bend Spt/Plain</v>
          </cell>
          <cell r="D124">
            <v>20</v>
          </cell>
          <cell r="E124" t="str">
            <v>1100 mm 46 to 60 deg Bend Spt/Plain</v>
          </cell>
        </row>
        <row r="125">
          <cell r="C125" t="str">
            <v xml:space="preserve"> 61 to 90 deg bend Fld/Plain</v>
          </cell>
          <cell r="D125">
            <v>13</v>
          </cell>
          <cell r="E125" t="str">
            <v>1100 mm 61 to 90 deg bend Fld/Plain</v>
          </cell>
        </row>
        <row r="126">
          <cell r="C126" t="str">
            <v xml:space="preserve"> 61 to 90 deg bend Plain/Plain</v>
          </cell>
          <cell r="D126">
            <v>9</v>
          </cell>
          <cell r="E126" t="str">
            <v>1100 mm 61 to 90 deg bend Plain/Plain</v>
          </cell>
        </row>
        <row r="127">
          <cell r="C127" t="str">
            <v xml:space="preserve"> 61 to 90 deg bend S/s</v>
          </cell>
          <cell r="D127">
            <v>5</v>
          </cell>
          <cell r="E127" t="str">
            <v>1100 mm 61 to 90 deg bend S/s</v>
          </cell>
        </row>
        <row r="128">
          <cell r="C128" t="str">
            <v xml:space="preserve"> 61 to 90 deg bend Skt/Plain</v>
          </cell>
          <cell r="D128">
            <v>17</v>
          </cell>
          <cell r="E128" t="str">
            <v>1100 mm 61 to 90 deg bend Skt/Plain</v>
          </cell>
        </row>
        <row r="129">
          <cell r="C129" t="str">
            <v xml:space="preserve"> 61 to 90 deg bend Spt/Plain</v>
          </cell>
          <cell r="D129">
            <v>21</v>
          </cell>
          <cell r="E129" t="str">
            <v>1100 mm 61 to 90 deg bend Spt/Plain</v>
          </cell>
        </row>
        <row r="130">
          <cell r="C130" t="str">
            <v xml:space="preserve"> Barrel 1M length</v>
          </cell>
          <cell r="D130">
            <v>1</v>
          </cell>
          <cell r="E130" t="str">
            <v>1100 mm Barrel 1M length</v>
          </cell>
        </row>
        <row r="131">
          <cell r="C131" t="str">
            <v xml:space="preserve"> Scour Tee Plain ends</v>
          </cell>
          <cell r="D131">
            <v>22</v>
          </cell>
          <cell r="E131" t="str">
            <v>1100 mm x 600 mm Scour Tee Plain ends</v>
          </cell>
        </row>
        <row r="132">
          <cell r="C132" t="str">
            <v>Flange wt</v>
          </cell>
          <cell r="D132">
            <v>34</v>
          </cell>
          <cell r="E132" t="str">
            <v>1100 mm  Flange wt</v>
          </cell>
        </row>
        <row r="133">
          <cell r="C133" t="str">
            <v>Socket wt</v>
          </cell>
          <cell r="D133">
            <v>32</v>
          </cell>
          <cell r="E133" t="str">
            <v>1100 mm  Socket wt</v>
          </cell>
        </row>
        <row r="134">
          <cell r="C134" t="str">
            <v>Spigot wt</v>
          </cell>
          <cell r="D134">
            <v>33</v>
          </cell>
          <cell r="E134" t="str">
            <v>1100 mm  Spigot wt</v>
          </cell>
        </row>
        <row r="135">
          <cell r="C135" t="str">
            <v>Taper(1) Plain ends</v>
          </cell>
          <cell r="D135">
            <v>24</v>
          </cell>
          <cell r="E135" t="str">
            <v>1100 mm x 500 mm Taper Plain ends</v>
          </cell>
        </row>
        <row r="136">
          <cell r="C136" t="str">
            <v>Taper(2) Plain ends</v>
          </cell>
          <cell r="D136">
            <v>25</v>
          </cell>
          <cell r="E136" t="str">
            <v>1100 mm x 450 mm Taper Plain ends</v>
          </cell>
        </row>
        <row r="137">
          <cell r="C137" t="str">
            <v>Taper(3) Plain ends</v>
          </cell>
          <cell r="D137">
            <v>26</v>
          </cell>
          <cell r="E137" t="str">
            <v>1100 mm x 0 mm Taper Plain ends</v>
          </cell>
        </row>
      </sheetData>
      <sheetData sheetId="3"/>
      <sheetData sheetId="4"/>
      <sheetData sheetId="5"/>
      <sheetData sheetId="6"/>
      <sheetData sheetId="7"/>
      <sheetData sheetId="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LITL"/>
      <sheetName val="Cash Flow-LITL"/>
      <sheetName val="Top sheet-Actual"/>
      <sheetName val="Cash Flow-Actual"/>
      <sheetName val="W PLAN-OUT"/>
      <sheetName val="Cash Flow-LMP"/>
      <sheetName val="Escalation"/>
      <sheetName val="S-Curve"/>
      <sheetName val="Boq"/>
      <sheetName val="Final Rate"/>
      <sheetName val="W PLAN-IN"/>
      <sheetName val="Abstract"/>
      <sheetName val="22-MD"/>
      <sheetName val="Top sheet-WTP"/>
      <sheetName val="Top sheet-WO O&amp;M"/>
      <sheetName val="21-Rate Analysis-1"/>
      <sheetName val="Labour-LITL"/>
      <sheetName val="Labour-Sc"/>
      <sheetName val="Material-Overal"/>
      <sheetName val="Material-LITL"/>
      <sheetName val="Material-SC"/>
      <sheetName val="Equipment-LITL"/>
      <sheetName val="Top sheet-O&amp;M"/>
      <sheetName val="Sheet1"/>
      <sheetName val="Sheet3"/>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Instrumentation"/>
      <sheetName val="lEVELING"/>
      <sheetName val="Top sheet-Overall"/>
      <sheetName val="Man Power cost"/>
      <sheetName val="Site Infrastructure"/>
      <sheetName val="O&amp;M Cost"/>
      <sheetName val="Site Infra-Unit"/>
      <sheetName val="LMP-Check"/>
      <sheetName val="S-Curve-data"/>
      <sheetName val="Top sheet-Overall-Final (2)"/>
      <sheetName val="Check"/>
      <sheetName val="Labour"/>
      <sheetName val="Equipment"/>
      <sheetName val="Subcontractor"/>
      <sheetName val="Top sheet-Overall-Final"/>
      <sheetName val="Cash Flow"/>
      <sheetName val="Cu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
          <cell r="E8">
            <v>120</v>
          </cell>
        </row>
        <row r="29">
          <cell r="E29">
            <v>85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Overall-Final"/>
      <sheetName val="Quoted"/>
      <sheetName val="Pipe line-1500"/>
      <sheetName val="Pipe line-1400"/>
      <sheetName val="Pipe line-1200"/>
      <sheetName val="Pipe line-1400-6.5"/>
      <sheetName val="Analy_7-10"/>
      <sheetName val="Project Management Main"/>
    </sheetNames>
    <sheetDataSet>
      <sheetData sheetId="0"/>
      <sheetData sheetId="1" refreshError="1"/>
      <sheetData sheetId="2"/>
      <sheetData sheetId="3"/>
      <sheetData sheetId="4"/>
      <sheetData sheetId="5"/>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abc"/>
      <sheetName val="costing_CV"/>
      <sheetName val="Spec1"/>
      <sheetName val="설계명세서"/>
      <sheetName val="BM"/>
      <sheetName val="코드관리"/>
      <sheetName val="mech"/>
      <sheetName val="HVAC"/>
      <sheetName val="w't table"/>
      <sheetName val="piping"/>
      <sheetName val="노임이"/>
      <sheetName val="적용환율"/>
      <sheetName val="Setup"/>
      <sheetName val="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Rate Analysis "/>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VXXXX"/>
      <sheetName val="3 (2)"/>
      <sheetName val="0"/>
      <sheetName val="1"/>
      <sheetName val="2"/>
      <sheetName val="3"/>
      <sheetName val="4"/>
      <sheetName val="5"/>
      <sheetName val="6"/>
      <sheetName val="7"/>
      <sheetName val="8"/>
      <sheetName val="9"/>
      <sheetName val="당초"/>
      <sheetName val="도급양식"/>
      <sheetName val="견적서"/>
      <sheetName val="코드관리"/>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LAB"/>
      <sheetName val="노임단가"/>
    </sheetNames>
    <sheetDataSet>
      <sheetData sheetId="0"/>
      <sheetData sheetId="1"/>
      <sheetData sheetId="2"/>
      <sheetData sheetId="3"/>
      <sheetData sheetId="4"/>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당초"/>
      <sheetName val="내역서"/>
    </sheetNames>
    <sheetDataSet>
      <sheetData sheetId="0"/>
      <sheetData sheetId="1"/>
      <sheetData sheetId="2"/>
      <sheetData sheetId="3"/>
      <sheetData sheetId="4"/>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ING ABS "/>
    </sheetNames>
    <sheetDataSet>
      <sheetData sheetId="0">
        <row r="18">
          <cell r="G18">
            <v>16335.699999999997</v>
          </cell>
          <cell r="H18">
            <v>150</v>
          </cell>
          <cell r="I18">
            <v>60.3</v>
          </cell>
          <cell r="J18">
            <v>311.10000000000002</v>
          </cell>
          <cell r="K18">
            <v>500.5</v>
          </cell>
          <cell r="L18">
            <v>579.29999999999995</v>
          </cell>
          <cell r="M18">
            <v>625</v>
          </cell>
          <cell r="N18">
            <v>1510</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MR Laying"/>
    </sheetNames>
    <sheetDataSet>
      <sheetData sheetId="0">
        <row r="10">
          <cell r="F10">
            <v>4151.5</v>
          </cell>
          <cell r="G10">
            <v>2405.3000000000002</v>
          </cell>
          <cell r="H10">
            <v>715.5</v>
          </cell>
          <cell r="I10">
            <v>2122.3000000000002</v>
          </cell>
          <cell r="K10">
            <v>2670.1</v>
          </cell>
          <cell r="L10">
            <v>166.8</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KRA"/>
      <sheetName val="ATTARASAND-PR"/>
      <sheetName val="ATTARSAND -AGS"/>
      <sheetName val="ATTARSAND-KHAYATHI"/>
      <sheetName val="GEHRAULI"/>
      <sheetName val="ATTARSAND-AGS"/>
      <sheetName val="sekhpur adharganj"/>
      <sheetName val="SARAI JAMMUVARI"/>
      <sheetName val="MANDHA BHOJI"/>
      <sheetName val="attarsand pr"/>
      <sheetName val="PUREBHIKA AND RAIGARH"/>
      <sheetName val="attarasand khayathi "/>
      <sheetName val="MALAAK"/>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8">
          <cell r="R68">
            <v>3115</v>
          </cell>
          <cell r="S68">
            <v>2768.2</v>
          </cell>
          <cell r="T68">
            <v>2223.3000000000002</v>
          </cell>
          <cell r="U68">
            <v>3011.5</v>
          </cell>
          <cell r="V68">
            <v>740</v>
          </cell>
        </row>
      </sheetData>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PROC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PUMP HOUSE"/>
      <sheetName val="Pipe trenc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PUMP HOUSE"/>
      <sheetName val="Pipe trench"/>
      <sheetName val="AN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
      <sheetName val="Rate Analysis "/>
      <sheetName val="Rates 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bshop"/>
      <sheetName val="label2"/>
      <sheetName val="label"/>
      <sheetName val="encl_tp"/>
      <sheetName val="encl_ucp"/>
      <sheetName val="encl_cp"/>
      <sheetName val="exp"/>
      <sheetName val="mandepl"/>
      <sheetName val="eqpt_depl"/>
      <sheetName val="orgchart"/>
      <sheetName val="barchart"/>
      <sheetName val="bar_rev"/>
      <sheetName val="mobplan"/>
      <sheetName val="discl."/>
      <sheetName val="prc_sum"/>
      <sheetName val="indirect"/>
      <sheetName val="sum"/>
      <sheetName val="mech"/>
      <sheetName val="paint"/>
      <sheetName val="insl."/>
      <sheetName val="lab_rate"/>
      <sheetName val="eqpt_rate"/>
      <sheetName val="기계내역서"/>
      <sheetName val="iq62_hazira"/>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ABUT MASTER"/>
      <sheetName val="21-Rate Analysis-1"/>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ANAL-PIPE LIN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PROCTOR"/>
      <sheetName val="21-Rate Analysis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MD"/>
      <sheetName val="Top sheet-WTP"/>
      <sheetName val="Top sheet-WO O&amp;M"/>
      <sheetName val="Top sheet-Overall"/>
      <sheetName val="21-Rate Analysis-1"/>
      <sheetName val="Top sheet-Overall-Final (2)"/>
      <sheetName val="Check"/>
      <sheetName val="Labour"/>
      <sheetName val="Material-Overal"/>
      <sheetName val="Material-LITL"/>
      <sheetName val="Equipment"/>
      <sheetName val="Subcontractor"/>
      <sheetName val="Material-SC"/>
      <sheetName val="Cash Flow-LMP"/>
      <sheetName val="Escalation"/>
      <sheetName val="W PLAN-OUT"/>
      <sheetName val="Boq"/>
      <sheetName val="Top sheet-Overall-Final"/>
      <sheetName val="Top sheet-O&amp;M"/>
      <sheetName val="Final Rate"/>
      <sheetName val="Sheet1"/>
      <sheetName val="Cash Flow"/>
      <sheetName val="W PLAN-IN"/>
      <sheetName val="Abstract"/>
      <sheetName val="Sheet3"/>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LEVELING"/>
      <sheetName val="Man Power cost"/>
      <sheetName val="Site Infrastructure"/>
      <sheetName val="O&amp;M Cost"/>
      <sheetName val="Site Infra-Unit"/>
      <sheetName val="ANAL-PUMP HOUSE"/>
      <sheetName val="Pipe trench"/>
      <sheetName val="21-Rate Analysis "/>
    </sheetNames>
    <sheetDataSet>
      <sheetData sheetId="0" refreshError="1"/>
      <sheetData sheetId="1" refreshError="1"/>
      <sheetData sheetId="2" refreshError="1"/>
      <sheetData sheetId="3" refreshError="1"/>
      <sheetData sheetId="4">
        <row r="8">
          <cell r="E8">
            <v>120</v>
          </cell>
        </row>
        <row r="19">
          <cell r="E19">
            <v>210</v>
          </cell>
        </row>
        <row r="22">
          <cell r="E22">
            <v>776.93</v>
          </cell>
        </row>
        <row r="51">
          <cell r="E51">
            <v>649</v>
          </cell>
        </row>
        <row r="53">
          <cell r="E53">
            <v>556</v>
          </cell>
        </row>
        <row r="54">
          <cell r="E54">
            <v>463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
      <sheetName val="P-Ins &amp; Bonds"/>
      <sheetName val="P-Site fac"/>
      <sheetName val="P-Clients fac"/>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Top Sheet-Old"/>
      <sheetName val="Cash Flow"/>
      <sheetName val="1-BOQ"/>
      <sheetName val="2-Group Code"/>
      <sheetName val="3-Work Plan Overall"/>
      <sheetName val="4-Loadings"/>
      <sheetName val="5-Work Plan Grouped"/>
      <sheetName val="6-Fin Plan WOL (Grouped)"/>
      <sheetName val="7-Fin Plan WL (Grouped)"/>
      <sheetName val="8-Escalation"/>
      <sheetName val="9-Contingency"/>
      <sheetName val="10-Mat-Calc"/>
      <sheetName val="11-Material"/>
      <sheetName val="12-Labour"/>
      <sheetName val="13-P&amp;M"/>
      <sheetName val="14-Man Power cost"/>
      <sheetName val="15-Site Infrastructure"/>
      <sheetName val="16-Site Infra-Unit"/>
      <sheetName val="17-Prilim"/>
      <sheetName val="18-DI &amp; GI Pipes"/>
      <sheetName val="19-Qty Estimates"/>
      <sheetName val="20-Valves &amp; EMI"/>
      <sheetName val="21-Rate Analysis "/>
      <sheetName val="22-MD"/>
      <sheetName val="0+655"/>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9">
          <cell r="E19">
            <v>210</v>
          </cell>
        </row>
        <row r="50">
          <cell r="E50">
            <v>649</v>
          </cell>
        </row>
      </sheetData>
      <sheetData sheetId="24"/>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s rate"/>
      <sheetName val="C&amp;G"/>
      <sheetName val="Earthwork"/>
      <sheetName val="GSB"/>
      <sheetName val="WMM"/>
      <sheetName val="Prime &amp; Tack Coat"/>
      <sheetName val="BM, DBM &amp; BC"/>
      <sheetName val="Concrete"/>
      <sheetName val="Culverts"/>
      <sheetName val="Signage"/>
      <sheetName val="Protection Work"/>
      <sheetName val="Toll Plaza"/>
      <sheetName val="RoB Concrete"/>
      <sheetName val="BP"/>
      <sheetName val="RoB"/>
      <sheetName val=" BOQ AS"/>
      <sheetName val=" BOQ AS Feb-08"/>
      <sheetName val="TOP Sheet"/>
      <sheetName val="Work Program"/>
      <sheetName val="Month-Qty"/>
      <sheetName val="Month-Financial"/>
      <sheetName val="LM Cost"/>
      <sheetName val="Hire Charges"/>
      <sheetName val="overhead"/>
      <sheetName val="Staff Details"/>
      <sheetName val="21-Rate Analysis "/>
      <sheetName val="21-Rate Analysis-1"/>
      <sheetName val="Site Infra-Unit"/>
      <sheetName val=" AnalysisPCC"/>
      <sheetName val="Analysis-NH-Culverts"/>
      <sheetName val="LEad Basic"/>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Rate Analysis "/>
      <sheetName val="ANAL"/>
      <sheetName val="SOR"/>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Rate Analysis-1"/>
      <sheetName val="Top sheet-WTP"/>
      <sheetName val="Top sheet-WO O&amp;M"/>
      <sheetName val="Top sheet-Overall"/>
      <sheetName val="Top sheet-Overall-Final"/>
      <sheetName val="Top sheet-O&amp;M"/>
      <sheetName val="Final Rate"/>
      <sheetName val="Boq"/>
      <sheetName val="Sheet1"/>
      <sheetName val="Cash Flow"/>
      <sheetName val="W PLAN-OUT"/>
      <sheetName val="W PLAN-IN"/>
      <sheetName val="Abstract"/>
      <sheetName val="Sheet3"/>
      <sheetName val="Instrumentation"/>
      <sheetName val="Materials"/>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Sheet2"/>
      <sheetName val="lEVELING"/>
      <sheetName val="Man Power cost"/>
      <sheetName val="Site Infrastructure"/>
      <sheetName val="O&amp;M Cost"/>
      <sheetName val="Escalation"/>
      <sheetName val="Site Infra-Unit"/>
      <sheetName val="ANAL-PIPE LINE"/>
      <sheetName val="RA Civil"/>
    </sheetNames>
    <sheetDataSet>
      <sheetData sheetId="0">
        <row r="19">
          <cell r="E19">
            <v>210</v>
          </cell>
        </row>
        <row r="50">
          <cell r="E50">
            <v>649</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24">
          <cell r="E24">
            <v>247.20266900000001</v>
          </cell>
        </row>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L"/>
      <sheetName val="기능공"/>
      <sheetName val="기능공 (3)"/>
      <sheetName val="연도별 자금"/>
      <sheetName val="월별자금"/>
      <sheetName val="기능공 (2)"/>
      <sheetName val="LOAD"/>
      <sheetName val="MOBIL"/>
      <sheetName val="SPT vs PHI"/>
      <sheetName val="Joints"/>
      <sheetName val="Attachment 1"/>
      <sheetName val="DB_ET200(R. A)"/>
      <sheetName val="Cash2"/>
      <sheetName val="Z"/>
      <sheetName val="공문"/>
      <sheetName val="1A-1 BLR_Material Cost"/>
      <sheetName val="Direct Labor cost"/>
      <sheetName val="목표세부명세"/>
      <sheetName val="breakdown"/>
      <sheetName val="BM"/>
      <sheetName val="Rate Analysis"/>
      <sheetName val="C3"/>
      <sheetName val="BQMPALOC"/>
      <sheetName val="ERECTION DAHEJ"/>
      <sheetName val="MTP"/>
      <sheetName val="mech"/>
      <sheetName val="공사내역"/>
      <sheetName val="BAG-2"/>
      <sheetName val="4.1 dismantle"/>
      <sheetName val="Material"/>
      <sheetName val="예가표"/>
      <sheetName val="PIPE"/>
      <sheetName val="VALVE"/>
      <sheetName val="FLANGE"/>
      <sheetName val="97 사업추정(WEKI)"/>
      <sheetName val="기능공_(3)"/>
      <sheetName val="연도별_자금"/>
      <sheetName val="기능공_(2)"/>
      <sheetName val="Attachment_1"/>
      <sheetName val="DB_ET200(R__A)"/>
      <sheetName val="SPT_vs_PHI"/>
      <sheetName val="1A-1_BLR_Material_Cost"/>
      <sheetName val="Direct_Labor_cost"/>
      <sheetName val="Rate_Analysis"/>
      <sheetName val="ERECTION_DAHEJ"/>
      <sheetName val="4_1_dismantle"/>
      <sheetName val="기능공_(3)1"/>
      <sheetName val="연도별_자금1"/>
      <sheetName val="기능공_(2)1"/>
      <sheetName val="Attachment_11"/>
      <sheetName val="DB_ET200(R__A)1"/>
      <sheetName val="SPT_vs_PHI1"/>
      <sheetName val="1A-1_BLR_Material_Cost1"/>
      <sheetName val="Direct_Labor_cost1"/>
      <sheetName val="Rate_Analysis1"/>
      <sheetName val="ERECTION_DAHEJ1"/>
      <sheetName val="4_1_dismantle1"/>
      <sheetName val="D-623D"/>
      <sheetName val="산근"/>
      <sheetName val="DRUM"/>
      <sheetName val="costing_CV"/>
      <sheetName val="Setting"/>
      <sheetName val="MTO REV.2(ARMOR)"/>
      <sheetName val="2.2 띠장의 설계"/>
    </sheetNames>
    <sheetDataSet>
      <sheetData sheetId="0" refreshError="1">
        <row r="6">
          <cell r="G6">
            <v>1</v>
          </cell>
          <cell r="H6">
            <v>2</v>
          </cell>
          <cell r="I6">
            <v>3</v>
          </cell>
          <cell r="J6">
            <v>4</v>
          </cell>
          <cell r="K6">
            <v>5</v>
          </cell>
          <cell r="L6">
            <v>6</v>
          </cell>
          <cell r="M6">
            <v>7</v>
          </cell>
          <cell r="N6">
            <v>8</v>
          </cell>
          <cell r="O6">
            <v>9</v>
          </cell>
          <cell r="P6">
            <v>10</v>
          </cell>
          <cell r="Q6">
            <v>11</v>
          </cell>
          <cell r="R6">
            <v>12</v>
          </cell>
          <cell r="S6">
            <v>13</v>
          </cell>
          <cell r="T6">
            <v>14</v>
          </cell>
          <cell r="U6">
            <v>15</v>
          </cell>
          <cell r="V6">
            <v>16</v>
          </cell>
          <cell r="W6">
            <v>17</v>
          </cell>
          <cell r="X6">
            <v>18</v>
          </cell>
          <cell r="Y6">
            <v>19</v>
          </cell>
          <cell r="Z6">
            <v>20</v>
          </cell>
          <cell r="AA6">
            <v>21</v>
          </cell>
          <cell r="AB6">
            <v>22</v>
          </cell>
          <cell r="AC6">
            <v>23</v>
          </cell>
          <cell r="AD6">
            <v>24</v>
          </cell>
          <cell r="AE6">
            <v>25</v>
          </cell>
          <cell r="AF6">
            <v>26</v>
          </cell>
          <cell r="AG6">
            <v>27</v>
          </cell>
          <cell r="AH6">
            <v>28</v>
          </cell>
          <cell r="AI6">
            <v>29</v>
          </cell>
          <cell r="AJ6">
            <v>30</v>
          </cell>
          <cell r="AK6">
            <v>31</v>
          </cell>
          <cell r="AL6">
            <v>32</v>
          </cell>
          <cell r="AM6">
            <v>33</v>
          </cell>
          <cell r="AN6">
            <v>34</v>
          </cell>
          <cell r="AO6">
            <v>35</v>
          </cell>
          <cell r="AP6">
            <v>36</v>
          </cell>
          <cell r="AQ6">
            <v>37</v>
          </cell>
          <cell r="AR6">
            <v>38</v>
          </cell>
          <cell r="AS6">
            <v>39</v>
          </cell>
          <cell r="AT6">
            <v>40</v>
          </cell>
          <cell r="AU6">
            <v>41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 Config"/>
      <sheetName val="Proj Details"/>
      <sheetName val="BOQ viaduct systra"/>
      <sheetName val="BOQ station systra"/>
      <sheetName val="Raw BOQ for Quoting"/>
      <sheetName val="Priced BOQ Combined Breakup"/>
      <sheetName val="Priced BOQ Combined"/>
      <sheetName val="R- Road reinstatement"/>
      <sheetName val="R- End Concrete with GP2"/>
      <sheetName val="Cost of equip,fabrication"/>
      <sheetName val="Q-INP"/>
      <sheetName val="Q-Abstract"/>
      <sheetName val="Q-Pil"/>
      <sheetName val="Q-PC"/>
      <sheetName val="Q-Pier"/>
      <sheetName val="Q-Girder"/>
      <sheetName val="Q-Para"/>
      <sheetName val="Q-CB"/>
      <sheetName val="Q-Be"/>
      <sheetName val="Q-HTS"/>
      <sheetName val="R-Mat"/>
      <sheetName val="Q-Ba"/>
      <sheetName val="Q-OS"/>
      <sheetName val="R-Precast Pier Cap"/>
      <sheetName val="R-Hire"/>
      <sheetName val="R-Subcon"/>
      <sheetName val="R-Con"/>
      <sheetName val="R-PC"/>
      <sheetName val="R-Pier"/>
      <sheetName val="R-Station Concrete"/>
      <sheetName val="R-u girder"/>
      <sheetName val="R-Laun"/>
      <sheetName val="R-Prest"/>
      <sheetName val="R-OS"/>
      <sheetName val="R-SKB"/>
      <sheetName val="R-Bear"/>
      <sheetName val="R-CB"/>
      <sheetName val="R-Para"/>
      <sheetName val="R-insitu voided slab"/>
      <sheetName val="R-Barricade"/>
      <sheetName val="R-sheetpile"/>
      <sheetName val="R-portal"/>
      <sheetName val="Equip Depl"/>
      <sheetName val="Man Depl"/>
      <sheetName val="P-Summary"/>
      <sheetName val="P-Ins &amp; Bonds"/>
      <sheetName val="P-Finance"/>
      <sheetName val="P-Salary"/>
      <sheetName val="P Staff fac"/>
      <sheetName val="P-Site fac"/>
      <sheetName val="P-Clients fac"/>
      <sheetName val="P-others"/>
      <sheetName val="P-Travel"/>
      <sheetName val="P-Admn"/>
      <sheetName val="P-Lab"/>
      <sheetName val="R-Pil"/>
      <sheetName val="Intake well"/>
      <sheetName val="ANAL-PIPE LINE"/>
      <sheetName val="BHAND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6">
          <cell r="I56">
            <v>4073.4709999999995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Calc1"/>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21-Rate Analysis-1"/>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A10">
            <v>3</v>
          </cell>
          <cell r="B10">
            <v>0.125</v>
          </cell>
          <cell r="C10">
            <v>0</v>
          </cell>
          <cell r="D10">
            <v>0.125</v>
          </cell>
          <cell r="E10">
            <v>0</v>
          </cell>
          <cell r="F10" t="str">
            <v>wall0125</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A11">
            <v>3</v>
          </cell>
          <cell r="B11">
            <v>0.125</v>
          </cell>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A12">
            <v>3</v>
          </cell>
          <cell r="B12">
            <v>0.125</v>
          </cell>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A13">
            <v>3</v>
          </cell>
          <cell r="B13">
            <v>0.125</v>
          </cell>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A14">
            <v>3</v>
          </cell>
          <cell r="B14">
            <v>0.125</v>
          </cell>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A15">
            <v>3</v>
          </cell>
          <cell r="B15">
            <v>0.125</v>
          </cell>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A16">
            <v>3</v>
          </cell>
          <cell r="B16">
            <v>0.125</v>
          </cell>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A17">
            <v>3</v>
          </cell>
          <cell r="B17">
            <v>0.125</v>
          </cell>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A18">
            <v>3</v>
          </cell>
          <cell r="B18">
            <v>0.125</v>
          </cell>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A19">
            <v>6</v>
          </cell>
          <cell r="B19">
            <v>0.25</v>
          </cell>
          <cell r="C19">
            <v>0</v>
          </cell>
          <cell r="D19">
            <v>2.5</v>
          </cell>
          <cell r="E19">
            <v>0</v>
          </cell>
          <cell r="F19" t="str">
            <v>wall25</v>
          </cell>
          <cell r="H19">
            <v>2.5</v>
          </cell>
          <cell r="I19" t="str">
            <v>size25</v>
          </cell>
          <cell r="J19" t="str">
            <v>wall25</v>
          </cell>
          <cell r="AA19">
            <v>12</v>
          </cell>
          <cell r="AB19">
            <v>3.5</v>
          </cell>
          <cell r="AC19" t="str">
            <v>size35</v>
          </cell>
          <cell r="AD19" t="str">
            <v>wall35</v>
          </cell>
          <cell r="AE19">
            <v>90</v>
          </cell>
          <cell r="AF19" t="str">
            <v>90 mm (3.5)</v>
          </cell>
        </row>
        <row r="20">
          <cell r="A20">
            <v>6</v>
          </cell>
          <cell r="B20">
            <v>0.25</v>
          </cell>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A21">
            <v>6</v>
          </cell>
          <cell r="B21">
            <v>0.25</v>
          </cell>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A22">
            <v>6</v>
          </cell>
          <cell r="B22">
            <v>0.25</v>
          </cell>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A23">
            <v>6</v>
          </cell>
          <cell r="B23">
            <v>0.25</v>
          </cell>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A24">
            <v>6</v>
          </cell>
          <cell r="B24">
            <v>0.25</v>
          </cell>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A25">
            <v>6</v>
          </cell>
          <cell r="B25">
            <v>0.25</v>
          </cell>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A26">
            <v>6</v>
          </cell>
          <cell r="B26">
            <v>0.25</v>
          </cell>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A27">
            <v>6</v>
          </cell>
          <cell r="B27">
            <v>0.25</v>
          </cell>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A28">
            <v>10</v>
          </cell>
          <cell r="B28">
            <v>0.375</v>
          </cell>
          <cell r="C28">
            <v>0</v>
          </cell>
          <cell r="D28">
            <v>14</v>
          </cell>
          <cell r="E28">
            <v>0</v>
          </cell>
          <cell r="F28" t="str">
            <v>wall14</v>
          </cell>
          <cell r="H28">
            <v>14</v>
          </cell>
          <cell r="I28" t="str">
            <v>size14</v>
          </cell>
          <cell r="J28" t="str">
            <v>wall14</v>
          </cell>
          <cell r="AA28">
            <v>21</v>
          </cell>
          <cell r="AB28">
            <v>18</v>
          </cell>
          <cell r="AC28" t="str">
            <v>size18</v>
          </cell>
          <cell r="AD28" t="str">
            <v>wall18</v>
          </cell>
          <cell r="AE28">
            <v>450</v>
          </cell>
          <cell r="AF28" t="str">
            <v>450 mm (18)</v>
          </cell>
        </row>
        <row r="29">
          <cell r="A29">
            <v>10</v>
          </cell>
          <cell r="B29">
            <v>0.375</v>
          </cell>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A30">
            <v>10</v>
          </cell>
          <cell r="B30">
            <v>0.375</v>
          </cell>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A31">
            <v>10</v>
          </cell>
          <cell r="B31">
            <v>0.375</v>
          </cell>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A32">
            <v>10</v>
          </cell>
          <cell r="B32">
            <v>0.375</v>
          </cell>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A33">
            <v>10</v>
          </cell>
          <cell r="B33">
            <v>0.375</v>
          </cell>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A34">
            <v>10</v>
          </cell>
          <cell r="B34">
            <v>0.375</v>
          </cell>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A35">
            <v>10</v>
          </cell>
          <cell r="B35">
            <v>0.375</v>
          </cell>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A36">
            <v>10</v>
          </cell>
          <cell r="B36">
            <v>0.375</v>
          </cell>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A37">
            <v>13</v>
          </cell>
          <cell r="B37">
            <v>0.5</v>
          </cell>
          <cell r="C37">
            <v>0</v>
          </cell>
          <cell r="D37">
            <v>32</v>
          </cell>
          <cell r="E37">
            <v>0</v>
          </cell>
          <cell r="F37" t="str">
            <v>wall32</v>
          </cell>
          <cell r="H37">
            <v>32</v>
          </cell>
          <cell r="I37" t="str">
            <v>size32</v>
          </cell>
          <cell r="J37" t="str">
            <v>wall32</v>
          </cell>
          <cell r="AA37">
            <v>30</v>
          </cell>
          <cell r="AB37">
            <v>36</v>
          </cell>
          <cell r="AC37" t="str">
            <v>size36</v>
          </cell>
          <cell r="AD37" t="str">
            <v>wall36</v>
          </cell>
          <cell r="AE37">
            <v>900</v>
          </cell>
          <cell r="AF37" t="str">
            <v>900 mm (36)</v>
          </cell>
        </row>
        <row r="38">
          <cell r="A38">
            <v>13</v>
          </cell>
          <cell r="B38">
            <v>0.5</v>
          </cell>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A39">
            <v>13</v>
          </cell>
          <cell r="B39">
            <v>0.5</v>
          </cell>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A40">
            <v>13</v>
          </cell>
          <cell r="B40">
            <v>0.5</v>
          </cell>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A41">
            <v>13</v>
          </cell>
          <cell r="B41">
            <v>0.5</v>
          </cell>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A42">
            <v>13</v>
          </cell>
          <cell r="B42">
            <v>0.5</v>
          </cell>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A43">
            <v>13</v>
          </cell>
          <cell r="B43">
            <v>0.5</v>
          </cell>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A44">
            <v>13</v>
          </cell>
          <cell r="B44">
            <v>0.5</v>
          </cell>
          <cell r="C44" t="str">
            <v>80S</v>
          </cell>
          <cell r="D44">
            <v>0.84</v>
          </cell>
          <cell r="E44">
            <v>0.14699999999999999</v>
          </cell>
          <cell r="F44">
            <v>0.54600000000000004</v>
          </cell>
          <cell r="H44">
            <v>46</v>
          </cell>
          <cell r="I44" t="str">
            <v>size46</v>
          </cell>
          <cell r="J44" t="str">
            <v>wall46</v>
          </cell>
        </row>
        <row r="45">
          <cell r="A45">
            <v>13</v>
          </cell>
          <cell r="B45">
            <v>0.5</v>
          </cell>
          <cell r="C45" t="str">
            <v>XS</v>
          </cell>
          <cell r="D45">
            <v>0.84</v>
          </cell>
          <cell r="E45">
            <v>0.14699999999999999</v>
          </cell>
          <cell r="F45">
            <v>0.54600000000000004</v>
          </cell>
          <cell r="H45">
            <v>48</v>
          </cell>
          <cell r="I45" t="str">
            <v>size48</v>
          </cell>
          <cell r="J45" t="str">
            <v>wall48</v>
          </cell>
        </row>
        <row r="46">
          <cell r="A46">
            <v>13</v>
          </cell>
          <cell r="B46">
            <v>0.5</v>
          </cell>
          <cell r="C46">
            <v>80</v>
          </cell>
          <cell r="D46">
            <v>0.84</v>
          </cell>
          <cell r="E46">
            <v>0.14699999999999999</v>
          </cell>
          <cell r="F46">
            <v>0.54600000000000004</v>
          </cell>
        </row>
        <row r="47">
          <cell r="A47">
            <v>13</v>
          </cell>
          <cell r="B47">
            <v>0.5</v>
          </cell>
          <cell r="C47">
            <v>160</v>
          </cell>
          <cell r="D47">
            <v>0.84</v>
          </cell>
          <cell r="E47">
            <v>0.187</v>
          </cell>
          <cell r="F47">
            <v>0.46600000000000003</v>
          </cell>
        </row>
        <row r="48">
          <cell r="A48">
            <v>13</v>
          </cell>
          <cell r="B48">
            <v>0.5</v>
          </cell>
          <cell r="C48" t="str">
            <v>XXS</v>
          </cell>
          <cell r="D48">
            <v>0.84</v>
          </cell>
          <cell r="E48">
            <v>0.29399999999999998</v>
          </cell>
          <cell r="F48">
            <v>0.252</v>
          </cell>
        </row>
        <row r="49">
          <cell r="A49">
            <v>19</v>
          </cell>
          <cell r="B49">
            <v>0.75</v>
          </cell>
          <cell r="C49">
            <v>0</v>
          </cell>
          <cell r="D49">
            <v>0</v>
          </cell>
          <cell r="E49">
            <v>0</v>
          </cell>
        </row>
        <row r="50">
          <cell r="A50">
            <v>19</v>
          </cell>
          <cell r="B50">
            <v>0.75</v>
          </cell>
          <cell r="C50" t="str">
            <v>5S</v>
          </cell>
          <cell r="D50">
            <v>1.05</v>
          </cell>
          <cell r="E50">
            <v>6.5000000000000002E-2</v>
          </cell>
          <cell r="F50">
            <v>0.92</v>
          </cell>
        </row>
        <row r="51">
          <cell r="A51">
            <v>19</v>
          </cell>
          <cell r="B51">
            <v>0.75</v>
          </cell>
          <cell r="C51" t="str">
            <v>10S</v>
          </cell>
          <cell r="D51">
            <v>1.05</v>
          </cell>
          <cell r="E51">
            <v>8.3000000000000004E-2</v>
          </cell>
          <cell r="F51">
            <v>0.88400000000000001</v>
          </cell>
          <cell r="H51">
            <v>1</v>
          </cell>
          <cell r="I51" t="str">
            <v>5S</v>
          </cell>
        </row>
        <row r="52">
          <cell r="A52">
            <v>19</v>
          </cell>
          <cell r="B52">
            <v>0.75</v>
          </cell>
          <cell r="C52">
            <v>30</v>
          </cell>
          <cell r="D52">
            <v>1.05</v>
          </cell>
          <cell r="E52">
            <v>9.5000000000000001E-2</v>
          </cell>
          <cell r="F52">
            <v>0.86</v>
          </cell>
          <cell r="H52">
            <v>2</v>
          </cell>
          <cell r="I52" t="str">
            <v>10S</v>
          </cell>
        </row>
        <row r="53">
          <cell r="A53">
            <v>19</v>
          </cell>
          <cell r="B53">
            <v>0.75</v>
          </cell>
          <cell r="C53" t="str">
            <v>STD</v>
          </cell>
          <cell r="D53">
            <v>1.05</v>
          </cell>
          <cell r="E53">
            <v>0.113</v>
          </cell>
          <cell r="F53">
            <v>0.82399999999999995</v>
          </cell>
          <cell r="H53">
            <v>3</v>
          </cell>
          <cell r="I53">
            <v>20</v>
          </cell>
        </row>
        <row r="54">
          <cell r="A54">
            <v>19</v>
          </cell>
          <cell r="B54">
            <v>0.75</v>
          </cell>
          <cell r="C54">
            <v>40</v>
          </cell>
          <cell r="D54">
            <v>1.05</v>
          </cell>
          <cell r="E54">
            <v>0.113</v>
          </cell>
          <cell r="F54">
            <v>0.82399999999999995</v>
          </cell>
          <cell r="H54">
            <v>4</v>
          </cell>
          <cell r="I54">
            <v>30</v>
          </cell>
        </row>
        <row r="55">
          <cell r="A55">
            <v>19</v>
          </cell>
          <cell r="B55">
            <v>0.75</v>
          </cell>
          <cell r="C55" t="str">
            <v>40S</v>
          </cell>
          <cell r="D55">
            <v>1.05</v>
          </cell>
          <cell r="E55">
            <v>0.113</v>
          </cell>
          <cell r="F55">
            <v>0.82399999999999995</v>
          </cell>
          <cell r="H55">
            <v>5</v>
          </cell>
          <cell r="I55" t="str">
            <v>STD</v>
          </cell>
        </row>
        <row r="56">
          <cell r="A56">
            <v>19</v>
          </cell>
          <cell r="B56">
            <v>0.75</v>
          </cell>
          <cell r="C56" t="str">
            <v>80S</v>
          </cell>
          <cell r="D56">
            <v>1.05</v>
          </cell>
          <cell r="E56">
            <v>0.154</v>
          </cell>
          <cell r="F56">
            <v>0.74199999999999999</v>
          </cell>
          <cell r="H56">
            <v>6</v>
          </cell>
          <cell r="I56" t="str">
            <v>40S</v>
          </cell>
        </row>
        <row r="57">
          <cell r="A57">
            <v>19</v>
          </cell>
          <cell r="B57">
            <v>0.75</v>
          </cell>
          <cell r="C57" t="str">
            <v>XS</v>
          </cell>
          <cell r="D57">
            <v>1.05</v>
          </cell>
          <cell r="E57">
            <v>0.154</v>
          </cell>
          <cell r="F57">
            <v>0.74199999999999999</v>
          </cell>
          <cell r="H57">
            <v>7</v>
          </cell>
          <cell r="I57">
            <v>40</v>
          </cell>
        </row>
        <row r="58">
          <cell r="A58">
            <v>19</v>
          </cell>
          <cell r="B58">
            <v>0.75</v>
          </cell>
          <cell r="C58">
            <v>80</v>
          </cell>
          <cell r="D58">
            <v>1.05</v>
          </cell>
          <cell r="E58">
            <v>0.154</v>
          </cell>
          <cell r="F58">
            <v>0.74199999999999999</v>
          </cell>
          <cell r="H58">
            <v>8</v>
          </cell>
          <cell r="I58" t="str">
            <v>80S</v>
          </cell>
        </row>
        <row r="59">
          <cell r="A59">
            <v>19</v>
          </cell>
          <cell r="B59">
            <v>0.75</v>
          </cell>
          <cell r="C59">
            <v>160</v>
          </cell>
          <cell r="D59">
            <v>1.05</v>
          </cell>
          <cell r="E59">
            <v>0.219</v>
          </cell>
          <cell r="F59">
            <v>0.61199999999999999</v>
          </cell>
          <cell r="H59">
            <v>9</v>
          </cell>
          <cell r="I59" t="str">
            <v>XS</v>
          </cell>
        </row>
        <row r="60">
          <cell r="A60">
            <v>19</v>
          </cell>
          <cell r="B60">
            <v>0.75</v>
          </cell>
          <cell r="C60" t="str">
            <v>XXS</v>
          </cell>
          <cell r="D60">
            <v>1.05</v>
          </cell>
          <cell r="E60">
            <v>0.308</v>
          </cell>
          <cell r="F60">
            <v>0.434</v>
          </cell>
          <cell r="H60">
            <v>10</v>
          </cell>
          <cell r="I60">
            <v>60</v>
          </cell>
        </row>
        <row r="61">
          <cell r="A61">
            <v>25</v>
          </cell>
          <cell r="B61">
            <v>1</v>
          </cell>
          <cell r="C61">
            <v>0</v>
          </cell>
          <cell r="D61">
            <v>11</v>
          </cell>
          <cell r="E61">
            <v>0</v>
          </cell>
          <cell r="F61">
            <v>0</v>
          </cell>
          <cell r="H61">
            <v>11</v>
          </cell>
          <cell r="I61">
            <v>80</v>
          </cell>
        </row>
        <row r="62">
          <cell r="A62">
            <v>25</v>
          </cell>
          <cell r="B62">
            <v>1</v>
          </cell>
          <cell r="C62" t="str">
            <v>5S</v>
          </cell>
          <cell r="D62">
            <v>1.3149999999999999</v>
          </cell>
          <cell r="E62">
            <v>6.5000000000000002E-2</v>
          </cell>
          <cell r="F62">
            <v>1.1850000000000001</v>
          </cell>
          <cell r="H62">
            <v>12</v>
          </cell>
          <cell r="I62">
            <v>100</v>
          </cell>
        </row>
        <row r="63">
          <cell r="A63">
            <v>25</v>
          </cell>
          <cell r="B63">
            <v>1</v>
          </cell>
          <cell r="C63" t="str">
            <v>10S</v>
          </cell>
          <cell r="D63">
            <v>1.3149999999999999</v>
          </cell>
          <cell r="E63">
            <v>0.109</v>
          </cell>
          <cell r="F63">
            <v>1.097</v>
          </cell>
          <cell r="H63">
            <v>13</v>
          </cell>
          <cell r="I63" t="str">
            <v>XXS</v>
          </cell>
        </row>
        <row r="64">
          <cell r="A64">
            <v>25</v>
          </cell>
          <cell r="B64">
            <v>1</v>
          </cell>
          <cell r="C64">
            <v>30</v>
          </cell>
          <cell r="D64">
            <v>1.3149999999999999</v>
          </cell>
          <cell r="E64">
            <v>0.114</v>
          </cell>
          <cell r="F64">
            <v>1.087</v>
          </cell>
          <cell r="H64">
            <v>14</v>
          </cell>
          <cell r="I64">
            <v>120</v>
          </cell>
        </row>
        <row r="65">
          <cell r="A65">
            <v>25</v>
          </cell>
          <cell r="B65">
            <v>1</v>
          </cell>
          <cell r="C65" t="str">
            <v>STD</v>
          </cell>
          <cell r="D65">
            <v>1.3149999999999999</v>
          </cell>
          <cell r="E65">
            <v>0.13300000000000001</v>
          </cell>
          <cell r="F65">
            <v>1.0489999999999999</v>
          </cell>
          <cell r="H65">
            <v>15</v>
          </cell>
          <cell r="I65">
            <v>140</v>
          </cell>
        </row>
        <row r="66">
          <cell r="A66">
            <v>25</v>
          </cell>
          <cell r="B66">
            <v>1</v>
          </cell>
          <cell r="C66">
            <v>40</v>
          </cell>
          <cell r="D66">
            <v>1.3149999999999999</v>
          </cell>
          <cell r="E66">
            <v>0.13300000000000001</v>
          </cell>
          <cell r="F66">
            <v>1.0489999999999999</v>
          </cell>
          <cell r="H66">
            <v>16</v>
          </cell>
          <cell r="I66">
            <v>160</v>
          </cell>
        </row>
        <row r="67">
          <cell r="A67">
            <v>25</v>
          </cell>
          <cell r="B67">
            <v>1</v>
          </cell>
          <cell r="C67" t="str">
            <v>40S</v>
          </cell>
          <cell r="D67">
            <v>1.3149999999999999</v>
          </cell>
          <cell r="E67">
            <v>0.13300000000000001</v>
          </cell>
          <cell r="F67">
            <v>1.0489999999999999</v>
          </cell>
        </row>
        <row r="68">
          <cell r="A68">
            <v>25</v>
          </cell>
          <cell r="B68">
            <v>1</v>
          </cell>
          <cell r="C68" t="str">
            <v>80S</v>
          </cell>
          <cell r="D68">
            <v>1.3149999999999999</v>
          </cell>
          <cell r="E68">
            <v>0.17899999999999999</v>
          </cell>
          <cell r="F68">
            <v>0.95699999999999996</v>
          </cell>
        </row>
        <row r="69">
          <cell r="A69">
            <v>25</v>
          </cell>
          <cell r="B69">
            <v>1</v>
          </cell>
          <cell r="C69" t="str">
            <v>XS</v>
          </cell>
          <cell r="D69">
            <v>1.3149999999999999</v>
          </cell>
          <cell r="E69">
            <v>0.17899999999999999</v>
          </cell>
          <cell r="F69">
            <v>0.95699999999999996</v>
          </cell>
        </row>
        <row r="70">
          <cell r="A70">
            <v>25</v>
          </cell>
          <cell r="B70">
            <v>1</v>
          </cell>
          <cell r="C70">
            <v>80</v>
          </cell>
          <cell r="D70">
            <v>1.3149999999999999</v>
          </cell>
          <cell r="E70">
            <v>0.17899999999999999</v>
          </cell>
          <cell r="F70">
            <v>0.95699999999999996</v>
          </cell>
        </row>
        <row r="71">
          <cell r="A71">
            <v>25</v>
          </cell>
          <cell r="B71">
            <v>1</v>
          </cell>
          <cell r="C71">
            <v>160</v>
          </cell>
          <cell r="D71">
            <v>1.3149999999999999</v>
          </cell>
          <cell r="E71">
            <v>0.25</v>
          </cell>
          <cell r="F71">
            <v>0.81499999999999995</v>
          </cell>
        </row>
        <row r="72">
          <cell r="A72">
            <v>25</v>
          </cell>
          <cell r="B72">
            <v>1</v>
          </cell>
          <cell r="C72" t="str">
            <v>XXS</v>
          </cell>
          <cell r="D72">
            <v>1.3149999999999999</v>
          </cell>
          <cell r="E72">
            <v>0.35799999999999998</v>
          </cell>
          <cell r="F72">
            <v>0.59899999999999998</v>
          </cell>
        </row>
        <row r="73">
          <cell r="A73">
            <v>31</v>
          </cell>
          <cell r="B73">
            <v>1.25</v>
          </cell>
          <cell r="C73">
            <v>0</v>
          </cell>
          <cell r="D73">
            <v>0</v>
          </cell>
          <cell r="E73">
            <v>0</v>
          </cell>
        </row>
        <row r="74">
          <cell r="A74">
            <v>31</v>
          </cell>
          <cell r="B74">
            <v>1.25</v>
          </cell>
          <cell r="C74" t="str">
            <v>5S</v>
          </cell>
          <cell r="D74">
            <v>1.66</v>
          </cell>
          <cell r="E74">
            <v>6.5000000000000002E-2</v>
          </cell>
          <cell r="F74">
            <v>1.53</v>
          </cell>
        </row>
        <row r="75">
          <cell r="A75">
            <v>31</v>
          </cell>
          <cell r="B75">
            <v>1.25</v>
          </cell>
          <cell r="C75" t="str">
            <v>10S</v>
          </cell>
          <cell r="D75">
            <v>1.66</v>
          </cell>
          <cell r="E75">
            <v>0.109</v>
          </cell>
          <cell r="F75">
            <v>1.4419999999999999</v>
          </cell>
        </row>
        <row r="76">
          <cell r="A76">
            <v>31</v>
          </cell>
          <cell r="B76">
            <v>1.25</v>
          </cell>
          <cell r="C76">
            <v>30</v>
          </cell>
          <cell r="D76">
            <v>1.66</v>
          </cell>
          <cell r="E76">
            <v>0.11700000000000001</v>
          </cell>
          <cell r="F76">
            <v>1.4259999999999999</v>
          </cell>
        </row>
        <row r="77">
          <cell r="A77">
            <v>31</v>
          </cell>
          <cell r="B77">
            <v>1.25</v>
          </cell>
          <cell r="C77" t="str">
            <v>STD</v>
          </cell>
          <cell r="D77">
            <v>1.66</v>
          </cell>
          <cell r="E77">
            <v>0.14000000000000001</v>
          </cell>
          <cell r="F77">
            <v>1.38</v>
          </cell>
        </row>
        <row r="78">
          <cell r="A78">
            <v>31</v>
          </cell>
          <cell r="B78">
            <v>1.25</v>
          </cell>
          <cell r="C78">
            <v>40</v>
          </cell>
          <cell r="D78">
            <v>1.66</v>
          </cell>
          <cell r="E78">
            <v>0.14000000000000001</v>
          </cell>
          <cell r="F78">
            <v>1.38</v>
          </cell>
        </row>
        <row r="79">
          <cell r="A79">
            <v>31</v>
          </cell>
          <cell r="B79">
            <v>1.25</v>
          </cell>
          <cell r="C79" t="str">
            <v>40S</v>
          </cell>
          <cell r="D79">
            <v>1.66</v>
          </cell>
          <cell r="E79">
            <v>0.14000000000000001</v>
          </cell>
          <cell r="F79">
            <v>1.38</v>
          </cell>
        </row>
        <row r="80">
          <cell r="A80">
            <v>31</v>
          </cell>
          <cell r="B80">
            <v>1.25</v>
          </cell>
          <cell r="C80" t="str">
            <v>80S</v>
          </cell>
          <cell r="D80">
            <v>1.66</v>
          </cell>
          <cell r="E80">
            <v>0.191</v>
          </cell>
          <cell r="F80">
            <v>1.38</v>
          </cell>
        </row>
        <row r="81">
          <cell r="A81">
            <v>31</v>
          </cell>
          <cell r="B81">
            <v>1.25</v>
          </cell>
          <cell r="C81" t="str">
            <v>XS</v>
          </cell>
          <cell r="D81">
            <v>1.66</v>
          </cell>
          <cell r="E81">
            <v>0.191</v>
          </cell>
          <cell r="F81">
            <v>1.278</v>
          </cell>
        </row>
        <row r="82">
          <cell r="A82">
            <v>31</v>
          </cell>
          <cell r="B82">
            <v>1.25</v>
          </cell>
          <cell r="C82">
            <v>80</v>
          </cell>
          <cell r="D82">
            <v>1.66</v>
          </cell>
          <cell r="E82">
            <v>0.191</v>
          </cell>
          <cell r="F82">
            <v>1.278</v>
          </cell>
        </row>
        <row r="83">
          <cell r="A83">
            <v>31</v>
          </cell>
          <cell r="B83">
            <v>1.25</v>
          </cell>
          <cell r="C83">
            <v>160</v>
          </cell>
          <cell r="D83">
            <v>1.66</v>
          </cell>
          <cell r="E83">
            <v>0.25</v>
          </cell>
          <cell r="F83">
            <v>1.1599999999999999</v>
          </cell>
        </row>
        <row r="84">
          <cell r="A84">
            <v>31</v>
          </cell>
          <cell r="B84">
            <v>1.25</v>
          </cell>
          <cell r="C84" t="str">
            <v>XXS</v>
          </cell>
          <cell r="D84">
            <v>1.66</v>
          </cell>
          <cell r="E84">
            <v>0.38200000000000001</v>
          </cell>
          <cell r="F84">
            <v>0.89600000000000002</v>
          </cell>
        </row>
        <row r="85">
          <cell r="A85">
            <v>38</v>
          </cell>
          <cell r="B85">
            <v>1.5</v>
          </cell>
          <cell r="C85">
            <v>0</v>
          </cell>
          <cell r="D85">
            <v>0</v>
          </cell>
          <cell r="E85">
            <v>0</v>
          </cell>
        </row>
        <row r="86">
          <cell r="A86">
            <v>38</v>
          </cell>
          <cell r="B86">
            <v>1.5</v>
          </cell>
          <cell r="C86" t="str">
            <v>5S</v>
          </cell>
          <cell r="D86">
            <v>1.9</v>
          </cell>
          <cell r="E86">
            <v>6.5000000000000002E-2</v>
          </cell>
          <cell r="F86">
            <v>1.77</v>
          </cell>
        </row>
        <row r="87">
          <cell r="A87">
            <v>38</v>
          </cell>
          <cell r="B87">
            <v>1.5</v>
          </cell>
          <cell r="C87" t="str">
            <v>10S</v>
          </cell>
          <cell r="D87">
            <v>1.9</v>
          </cell>
          <cell r="E87">
            <v>0.109</v>
          </cell>
          <cell r="F87">
            <v>1.6819999999999999</v>
          </cell>
        </row>
        <row r="88">
          <cell r="A88">
            <v>38</v>
          </cell>
          <cell r="B88">
            <v>1.5</v>
          </cell>
          <cell r="C88">
            <v>30</v>
          </cell>
          <cell r="D88">
            <v>1.9</v>
          </cell>
          <cell r="E88">
            <v>0.125</v>
          </cell>
          <cell r="F88">
            <v>1.65</v>
          </cell>
        </row>
        <row r="89">
          <cell r="A89">
            <v>38</v>
          </cell>
          <cell r="B89">
            <v>1.5</v>
          </cell>
          <cell r="C89" t="str">
            <v>STD</v>
          </cell>
          <cell r="D89">
            <v>1.9</v>
          </cell>
          <cell r="E89">
            <v>0.14499999999999999</v>
          </cell>
          <cell r="F89">
            <v>1.61</v>
          </cell>
        </row>
        <row r="90">
          <cell r="A90">
            <v>38</v>
          </cell>
          <cell r="B90">
            <v>1.5</v>
          </cell>
          <cell r="C90">
            <v>40</v>
          </cell>
          <cell r="D90">
            <v>1.9</v>
          </cell>
          <cell r="E90">
            <v>0.14499999999999999</v>
          </cell>
          <cell r="F90">
            <v>1.61</v>
          </cell>
        </row>
        <row r="91">
          <cell r="A91">
            <v>38</v>
          </cell>
          <cell r="B91">
            <v>1.5</v>
          </cell>
          <cell r="C91" t="str">
            <v>40S</v>
          </cell>
          <cell r="D91">
            <v>1.9</v>
          </cell>
          <cell r="E91">
            <v>0.14499999999999999</v>
          </cell>
          <cell r="F91">
            <v>1.61</v>
          </cell>
        </row>
        <row r="92">
          <cell r="A92">
            <v>38</v>
          </cell>
          <cell r="B92">
            <v>1.5</v>
          </cell>
          <cell r="C92" t="str">
            <v>80S</v>
          </cell>
          <cell r="D92">
            <v>1.9</v>
          </cell>
          <cell r="E92">
            <v>0.2</v>
          </cell>
          <cell r="F92">
            <v>1.5</v>
          </cell>
        </row>
        <row r="93">
          <cell r="A93">
            <v>38</v>
          </cell>
          <cell r="B93">
            <v>1.5</v>
          </cell>
          <cell r="C93" t="str">
            <v>XS</v>
          </cell>
          <cell r="D93">
            <v>1.9</v>
          </cell>
          <cell r="E93">
            <v>0.2</v>
          </cell>
          <cell r="F93">
            <v>1.5</v>
          </cell>
        </row>
        <row r="94">
          <cell r="A94">
            <v>38</v>
          </cell>
          <cell r="B94">
            <v>1.5</v>
          </cell>
          <cell r="C94">
            <v>80</v>
          </cell>
          <cell r="D94">
            <v>1.9</v>
          </cell>
          <cell r="E94">
            <v>0.2</v>
          </cell>
          <cell r="F94">
            <v>1.5</v>
          </cell>
        </row>
        <row r="95">
          <cell r="A95">
            <v>38</v>
          </cell>
          <cell r="B95">
            <v>1.5</v>
          </cell>
          <cell r="C95">
            <v>160</v>
          </cell>
          <cell r="D95">
            <v>1.9</v>
          </cell>
          <cell r="E95">
            <v>0.28100000000000003</v>
          </cell>
          <cell r="F95">
            <v>1.3380000000000001</v>
          </cell>
        </row>
        <row r="96">
          <cell r="A96">
            <v>38</v>
          </cell>
          <cell r="B96">
            <v>1.5</v>
          </cell>
          <cell r="C96" t="str">
            <v>XXS</v>
          </cell>
          <cell r="D96">
            <v>1.9</v>
          </cell>
          <cell r="E96">
            <v>0.4</v>
          </cell>
          <cell r="F96">
            <v>1.1000000000000001</v>
          </cell>
        </row>
        <row r="97">
          <cell r="A97">
            <v>50</v>
          </cell>
          <cell r="B97">
            <v>2</v>
          </cell>
          <cell r="C97">
            <v>0</v>
          </cell>
          <cell r="D97">
            <v>0</v>
          </cell>
          <cell r="E97">
            <v>0</v>
          </cell>
        </row>
        <row r="98">
          <cell r="A98">
            <v>50</v>
          </cell>
          <cell r="B98">
            <v>2</v>
          </cell>
          <cell r="C98" t="str">
            <v>5S</v>
          </cell>
          <cell r="D98">
            <v>2.375</v>
          </cell>
          <cell r="E98">
            <v>6.5000000000000002E-2</v>
          </cell>
          <cell r="F98">
            <v>2.2450000000000001</v>
          </cell>
        </row>
        <row r="99">
          <cell r="A99">
            <v>50</v>
          </cell>
          <cell r="B99">
            <v>2</v>
          </cell>
          <cell r="C99" t="str">
            <v>10S</v>
          </cell>
          <cell r="D99">
            <v>2.375</v>
          </cell>
          <cell r="E99">
            <v>0.109</v>
          </cell>
          <cell r="F99">
            <v>2.157</v>
          </cell>
        </row>
        <row r="100">
          <cell r="A100">
            <v>50</v>
          </cell>
          <cell r="B100">
            <v>2</v>
          </cell>
          <cell r="C100">
            <v>30</v>
          </cell>
          <cell r="D100">
            <v>2.375</v>
          </cell>
          <cell r="E100">
            <v>0.125</v>
          </cell>
          <cell r="F100">
            <v>2.125</v>
          </cell>
        </row>
        <row r="101">
          <cell r="A101">
            <v>50</v>
          </cell>
          <cell r="B101">
            <v>2</v>
          </cell>
          <cell r="C101" t="str">
            <v>STD</v>
          </cell>
          <cell r="D101">
            <v>2.375</v>
          </cell>
          <cell r="E101">
            <v>0.154</v>
          </cell>
          <cell r="F101">
            <v>2.0670000000000002</v>
          </cell>
        </row>
        <row r="102">
          <cell r="A102">
            <v>50</v>
          </cell>
          <cell r="B102">
            <v>2</v>
          </cell>
          <cell r="C102">
            <v>40</v>
          </cell>
          <cell r="D102">
            <v>2.375</v>
          </cell>
          <cell r="E102">
            <v>0.154</v>
          </cell>
          <cell r="F102">
            <v>2.0670000000000002</v>
          </cell>
        </row>
        <row r="103">
          <cell r="A103">
            <v>50</v>
          </cell>
          <cell r="B103">
            <v>2</v>
          </cell>
          <cell r="C103" t="str">
            <v>40S</v>
          </cell>
          <cell r="D103">
            <v>2.375</v>
          </cell>
          <cell r="E103">
            <v>0.154</v>
          </cell>
          <cell r="F103">
            <v>2.0670000000000002</v>
          </cell>
        </row>
        <row r="104">
          <cell r="A104">
            <v>50</v>
          </cell>
          <cell r="B104">
            <v>2</v>
          </cell>
          <cell r="C104" t="str">
            <v>80S</v>
          </cell>
          <cell r="D104">
            <v>2.375</v>
          </cell>
          <cell r="E104">
            <v>0.218</v>
          </cell>
          <cell r="F104">
            <v>1.9390000000000001</v>
          </cell>
        </row>
        <row r="105">
          <cell r="A105">
            <v>50</v>
          </cell>
          <cell r="B105">
            <v>2</v>
          </cell>
          <cell r="C105" t="str">
            <v>XS</v>
          </cell>
          <cell r="D105">
            <v>2.375</v>
          </cell>
          <cell r="E105">
            <v>0.218</v>
          </cell>
          <cell r="F105">
            <v>1.9390000000000001</v>
          </cell>
        </row>
        <row r="106">
          <cell r="A106">
            <v>50</v>
          </cell>
          <cell r="B106">
            <v>2</v>
          </cell>
          <cell r="C106">
            <v>80</v>
          </cell>
          <cell r="D106">
            <v>2.375</v>
          </cell>
          <cell r="E106">
            <v>0.218</v>
          </cell>
          <cell r="F106">
            <v>1.9390000000000001</v>
          </cell>
        </row>
        <row r="107">
          <cell r="A107">
            <v>50</v>
          </cell>
          <cell r="B107">
            <v>2</v>
          </cell>
          <cell r="C107">
            <v>160</v>
          </cell>
          <cell r="D107">
            <v>2.375</v>
          </cell>
          <cell r="E107">
            <v>0.34399999999999997</v>
          </cell>
          <cell r="F107">
            <v>1.6870000000000001</v>
          </cell>
        </row>
        <row r="108">
          <cell r="A108">
            <v>50</v>
          </cell>
          <cell r="B108">
            <v>2</v>
          </cell>
          <cell r="C108" t="str">
            <v>XXS</v>
          </cell>
          <cell r="D108">
            <v>2.375</v>
          </cell>
          <cell r="E108">
            <v>0.436</v>
          </cell>
          <cell r="F108">
            <v>1.5029999999999999</v>
          </cell>
        </row>
        <row r="109">
          <cell r="A109">
            <v>63</v>
          </cell>
          <cell r="B109">
            <v>2.5</v>
          </cell>
          <cell r="C109">
            <v>0</v>
          </cell>
          <cell r="D109">
            <v>0</v>
          </cell>
          <cell r="E109">
            <v>0</v>
          </cell>
        </row>
        <row r="110">
          <cell r="A110">
            <v>63</v>
          </cell>
          <cell r="B110">
            <v>2.5</v>
          </cell>
          <cell r="C110" t="str">
            <v>5S</v>
          </cell>
          <cell r="D110">
            <v>2.875</v>
          </cell>
          <cell r="E110">
            <v>8.3000000000000004E-2</v>
          </cell>
          <cell r="F110">
            <v>2.7090000000000001</v>
          </cell>
        </row>
        <row r="111">
          <cell r="A111">
            <v>63</v>
          </cell>
          <cell r="B111">
            <v>2.5</v>
          </cell>
          <cell r="C111" t="str">
            <v>10S</v>
          </cell>
          <cell r="D111">
            <v>2.875</v>
          </cell>
          <cell r="E111">
            <v>0.12</v>
          </cell>
          <cell r="F111">
            <v>2.6349999999999998</v>
          </cell>
        </row>
        <row r="112">
          <cell r="A112">
            <v>63</v>
          </cell>
          <cell r="B112">
            <v>2.5</v>
          </cell>
          <cell r="C112">
            <v>30</v>
          </cell>
          <cell r="D112">
            <v>2.875</v>
          </cell>
          <cell r="E112">
            <v>0.188</v>
          </cell>
          <cell r="F112">
            <v>2.4990000000000001</v>
          </cell>
        </row>
        <row r="113">
          <cell r="A113">
            <v>63</v>
          </cell>
          <cell r="B113">
            <v>2.5</v>
          </cell>
          <cell r="C113" t="str">
            <v>STD</v>
          </cell>
          <cell r="D113">
            <v>2.875</v>
          </cell>
          <cell r="E113">
            <v>0.20300000000000001</v>
          </cell>
          <cell r="F113">
            <v>2.4689999999999999</v>
          </cell>
        </row>
        <row r="114">
          <cell r="A114">
            <v>63</v>
          </cell>
          <cell r="B114">
            <v>2.5</v>
          </cell>
          <cell r="C114">
            <v>40</v>
          </cell>
          <cell r="D114">
            <v>2.875</v>
          </cell>
          <cell r="E114">
            <v>0.20300000000000001</v>
          </cell>
          <cell r="F114">
            <v>2.4689999999999999</v>
          </cell>
        </row>
        <row r="115">
          <cell r="A115">
            <v>63</v>
          </cell>
          <cell r="B115">
            <v>2.5</v>
          </cell>
          <cell r="C115" t="str">
            <v>40S</v>
          </cell>
          <cell r="D115">
            <v>2.875</v>
          </cell>
          <cell r="E115">
            <v>0.20300000000000001</v>
          </cell>
          <cell r="F115">
            <v>2.4689999999999999</v>
          </cell>
        </row>
        <row r="116">
          <cell r="A116">
            <v>63</v>
          </cell>
          <cell r="B116">
            <v>2.5</v>
          </cell>
          <cell r="C116" t="str">
            <v>80S</v>
          </cell>
          <cell r="D116">
            <v>2.875</v>
          </cell>
          <cell r="E116">
            <v>0.27600000000000002</v>
          </cell>
          <cell r="F116">
            <v>2.323</v>
          </cell>
        </row>
        <row r="117">
          <cell r="A117">
            <v>63</v>
          </cell>
          <cell r="B117">
            <v>2.5</v>
          </cell>
          <cell r="C117" t="str">
            <v>XS</v>
          </cell>
          <cell r="D117">
            <v>2.875</v>
          </cell>
          <cell r="E117">
            <v>0.27600000000000002</v>
          </cell>
          <cell r="F117">
            <v>2.323</v>
          </cell>
        </row>
        <row r="118">
          <cell r="A118">
            <v>63</v>
          </cell>
          <cell r="B118">
            <v>2.5</v>
          </cell>
          <cell r="C118">
            <v>80</v>
          </cell>
          <cell r="D118">
            <v>2.875</v>
          </cell>
          <cell r="E118">
            <v>0.27600000000000002</v>
          </cell>
          <cell r="F118">
            <v>2.323</v>
          </cell>
        </row>
        <row r="119">
          <cell r="A119">
            <v>63</v>
          </cell>
          <cell r="B119">
            <v>2.5</v>
          </cell>
          <cell r="C119">
            <v>160</v>
          </cell>
          <cell r="D119">
            <v>2.875</v>
          </cell>
          <cell r="E119">
            <v>0.375</v>
          </cell>
          <cell r="F119">
            <v>2.125</v>
          </cell>
        </row>
        <row r="120">
          <cell r="A120">
            <v>63</v>
          </cell>
          <cell r="B120">
            <v>2.5</v>
          </cell>
          <cell r="C120" t="str">
            <v>XXS</v>
          </cell>
          <cell r="D120">
            <v>2.875</v>
          </cell>
          <cell r="E120">
            <v>0.55200000000000005</v>
          </cell>
          <cell r="F120">
            <v>1.7709999999999999</v>
          </cell>
        </row>
        <row r="121">
          <cell r="A121">
            <v>75</v>
          </cell>
          <cell r="B121">
            <v>3</v>
          </cell>
          <cell r="C121">
            <v>0</v>
          </cell>
          <cell r="D121">
            <v>0</v>
          </cell>
          <cell r="E121">
            <v>0</v>
          </cell>
        </row>
        <row r="122">
          <cell r="A122">
            <v>75</v>
          </cell>
          <cell r="B122">
            <v>3</v>
          </cell>
          <cell r="C122" t="str">
            <v>5S</v>
          </cell>
          <cell r="D122">
            <v>3.5</v>
          </cell>
          <cell r="E122">
            <v>8.3000000000000004E-2</v>
          </cell>
          <cell r="F122">
            <v>3.3340000000000001</v>
          </cell>
        </row>
        <row r="123">
          <cell r="A123">
            <v>75</v>
          </cell>
          <cell r="B123">
            <v>3</v>
          </cell>
          <cell r="C123" t="str">
            <v>10S</v>
          </cell>
          <cell r="D123">
            <v>3.5</v>
          </cell>
          <cell r="E123">
            <v>0.12</v>
          </cell>
          <cell r="F123">
            <v>3.26</v>
          </cell>
        </row>
        <row r="124">
          <cell r="A124">
            <v>75</v>
          </cell>
          <cell r="B124">
            <v>3</v>
          </cell>
          <cell r="C124">
            <v>30</v>
          </cell>
          <cell r="D124">
            <v>3.5</v>
          </cell>
          <cell r="E124">
            <v>0.188</v>
          </cell>
          <cell r="F124">
            <v>3.1240000000000001</v>
          </cell>
        </row>
        <row r="125">
          <cell r="A125">
            <v>75</v>
          </cell>
          <cell r="B125">
            <v>3</v>
          </cell>
          <cell r="C125" t="str">
            <v>STD</v>
          </cell>
          <cell r="D125">
            <v>3.5</v>
          </cell>
          <cell r="E125">
            <v>0.216</v>
          </cell>
          <cell r="F125">
            <v>3.0680000000000001</v>
          </cell>
        </row>
        <row r="126">
          <cell r="A126">
            <v>75</v>
          </cell>
          <cell r="B126">
            <v>3</v>
          </cell>
          <cell r="C126">
            <v>40</v>
          </cell>
          <cell r="D126">
            <v>3.5</v>
          </cell>
          <cell r="E126">
            <v>0.216</v>
          </cell>
          <cell r="F126">
            <v>3.0680000000000001</v>
          </cell>
        </row>
        <row r="127">
          <cell r="A127">
            <v>75</v>
          </cell>
          <cell r="B127">
            <v>3</v>
          </cell>
          <cell r="C127" t="str">
            <v>40S</v>
          </cell>
          <cell r="D127">
            <v>3.5</v>
          </cell>
          <cell r="E127">
            <v>0.216</v>
          </cell>
          <cell r="F127">
            <v>3.0680000000000001</v>
          </cell>
        </row>
        <row r="128">
          <cell r="A128">
            <v>75</v>
          </cell>
          <cell r="B128">
            <v>3</v>
          </cell>
          <cell r="C128" t="str">
            <v>80S</v>
          </cell>
          <cell r="D128">
            <v>3.5</v>
          </cell>
          <cell r="E128">
            <v>0.3</v>
          </cell>
          <cell r="F128">
            <v>2.9</v>
          </cell>
        </row>
        <row r="129">
          <cell r="A129">
            <v>75</v>
          </cell>
          <cell r="B129">
            <v>3</v>
          </cell>
          <cell r="C129" t="str">
            <v>XS</v>
          </cell>
          <cell r="D129">
            <v>3.5</v>
          </cell>
          <cell r="E129">
            <v>0.3</v>
          </cell>
          <cell r="F129">
            <v>2.9</v>
          </cell>
        </row>
        <row r="130">
          <cell r="A130">
            <v>75</v>
          </cell>
          <cell r="B130">
            <v>3</v>
          </cell>
          <cell r="C130">
            <v>80</v>
          </cell>
          <cell r="D130">
            <v>3.5</v>
          </cell>
          <cell r="E130">
            <v>0.3</v>
          </cell>
          <cell r="F130">
            <v>2.9</v>
          </cell>
        </row>
        <row r="131">
          <cell r="A131">
            <v>75</v>
          </cell>
          <cell r="B131">
            <v>3</v>
          </cell>
          <cell r="C131">
            <v>160</v>
          </cell>
          <cell r="D131">
            <v>3.5</v>
          </cell>
          <cell r="E131">
            <v>0.438</v>
          </cell>
          <cell r="F131">
            <v>2.6240000000000001</v>
          </cell>
        </row>
        <row r="132">
          <cell r="A132">
            <v>75</v>
          </cell>
          <cell r="B132">
            <v>3</v>
          </cell>
          <cell r="C132" t="str">
            <v>XXS</v>
          </cell>
          <cell r="D132">
            <v>3.5</v>
          </cell>
          <cell r="E132">
            <v>0.6</v>
          </cell>
          <cell r="F132">
            <v>2.2999999999999998</v>
          </cell>
        </row>
        <row r="133">
          <cell r="A133">
            <v>88</v>
          </cell>
          <cell r="B133">
            <v>3.5</v>
          </cell>
          <cell r="C133">
            <v>0</v>
          </cell>
          <cell r="D133">
            <v>0</v>
          </cell>
          <cell r="E133">
            <v>0</v>
          </cell>
        </row>
        <row r="134">
          <cell r="A134">
            <v>88</v>
          </cell>
          <cell r="B134">
            <v>3.5</v>
          </cell>
          <cell r="C134" t="str">
            <v>5S</v>
          </cell>
          <cell r="D134">
            <v>4</v>
          </cell>
          <cell r="E134">
            <v>8.3000000000000004E-2</v>
          </cell>
          <cell r="F134">
            <v>3.8340000000000001</v>
          </cell>
        </row>
        <row r="135">
          <cell r="A135">
            <v>88</v>
          </cell>
          <cell r="B135">
            <v>3.5</v>
          </cell>
          <cell r="C135" t="str">
            <v>10S</v>
          </cell>
          <cell r="D135">
            <v>4</v>
          </cell>
          <cell r="E135">
            <v>0.109</v>
          </cell>
          <cell r="F135">
            <v>3.76</v>
          </cell>
        </row>
        <row r="136">
          <cell r="A136">
            <v>88</v>
          </cell>
          <cell r="B136">
            <v>3.5</v>
          </cell>
          <cell r="C136">
            <v>30</v>
          </cell>
          <cell r="D136">
            <v>4</v>
          </cell>
          <cell r="E136">
            <v>0.188</v>
          </cell>
          <cell r="F136">
            <v>3.6240000000000001</v>
          </cell>
        </row>
        <row r="137">
          <cell r="A137">
            <v>88</v>
          </cell>
          <cell r="B137">
            <v>3.5</v>
          </cell>
          <cell r="C137" t="str">
            <v>STD</v>
          </cell>
          <cell r="D137">
            <v>4</v>
          </cell>
          <cell r="E137">
            <v>0.22600000000000001</v>
          </cell>
          <cell r="F137">
            <v>3.548</v>
          </cell>
        </row>
        <row r="138">
          <cell r="A138">
            <v>88</v>
          </cell>
          <cell r="B138">
            <v>3.5</v>
          </cell>
          <cell r="C138">
            <v>40</v>
          </cell>
          <cell r="D138">
            <v>4</v>
          </cell>
          <cell r="E138">
            <v>0.22600000000000001</v>
          </cell>
          <cell r="F138">
            <v>3.548</v>
          </cell>
        </row>
        <row r="139">
          <cell r="A139">
            <v>88</v>
          </cell>
          <cell r="B139">
            <v>3.5</v>
          </cell>
          <cell r="C139" t="str">
            <v>40S</v>
          </cell>
          <cell r="D139">
            <v>4</v>
          </cell>
          <cell r="E139">
            <v>0.22600000000000001</v>
          </cell>
          <cell r="F139">
            <v>3.548</v>
          </cell>
        </row>
        <row r="140">
          <cell r="A140">
            <v>88</v>
          </cell>
          <cell r="B140">
            <v>3.5</v>
          </cell>
          <cell r="C140" t="str">
            <v>80S</v>
          </cell>
          <cell r="D140">
            <v>4</v>
          </cell>
          <cell r="E140">
            <v>0.318</v>
          </cell>
          <cell r="F140">
            <v>3.3639999999999999</v>
          </cell>
        </row>
        <row r="141">
          <cell r="A141">
            <v>88</v>
          </cell>
          <cell r="B141">
            <v>3.5</v>
          </cell>
          <cell r="C141" t="str">
            <v>XS</v>
          </cell>
          <cell r="D141">
            <v>4</v>
          </cell>
          <cell r="E141">
            <v>0.318</v>
          </cell>
          <cell r="F141">
            <v>3.3639999999999999</v>
          </cell>
        </row>
        <row r="142">
          <cell r="A142">
            <v>88</v>
          </cell>
          <cell r="B142">
            <v>3.5</v>
          </cell>
          <cell r="C142">
            <v>80</v>
          </cell>
          <cell r="D142">
            <v>4</v>
          </cell>
          <cell r="E142">
            <v>0.318</v>
          </cell>
          <cell r="F142">
            <v>3.3639999999999999</v>
          </cell>
        </row>
        <row r="143">
          <cell r="A143">
            <v>100</v>
          </cell>
          <cell r="B143">
            <v>4</v>
          </cell>
          <cell r="C143">
            <v>0</v>
          </cell>
          <cell r="D143">
            <v>0</v>
          </cell>
          <cell r="E143">
            <v>0</v>
          </cell>
        </row>
        <row r="144">
          <cell r="A144">
            <v>100</v>
          </cell>
          <cell r="B144">
            <v>4</v>
          </cell>
          <cell r="C144" t="str">
            <v>5S</v>
          </cell>
          <cell r="D144">
            <v>4.5</v>
          </cell>
          <cell r="E144">
            <v>8.3000000000000004E-2</v>
          </cell>
          <cell r="F144">
            <v>4.3339999999999996</v>
          </cell>
        </row>
        <row r="145">
          <cell r="A145">
            <v>100</v>
          </cell>
          <cell r="B145">
            <v>4</v>
          </cell>
          <cell r="C145" t="str">
            <v>10S</v>
          </cell>
          <cell r="D145">
            <v>4.5</v>
          </cell>
          <cell r="E145">
            <v>0.109</v>
          </cell>
          <cell r="F145">
            <v>4.26</v>
          </cell>
        </row>
        <row r="146">
          <cell r="A146">
            <v>100</v>
          </cell>
          <cell r="B146">
            <v>4</v>
          </cell>
          <cell r="C146">
            <v>30</v>
          </cell>
          <cell r="D146">
            <v>4.5</v>
          </cell>
          <cell r="E146">
            <v>0.188</v>
          </cell>
          <cell r="F146">
            <v>4.1239999999999997</v>
          </cell>
        </row>
        <row r="147">
          <cell r="A147">
            <v>100</v>
          </cell>
          <cell r="B147">
            <v>4</v>
          </cell>
          <cell r="C147" t="str">
            <v>STD</v>
          </cell>
          <cell r="D147">
            <v>4.5</v>
          </cell>
          <cell r="E147">
            <v>0.23699999999999999</v>
          </cell>
          <cell r="F147">
            <v>4.0259999999999998</v>
          </cell>
        </row>
        <row r="148">
          <cell r="A148">
            <v>100</v>
          </cell>
          <cell r="B148">
            <v>4</v>
          </cell>
          <cell r="C148">
            <v>40</v>
          </cell>
          <cell r="D148">
            <v>4.5</v>
          </cell>
          <cell r="E148">
            <v>0.23699999999999999</v>
          </cell>
          <cell r="F148">
            <v>4.0259999999999998</v>
          </cell>
        </row>
        <row r="149">
          <cell r="A149">
            <v>100</v>
          </cell>
          <cell r="B149">
            <v>4</v>
          </cell>
          <cell r="C149" t="str">
            <v>40S</v>
          </cell>
          <cell r="D149">
            <v>4.5</v>
          </cell>
          <cell r="E149">
            <v>0.23699999999999999</v>
          </cell>
          <cell r="F149">
            <v>4.0259999999999998</v>
          </cell>
        </row>
        <row r="150">
          <cell r="A150">
            <v>100</v>
          </cell>
          <cell r="B150">
            <v>4</v>
          </cell>
          <cell r="C150" t="str">
            <v>80S</v>
          </cell>
          <cell r="D150">
            <v>4.5</v>
          </cell>
          <cell r="E150">
            <v>0.33700000000000002</v>
          </cell>
          <cell r="F150">
            <v>3.8260000000000001</v>
          </cell>
        </row>
        <row r="151">
          <cell r="A151">
            <v>100</v>
          </cell>
          <cell r="B151">
            <v>4</v>
          </cell>
          <cell r="C151" t="str">
            <v>XS</v>
          </cell>
          <cell r="D151">
            <v>4.5</v>
          </cell>
          <cell r="E151">
            <v>0.33700000000000002</v>
          </cell>
          <cell r="F151">
            <v>3.8260000000000001</v>
          </cell>
        </row>
        <row r="152">
          <cell r="A152">
            <v>100</v>
          </cell>
          <cell r="B152">
            <v>4</v>
          </cell>
          <cell r="C152">
            <v>80</v>
          </cell>
          <cell r="D152">
            <v>4.5</v>
          </cell>
          <cell r="E152">
            <v>0.33700000000000002</v>
          </cell>
          <cell r="F152">
            <v>3.8260000000000001</v>
          </cell>
        </row>
        <row r="153">
          <cell r="A153">
            <v>100</v>
          </cell>
          <cell r="B153">
            <v>4</v>
          </cell>
          <cell r="C153">
            <v>120</v>
          </cell>
          <cell r="D153">
            <v>4.5</v>
          </cell>
          <cell r="E153">
            <v>0.438</v>
          </cell>
          <cell r="F153">
            <v>3.6240000000000001</v>
          </cell>
        </row>
        <row r="154">
          <cell r="A154">
            <v>100</v>
          </cell>
          <cell r="B154">
            <v>4</v>
          </cell>
          <cell r="C154">
            <v>160</v>
          </cell>
          <cell r="D154">
            <v>4.5</v>
          </cell>
          <cell r="E154">
            <v>0.53100000000000003</v>
          </cell>
          <cell r="F154">
            <v>3.4380000000000002</v>
          </cell>
        </row>
        <row r="155">
          <cell r="A155">
            <v>100</v>
          </cell>
          <cell r="B155">
            <v>4</v>
          </cell>
          <cell r="C155" t="str">
            <v>XXS</v>
          </cell>
          <cell r="D155">
            <v>4.5</v>
          </cell>
          <cell r="E155">
            <v>0.67400000000000004</v>
          </cell>
          <cell r="F155">
            <v>3.1520000000000001</v>
          </cell>
        </row>
        <row r="156">
          <cell r="A156">
            <v>125</v>
          </cell>
          <cell r="B156">
            <v>5</v>
          </cell>
          <cell r="C156">
            <v>0</v>
          </cell>
          <cell r="D156">
            <v>0</v>
          </cell>
          <cell r="E156">
            <v>0</v>
          </cell>
        </row>
        <row r="157">
          <cell r="A157">
            <v>125</v>
          </cell>
          <cell r="B157">
            <v>5</v>
          </cell>
          <cell r="C157" t="str">
            <v>5S</v>
          </cell>
          <cell r="D157">
            <v>5.5629999999999997</v>
          </cell>
          <cell r="E157">
            <v>0.109</v>
          </cell>
          <cell r="F157">
            <v>5.3449999999999998</v>
          </cell>
        </row>
        <row r="158">
          <cell r="A158">
            <v>125</v>
          </cell>
          <cell r="B158">
            <v>5</v>
          </cell>
          <cell r="C158" t="str">
            <v>10S</v>
          </cell>
          <cell r="D158">
            <v>5.5629999999999997</v>
          </cell>
          <cell r="E158">
            <v>0.13400000000000001</v>
          </cell>
          <cell r="F158">
            <v>5.2949999999999999</v>
          </cell>
        </row>
        <row r="159">
          <cell r="A159">
            <v>125</v>
          </cell>
          <cell r="B159">
            <v>5</v>
          </cell>
          <cell r="C159" t="str">
            <v>STD</v>
          </cell>
          <cell r="D159">
            <v>5.5629999999999997</v>
          </cell>
          <cell r="E159">
            <v>0.25800000000000001</v>
          </cell>
          <cell r="F159">
            <v>5.0469999999999997</v>
          </cell>
        </row>
        <row r="160">
          <cell r="A160">
            <v>125</v>
          </cell>
          <cell r="B160">
            <v>5</v>
          </cell>
          <cell r="C160">
            <v>40</v>
          </cell>
          <cell r="D160">
            <v>5.5629999999999997</v>
          </cell>
          <cell r="E160">
            <v>0.25800000000000001</v>
          </cell>
          <cell r="F160">
            <v>5.0469999999999997</v>
          </cell>
        </row>
        <row r="161">
          <cell r="A161">
            <v>125</v>
          </cell>
          <cell r="B161">
            <v>5</v>
          </cell>
          <cell r="C161" t="str">
            <v>40S</v>
          </cell>
          <cell r="D161">
            <v>5.5629999999999997</v>
          </cell>
          <cell r="E161">
            <v>0.25800000000000001</v>
          </cell>
          <cell r="F161">
            <v>5.0469999999999997</v>
          </cell>
        </row>
        <row r="162">
          <cell r="A162">
            <v>125</v>
          </cell>
          <cell r="B162">
            <v>5</v>
          </cell>
          <cell r="C162" t="str">
            <v>80S</v>
          </cell>
          <cell r="D162">
            <v>5.5629999999999997</v>
          </cell>
          <cell r="E162">
            <v>0.375</v>
          </cell>
          <cell r="F162">
            <v>4.8129999999999997</v>
          </cell>
        </row>
        <row r="163">
          <cell r="A163">
            <v>125</v>
          </cell>
          <cell r="B163">
            <v>5</v>
          </cell>
          <cell r="C163" t="str">
            <v>XS</v>
          </cell>
          <cell r="D163">
            <v>5.5629999999999997</v>
          </cell>
          <cell r="E163">
            <v>0.375</v>
          </cell>
          <cell r="F163">
            <v>4.8129999999999997</v>
          </cell>
        </row>
        <row r="164">
          <cell r="A164">
            <v>125</v>
          </cell>
          <cell r="B164">
            <v>5</v>
          </cell>
          <cell r="C164">
            <v>80</v>
          </cell>
          <cell r="D164">
            <v>5.5629999999999997</v>
          </cell>
          <cell r="E164">
            <v>0.375</v>
          </cell>
          <cell r="F164">
            <v>4.8129999999999997</v>
          </cell>
        </row>
        <row r="165">
          <cell r="A165">
            <v>125</v>
          </cell>
          <cell r="B165">
            <v>5</v>
          </cell>
          <cell r="C165">
            <v>120</v>
          </cell>
          <cell r="D165">
            <v>5.5629999999999997</v>
          </cell>
          <cell r="E165">
            <v>0.5</v>
          </cell>
          <cell r="F165">
            <v>4.5629999999999997</v>
          </cell>
        </row>
        <row r="166">
          <cell r="A166">
            <v>125</v>
          </cell>
          <cell r="B166">
            <v>5</v>
          </cell>
          <cell r="C166">
            <v>160</v>
          </cell>
          <cell r="D166">
            <v>5.5629999999999997</v>
          </cell>
          <cell r="E166">
            <v>0.625</v>
          </cell>
          <cell r="F166">
            <v>4.3129999999999997</v>
          </cell>
        </row>
        <row r="167">
          <cell r="A167">
            <v>125</v>
          </cell>
          <cell r="B167">
            <v>5</v>
          </cell>
          <cell r="C167" t="str">
            <v>XXS</v>
          </cell>
          <cell r="D167">
            <v>5.5629999999999997</v>
          </cell>
          <cell r="E167">
            <v>0.75</v>
          </cell>
          <cell r="F167">
            <v>4.0629999999999997</v>
          </cell>
        </row>
        <row r="168">
          <cell r="A168">
            <v>150</v>
          </cell>
          <cell r="B168">
            <v>6</v>
          </cell>
          <cell r="C168">
            <v>0</v>
          </cell>
          <cell r="D168">
            <v>0</v>
          </cell>
          <cell r="E168">
            <v>0</v>
          </cell>
        </row>
        <row r="169">
          <cell r="A169">
            <v>150</v>
          </cell>
          <cell r="B169">
            <v>6</v>
          </cell>
          <cell r="C169" t="str">
            <v>5S</v>
          </cell>
          <cell r="D169">
            <v>6.625</v>
          </cell>
          <cell r="E169">
            <v>0.109</v>
          </cell>
          <cell r="F169">
            <v>6.407</v>
          </cell>
        </row>
        <row r="170">
          <cell r="A170">
            <v>150</v>
          </cell>
          <cell r="B170">
            <v>6</v>
          </cell>
          <cell r="C170" t="str">
            <v>10S</v>
          </cell>
          <cell r="D170">
            <v>6.625</v>
          </cell>
          <cell r="E170">
            <v>0.13400000000000001</v>
          </cell>
          <cell r="F170">
            <v>6.3570000000000002</v>
          </cell>
        </row>
        <row r="171">
          <cell r="A171">
            <v>150</v>
          </cell>
          <cell r="B171">
            <v>6</v>
          </cell>
          <cell r="C171" t="str">
            <v>STD</v>
          </cell>
          <cell r="D171">
            <v>6.625</v>
          </cell>
          <cell r="E171">
            <v>0.28000000000000003</v>
          </cell>
          <cell r="F171">
            <v>6.0650000000000004</v>
          </cell>
        </row>
        <row r="172">
          <cell r="A172">
            <v>150</v>
          </cell>
          <cell r="B172">
            <v>6</v>
          </cell>
          <cell r="C172">
            <v>40</v>
          </cell>
          <cell r="D172">
            <v>6.625</v>
          </cell>
          <cell r="E172">
            <v>0.28000000000000003</v>
          </cell>
          <cell r="F172">
            <v>6.0650000000000004</v>
          </cell>
        </row>
        <row r="173">
          <cell r="A173">
            <v>150</v>
          </cell>
          <cell r="B173">
            <v>6</v>
          </cell>
          <cell r="C173" t="str">
            <v>40S</v>
          </cell>
          <cell r="D173">
            <v>6.625</v>
          </cell>
          <cell r="E173">
            <v>0.28000000000000003</v>
          </cell>
          <cell r="F173">
            <v>6.0650000000000004</v>
          </cell>
        </row>
        <row r="174">
          <cell r="A174">
            <v>150</v>
          </cell>
          <cell r="B174">
            <v>6</v>
          </cell>
          <cell r="C174" t="str">
            <v>80S</v>
          </cell>
          <cell r="D174">
            <v>6.625</v>
          </cell>
          <cell r="E174">
            <v>0.432</v>
          </cell>
          <cell r="F174">
            <v>5.7610000000000001</v>
          </cell>
        </row>
        <row r="175">
          <cell r="A175">
            <v>150</v>
          </cell>
          <cell r="B175">
            <v>6</v>
          </cell>
          <cell r="C175" t="str">
            <v>XS</v>
          </cell>
          <cell r="D175">
            <v>6.625</v>
          </cell>
          <cell r="E175">
            <v>0.432</v>
          </cell>
          <cell r="F175">
            <v>5.7610000000000001</v>
          </cell>
        </row>
        <row r="176">
          <cell r="A176">
            <v>150</v>
          </cell>
          <cell r="B176">
            <v>6</v>
          </cell>
          <cell r="C176">
            <v>80</v>
          </cell>
          <cell r="D176">
            <v>6.625</v>
          </cell>
          <cell r="E176">
            <v>0.432</v>
          </cell>
          <cell r="F176">
            <v>5.7610000000000001</v>
          </cell>
        </row>
        <row r="177">
          <cell r="A177">
            <v>150</v>
          </cell>
          <cell r="B177">
            <v>6</v>
          </cell>
          <cell r="C177">
            <v>120</v>
          </cell>
          <cell r="D177">
            <v>6.625</v>
          </cell>
          <cell r="E177">
            <v>0.56200000000000006</v>
          </cell>
          <cell r="F177">
            <v>5.5010000000000003</v>
          </cell>
        </row>
        <row r="178">
          <cell r="A178">
            <v>150</v>
          </cell>
          <cell r="B178">
            <v>6</v>
          </cell>
          <cell r="C178">
            <v>160</v>
          </cell>
          <cell r="D178">
            <v>6.625</v>
          </cell>
          <cell r="E178">
            <v>0.71899999999999997</v>
          </cell>
          <cell r="F178">
            <v>5.1870000000000003</v>
          </cell>
        </row>
        <row r="179">
          <cell r="A179">
            <v>150</v>
          </cell>
          <cell r="B179">
            <v>6</v>
          </cell>
          <cell r="C179" t="str">
            <v>XXS</v>
          </cell>
          <cell r="D179">
            <v>6.625</v>
          </cell>
          <cell r="E179">
            <v>0.86399999999999999</v>
          </cell>
          <cell r="F179">
            <v>4.8970000000000002</v>
          </cell>
        </row>
        <row r="180">
          <cell r="A180">
            <v>200</v>
          </cell>
          <cell r="B180">
            <v>8</v>
          </cell>
          <cell r="C180">
            <v>0</v>
          </cell>
          <cell r="D180">
            <v>0</v>
          </cell>
          <cell r="E180">
            <v>0</v>
          </cell>
        </row>
        <row r="181">
          <cell r="A181">
            <v>200</v>
          </cell>
          <cell r="B181">
            <v>8</v>
          </cell>
          <cell r="C181" t="str">
            <v>5S</v>
          </cell>
          <cell r="D181">
            <v>8.625</v>
          </cell>
          <cell r="E181">
            <v>0.109</v>
          </cell>
          <cell r="F181">
            <v>8.407</v>
          </cell>
        </row>
        <row r="182">
          <cell r="A182">
            <v>200</v>
          </cell>
          <cell r="B182">
            <v>8</v>
          </cell>
          <cell r="C182" t="str">
            <v>10S</v>
          </cell>
          <cell r="D182">
            <v>8.625</v>
          </cell>
          <cell r="E182">
            <v>0.14799999999999999</v>
          </cell>
          <cell r="F182">
            <v>8.3290000000000006</v>
          </cell>
        </row>
        <row r="183">
          <cell r="A183">
            <v>200</v>
          </cell>
          <cell r="B183">
            <v>8</v>
          </cell>
          <cell r="C183">
            <v>20</v>
          </cell>
          <cell r="D183">
            <v>8.625</v>
          </cell>
          <cell r="E183">
            <v>0.25</v>
          </cell>
          <cell r="F183">
            <v>8.125</v>
          </cell>
        </row>
        <row r="184">
          <cell r="A184">
            <v>200</v>
          </cell>
          <cell r="B184">
            <v>8</v>
          </cell>
          <cell r="C184">
            <v>30</v>
          </cell>
          <cell r="D184">
            <v>8.625</v>
          </cell>
          <cell r="E184">
            <v>0.27700000000000002</v>
          </cell>
          <cell r="F184">
            <v>8.0709999999999997</v>
          </cell>
        </row>
        <row r="185">
          <cell r="A185">
            <v>200</v>
          </cell>
          <cell r="B185">
            <v>8</v>
          </cell>
          <cell r="C185" t="str">
            <v>STD</v>
          </cell>
          <cell r="D185">
            <v>8.625</v>
          </cell>
          <cell r="E185">
            <v>0.32200000000000001</v>
          </cell>
          <cell r="F185">
            <v>7.9809999999999999</v>
          </cell>
        </row>
        <row r="186">
          <cell r="A186">
            <v>200</v>
          </cell>
          <cell r="B186">
            <v>8</v>
          </cell>
          <cell r="C186">
            <v>40</v>
          </cell>
          <cell r="D186">
            <v>8.625</v>
          </cell>
          <cell r="E186">
            <v>0.32200000000000001</v>
          </cell>
          <cell r="F186">
            <v>7.9809999999999999</v>
          </cell>
        </row>
        <row r="187">
          <cell r="A187">
            <v>200</v>
          </cell>
          <cell r="B187">
            <v>8</v>
          </cell>
          <cell r="C187" t="str">
            <v>40S</v>
          </cell>
          <cell r="D187">
            <v>8.625</v>
          </cell>
          <cell r="E187">
            <v>0.32200000000000001</v>
          </cell>
          <cell r="F187">
            <v>7.9809999999999999</v>
          </cell>
        </row>
        <row r="188">
          <cell r="A188">
            <v>200</v>
          </cell>
          <cell r="B188">
            <v>8</v>
          </cell>
          <cell r="C188">
            <v>60</v>
          </cell>
          <cell r="D188">
            <v>8.625</v>
          </cell>
          <cell r="E188">
            <v>0.40600000000000003</v>
          </cell>
          <cell r="F188">
            <v>7.8129999999999997</v>
          </cell>
        </row>
        <row r="189">
          <cell r="A189">
            <v>200</v>
          </cell>
          <cell r="B189">
            <v>8</v>
          </cell>
          <cell r="C189" t="str">
            <v>80S</v>
          </cell>
          <cell r="D189">
            <v>8.625</v>
          </cell>
          <cell r="E189">
            <v>0.5</v>
          </cell>
          <cell r="F189">
            <v>7.625</v>
          </cell>
        </row>
        <row r="190">
          <cell r="A190">
            <v>200</v>
          </cell>
          <cell r="B190">
            <v>8</v>
          </cell>
          <cell r="C190" t="str">
            <v>XS</v>
          </cell>
          <cell r="D190">
            <v>8.625</v>
          </cell>
          <cell r="E190">
            <v>0.5</v>
          </cell>
          <cell r="F190">
            <v>7.625</v>
          </cell>
        </row>
        <row r="191">
          <cell r="A191">
            <v>200</v>
          </cell>
          <cell r="B191">
            <v>8</v>
          </cell>
          <cell r="C191">
            <v>80</v>
          </cell>
          <cell r="D191">
            <v>8.625</v>
          </cell>
          <cell r="E191">
            <v>0.5</v>
          </cell>
          <cell r="F191">
            <v>7.625</v>
          </cell>
        </row>
        <row r="192">
          <cell r="A192">
            <v>200</v>
          </cell>
          <cell r="B192">
            <v>8</v>
          </cell>
          <cell r="C192">
            <v>100</v>
          </cell>
          <cell r="D192">
            <v>8.625</v>
          </cell>
          <cell r="E192">
            <v>0.59399999999999997</v>
          </cell>
          <cell r="F192">
            <v>7.4370000000000003</v>
          </cell>
        </row>
        <row r="193">
          <cell r="A193">
            <v>200</v>
          </cell>
          <cell r="B193">
            <v>8</v>
          </cell>
          <cell r="C193">
            <v>120</v>
          </cell>
          <cell r="D193">
            <v>8.625</v>
          </cell>
          <cell r="E193">
            <v>0.71899999999999997</v>
          </cell>
          <cell r="F193">
            <v>7.1870000000000003</v>
          </cell>
        </row>
        <row r="194">
          <cell r="A194">
            <v>200</v>
          </cell>
          <cell r="B194">
            <v>8</v>
          </cell>
          <cell r="C194">
            <v>140</v>
          </cell>
          <cell r="D194">
            <v>8.625</v>
          </cell>
          <cell r="E194">
            <v>0.81200000000000006</v>
          </cell>
          <cell r="F194">
            <v>7.0010000000000003</v>
          </cell>
        </row>
        <row r="195">
          <cell r="A195">
            <v>200</v>
          </cell>
          <cell r="B195">
            <v>8</v>
          </cell>
          <cell r="C195" t="str">
            <v>XXS</v>
          </cell>
          <cell r="D195">
            <v>8.625</v>
          </cell>
          <cell r="E195">
            <v>0.875</v>
          </cell>
          <cell r="F195">
            <v>6.875</v>
          </cell>
        </row>
        <row r="196">
          <cell r="A196">
            <v>200</v>
          </cell>
          <cell r="B196">
            <v>8</v>
          </cell>
          <cell r="C196">
            <v>160</v>
          </cell>
          <cell r="D196">
            <v>8.625</v>
          </cell>
          <cell r="E196">
            <v>0.90600000000000003</v>
          </cell>
          <cell r="F196">
            <v>6.8129999999999997</v>
          </cell>
        </row>
        <row r="197">
          <cell r="A197">
            <v>250</v>
          </cell>
          <cell r="B197">
            <v>10</v>
          </cell>
          <cell r="C197">
            <v>0</v>
          </cell>
          <cell r="D197">
            <v>0</v>
          </cell>
          <cell r="E197">
            <v>0</v>
          </cell>
        </row>
        <row r="198">
          <cell r="A198">
            <v>250</v>
          </cell>
          <cell r="B198">
            <v>10</v>
          </cell>
          <cell r="C198" t="str">
            <v>5S</v>
          </cell>
          <cell r="D198">
            <v>10.75</v>
          </cell>
          <cell r="E198">
            <v>0.13400000000000001</v>
          </cell>
          <cell r="F198">
            <v>10.481999999999999</v>
          </cell>
        </row>
        <row r="199">
          <cell r="A199">
            <v>250</v>
          </cell>
          <cell r="B199">
            <v>10</v>
          </cell>
          <cell r="C199" t="str">
            <v>10S</v>
          </cell>
          <cell r="D199">
            <v>10.75</v>
          </cell>
          <cell r="E199">
            <v>0.16500000000000001</v>
          </cell>
          <cell r="F199">
            <v>10.42</v>
          </cell>
        </row>
        <row r="200">
          <cell r="A200">
            <v>250</v>
          </cell>
          <cell r="B200">
            <v>10</v>
          </cell>
          <cell r="C200">
            <v>20</v>
          </cell>
          <cell r="D200">
            <v>10.75</v>
          </cell>
          <cell r="E200">
            <v>0.25</v>
          </cell>
          <cell r="F200">
            <v>10.25</v>
          </cell>
        </row>
        <row r="201">
          <cell r="A201">
            <v>250</v>
          </cell>
          <cell r="B201">
            <v>10</v>
          </cell>
          <cell r="C201">
            <v>30</v>
          </cell>
          <cell r="D201">
            <v>10.75</v>
          </cell>
          <cell r="E201">
            <v>0.307</v>
          </cell>
          <cell r="F201">
            <v>10.135999999999999</v>
          </cell>
        </row>
        <row r="202">
          <cell r="A202">
            <v>250</v>
          </cell>
          <cell r="B202">
            <v>10</v>
          </cell>
          <cell r="C202" t="str">
            <v>STD</v>
          </cell>
          <cell r="D202">
            <v>10.75</v>
          </cell>
          <cell r="E202">
            <v>0.36499999999999999</v>
          </cell>
          <cell r="F202">
            <v>10.02</v>
          </cell>
        </row>
        <row r="203">
          <cell r="A203">
            <v>250</v>
          </cell>
          <cell r="B203">
            <v>10</v>
          </cell>
          <cell r="C203">
            <v>40</v>
          </cell>
          <cell r="D203">
            <v>10.75</v>
          </cell>
          <cell r="E203">
            <v>0.36499999999999999</v>
          </cell>
          <cell r="F203">
            <v>10.02</v>
          </cell>
        </row>
        <row r="204">
          <cell r="A204">
            <v>250</v>
          </cell>
          <cell r="B204">
            <v>10</v>
          </cell>
          <cell r="C204" t="str">
            <v>40S</v>
          </cell>
          <cell r="D204">
            <v>10.75</v>
          </cell>
          <cell r="E204">
            <v>0.36499999999999999</v>
          </cell>
          <cell r="F204">
            <v>10.02</v>
          </cell>
        </row>
        <row r="205">
          <cell r="A205">
            <v>250</v>
          </cell>
          <cell r="B205">
            <v>10</v>
          </cell>
          <cell r="C205" t="str">
            <v>80S</v>
          </cell>
          <cell r="D205">
            <v>10.75</v>
          </cell>
          <cell r="E205">
            <v>0.5</v>
          </cell>
          <cell r="F205">
            <v>9.75</v>
          </cell>
        </row>
        <row r="206">
          <cell r="A206">
            <v>250</v>
          </cell>
          <cell r="B206">
            <v>10</v>
          </cell>
          <cell r="C206" t="str">
            <v>XS</v>
          </cell>
          <cell r="D206">
            <v>10.75</v>
          </cell>
          <cell r="E206">
            <v>0.5</v>
          </cell>
          <cell r="F206">
            <v>9.75</v>
          </cell>
        </row>
        <row r="207">
          <cell r="A207">
            <v>250</v>
          </cell>
          <cell r="B207">
            <v>10</v>
          </cell>
          <cell r="C207">
            <v>60</v>
          </cell>
          <cell r="D207">
            <v>10.75</v>
          </cell>
          <cell r="E207">
            <v>0.5</v>
          </cell>
          <cell r="F207">
            <v>9.75</v>
          </cell>
        </row>
        <row r="208">
          <cell r="A208">
            <v>250</v>
          </cell>
          <cell r="B208">
            <v>10</v>
          </cell>
          <cell r="C208">
            <v>80</v>
          </cell>
          <cell r="D208">
            <v>10.75</v>
          </cell>
          <cell r="E208">
            <v>0.59399999999999997</v>
          </cell>
          <cell r="F208">
            <v>9.5619999999999994</v>
          </cell>
        </row>
        <row r="209">
          <cell r="A209">
            <v>250</v>
          </cell>
          <cell r="B209">
            <v>10</v>
          </cell>
          <cell r="C209">
            <v>100</v>
          </cell>
          <cell r="D209">
            <v>10.75</v>
          </cell>
          <cell r="E209">
            <v>0.71899999999999997</v>
          </cell>
          <cell r="F209">
            <v>9.3119999999999994</v>
          </cell>
        </row>
        <row r="210">
          <cell r="A210">
            <v>250</v>
          </cell>
          <cell r="B210">
            <v>10</v>
          </cell>
          <cell r="C210">
            <v>120</v>
          </cell>
          <cell r="D210">
            <v>10.75</v>
          </cell>
          <cell r="E210">
            <v>0.84399999999999997</v>
          </cell>
          <cell r="F210">
            <v>9.0619999999999994</v>
          </cell>
        </row>
        <row r="211">
          <cell r="A211">
            <v>250</v>
          </cell>
          <cell r="B211">
            <v>10</v>
          </cell>
          <cell r="C211" t="str">
            <v>XXS</v>
          </cell>
          <cell r="D211">
            <v>10.75</v>
          </cell>
          <cell r="E211">
            <v>1</v>
          </cell>
          <cell r="F211">
            <v>8.75</v>
          </cell>
        </row>
        <row r="212">
          <cell r="A212">
            <v>250</v>
          </cell>
          <cell r="B212">
            <v>10</v>
          </cell>
          <cell r="C212">
            <v>140</v>
          </cell>
          <cell r="D212">
            <v>10.75</v>
          </cell>
          <cell r="E212">
            <v>1</v>
          </cell>
          <cell r="F212">
            <v>8.75</v>
          </cell>
        </row>
        <row r="213">
          <cell r="A213">
            <v>250</v>
          </cell>
          <cell r="B213">
            <v>10</v>
          </cell>
          <cell r="C213">
            <v>160</v>
          </cell>
          <cell r="D213">
            <v>10.75</v>
          </cell>
          <cell r="E213">
            <v>1.125</v>
          </cell>
          <cell r="F213">
            <v>8.5</v>
          </cell>
        </row>
        <row r="214">
          <cell r="A214">
            <v>300</v>
          </cell>
          <cell r="B214">
            <v>12</v>
          </cell>
          <cell r="C214">
            <v>0</v>
          </cell>
          <cell r="D214">
            <v>0</v>
          </cell>
          <cell r="E214">
            <v>0</v>
          </cell>
        </row>
        <row r="215">
          <cell r="A215">
            <v>300</v>
          </cell>
          <cell r="B215">
            <v>12</v>
          </cell>
          <cell r="C215" t="str">
            <v>5S</v>
          </cell>
          <cell r="D215">
            <v>12.75</v>
          </cell>
          <cell r="E215">
            <v>0.156</v>
          </cell>
          <cell r="F215">
            <v>12.438000000000001</v>
          </cell>
        </row>
        <row r="216">
          <cell r="A216">
            <v>300</v>
          </cell>
          <cell r="B216">
            <v>12</v>
          </cell>
          <cell r="C216" t="str">
            <v>10S</v>
          </cell>
          <cell r="D216">
            <v>12.75</v>
          </cell>
          <cell r="E216">
            <v>0.18</v>
          </cell>
          <cell r="F216">
            <v>12.39</v>
          </cell>
        </row>
        <row r="217">
          <cell r="A217">
            <v>300</v>
          </cell>
          <cell r="B217">
            <v>12</v>
          </cell>
          <cell r="C217">
            <v>20</v>
          </cell>
          <cell r="D217">
            <v>12.75</v>
          </cell>
          <cell r="E217">
            <v>0.25</v>
          </cell>
          <cell r="F217">
            <v>12.25</v>
          </cell>
        </row>
        <row r="218">
          <cell r="A218">
            <v>300</v>
          </cell>
          <cell r="B218">
            <v>12</v>
          </cell>
          <cell r="C218">
            <v>30</v>
          </cell>
          <cell r="D218">
            <v>12.75</v>
          </cell>
          <cell r="E218">
            <v>0.33</v>
          </cell>
          <cell r="F218">
            <v>12.09</v>
          </cell>
        </row>
        <row r="219">
          <cell r="A219">
            <v>300</v>
          </cell>
          <cell r="B219">
            <v>12</v>
          </cell>
          <cell r="C219" t="str">
            <v>STD</v>
          </cell>
          <cell r="D219">
            <v>12.75</v>
          </cell>
          <cell r="E219">
            <v>0.375</v>
          </cell>
          <cell r="F219">
            <v>12</v>
          </cell>
        </row>
        <row r="220">
          <cell r="A220">
            <v>300</v>
          </cell>
          <cell r="B220">
            <v>12</v>
          </cell>
          <cell r="C220" t="str">
            <v>40S</v>
          </cell>
          <cell r="D220">
            <v>12.75</v>
          </cell>
          <cell r="E220">
            <v>0.375</v>
          </cell>
          <cell r="F220">
            <v>12</v>
          </cell>
        </row>
        <row r="221">
          <cell r="A221">
            <v>300</v>
          </cell>
          <cell r="B221">
            <v>12</v>
          </cell>
          <cell r="C221">
            <v>40</v>
          </cell>
          <cell r="D221">
            <v>12.75</v>
          </cell>
          <cell r="E221">
            <v>0.40600000000000003</v>
          </cell>
          <cell r="F221">
            <v>11.938000000000001</v>
          </cell>
        </row>
        <row r="222">
          <cell r="A222">
            <v>300</v>
          </cell>
          <cell r="B222">
            <v>12</v>
          </cell>
          <cell r="C222" t="str">
            <v>80S</v>
          </cell>
          <cell r="D222">
            <v>12.75</v>
          </cell>
          <cell r="E222">
            <v>0.5</v>
          </cell>
          <cell r="F222">
            <v>11.75</v>
          </cell>
        </row>
        <row r="223">
          <cell r="A223">
            <v>300</v>
          </cell>
          <cell r="B223">
            <v>12</v>
          </cell>
          <cell r="C223" t="str">
            <v>XS</v>
          </cell>
          <cell r="D223">
            <v>12.75</v>
          </cell>
          <cell r="E223">
            <v>0.5</v>
          </cell>
          <cell r="F223">
            <v>11.75</v>
          </cell>
        </row>
        <row r="224">
          <cell r="A224">
            <v>300</v>
          </cell>
          <cell r="B224">
            <v>12</v>
          </cell>
          <cell r="C224">
            <v>60</v>
          </cell>
          <cell r="D224">
            <v>12.75</v>
          </cell>
          <cell r="E224">
            <v>0.56200000000000006</v>
          </cell>
          <cell r="F224">
            <v>11.625999999999999</v>
          </cell>
        </row>
        <row r="225">
          <cell r="A225">
            <v>300</v>
          </cell>
          <cell r="B225">
            <v>12</v>
          </cell>
          <cell r="C225">
            <v>80</v>
          </cell>
          <cell r="D225">
            <v>12.75</v>
          </cell>
          <cell r="E225">
            <v>0.68799999999999994</v>
          </cell>
          <cell r="F225">
            <v>11.374000000000001</v>
          </cell>
        </row>
        <row r="226">
          <cell r="A226">
            <v>300</v>
          </cell>
          <cell r="B226">
            <v>12</v>
          </cell>
          <cell r="C226">
            <v>100</v>
          </cell>
          <cell r="D226">
            <v>12.75</v>
          </cell>
          <cell r="E226">
            <v>0.84399999999999997</v>
          </cell>
          <cell r="F226">
            <v>11.061999999999999</v>
          </cell>
        </row>
        <row r="227">
          <cell r="A227">
            <v>300</v>
          </cell>
          <cell r="B227">
            <v>12</v>
          </cell>
          <cell r="C227" t="str">
            <v>XXS</v>
          </cell>
          <cell r="D227">
            <v>12.75</v>
          </cell>
          <cell r="E227">
            <v>1</v>
          </cell>
          <cell r="F227">
            <v>10.75</v>
          </cell>
        </row>
        <row r="228">
          <cell r="A228">
            <v>300</v>
          </cell>
          <cell r="B228">
            <v>12</v>
          </cell>
          <cell r="C228">
            <v>120</v>
          </cell>
          <cell r="D228">
            <v>12.75</v>
          </cell>
          <cell r="E228">
            <v>1</v>
          </cell>
          <cell r="F228">
            <v>10.75</v>
          </cell>
        </row>
        <row r="229">
          <cell r="A229">
            <v>300</v>
          </cell>
          <cell r="B229">
            <v>12</v>
          </cell>
          <cell r="C229">
            <v>140</v>
          </cell>
          <cell r="D229">
            <v>12.75</v>
          </cell>
          <cell r="E229">
            <v>1.125</v>
          </cell>
          <cell r="F229">
            <v>10.5</v>
          </cell>
        </row>
        <row r="230">
          <cell r="A230">
            <v>300</v>
          </cell>
          <cell r="B230">
            <v>12</v>
          </cell>
          <cell r="C230">
            <v>160</v>
          </cell>
          <cell r="D230">
            <v>12.75</v>
          </cell>
          <cell r="E230">
            <v>1.3120000000000001</v>
          </cell>
          <cell r="F230">
            <v>10.125999999999999</v>
          </cell>
        </row>
        <row r="231">
          <cell r="A231">
            <v>350</v>
          </cell>
          <cell r="B231">
            <v>14</v>
          </cell>
          <cell r="C231">
            <v>0</v>
          </cell>
          <cell r="D231">
            <v>0</v>
          </cell>
          <cell r="E231">
            <v>0</v>
          </cell>
        </row>
        <row r="232">
          <cell r="A232">
            <v>350</v>
          </cell>
          <cell r="B232">
            <v>14</v>
          </cell>
          <cell r="C232" t="str">
            <v>5S</v>
          </cell>
          <cell r="D232">
            <v>14</v>
          </cell>
          <cell r="E232">
            <v>0.156</v>
          </cell>
          <cell r="F232">
            <v>13.688000000000001</v>
          </cell>
        </row>
        <row r="233">
          <cell r="A233">
            <v>350</v>
          </cell>
          <cell r="B233">
            <v>14</v>
          </cell>
          <cell r="C233" t="str">
            <v>10S</v>
          </cell>
          <cell r="D233">
            <v>14</v>
          </cell>
          <cell r="E233">
            <v>0.188</v>
          </cell>
          <cell r="F233">
            <v>13.624000000000001</v>
          </cell>
        </row>
        <row r="234">
          <cell r="A234">
            <v>350</v>
          </cell>
          <cell r="B234">
            <v>14</v>
          </cell>
          <cell r="C234">
            <v>10</v>
          </cell>
          <cell r="D234">
            <v>14</v>
          </cell>
          <cell r="E234">
            <v>0.25</v>
          </cell>
          <cell r="F234">
            <v>13.5</v>
          </cell>
        </row>
        <row r="235">
          <cell r="A235">
            <v>350</v>
          </cell>
          <cell r="B235">
            <v>14</v>
          </cell>
          <cell r="C235">
            <v>20</v>
          </cell>
          <cell r="D235">
            <v>14</v>
          </cell>
          <cell r="E235">
            <v>0.312</v>
          </cell>
          <cell r="F235">
            <v>13.375999999999999</v>
          </cell>
        </row>
        <row r="236">
          <cell r="A236">
            <v>350</v>
          </cell>
          <cell r="B236">
            <v>14</v>
          </cell>
          <cell r="C236" t="str">
            <v>STD</v>
          </cell>
          <cell r="D236">
            <v>14</v>
          </cell>
          <cell r="E236">
            <v>0.375</v>
          </cell>
          <cell r="F236">
            <v>13.25</v>
          </cell>
        </row>
        <row r="237">
          <cell r="A237">
            <v>350</v>
          </cell>
          <cell r="B237">
            <v>14</v>
          </cell>
          <cell r="C237">
            <v>30</v>
          </cell>
          <cell r="D237">
            <v>14</v>
          </cell>
          <cell r="E237">
            <v>0.375</v>
          </cell>
          <cell r="F237">
            <v>13.25</v>
          </cell>
        </row>
        <row r="238">
          <cell r="A238">
            <v>350</v>
          </cell>
          <cell r="B238">
            <v>14</v>
          </cell>
          <cell r="C238">
            <v>40</v>
          </cell>
          <cell r="D238">
            <v>14</v>
          </cell>
          <cell r="E238">
            <v>0.438</v>
          </cell>
          <cell r="F238">
            <v>13.124000000000001</v>
          </cell>
        </row>
        <row r="239">
          <cell r="A239">
            <v>350</v>
          </cell>
          <cell r="B239">
            <v>14</v>
          </cell>
          <cell r="C239" t="str">
            <v>XS</v>
          </cell>
          <cell r="D239">
            <v>14</v>
          </cell>
          <cell r="E239">
            <v>0.5</v>
          </cell>
          <cell r="F239">
            <v>13</v>
          </cell>
        </row>
        <row r="240">
          <cell r="A240">
            <v>350</v>
          </cell>
          <cell r="B240">
            <v>14</v>
          </cell>
          <cell r="C240">
            <v>60</v>
          </cell>
          <cell r="D240">
            <v>14</v>
          </cell>
          <cell r="E240">
            <v>0.59399999999999997</v>
          </cell>
          <cell r="F240">
            <v>12.811999999999999</v>
          </cell>
        </row>
        <row r="241">
          <cell r="A241">
            <v>350</v>
          </cell>
          <cell r="B241">
            <v>14</v>
          </cell>
          <cell r="C241">
            <v>80</v>
          </cell>
          <cell r="D241">
            <v>14</v>
          </cell>
          <cell r="E241">
            <v>0.75</v>
          </cell>
          <cell r="F241">
            <v>12.5</v>
          </cell>
        </row>
        <row r="242">
          <cell r="A242">
            <v>350</v>
          </cell>
          <cell r="B242">
            <v>14</v>
          </cell>
          <cell r="C242">
            <v>100</v>
          </cell>
          <cell r="D242">
            <v>14</v>
          </cell>
          <cell r="E242">
            <v>0.93799999999999994</v>
          </cell>
          <cell r="F242">
            <v>12.124000000000001</v>
          </cell>
        </row>
        <row r="243">
          <cell r="A243">
            <v>350</v>
          </cell>
          <cell r="B243">
            <v>14</v>
          </cell>
          <cell r="C243">
            <v>120</v>
          </cell>
          <cell r="D243">
            <v>14</v>
          </cell>
          <cell r="E243">
            <v>1.0940000000000001</v>
          </cell>
          <cell r="F243">
            <v>11.811999999999999</v>
          </cell>
        </row>
        <row r="244">
          <cell r="A244">
            <v>350</v>
          </cell>
          <cell r="B244">
            <v>14</v>
          </cell>
          <cell r="C244">
            <v>140</v>
          </cell>
          <cell r="D244">
            <v>14</v>
          </cell>
          <cell r="E244">
            <v>1.25</v>
          </cell>
          <cell r="F244">
            <v>11.5</v>
          </cell>
        </row>
        <row r="245">
          <cell r="A245">
            <v>350</v>
          </cell>
          <cell r="B245">
            <v>14</v>
          </cell>
          <cell r="C245">
            <v>160</v>
          </cell>
          <cell r="D245">
            <v>14</v>
          </cell>
          <cell r="E245">
            <v>1.4059999999999999</v>
          </cell>
          <cell r="F245">
            <v>11.188000000000001</v>
          </cell>
        </row>
        <row r="246">
          <cell r="A246">
            <v>400</v>
          </cell>
          <cell r="B246">
            <v>16</v>
          </cell>
          <cell r="C246">
            <v>0</v>
          </cell>
          <cell r="D246">
            <v>0</v>
          </cell>
          <cell r="E246">
            <v>0</v>
          </cell>
        </row>
        <row r="247">
          <cell r="A247">
            <v>400</v>
          </cell>
          <cell r="B247">
            <v>16</v>
          </cell>
          <cell r="C247" t="str">
            <v>5S</v>
          </cell>
          <cell r="D247">
            <v>16</v>
          </cell>
          <cell r="E247">
            <v>0.16500000000000001</v>
          </cell>
          <cell r="F247">
            <v>15.67</v>
          </cell>
        </row>
        <row r="248">
          <cell r="A248">
            <v>400</v>
          </cell>
          <cell r="B248">
            <v>16</v>
          </cell>
          <cell r="C248" t="str">
            <v>10S</v>
          </cell>
          <cell r="D248">
            <v>16</v>
          </cell>
          <cell r="E248">
            <v>0.188</v>
          </cell>
          <cell r="F248">
            <v>15.624000000000001</v>
          </cell>
        </row>
        <row r="249">
          <cell r="A249">
            <v>400</v>
          </cell>
          <cell r="B249">
            <v>16</v>
          </cell>
          <cell r="C249">
            <v>10</v>
          </cell>
          <cell r="D249">
            <v>16</v>
          </cell>
          <cell r="E249">
            <v>0.25</v>
          </cell>
          <cell r="F249">
            <v>15.5</v>
          </cell>
        </row>
        <row r="250">
          <cell r="A250">
            <v>400</v>
          </cell>
          <cell r="B250">
            <v>16</v>
          </cell>
          <cell r="C250">
            <v>20</v>
          </cell>
          <cell r="D250">
            <v>16</v>
          </cell>
          <cell r="E250">
            <v>0.312</v>
          </cell>
          <cell r="F250">
            <v>15.375999999999999</v>
          </cell>
        </row>
        <row r="251">
          <cell r="A251">
            <v>400</v>
          </cell>
          <cell r="B251">
            <v>16</v>
          </cell>
          <cell r="C251" t="str">
            <v>STD</v>
          </cell>
          <cell r="D251">
            <v>16</v>
          </cell>
          <cell r="E251">
            <v>0.375</v>
          </cell>
          <cell r="F251">
            <v>15.25</v>
          </cell>
        </row>
        <row r="252">
          <cell r="A252">
            <v>400</v>
          </cell>
          <cell r="B252">
            <v>16</v>
          </cell>
          <cell r="C252">
            <v>30</v>
          </cell>
          <cell r="D252">
            <v>16</v>
          </cell>
          <cell r="E252">
            <v>0.375</v>
          </cell>
          <cell r="F252">
            <v>15.25</v>
          </cell>
        </row>
        <row r="253">
          <cell r="A253">
            <v>400</v>
          </cell>
          <cell r="B253">
            <v>16</v>
          </cell>
          <cell r="C253" t="str">
            <v>XS</v>
          </cell>
          <cell r="D253">
            <v>16</v>
          </cell>
          <cell r="E253">
            <v>0.5</v>
          </cell>
          <cell r="F253">
            <v>15</v>
          </cell>
        </row>
        <row r="254">
          <cell r="A254">
            <v>400</v>
          </cell>
          <cell r="B254">
            <v>16</v>
          </cell>
          <cell r="C254">
            <v>40</v>
          </cell>
          <cell r="D254">
            <v>16</v>
          </cell>
          <cell r="E254">
            <v>0.5</v>
          </cell>
          <cell r="F254">
            <v>15</v>
          </cell>
        </row>
        <row r="255">
          <cell r="A255">
            <v>400</v>
          </cell>
          <cell r="B255">
            <v>16</v>
          </cell>
          <cell r="C255">
            <v>60</v>
          </cell>
          <cell r="D255">
            <v>16</v>
          </cell>
          <cell r="E255">
            <v>0.65600000000000003</v>
          </cell>
          <cell r="F255">
            <v>14.688000000000001</v>
          </cell>
        </row>
        <row r="256">
          <cell r="A256">
            <v>400</v>
          </cell>
          <cell r="B256">
            <v>16</v>
          </cell>
          <cell r="C256">
            <v>80</v>
          </cell>
          <cell r="D256">
            <v>16</v>
          </cell>
          <cell r="E256">
            <v>0.84399999999999997</v>
          </cell>
          <cell r="F256">
            <v>14.311999999999999</v>
          </cell>
        </row>
        <row r="257">
          <cell r="A257">
            <v>400</v>
          </cell>
          <cell r="B257">
            <v>16</v>
          </cell>
          <cell r="C257">
            <v>100</v>
          </cell>
          <cell r="D257">
            <v>16</v>
          </cell>
          <cell r="E257">
            <v>1.0309999999999999</v>
          </cell>
          <cell r="F257">
            <v>13.938000000000001</v>
          </cell>
        </row>
        <row r="258">
          <cell r="A258">
            <v>400</v>
          </cell>
          <cell r="B258">
            <v>16</v>
          </cell>
          <cell r="C258">
            <v>120</v>
          </cell>
          <cell r="D258">
            <v>16</v>
          </cell>
          <cell r="E258">
            <v>1.2190000000000001</v>
          </cell>
          <cell r="F258">
            <v>13.561999999999999</v>
          </cell>
        </row>
        <row r="259">
          <cell r="A259">
            <v>400</v>
          </cell>
          <cell r="B259">
            <v>16</v>
          </cell>
          <cell r="C259">
            <v>140</v>
          </cell>
          <cell r="D259">
            <v>16</v>
          </cell>
          <cell r="E259">
            <v>1.4379999999999999</v>
          </cell>
          <cell r="F259">
            <v>13.124000000000001</v>
          </cell>
        </row>
        <row r="260">
          <cell r="A260">
            <v>400</v>
          </cell>
          <cell r="B260">
            <v>16</v>
          </cell>
          <cell r="C260">
            <v>160</v>
          </cell>
          <cell r="D260">
            <v>16</v>
          </cell>
          <cell r="E260">
            <v>1.5940000000000001</v>
          </cell>
          <cell r="F260">
            <v>12.811999999999999</v>
          </cell>
        </row>
        <row r="261">
          <cell r="A261">
            <v>450</v>
          </cell>
          <cell r="B261">
            <v>18</v>
          </cell>
          <cell r="C261">
            <v>0</v>
          </cell>
          <cell r="D261">
            <v>0</v>
          </cell>
          <cell r="E261">
            <v>0</v>
          </cell>
        </row>
        <row r="262">
          <cell r="A262">
            <v>450</v>
          </cell>
          <cell r="B262">
            <v>18</v>
          </cell>
          <cell r="C262" t="str">
            <v>5S</v>
          </cell>
          <cell r="D262">
            <v>18</v>
          </cell>
          <cell r="E262">
            <v>0.16500000000000001</v>
          </cell>
          <cell r="F262">
            <v>17.670000000000002</v>
          </cell>
        </row>
        <row r="263">
          <cell r="A263">
            <v>450</v>
          </cell>
          <cell r="B263">
            <v>18</v>
          </cell>
          <cell r="C263" t="str">
            <v>10S</v>
          </cell>
          <cell r="D263">
            <v>18</v>
          </cell>
          <cell r="E263">
            <v>0.188</v>
          </cell>
          <cell r="F263">
            <v>17.623999999999999</v>
          </cell>
        </row>
        <row r="264">
          <cell r="A264">
            <v>450</v>
          </cell>
          <cell r="B264">
            <v>18</v>
          </cell>
          <cell r="C264">
            <v>10</v>
          </cell>
          <cell r="D264">
            <v>18</v>
          </cell>
          <cell r="E264">
            <v>0.25</v>
          </cell>
          <cell r="F264">
            <v>17.5</v>
          </cell>
        </row>
        <row r="265">
          <cell r="A265">
            <v>450</v>
          </cell>
          <cell r="B265">
            <v>18</v>
          </cell>
          <cell r="C265">
            <v>20</v>
          </cell>
          <cell r="D265">
            <v>18</v>
          </cell>
          <cell r="E265">
            <v>0.312</v>
          </cell>
          <cell r="F265">
            <v>17.376000000000001</v>
          </cell>
        </row>
        <row r="266">
          <cell r="A266">
            <v>450</v>
          </cell>
          <cell r="B266">
            <v>18</v>
          </cell>
          <cell r="C266" t="str">
            <v>STD</v>
          </cell>
          <cell r="D266">
            <v>18</v>
          </cell>
          <cell r="E266">
            <v>0.375</v>
          </cell>
          <cell r="F266">
            <v>17.25</v>
          </cell>
        </row>
        <row r="267">
          <cell r="A267">
            <v>450</v>
          </cell>
          <cell r="B267">
            <v>18</v>
          </cell>
          <cell r="C267">
            <v>30</v>
          </cell>
          <cell r="D267">
            <v>18</v>
          </cell>
          <cell r="E267">
            <v>0.438</v>
          </cell>
          <cell r="F267">
            <v>17.123999999999999</v>
          </cell>
        </row>
        <row r="268">
          <cell r="A268">
            <v>450</v>
          </cell>
          <cell r="B268">
            <v>18</v>
          </cell>
          <cell r="C268" t="str">
            <v>XS</v>
          </cell>
          <cell r="D268">
            <v>18</v>
          </cell>
          <cell r="E268">
            <v>0.5</v>
          </cell>
          <cell r="F268">
            <v>17</v>
          </cell>
        </row>
        <row r="269">
          <cell r="A269">
            <v>450</v>
          </cell>
          <cell r="B269">
            <v>18</v>
          </cell>
          <cell r="C269">
            <v>40</v>
          </cell>
          <cell r="D269">
            <v>18</v>
          </cell>
          <cell r="E269">
            <v>0.56200000000000006</v>
          </cell>
          <cell r="F269">
            <v>16.876000000000001</v>
          </cell>
        </row>
        <row r="270">
          <cell r="A270">
            <v>450</v>
          </cell>
          <cell r="B270">
            <v>18</v>
          </cell>
          <cell r="C270">
            <v>60</v>
          </cell>
          <cell r="D270">
            <v>18</v>
          </cell>
          <cell r="E270">
            <v>0.75</v>
          </cell>
          <cell r="F270">
            <v>16.5</v>
          </cell>
        </row>
        <row r="271">
          <cell r="A271">
            <v>450</v>
          </cell>
          <cell r="B271">
            <v>18</v>
          </cell>
          <cell r="C271">
            <v>80</v>
          </cell>
          <cell r="D271">
            <v>18</v>
          </cell>
          <cell r="E271">
            <v>0.93799999999999994</v>
          </cell>
          <cell r="F271">
            <v>16.123999999999999</v>
          </cell>
        </row>
        <row r="272">
          <cell r="A272">
            <v>450</v>
          </cell>
          <cell r="B272">
            <v>18</v>
          </cell>
          <cell r="C272">
            <v>100</v>
          </cell>
          <cell r="D272">
            <v>18</v>
          </cell>
          <cell r="E272">
            <v>1.1559999999999999</v>
          </cell>
          <cell r="F272">
            <v>15.688000000000001</v>
          </cell>
        </row>
        <row r="273">
          <cell r="A273">
            <v>450</v>
          </cell>
          <cell r="B273">
            <v>18</v>
          </cell>
          <cell r="C273">
            <v>120</v>
          </cell>
          <cell r="D273">
            <v>18</v>
          </cell>
          <cell r="E273">
            <v>1.375</v>
          </cell>
          <cell r="F273">
            <v>15.25</v>
          </cell>
        </row>
        <row r="274">
          <cell r="A274">
            <v>450</v>
          </cell>
          <cell r="B274">
            <v>18</v>
          </cell>
          <cell r="C274">
            <v>140</v>
          </cell>
          <cell r="D274">
            <v>18</v>
          </cell>
          <cell r="E274">
            <v>1.5620000000000001</v>
          </cell>
          <cell r="F274">
            <v>14.875999999999999</v>
          </cell>
        </row>
        <row r="275">
          <cell r="A275">
            <v>450</v>
          </cell>
          <cell r="B275">
            <v>18</v>
          </cell>
          <cell r="C275">
            <v>160</v>
          </cell>
          <cell r="D275">
            <v>18</v>
          </cell>
          <cell r="E275">
            <v>1.7809999999999999</v>
          </cell>
          <cell r="F275">
            <v>14.438000000000001</v>
          </cell>
        </row>
        <row r="276">
          <cell r="A276">
            <v>500</v>
          </cell>
          <cell r="B276">
            <v>20</v>
          </cell>
          <cell r="C276">
            <v>0</v>
          </cell>
          <cell r="D276">
            <v>0</v>
          </cell>
          <cell r="E276">
            <v>0</v>
          </cell>
        </row>
        <row r="277">
          <cell r="A277">
            <v>500</v>
          </cell>
          <cell r="B277">
            <v>20</v>
          </cell>
          <cell r="C277" t="str">
            <v>5S</v>
          </cell>
          <cell r="D277">
            <v>20</v>
          </cell>
          <cell r="E277">
            <v>0.188</v>
          </cell>
          <cell r="F277">
            <v>19.623999999999999</v>
          </cell>
        </row>
        <row r="278">
          <cell r="A278">
            <v>500</v>
          </cell>
          <cell r="B278">
            <v>20</v>
          </cell>
          <cell r="C278" t="str">
            <v>10S</v>
          </cell>
          <cell r="D278">
            <v>20</v>
          </cell>
          <cell r="E278">
            <v>0.218</v>
          </cell>
          <cell r="F278">
            <v>190564</v>
          </cell>
        </row>
        <row r="279">
          <cell r="A279">
            <v>500</v>
          </cell>
          <cell r="B279">
            <v>20</v>
          </cell>
          <cell r="C279">
            <v>10</v>
          </cell>
          <cell r="D279">
            <v>20</v>
          </cell>
          <cell r="E279">
            <v>0.25</v>
          </cell>
          <cell r="F279">
            <v>19.5</v>
          </cell>
        </row>
        <row r="280">
          <cell r="A280">
            <v>500</v>
          </cell>
          <cell r="B280">
            <v>20</v>
          </cell>
          <cell r="C280" t="str">
            <v>STD</v>
          </cell>
          <cell r="D280">
            <v>20</v>
          </cell>
          <cell r="E280">
            <v>0.375</v>
          </cell>
          <cell r="F280">
            <v>19.25</v>
          </cell>
        </row>
        <row r="281">
          <cell r="A281">
            <v>500</v>
          </cell>
          <cell r="B281">
            <v>20</v>
          </cell>
          <cell r="C281">
            <v>20</v>
          </cell>
          <cell r="D281">
            <v>20</v>
          </cell>
          <cell r="E281">
            <v>0.375</v>
          </cell>
          <cell r="F281">
            <v>19.25</v>
          </cell>
        </row>
        <row r="282">
          <cell r="A282">
            <v>500</v>
          </cell>
          <cell r="B282">
            <v>20</v>
          </cell>
          <cell r="C282" t="str">
            <v>XS</v>
          </cell>
          <cell r="D282">
            <v>20</v>
          </cell>
          <cell r="E282">
            <v>0.5</v>
          </cell>
          <cell r="F282">
            <v>19</v>
          </cell>
        </row>
        <row r="283">
          <cell r="A283">
            <v>500</v>
          </cell>
          <cell r="B283">
            <v>20</v>
          </cell>
          <cell r="C283">
            <v>30</v>
          </cell>
          <cell r="D283">
            <v>20</v>
          </cell>
          <cell r="E283">
            <v>0.5</v>
          </cell>
          <cell r="F283">
            <v>19</v>
          </cell>
        </row>
        <row r="284">
          <cell r="A284">
            <v>500</v>
          </cell>
          <cell r="B284">
            <v>20</v>
          </cell>
          <cell r="C284">
            <v>40</v>
          </cell>
          <cell r="D284">
            <v>20</v>
          </cell>
          <cell r="E284">
            <v>0.59399999999999997</v>
          </cell>
          <cell r="F284">
            <v>18.812000000000001</v>
          </cell>
        </row>
        <row r="285">
          <cell r="A285">
            <v>500</v>
          </cell>
          <cell r="B285">
            <v>20</v>
          </cell>
          <cell r="C285">
            <v>60</v>
          </cell>
          <cell r="D285">
            <v>20</v>
          </cell>
          <cell r="E285">
            <v>0.81200000000000006</v>
          </cell>
          <cell r="F285">
            <v>18.376000000000001</v>
          </cell>
        </row>
        <row r="286">
          <cell r="A286">
            <v>500</v>
          </cell>
          <cell r="B286">
            <v>20</v>
          </cell>
          <cell r="C286">
            <v>80</v>
          </cell>
          <cell r="D286">
            <v>20</v>
          </cell>
          <cell r="E286">
            <v>1.0309999999999999</v>
          </cell>
          <cell r="F286">
            <v>17.937999999999999</v>
          </cell>
        </row>
        <row r="287">
          <cell r="A287">
            <v>500</v>
          </cell>
          <cell r="B287">
            <v>20</v>
          </cell>
          <cell r="C287">
            <v>100</v>
          </cell>
          <cell r="D287">
            <v>20</v>
          </cell>
          <cell r="E287">
            <v>1.2809999999999999</v>
          </cell>
          <cell r="F287">
            <v>17.437999999999999</v>
          </cell>
        </row>
        <row r="288">
          <cell r="A288">
            <v>500</v>
          </cell>
          <cell r="B288">
            <v>20</v>
          </cell>
          <cell r="C288">
            <v>120</v>
          </cell>
          <cell r="D288">
            <v>20</v>
          </cell>
          <cell r="E288">
            <v>1.5</v>
          </cell>
          <cell r="F288">
            <v>17</v>
          </cell>
        </row>
        <row r="289">
          <cell r="A289">
            <v>500</v>
          </cell>
          <cell r="B289">
            <v>20</v>
          </cell>
          <cell r="C289">
            <v>140</v>
          </cell>
          <cell r="D289">
            <v>20</v>
          </cell>
          <cell r="E289">
            <v>1.75</v>
          </cell>
          <cell r="F289">
            <v>16.5</v>
          </cell>
        </row>
        <row r="290">
          <cell r="A290">
            <v>500</v>
          </cell>
          <cell r="B290">
            <v>20</v>
          </cell>
          <cell r="C290">
            <v>160</v>
          </cell>
          <cell r="D290">
            <v>20</v>
          </cell>
          <cell r="E290">
            <v>1.9690000000000001</v>
          </cell>
          <cell r="F290">
            <v>16.062000000000001</v>
          </cell>
        </row>
        <row r="291">
          <cell r="A291">
            <v>550</v>
          </cell>
          <cell r="B291">
            <v>22</v>
          </cell>
          <cell r="C291">
            <v>0</v>
          </cell>
          <cell r="D291">
            <v>0</v>
          </cell>
          <cell r="E291">
            <v>0</v>
          </cell>
        </row>
        <row r="292">
          <cell r="A292">
            <v>550</v>
          </cell>
          <cell r="B292">
            <v>22</v>
          </cell>
          <cell r="C292" t="str">
            <v>5S</v>
          </cell>
          <cell r="D292">
            <v>22</v>
          </cell>
          <cell r="E292">
            <v>0.188</v>
          </cell>
          <cell r="F292">
            <v>21.623999999999999</v>
          </cell>
        </row>
        <row r="293">
          <cell r="A293">
            <v>550</v>
          </cell>
          <cell r="B293">
            <v>22</v>
          </cell>
          <cell r="C293" t="str">
            <v>10S</v>
          </cell>
          <cell r="D293">
            <v>22</v>
          </cell>
          <cell r="E293">
            <v>0.218</v>
          </cell>
          <cell r="F293">
            <v>21.564</v>
          </cell>
        </row>
        <row r="294">
          <cell r="A294">
            <v>550</v>
          </cell>
          <cell r="B294">
            <v>22</v>
          </cell>
          <cell r="C294">
            <v>10</v>
          </cell>
          <cell r="D294">
            <v>22</v>
          </cell>
          <cell r="E294">
            <v>0.25</v>
          </cell>
          <cell r="F294">
            <v>21.5</v>
          </cell>
        </row>
        <row r="295">
          <cell r="A295">
            <v>550</v>
          </cell>
          <cell r="B295">
            <v>22</v>
          </cell>
          <cell r="C295" t="str">
            <v>STD</v>
          </cell>
          <cell r="D295">
            <v>22</v>
          </cell>
          <cell r="E295">
            <v>0.375</v>
          </cell>
          <cell r="F295">
            <v>21.25</v>
          </cell>
        </row>
        <row r="296">
          <cell r="A296">
            <v>550</v>
          </cell>
          <cell r="B296">
            <v>22</v>
          </cell>
          <cell r="C296">
            <v>20</v>
          </cell>
          <cell r="D296">
            <v>22</v>
          </cell>
          <cell r="E296">
            <v>0.375</v>
          </cell>
          <cell r="F296">
            <v>21.25</v>
          </cell>
        </row>
        <row r="297">
          <cell r="A297">
            <v>550</v>
          </cell>
          <cell r="B297">
            <v>22</v>
          </cell>
          <cell r="C297" t="str">
            <v>XS</v>
          </cell>
          <cell r="D297">
            <v>22</v>
          </cell>
          <cell r="E297">
            <v>0.5</v>
          </cell>
          <cell r="F297">
            <v>21</v>
          </cell>
        </row>
        <row r="298">
          <cell r="A298">
            <v>550</v>
          </cell>
          <cell r="B298">
            <v>22</v>
          </cell>
          <cell r="C298">
            <v>30</v>
          </cell>
          <cell r="D298">
            <v>22</v>
          </cell>
          <cell r="E298">
            <v>0.5</v>
          </cell>
          <cell r="F298">
            <v>21</v>
          </cell>
        </row>
        <row r="299">
          <cell r="A299">
            <v>550</v>
          </cell>
          <cell r="B299">
            <v>22</v>
          </cell>
          <cell r="C299">
            <v>60</v>
          </cell>
          <cell r="D299">
            <v>22</v>
          </cell>
          <cell r="E299">
            <v>0.875</v>
          </cell>
          <cell r="F299">
            <v>20.25</v>
          </cell>
        </row>
        <row r="300">
          <cell r="A300">
            <v>550</v>
          </cell>
          <cell r="B300">
            <v>22</v>
          </cell>
          <cell r="C300">
            <v>80</v>
          </cell>
          <cell r="D300">
            <v>22</v>
          </cell>
          <cell r="E300">
            <v>1.125</v>
          </cell>
          <cell r="F300">
            <v>19.75</v>
          </cell>
        </row>
        <row r="301">
          <cell r="A301">
            <v>550</v>
          </cell>
          <cell r="B301">
            <v>22</v>
          </cell>
          <cell r="C301">
            <v>100</v>
          </cell>
          <cell r="D301">
            <v>22</v>
          </cell>
          <cell r="E301">
            <v>1.375</v>
          </cell>
          <cell r="F301">
            <v>19.25</v>
          </cell>
        </row>
        <row r="302">
          <cell r="A302">
            <v>550</v>
          </cell>
          <cell r="B302">
            <v>22</v>
          </cell>
          <cell r="C302">
            <v>120</v>
          </cell>
          <cell r="D302">
            <v>22</v>
          </cell>
          <cell r="E302">
            <v>1.625</v>
          </cell>
          <cell r="F302">
            <v>18.75</v>
          </cell>
        </row>
        <row r="303">
          <cell r="A303">
            <v>550</v>
          </cell>
          <cell r="B303">
            <v>22</v>
          </cell>
          <cell r="C303">
            <v>140</v>
          </cell>
          <cell r="D303">
            <v>22</v>
          </cell>
          <cell r="E303">
            <v>1.875</v>
          </cell>
          <cell r="F303">
            <v>18.25</v>
          </cell>
        </row>
        <row r="304">
          <cell r="A304">
            <v>550</v>
          </cell>
          <cell r="B304">
            <v>22</v>
          </cell>
          <cell r="C304">
            <v>160</v>
          </cell>
          <cell r="D304">
            <v>22</v>
          </cell>
          <cell r="E304">
            <v>2.125</v>
          </cell>
          <cell r="F304">
            <v>17.75</v>
          </cell>
        </row>
        <row r="305">
          <cell r="A305">
            <v>600</v>
          </cell>
          <cell r="B305">
            <v>24</v>
          </cell>
          <cell r="C305">
            <v>0</v>
          </cell>
          <cell r="D305">
            <v>0</v>
          </cell>
          <cell r="E305">
            <v>0</v>
          </cell>
        </row>
        <row r="306">
          <cell r="A306">
            <v>600</v>
          </cell>
          <cell r="B306">
            <v>24</v>
          </cell>
          <cell r="C306" t="str">
            <v>5S</v>
          </cell>
          <cell r="D306">
            <v>24</v>
          </cell>
          <cell r="E306">
            <v>0.218</v>
          </cell>
          <cell r="F306">
            <v>23.564</v>
          </cell>
        </row>
        <row r="307">
          <cell r="A307">
            <v>600</v>
          </cell>
          <cell r="B307">
            <v>24</v>
          </cell>
          <cell r="C307" t="str">
            <v>10S</v>
          </cell>
          <cell r="D307">
            <v>24</v>
          </cell>
          <cell r="E307">
            <v>0.25</v>
          </cell>
          <cell r="F307">
            <v>23.5</v>
          </cell>
        </row>
        <row r="308">
          <cell r="A308">
            <v>600</v>
          </cell>
          <cell r="B308">
            <v>24</v>
          </cell>
          <cell r="C308">
            <v>10</v>
          </cell>
          <cell r="D308">
            <v>24</v>
          </cell>
          <cell r="E308">
            <v>0.25</v>
          </cell>
          <cell r="F308">
            <v>23.5</v>
          </cell>
        </row>
        <row r="309">
          <cell r="A309">
            <v>600</v>
          </cell>
          <cell r="B309">
            <v>24</v>
          </cell>
          <cell r="C309" t="str">
            <v>STD</v>
          </cell>
          <cell r="D309">
            <v>24</v>
          </cell>
          <cell r="E309">
            <v>0.375</v>
          </cell>
          <cell r="F309">
            <v>23.25</v>
          </cell>
        </row>
        <row r="310">
          <cell r="A310">
            <v>600</v>
          </cell>
          <cell r="B310">
            <v>24</v>
          </cell>
          <cell r="C310">
            <v>20</v>
          </cell>
          <cell r="D310">
            <v>24</v>
          </cell>
          <cell r="E310">
            <v>0.375</v>
          </cell>
          <cell r="F310">
            <v>23.25</v>
          </cell>
        </row>
        <row r="311">
          <cell r="A311">
            <v>600</v>
          </cell>
          <cell r="B311">
            <v>24</v>
          </cell>
          <cell r="C311" t="str">
            <v>XS</v>
          </cell>
          <cell r="D311">
            <v>24</v>
          </cell>
          <cell r="E311">
            <v>0.5</v>
          </cell>
          <cell r="F311">
            <v>23</v>
          </cell>
        </row>
        <row r="312">
          <cell r="A312">
            <v>600</v>
          </cell>
          <cell r="B312">
            <v>24</v>
          </cell>
          <cell r="C312">
            <v>30</v>
          </cell>
          <cell r="D312">
            <v>24</v>
          </cell>
          <cell r="E312">
            <v>0.56200000000000006</v>
          </cell>
          <cell r="F312">
            <v>22.876000000000001</v>
          </cell>
        </row>
        <row r="313">
          <cell r="A313">
            <v>600</v>
          </cell>
          <cell r="B313">
            <v>24</v>
          </cell>
          <cell r="C313">
            <v>40</v>
          </cell>
          <cell r="D313">
            <v>24</v>
          </cell>
          <cell r="E313">
            <v>0.68799999999999994</v>
          </cell>
          <cell r="F313">
            <v>22.623999999999999</v>
          </cell>
        </row>
        <row r="314">
          <cell r="A314">
            <v>600</v>
          </cell>
          <cell r="B314">
            <v>24</v>
          </cell>
          <cell r="C314">
            <v>60</v>
          </cell>
          <cell r="D314">
            <v>24</v>
          </cell>
          <cell r="E314">
            <v>0.96899999999999997</v>
          </cell>
          <cell r="F314">
            <v>22.062000000000001</v>
          </cell>
        </row>
        <row r="315">
          <cell r="A315">
            <v>600</v>
          </cell>
          <cell r="B315">
            <v>24</v>
          </cell>
          <cell r="C315">
            <v>80</v>
          </cell>
          <cell r="D315">
            <v>24</v>
          </cell>
          <cell r="E315">
            <v>1.2190000000000001</v>
          </cell>
          <cell r="F315">
            <v>21.562000000000001</v>
          </cell>
        </row>
        <row r="316">
          <cell r="A316">
            <v>600</v>
          </cell>
          <cell r="B316">
            <v>24</v>
          </cell>
          <cell r="C316">
            <v>100</v>
          </cell>
          <cell r="D316">
            <v>24</v>
          </cell>
          <cell r="E316">
            <v>1.5309999999999999</v>
          </cell>
          <cell r="F316">
            <v>20.937999999999999</v>
          </cell>
        </row>
        <row r="317">
          <cell r="A317">
            <v>600</v>
          </cell>
          <cell r="B317">
            <v>24</v>
          </cell>
          <cell r="C317">
            <v>120</v>
          </cell>
          <cell r="D317">
            <v>24</v>
          </cell>
          <cell r="E317">
            <v>1.8120000000000001</v>
          </cell>
          <cell r="F317">
            <v>20.376000000000001</v>
          </cell>
        </row>
        <row r="318">
          <cell r="A318">
            <v>600</v>
          </cell>
          <cell r="B318">
            <v>24</v>
          </cell>
          <cell r="C318">
            <v>140</v>
          </cell>
          <cell r="D318">
            <v>24</v>
          </cell>
          <cell r="E318">
            <v>2.0619999999999998</v>
          </cell>
          <cell r="F318">
            <v>19.876000000000001</v>
          </cell>
        </row>
        <row r="319">
          <cell r="A319">
            <v>600</v>
          </cell>
          <cell r="B319">
            <v>24</v>
          </cell>
          <cell r="C319">
            <v>160</v>
          </cell>
          <cell r="D319">
            <v>24</v>
          </cell>
          <cell r="E319">
            <v>2.3439999999999999</v>
          </cell>
          <cell r="F319">
            <v>19.312000000000001</v>
          </cell>
        </row>
        <row r="320">
          <cell r="A320">
            <v>650</v>
          </cell>
          <cell r="B320">
            <v>26</v>
          </cell>
          <cell r="C320">
            <v>0</v>
          </cell>
          <cell r="D320">
            <v>0</v>
          </cell>
          <cell r="E320">
            <v>0</v>
          </cell>
        </row>
        <row r="321">
          <cell r="A321">
            <v>650</v>
          </cell>
          <cell r="B321">
            <v>26</v>
          </cell>
          <cell r="C321" t="str">
            <v>STD</v>
          </cell>
          <cell r="D321">
            <v>26</v>
          </cell>
          <cell r="E321">
            <v>0.375</v>
          </cell>
          <cell r="F321">
            <v>25.25</v>
          </cell>
        </row>
        <row r="322">
          <cell r="A322">
            <v>650</v>
          </cell>
          <cell r="B322">
            <v>26</v>
          </cell>
          <cell r="C322">
            <v>10</v>
          </cell>
          <cell r="D322">
            <v>26</v>
          </cell>
          <cell r="E322">
            <v>0.312</v>
          </cell>
          <cell r="F322">
            <v>25.376000000000001</v>
          </cell>
        </row>
        <row r="323">
          <cell r="A323">
            <v>650</v>
          </cell>
          <cell r="B323">
            <v>26</v>
          </cell>
          <cell r="C323" t="str">
            <v>XS</v>
          </cell>
          <cell r="D323">
            <v>26</v>
          </cell>
          <cell r="E323">
            <v>0.5</v>
          </cell>
          <cell r="F323">
            <v>25</v>
          </cell>
        </row>
        <row r="324">
          <cell r="A324">
            <v>650</v>
          </cell>
          <cell r="B324">
            <v>26</v>
          </cell>
          <cell r="C324">
            <v>20</v>
          </cell>
          <cell r="D324">
            <v>26</v>
          </cell>
          <cell r="E324">
            <v>0.5</v>
          </cell>
          <cell r="F324">
            <v>25</v>
          </cell>
        </row>
        <row r="325">
          <cell r="A325">
            <v>700</v>
          </cell>
          <cell r="B325">
            <v>28</v>
          </cell>
          <cell r="C325">
            <v>0</v>
          </cell>
          <cell r="D325">
            <v>0</v>
          </cell>
          <cell r="E325">
            <v>0</v>
          </cell>
        </row>
        <row r="326">
          <cell r="A326">
            <v>700</v>
          </cell>
          <cell r="B326">
            <v>28</v>
          </cell>
          <cell r="C326">
            <v>10</v>
          </cell>
          <cell r="D326">
            <v>28</v>
          </cell>
          <cell r="E326">
            <v>0.312</v>
          </cell>
          <cell r="F326">
            <v>27.376000000000001</v>
          </cell>
        </row>
        <row r="327">
          <cell r="A327">
            <v>700</v>
          </cell>
          <cell r="B327">
            <v>28</v>
          </cell>
          <cell r="C327" t="str">
            <v>STD</v>
          </cell>
          <cell r="D327">
            <v>28</v>
          </cell>
          <cell r="E327">
            <v>0.375</v>
          </cell>
          <cell r="F327">
            <v>27.25</v>
          </cell>
        </row>
        <row r="328">
          <cell r="A328">
            <v>700</v>
          </cell>
          <cell r="B328">
            <v>28</v>
          </cell>
          <cell r="C328" t="str">
            <v>XS</v>
          </cell>
          <cell r="D328">
            <v>28</v>
          </cell>
          <cell r="E328">
            <v>0.5</v>
          </cell>
          <cell r="F328">
            <v>27</v>
          </cell>
        </row>
        <row r="329">
          <cell r="A329">
            <v>700</v>
          </cell>
          <cell r="B329">
            <v>28</v>
          </cell>
          <cell r="C329">
            <v>20</v>
          </cell>
          <cell r="D329">
            <v>28</v>
          </cell>
          <cell r="E329">
            <v>0.5</v>
          </cell>
          <cell r="F329">
            <v>27</v>
          </cell>
        </row>
        <row r="330">
          <cell r="A330">
            <v>700</v>
          </cell>
          <cell r="B330">
            <v>28</v>
          </cell>
          <cell r="C330">
            <v>30</v>
          </cell>
          <cell r="D330">
            <v>28</v>
          </cell>
          <cell r="E330">
            <v>0.625</v>
          </cell>
          <cell r="F330">
            <v>26.75</v>
          </cell>
        </row>
        <row r="331">
          <cell r="A331">
            <v>750</v>
          </cell>
          <cell r="B331">
            <v>30</v>
          </cell>
          <cell r="C331">
            <v>0</v>
          </cell>
          <cell r="D331">
            <v>0</v>
          </cell>
          <cell r="E331">
            <v>0</v>
          </cell>
        </row>
        <row r="332">
          <cell r="A332">
            <v>750</v>
          </cell>
          <cell r="B332">
            <v>30</v>
          </cell>
          <cell r="C332" t="str">
            <v>5S</v>
          </cell>
          <cell r="D332">
            <v>30</v>
          </cell>
          <cell r="E332">
            <v>0.25</v>
          </cell>
          <cell r="F332">
            <v>29.5</v>
          </cell>
        </row>
        <row r="333">
          <cell r="A333">
            <v>750</v>
          </cell>
          <cell r="B333">
            <v>30</v>
          </cell>
          <cell r="C333" t="str">
            <v>10S</v>
          </cell>
          <cell r="D333">
            <v>30</v>
          </cell>
          <cell r="E333">
            <v>0.312</v>
          </cell>
          <cell r="F333">
            <v>29.376000000000001</v>
          </cell>
        </row>
        <row r="334">
          <cell r="A334">
            <v>750</v>
          </cell>
          <cell r="B334">
            <v>30</v>
          </cell>
          <cell r="C334">
            <v>10</v>
          </cell>
          <cell r="D334">
            <v>30</v>
          </cell>
          <cell r="E334">
            <v>0.312</v>
          </cell>
          <cell r="F334">
            <v>29.376000000000001</v>
          </cell>
        </row>
        <row r="335">
          <cell r="A335">
            <v>750</v>
          </cell>
          <cell r="B335">
            <v>30</v>
          </cell>
          <cell r="C335" t="str">
            <v>STD</v>
          </cell>
          <cell r="D335">
            <v>30</v>
          </cell>
          <cell r="E335">
            <v>0.375</v>
          </cell>
          <cell r="F335">
            <v>29.25</v>
          </cell>
        </row>
        <row r="336">
          <cell r="A336">
            <v>750</v>
          </cell>
          <cell r="B336">
            <v>30</v>
          </cell>
          <cell r="C336" t="str">
            <v>XS</v>
          </cell>
          <cell r="D336">
            <v>30</v>
          </cell>
          <cell r="E336">
            <v>0.5</v>
          </cell>
          <cell r="F336">
            <v>29</v>
          </cell>
        </row>
        <row r="337">
          <cell r="A337">
            <v>750</v>
          </cell>
          <cell r="B337">
            <v>30</v>
          </cell>
          <cell r="C337">
            <v>20</v>
          </cell>
          <cell r="D337">
            <v>30</v>
          </cell>
          <cell r="E337">
            <v>0.5</v>
          </cell>
          <cell r="F337">
            <v>29</v>
          </cell>
        </row>
        <row r="338">
          <cell r="A338">
            <v>750</v>
          </cell>
          <cell r="B338">
            <v>30</v>
          </cell>
          <cell r="C338">
            <v>30</v>
          </cell>
          <cell r="D338">
            <v>30</v>
          </cell>
          <cell r="E338">
            <v>0.625</v>
          </cell>
          <cell r="F338">
            <v>28.75</v>
          </cell>
        </row>
        <row r="339">
          <cell r="A339">
            <v>800</v>
          </cell>
          <cell r="B339">
            <v>32</v>
          </cell>
          <cell r="C339">
            <v>0</v>
          </cell>
          <cell r="D339">
            <v>0</v>
          </cell>
          <cell r="E339">
            <v>0</v>
          </cell>
        </row>
        <row r="340">
          <cell r="A340">
            <v>800</v>
          </cell>
          <cell r="B340">
            <v>32</v>
          </cell>
          <cell r="C340">
            <v>10</v>
          </cell>
          <cell r="D340">
            <v>32</v>
          </cell>
          <cell r="E340">
            <v>0.312</v>
          </cell>
          <cell r="F340">
            <v>31.376000000000001</v>
          </cell>
        </row>
        <row r="341">
          <cell r="A341">
            <v>800</v>
          </cell>
          <cell r="B341">
            <v>32</v>
          </cell>
          <cell r="C341" t="str">
            <v>STD</v>
          </cell>
          <cell r="D341">
            <v>32</v>
          </cell>
          <cell r="E341">
            <v>0.375</v>
          </cell>
          <cell r="F341">
            <v>31.25</v>
          </cell>
        </row>
        <row r="342">
          <cell r="A342">
            <v>800</v>
          </cell>
          <cell r="B342">
            <v>32</v>
          </cell>
          <cell r="C342" t="str">
            <v>XS</v>
          </cell>
          <cell r="D342">
            <v>32</v>
          </cell>
          <cell r="E342">
            <v>0.5</v>
          </cell>
          <cell r="F342">
            <v>31</v>
          </cell>
        </row>
        <row r="343">
          <cell r="A343">
            <v>800</v>
          </cell>
          <cell r="B343">
            <v>32</v>
          </cell>
          <cell r="C343">
            <v>20</v>
          </cell>
          <cell r="D343">
            <v>32</v>
          </cell>
          <cell r="E343">
            <v>0.5</v>
          </cell>
          <cell r="F343">
            <v>31</v>
          </cell>
        </row>
        <row r="344">
          <cell r="A344">
            <v>800</v>
          </cell>
          <cell r="B344">
            <v>32</v>
          </cell>
          <cell r="C344">
            <v>30</v>
          </cell>
          <cell r="D344">
            <v>32</v>
          </cell>
          <cell r="E344">
            <v>0.625</v>
          </cell>
          <cell r="F344">
            <v>30.75</v>
          </cell>
        </row>
        <row r="345">
          <cell r="A345">
            <v>800</v>
          </cell>
          <cell r="B345">
            <v>32</v>
          </cell>
          <cell r="C345">
            <v>40</v>
          </cell>
          <cell r="D345">
            <v>32</v>
          </cell>
          <cell r="E345">
            <v>0.68799999999999994</v>
          </cell>
          <cell r="F345">
            <v>30.623999999999999</v>
          </cell>
        </row>
        <row r="346">
          <cell r="A346">
            <v>850</v>
          </cell>
          <cell r="B346">
            <v>34</v>
          </cell>
          <cell r="C346">
            <v>0</v>
          </cell>
          <cell r="D346">
            <v>0</v>
          </cell>
          <cell r="E346">
            <v>0</v>
          </cell>
        </row>
        <row r="347">
          <cell r="A347">
            <v>850</v>
          </cell>
          <cell r="B347">
            <v>34</v>
          </cell>
          <cell r="C347">
            <v>10</v>
          </cell>
          <cell r="D347">
            <v>34</v>
          </cell>
          <cell r="E347">
            <v>0.34399999999999997</v>
          </cell>
          <cell r="F347">
            <v>33.311999999999998</v>
          </cell>
        </row>
        <row r="348">
          <cell r="A348">
            <v>850</v>
          </cell>
          <cell r="B348">
            <v>34</v>
          </cell>
          <cell r="C348" t="str">
            <v>STD</v>
          </cell>
          <cell r="D348">
            <v>34</v>
          </cell>
          <cell r="E348">
            <v>0.375</v>
          </cell>
          <cell r="F348">
            <v>33.25</v>
          </cell>
        </row>
        <row r="349">
          <cell r="A349">
            <v>850</v>
          </cell>
          <cell r="B349">
            <v>34</v>
          </cell>
          <cell r="C349" t="str">
            <v>XS</v>
          </cell>
          <cell r="D349">
            <v>34</v>
          </cell>
          <cell r="E349">
            <v>0.5</v>
          </cell>
          <cell r="F349">
            <v>33</v>
          </cell>
        </row>
        <row r="350">
          <cell r="A350">
            <v>850</v>
          </cell>
          <cell r="B350">
            <v>34</v>
          </cell>
          <cell r="C350">
            <v>20</v>
          </cell>
          <cell r="D350">
            <v>34</v>
          </cell>
          <cell r="E350">
            <v>0.5</v>
          </cell>
          <cell r="F350">
            <v>33</v>
          </cell>
        </row>
        <row r="351">
          <cell r="A351">
            <v>850</v>
          </cell>
          <cell r="B351">
            <v>34</v>
          </cell>
          <cell r="C351">
            <v>30</v>
          </cell>
          <cell r="D351">
            <v>34</v>
          </cell>
          <cell r="E351">
            <v>0.625</v>
          </cell>
          <cell r="F351">
            <v>32.75</v>
          </cell>
        </row>
        <row r="352">
          <cell r="A352">
            <v>850</v>
          </cell>
          <cell r="B352">
            <v>34</v>
          </cell>
          <cell r="C352">
            <v>40</v>
          </cell>
          <cell r="D352">
            <v>34</v>
          </cell>
          <cell r="E352">
            <v>0.68799999999999994</v>
          </cell>
          <cell r="F352">
            <v>32.624000000000002</v>
          </cell>
        </row>
        <row r="353">
          <cell r="A353">
            <v>900</v>
          </cell>
          <cell r="B353">
            <v>36</v>
          </cell>
          <cell r="C353">
            <v>0</v>
          </cell>
          <cell r="D353">
            <v>0</v>
          </cell>
          <cell r="E353">
            <v>0</v>
          </cell>
        </row>
        <row r="354">
          <cell r="A354">
            <v>900</v>
          </cell>
          <cell r="B354">
            <v>36</v>
          </cell>
          <cell r="C354">
            <v>10</v>
          </cell>
          <cell r="D354">
            <v>36</v>
          </cell>
          <cell r="E354">
            <v>0.312</v>
          </cell>
          <cell r="F354">
            <v>35.375999999999998</v>
          </cell>
        </row>
        <row r="355">
          <cell r="A355">
            <v>900</v>
          </cell>
          <cell r="B355">
            <v>36</v>
          </cell>
          <cell r="C355" t="str">
            <v>STD</v>
          </cell>
          <cell r="D355">
            <v>36</v>
          </cell>
          <cell r="E355">
            <v>0.375</v>
          </cell>
          <cell r="F355">
            <v>35.25</v>
          </cell>
        </row>
        <row r="356">
          <cell r="A356">
            <v>900</v>
          </cell>
          <cell r="B356">
            <v>36</v>
          </cell>
          <cell r="C356" t="str">
            <v>XS</v>
          </cell>
          <cell r="D356">
            <v>36</v>
          </cell>
          <cell r="E356">
            <v>0.5</v>
          </cell>
          <cell r="F356">
            <v>35</v>
          </cell>
        </row>
        <row r="357">
          <cell r="A357">
            <v>900</v>
          </cell>
          <cell r="B357">
            <v>36</v>
          </cell>
          <cell r="C357">
            <v>20</v>
          </cell>
          <cell r="D357">
            <v>36</v>
          </cell>
          <cell r="E357">
            <v>0.5</v>
          </cell>
          <cell r="F357">
            <v>35</v>
          </cell>
        </row>
        <row r="358">
          <cell r="A358">
            <v>900</v>
          </cell>
          <cell r="B358">
            <v>36</v>
          </cell>
          <cell r="C358">
            <v>30</v>
          </cell>
          <cell r="D358">
            <v>36</v>
          </cell>
          <cell r="E358">
            <v>0.625</v>
          </cell>
          <cell r="F358">
            <v>34.75</v>
          </cell>
        </row>
        <row r="359">
          <cell r="A359">
            <v>900</v>
          </cell>
          <cell r="B359">
            <v>36</v>
          </cell>
          <cell r="C359">
            <v>40</v>
          </cell>
          <cell r="D359">
            <v>36</v>
          </cell>
          <cell r="E359">
            <v>0.75</v>
          </cell>
          <cell r="F359">
            <v>34.5</v>
          </cell>
        </row>
        <row r="360">
          <cell r="A360">
            <v>950</v>
          </cell>
          <cell r="B360">
            <v>38</v>
          </cell>
          <cell r="C360">
            <v>0</v>
          </cell>
          <cell r="D360">
            <v>0</v>
          </cell>
          <cell r="E360">
            <v>0</v>
          </cell>
        </row>
        <row r="361">
          <cell r="A361">
            <v>950</v>
          </cell>
          <cell r="B361">
            <v>38</v>
          </cell>
          <cell r="C361" t="str">
            <v>STD</v>
          </cell>
          <cell r="D361">
            <v>38</v>
          </cell>
          <cell r="E361">
            <v>0.375</v>
          </cell>
          <cell r="F361">
            <v>37.25</v>
          </cell>
        </row>
        <row r="362">
          <cell r="A362">
            <v>950</v>
          </cell>
          <cell r="B362">
            <v>38</v>
          </cell>
          <cell r="C362" t="str">
            <v>XS</v>
          </cell>
          <cell r="D362">
            <v>38</v>
          </cell>
          <cell r="E362">
            <v>0.5</v>
          </cell>
          <cell r="F362">
            <v>37</v>
          </cell>
        </row>
        <row r="363">
          <cell r="A363">
            <v>1000</v>
          </cell>
          <cell r="B363">
            <v>40</v>
          </cell>
          <cell r="C363">
            <v>0</v>
          </cell>
          <cell r="D363">
            <v>0</v>
          </cell>
          <cell r="E363">
            <v>0</v>
          </cell>
        </row>
        <row r="364">
          <cell r="A364">
            <v>1000</v>
          </cell>
          <cell r="B364">
            <v>40</v>
          </cell>
          <cell r="C364" t="str">
            <v>STD</v>
          </cell>
          <cell r="D364">
            <v>40</v>
          </cell>
          <cell r="E364">
            <v>0.375</v>
          </cell>
          <cell r="F364">
            <v>39.25</v>
          </cell>
        </row>
        <row r="365">
          <cell r="A365">
            <v>1000</v>
          </cell>
          <cell r="B365">
            <v>40</v>
          </cell>
          <cell r="C365" t="str">
            <v>XS</v>
          </cell>
          <cell r="D365">
            <v>40</v>
          </cell>
          <cell r="E365">
            <v>0.5</v>
          </cell>
          <cell r="F365">
            <v>39</v>
          </cell>
        </row>
        <row r="366">
          <cell r="A366">
            <v>1050</v>
          </cell>
          <cell r="B366">
            <v>42</v>
          </cell>
          <cell r="C366">
            <v>0</v>
          </cell>
          <cell r="D366">
            <v>0</v>
          </cell>
          <cell r="E366">
            <v>0</v>
          </cell>
        </row>
        <row r="367">
          <cell r="A367">
            <v>1050</v>
          </cell>
          <cell r="B367">
            <v>42</v>
          </cell>
          <cell r="C367" t="str">
            <v>STD</v>
          </cell>
          <cell r="D367">
            <v>42</v>
          </cell>
          <cell r="E367">
            <v>0.375</v>
          </cell>
          <cell r="F367">
            <v>41.25</v>
          </cell>
        </row>
        <row r="368">
          <cell r="A368">
            <v>1050</v>
          </cell>
          <cell r="B368">
            <v>42</v>
          </cell>
          <cell r="C368" t="str">
            <v>XS</v>
          </cell>
          <cell r="D368">
            <v>42</v>
          </cell>
          <cell r="E368">
            <v>0.5</v>
          </cell>
          <cell r="F368">
            <v>41</v>
          </cell>
        </row>
        <row r="369">
          <cell r="A369">
            <v>1100</v>
          </cell>
          <cell r="B369">
            <v>44</v>
          </cell>
          <cell r="C369">
            <v>0</v>
          </cell>
          <cell r="D369">
            <v>0</v>
          </cell>
          <cell r="E369">
            <v>0</v>
          </cell>
        </row>
        <row r="370">
          <cell r="A370">
            <v>1100</v>
          </cell>
          <cell r="B370">
            <v>44</v>
          </cell>
          <cell r="C370" t="str">
            <v>STD</v>
          </cell>
          <cell r="D370">
            <v>44</v>
          </cell>
          <cell r="E370">
            <v>0.375</v>
          </cell>
          <cell r="F370">
            <v>43.25</v>
          </cell>
        </row>
        <row r="371">
          <cell r="A371">
            <v>1100</v>
          </cell>
          <cell r="B371">
            <v>44</v>
          </cell>
          <cell r="C371" t="str">
            <v>XS</v>
          </cell>
          <cell r="D371">
            <v>44</v>
          </cell>
          <cell r="E371">
            <v>0.5</v>
          </cell>
          <cell r="F371">
            <v>43</v>
          </cell>
        </row>
        <row r="372">
          <cell r="A372">
            <v>1150</v>
          </cell>
          <cell r="B372">
            <v>46</v>
          </cell>
          <cell r="C372">
            <v>0</v>
          </cell>
          <cell r="D372">
            <v>0</v>
          </cell>
          <cell r="E372">
            <v>0</v>
          </cell>
        </row>
        <row r="373">
          <cell r="A373">
            <v>1150</v>
          </cell>
          <cell r="B373">
            <v>46</v>
          </cell>
          <cell r="C373" t="str">
            <v>STD</v>
          </cell>
          <cell r="D373">
            <v>46</v>
          </cell>
          <cell r="E373">
            <v>0.375</v>
          </cell>
          <cell r="F373">
            <v>45.25</v>
          </cell>
        </row>
        <row r="374">
          <cell r="A374">
            <v>1150</v>
          </cell>
          <cell r="B374">
            <v>46</v>
          </cell>
          <cell r="C374" t="str">
            <v>XS</v>
          </cell>
          <cell r="D374">
            <v>46</v>
          </cell>
          <cell r="E374">
            <v>0.5</v>
          </cell>
          <cell r="F374">
            <v>45</v>
          </cell>
        </row>
        <row r="375">
          <cell r="A375">
            <v>1200</v>
          </cell>
          <cell r="B375">
            <v>48</v>
          </cell>
          <cell r="C375">
            <v>0</v>
          </cell>
          <cell r="D375">
            <v>0</v>
          </cell>
          <cell r="E375">
            <v>0</v>
          </cell>
        </row>
        <row r="376">
          <cell r="A376">
            <v>1200</v>
          </cell>
          <cell r="B376">
            <v>48</v>
          </cell>
          <cell r="C376" t="str">
            <v>STD</v>
          </cell>
          <cell r="D376">
            <v>48</v>
          </cell>
          <cell r="E376">
            <v>0.375</v>
          </cell>
          <cell r="F376">
            <v>47.25</v>
          </cell>
        </row>
        <row r="377">
          <cell r="A377">
            <v>1200</v>
          </cell>
          <cell r="B377">
            <v>48</v>
          </cell>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S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S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S22">
            <v>20</v>
          </cell>
          <cell r="T22">
            <v>20</v>
          </cell>
          <cell r="U22">
            <v>20</v>
          </cell>
          <cell r="V22">
            <v>20</v>
          </cell>
          <cell r="W22">
            <v>20</v>
          </cell>
          <cell r="AC22">
            <v>15</v>
          </cell>
        </row>
        <row r="23">
          <cell r="A23">
            <v>1050</v>
          </cell>
          <cell r="B23">
            <v>20</v>
          </cell>
          <cell r="C23">
            <v>20</v>
          </cell>
          <cell r="D23">
            <v>20</v>
          </cell>
          <cell r="E23">
            <v>20</v>
          </cell>
          <cell r="F23">
            <v>20</v>
          </cell>
          <cell r="G23">
            <v>20</v>
          </cell>
          <cell r="H23">
            <v>20</v>
          </cell>
          <cell r="I23">
            <v>20</v>
          </cell>
          <cell r="J23">
            <v>20</v>
          </cell>
          <cell r="K23">
            <v>20</v>
          </cell>
          <cell r="L23">
            <v>20</v>
          </cell>
          <cell r="M23">
            <v>20</v>
          </cell>
          <cell r="N23">
            <v>20</v>
          </cell>
          <cell r="O23">
            <v>20</v>
          </cell>
          <cell r="P23">
            <v>20</v>
          </cell>
          <cell r="Q23">
            <v>20</v>
          </cell>
          <cell r="R23">
            <v>20</v>
          </cell>
          <cell r="S23">
            <v>1050</v>
          </cell>
          <cell r="T23">
            <v>20</v>
          </cell>
          <cell r="U23">
            <v>20</v>
          </cell>
          <cell r="V23">
            <v>20</v>
          </cell>
          <cell r="W23">
            <v>20</v>
          </cell>
          <cell r="AC23">
            <v>16</v>
          </cell>
        </row>
        <row r="24">
          <cell r="A24">
            <v>1100</v>
          </cell>
          <cell r="B24">
            <v>20</v>
          </cell>
          <cell r="C24">
            <v>20</v>
          </cell>
          <cell r="D24">
            <v>20</v>
          </cell>
          <cell r="E24">
            <v>20</v>
          </cell>
          <cell r="F24">
            <v>20</v>
          </cell>
          <cell r="G24">
            <v>20</v>
          </cell>
          <cell r="H24">
            <v>20</v>
          </cell>
          <cell r="I24">
            <v>20</v>
          </cell>
          <cell r="J24">
            <v>20</v>
          </cell>
          <cell r="K24">
            <v>20</v>
          </cell>
          <cell r="L24">
            <v>20</v>
          </cell>
          <cell r="M24">
            <v>20</v>
          </cell>
          <cell r="N24">
            <v>20</v>
          </cell>
          <cell r="O24">
            <v>20</v>
          </cell>
          <cell r="P24">
            <v>20</v>
          </cell>
          <cell r="Q24">
            <v>20</v>
          </cell>
          <cell r="R24">
            <v>20</v>
          </cell>
          <cell r="S24">
            <v>0</v>
          </cell>
          <cell r="T24">
            <v>20</v>
          </cell>
          <cell r="U24">
            <v>20</v>
          </cell>
          <cell r="V24">
            <v>20</v>
          </cell>
          <cell r="W24">
            <v>20</v>
          </cell>
          <cell r="AC24">
            <v>17</v>
          </cell>
        </row>
        <row r="25">
          <cell r="A25">
            <v>1150</v>
          </cell>
          <cell r="B25">
            <v>20</v>
          </cell>
          <cell r="C25">
            <v>20</v>
          </cell>
          <cell r="D25">
            <v>20</v>
          </cell>
          <cell r="E25">
            <v>20</v>
          </cell>
          <cell r="F25">
            <v>20</v>
          </cell>
          <cell r="G25">
            <v>20</v>
          </cell>
          <cell r="H25">
            <v>20</v>
          </cell>
          <cell r="I25">
            <v>20</v>
          </cell>
          <cell r="J25">
            <v>20</v>
          </cell>
          <cell r="K25">
            <v>20</v>
          </cell>
          <cell r="L25">
            <v>20</v>
          </cell>
          <cell r="M25">
            <v>20</v>
          </cell>
          <cell r="N25">
            <v>20</v>
          </cell>
          <cell r="O25">
            <v>20</v>
          </cell>
          <cell r="P25">
            <v>20</v>
          </cell>
          <cell r="Q25">
            <v>20</v>
          </cell>
          <cell r="R25">
            <v>20</v>
          </cell>
          <cell r="S25">
            <v>0</v>
          </cell>
          <cell r="T25">
            <v>20</v>
          </cell>
          <cell r="U25">
            <v>20</v>
          </cell>
          <cell r="V25">
            <v>20</v>
          </cell>
          <cell r="W25">
            <v>20</v>
          </cell>
          <cell r="AC25">
            <v>18</v>
          </cell>
        </row>
        <row r="26">
          <cell r="A26">
            <v>1200</v>
          </cell>
          <cell r="B26">
            <v>15</v>
          </cell>
          <cell r="C26">
            <v>15</v>
          </cell>
          <cell r="D26">
            <v>15</v>
          </cell>
          <cell r="E26">
            <v>20</v>
          </cell>
          <cell r="F26">
            <v>20</v>
          </cell>
          <cell r="G26">
            <v>15</v>
          </cell>
          <cell r="H26">
            <v>15</v>
          </cell>
          <cell r="I26">
            <v>15</v>
          </cell>
          <cell r="J26">
            <v>15</v>
          </cell>
          <cell r="K26">
            <v>20</v>
          </cell>
          <cell r="L26">
            <v>20</v>
          </cell>
          <cell r="M26">
            <v>15</v>
          </cell>
          <cell r="N26">
            <v>15</v>
          </cell>
          <cell r="O26">
            <v>20</v>
          </cell>
          <cell r="P26">
            <v>20</v>
          </cell>
          <cell r="Q26">
            <v>20</v>
          </cell>
          <cell r="R26">
            <v>20</v>
          </cell>
          <cell r="S26">
            <v>0</v>
          </cell>
          <cell r="T26">
            <v>20</v>
          </cell>
          <cell r="U26">
            <v>20</v>
          </cell>
          <cell r="V26">
            <v>20</v>
          </cell>
          <cell r="W26">
            <v>20</v>
          </cell>
          <cell r="AC26">
            <v>19</v>
          </cell>
        </row>
        <row r="27">
          <cell r="A27">
            <v>1250</v>
          </cell>
          <cell r="B27">
            <v>20</v>
          </cell>
          <cell r="C27">
            <v>20</v>
          </cell>
          <cell r="D27">
            <v>20</v>
          </cell>
          <cell r="E27">
            <v>20</v>
          </cell>
          <cell r="F27">
            <v>20</v>
          </cell>
          <cell r="G27">
            <v>20</v>
          </cell>
          <cell r="H27">
            <v>20</v>
          </cell>
          <cell r="I27">
            <v>1250</v>
          </cell>
          <cell r="J27">
            <v>0</v>
          </cell>
          <cell r="K27">
            <v>0</v>
          </cell>
          <cell r="L27">
            <v>0</v>
          </cell>
          <cell r="M27">
            <v>0</v>
          </cell>
          <cell r="N27">
            <v>0</v>
          </cell>
          <cell r="O27">
            <v>0</v>
          </cell>
          <cell r="P27">
            <v>0</v>
          </cell>
          <cell r="Q27">
            <v>20</v>
          </cell>
          <cell r="R27">
            <v>20</v>
          </cell>
          <cell r="S27">
            <v>0</v>
          </cell>
          <cell r="T27">
            <v>20</v>
          </cell>
          <cell r="U27">
            <v>20</v>
          </cell>
          <cell r="V27">
            <v>20</v>
          </cell>
          <cell r="W27">
            <v>20</v>
          </cell>
          <cell r="AC27">
            <v>20</v>
          </cell>
        </row>
        <row r="28">
          <cell r="A28">
            <v>1300</v>
          </cell>
          <cell r="B28">
            <v>20</v>
          </cell>
          <cell r="C28">
            <v>20</v>
          </cell>
          <cell r="D28">
            <v>20</v>
          </cell>
          <cell r="E28">
            <v>20</v>
          </cell>
          <cell r="F28">
            <v>20</v>
          </cell>
          <cell r="G28">
            <v>20</v>
          </cell>
          <cell r="H28">
            <v>21</v>
          </cell>
          <cell r="I28">
            <v>1300</v>
          </cell>
          <cell r="J28">
            <v>0</v>
          </cell>
          <cell r="K28">
            <v>0</v>
          </cell>
          <cell r="L28">
            <v>0</v>
          </cell>
          <cell r="M28">
            <v>0</v>
          </cell>
          <cell r="N28">
            <v>0</v>
          </cell>
          <cell r="O28">
            <v>0</v>
          </cell>
          <cell r="P28">
            <v>0</v>
          </cell>
          <cell r="Q28">
            <v>20</v>
          </cell>
          <cell r="R28">
            <v>20</v>
          </cell>
          <cell r="S28">
            <v>0</v>
          </cell>
          <cell r="T28">
            <v>20</v>
          </cell>
          <cell r="U28">
            <v>20</v>
          </cell>
          <cell r="V28">
            <v>20</v>
          </cell>
          <cell r="W28">
            <v>20</v>
          </cell>
          <cell r="AC28">
            <v>21</v>
          </cell>
        </row>
        <row r="29">
          <cell r="A29">
            <v>1350</v>
          </cell>
          <cell r="B29">
            <v>20</v>
          </cell>
          <cell r="C29">
            <v>20</v>
          </cell>
          <cell r="D29">
            <v>20</v>
          </cell>
          <cell r="E29">
            <v>20</v>
          </cell>
          <cell r="F29">
            <v>20</v>
          </cell>
          <cell r="G29">
            <v>20</v>
          </cell>
          <cell r="H29">
            <v>22</v>
          </cell>
          <cell r="I29">
            <v>1350</v>
          </cell>
          <cell r="J29">
            <v>0</v>
          </cell>
          <cell r="K29">
            <v>0</v>
          </cell>
          <cell r="L29">
            <v>0</v>
          </cell>
          <cell r="M29">
            <v>0</v>
          </cell>
          <cell r="N29">
            <v>0</v>
          </cell>
          <cell r="O29">
            <v>0</v>
          </cell>
          <cell r="P29">
            <v>0</v>
          </cell>
          <cell r="Q29">
            <v>20</v>
          </cell>
          <cell r="R29">
            <v>20</v>
          </cell>
          <cell r="S29">
            <v>0</v>
          </cell>
          <cell r="T29">
            <v>20</v>
          </cell>
          <cell r="U29">
            <v>20</v>
          </cell>
          <cell r="V29">
            <v>20</v>
          </cell>
          <cell r="W29">
            <v>20</v>
          </cell>
          <cell r="AC29">
            <v>22</v>
          </cell>
        </row>
        <row r="30">
          <cell r="A30">
            <v>1400</v>
          </cell>
          <cell r="B30">
            <v>20</v>
          </cell>
          <cell r="C30">
            <v>20</v>
          </cell>
          <cell r="D30">
            <v>20</v>
          </cell>
          <cell r="E30">
            <v>20</v>
          </cell>
          <cell r="F30">
            <v>20</v>
          </cell>
          <cell r="G30">
            <v>20</v>
          </cell>
          <cell r="H30">
            <v>23</v>
          </cell>
          <cell r="I30">
            <v>1400</v>
          </cell>
          <cell r="J30">
            <v>0</v>
          </cell>
          <cell r="K30">
            <v>0</v>
          </cell>
          <cell r="L30">
            <v>0</v>
          </cell>
          <cell r="M30">
            <v>0</v>
          </cell>
          <cell r="N30">
            <v>0</v>
          </cell>
          <cell r="O30">
            <v>0</v>
          </cell>
          <cell r="P30">
            <v>0</v>
          </cell>
          <cell r="Q30">
            <v>20</v>
          </cell>
          <cell r="R30">
            <v>20</v>
          </cell>
          <cell r="S30">
            <v>0</v>
          </cell>
          <cell r="T30">
            <v>20</v>
          </cell>
          <cell r="U30">
            <v>20</v>
          </cell>
          <cell r="V30">
            <v>20</v>
          </cell>
          <cell r="W30">
            <v>20</v>
          </cell>
          <cell r="AC30">
            <v>23</v>
          </cell>
        </row>
        <row r="31">
          <cell r="A31">
            <v>1450</v>
          </cell>
          <cell r="B31">
            <v>15</v>
          </cell>
          <cell r="C31">
            <v>20</v>
          </cell>
          <cell r="D31">
            <v>20</v>
          </cell>
          <cell r="E31">
            <v>15</v>
          </cell>
          <cell r="F31">
            <v>10</v>
          </cell>
          <cell r="G31">
            <v>10</v>
          </cell>
          <cell r="H31">
            <v>24</v>
          </cell>
          <cell r="I31">
            <v>1450</v>
          </cell>
          <cell r="J31">
            <v>0</v>
          </cell>
          <cell r="K31">
            <v>0</v>
          </cell>
          <cell r="L31">
            <v>0</v>
          </cell>
          <cell r="M31">
            <v>0</v>
          </cell>
          <cell r="N31">
            <v>0</v>
          </cell>
          <cell r="O31">
            <v>0</v>
          </cell>
          <cell r="P31">
            <v>0</v>
          </cell>
          <cell r="Q31">
            <v>15</v>
          </cell>
          <cell r="R31">
            <v>20</v>
          </cell>
          <cell r="S31">
            <v>0</v>
          </cell>
          <cell r="T31">
            <v>20</v>
          </cell>
          <cell r="U31">
            <v>15</v>
          </cell>
          <cell r="V31">
            <v>10</v>
          </cell>
          <cell r="W31">
            <v>10</v>
          </cell>
          <cell r="AC31">
            <v>24</v>
          </cell>
        </row>
        <row r="32">
          <cell r="A32">
            <v>1500</v>
          </cell>
          <cell r="B32">
            <v>10</v>
          </cell>
          <cell r="C32">
            <v>20</v>
          </cell>
          <cell r="D32">
            <v>20</v>
          </cell>
          <cell r="E32">
            <v>15</v>
          </cell>
          <cell r="F32">
            <v>10</v>
          </cell>
          <cell r="G32">
            <v>10</v>
          </cell>
          <cell r="H32">
            <v>25</v>
          </cell>
          <cell r="I32">
            <v>1500</v>
          </cell>
          <cell r="J32">
            <v>0</v>
          </cell>
          <cell r="K32">
            <v>0</v>
          </cell>
          <cell r="L32">
            <v>0</v>
          </cell>
          <cell r="M32">
            <v>0</v>
          </cell>
          <cell r="N32">
            <v>0</v>
          </cell>
          <cell r="O32">
            <v>0</v>
          </cell>
          <cell r="P32">
            <v>0</v>
          </cell>
          <cell r="Q32">
            <v>10</v>
          </cell>
          <cell r="R32">
            <v>20</v>
          </cell>
          <cell r="S32">
            <v>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S49">
            <v>440</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S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S51">
            <v>355</v>
          </cell>
          <cell r="T51">
            <v>355</v>
          </cell>
          <cell r="U51">
            <v>365</v>
          </cell>
          <cell r="V51">
            <v>335</v>
          </cell>
          <cell r="W51">
            <v>345</v>
          </cell>
        </row>
        <row r="52">
          <cell r="A52">
            <v>1050</v>
          </cell>
          <cell r="B52">
            <v>155</v>
          </cell>
          <cell r="C52">
            <v>160</v>
          </cell>
          <cell r="D52">
            <v>145</v>
          </cell>
          <cell r="E52">
            <v>145</v>
          </cell>
          <cell r="F52">
            <v>175</v>
          </cell>
          <cell r="G52">
            <v>155</v>
          </cell>
          <cell r="H52">
            <v>160</v>
          </cell>
          <cell r="I52">
            <v>145</v>
          </cell>
          <cell r="J52">
            <v>145</v>
          </cell>
          <cell r="K52">
            <v>175</v>
          </cell>
          <cell r="L52">
            <v>165</v>
          </cell>
          <cell r="M52">
            <v>145</v>
          </cell>
          <cell r="N52">
            <v>145</v>
          </cell>
          <cell r="O52">
            <v>170</v>
          </cell>
          <cell r="P52">
            <v>360</v>
          </cell>
          <cell r="Q52">
            <v>310</v>
          </cell>
          <cell r="R52">
            <v>345</v>
          </cell>
          <cell r="S52">
            <v>0</v>
          </cell>
          <cell r="T52">
            <v>315</v>
          </cell>
          <cell r="U52">
            <v>360</v>
          </cell>
          <cell r="V52">
            <v>290</v>
          </cell>
          <cell r="W52">
            <v>335</v>
          </cell>
        </row>
        <row r="53">
          <cell r="A53">
            <v>1100</v>
          </cell>
          <cell r="B53">
            <v>95</v>
          </cell>
          <cell r="C53">
            <v>95</v>
          </cell>
          <cell r="D53">
            <v>95</v>
          </cell>
          <cell r="E53">
            <v>110</v>
          </cell>
          <cell r="F53">
            <v>110</v>
          </cell>
          <cell r="G53">
            <v>95</v>
          </cell>
          <cell r="H53">
            <v>100</v>
          </cell>
          <cell r="I53">
            <v>95</v>
          </cell>
          <cell r="J53">
            <v>95</v>
          </cell>
          <cell r="K53">
            <v>110</v>
          </cell>
          <cell r="L53">
            <v>110</v>
          </cell>
          <cell r="M53">
            <v>100</v>
          </cell>
          <cell r="N53">
            <v>100</v>
          </cell>
          <cell r="O53">
            <v>115</v>
          </cell>
          <cell r="P53">
            <v>300</v>
          </cell>
          <cell r="Q53">
            <v>255</v>
          </cell>
          <cell r="R53">
            <v>305</v>
          </cell>
          <cell r="S53">
            <v>0</v>
          </cell>
          <cell r="T53">
            <v>270</v>
          </cell>
          <cell r="U53">
            <v>325</v>
          </cell>
          <cell r="V53">
            <v>225</v>
          </cell>
          <cell r="W53">
            <v>260</v>
          </cell>
        </row>
        <row r="54">
          <cell r="A54">
            <v>1150</v>
          </cell>
          <cell r="B54">
            <v>60</v>
          </cell>
          <cell r="C54">
            <v>60</v>
          </cell>
          <cell r="D54">
            <v>60</v>
          </cell>
          <cell r="E54">
            <v>70</v>
          </cell>
          <cell r="F54">
            <v>80</v>
          </cell>
          <cell r="G54">
            <v>60</v>
          </cell>
          <cell r="H54">
            <v>60</v>
          </cell>
          <cell r="I54">
            <v>60</v>
          </cell>
          <cell r="J54">
            <v>60</v>
          </cell>
          <cell r="K54">
            <v>70</v>
          </cell>
          <cell r="L54">
            <v>80</v>
          </cell>
          <cell r="M54">
            <v>60</v>
          </cell>
          <cell r="N54">
            <v>60</v>
          </cell>
          <cell r="O54">
            <v>75</v>
          </cell>
          <cell r="P54">
            <v>225</v>
          </cell>
          <cell r="Q54">
            <v>200</v>
          </cell>
          <cell r="R54">
            <v>235</v>
          </cell>
          <cell r="S54">
            <v>0</v>
          </cell>
          <cell r="T54">
            <v>235</v>
          </cell>
          <cell r="U54">
            <v>275</v>
          </cell>
          <cell r="V54">
            <v>170</v>
          </cell>
          <cell r="W54">
            <v>190</v>
          </cell>
        </row>
        <row r="55">
          <cell r="A55">
            <v>1200</v>
          </cell>
          <cell r="B55">
            <v>40</v>
          </cell>
          <cell r="C55">
            <v>40</v>
          </cell>
          <cell r="D55">
            <v>40</v>
          </cell>
          <cell r="E55">
            <v>40</v>
          </cell>
          <cell r="F55">
            <v>45</v>
          </cell>
          <cell r="G55">
            <v>40</v>
          </cell>
          <cell r="H55">
            <v>35</v>
          </cell>
          <cell r="I55">
            <v>40</v>
          </cell>
          <cell r="J55">
            <v>40</v>
          </cell>
          <cell r="K55">
            <v>40</v>
          </cell>
          <cell r="L55">
            <v>45</v>
          </cell>
          <cell r="M55">
            <v>35</v>
          </cell>
          <cell r="N55">
            <v>35</v>
          </cell>
          <cell r="O55">
            <v>50</v>
          </cell>
          <cell r="P55">
            <v>145</v>
          </cell>
          <cell r="Q55">
            <v>155</v>
          </cell>
          <cell r="R55">
            <v>185</v>
          </cell>
          <cell r="S55">
            <v>0</v>
          </cell>
          <cell r="T55">
            <v>185</v>
          </cell>
          <cell r="U55">
            <v>170</v>
          </cell>
          <cell r="V55">
            <v>130</v>
          </cell>
          <cell r="W55">
            <v>135</v>
          </cell>
        </row>
        <row r="56">
          <cell r="A56">
            <v>1250</v>
          </cell>
          <cell r="B56">
            <v>115</v>
          </cell>
          <cell r="C56">
            <v>145</v>
          </cell>
          <cell r="D56">
            <v>140</v>
          </cell>
          <cell r="E56">
            <v>125</v>
          </cell>
          <cell r="F56">
            <v>100</v>
          </cell>
          <cell r="G56">
            <v>105</v>
          </cell>
          <cell r="H56">
            <v>0</v>
          </cell>
          <cell r="I56">
            <v>0</v>
          </cell>
          <cell r="J56">
            <v>0</v>
          </cell>
          <cell r="K56">
            <v>0</v>
          </cell>
          <cell r="L56">
            <v>0</v>
          </cell>
          <cell r="M56">
            <v>0</v>
          </cell>
          <cell r="N56">
            <v>0</v>
          </cell>
          <cell r="O56">
            <v>0</v>
          </cell>
          <cell r="P56">
            <v>0</v>
          </cell>
          <cell r="Q56">
            <v>115</v>
          </cell>
          <cell r="R56">
            <v>145</v>
          </cell>
          <cell r="S56">
            <v>0</v>
          </cell>
          <cell r="T56">
            <v>140</v>
          </cell>
          <cell r="U56">
            <v>125</v>
          </cell>
          <cell r="V56">
            <v>100</v>
          </cell>
          <cell r="W56">
            <v>105</v>
          </cell>
        </row>
        <row r="57">
          <cell r="A57">
            <v>1300</v>
          </cell>
          <cell r="B57">
            <v>85</v>
          </cell>
          <cell r="C57">
            <v>115</v>
          </cell>
          <cell r="D57">
            <v>110</v>
          </cell>
          <cell r="E57">
            <v>95</v>
          </cell>
          <cell r="F57">
            <v>80</v>
          </cell>
          <cell r="G57">
            <v>75</v>
          </cell>
          <cell r="H57">
            <v>0</v>
          </cell>
          <cell r="I57">
            <v>0</v>
          </cell>
          <cell r="J57">
            <v>0</v>
          </cell>
          <cell r="K57">
            <v>0</v>
          </cell>
          <cell r="L57">
            <v>0</v>
          </cell>
          <cell r="M57">
            <v>0</v>
          </cell>
          <cell r="N57">
            <v>0</v>
          </cell>
          <cell r="O57">
            <v>0</v>
          </cell>
          <cell r="P57">
            <v>0</v>
          </cell>
          <cell r="Q57">
            <v>85</v>
          </cell>
          <cell r="R57">
            <v>115</v>
          </cell>
          <cell r="S57">
            <v>0</v>
          </cell>
          <cell r="T57">
            <v>110</v>
          </cell>
          <cell r="U57">
            <v>95</v>
          </cell>
          <cell r="V57">
            <v>80</v>
          </cell>
          <cell r="W57">
            <v>75</v>
          </cell>
        </row>
        <row r="58">
          <cell r="A58">
            <v>1350</v>
          </cell>
          <cell r="B58">
            <v>60</v>
          </cell>
          <cell r="C58">
            <v>95</v>
          </cell>
          <cell r="D58">
            <v>85</v>
          </cell>
          <cell r="E58">
            <v>70</v>
          </cell>
          <cell r="F58">
            <v>60</v>
          </cell>
          <cell r="G58">
            <v>60</v>
          </cell>
          <cell r="H58">
            <v>0</v>
          </cell>
          <cell r="I58">
            <v>0</v>
          </cell>
          <cell r="J58">
            <v>0</v>
          </cell>
          <cell r="K58">
            <v>0</v>
          </cell>
          <cell r="L58">
            <v>0</v>
          </cell>
          <cell r="M58">
            <v>0</v>
          </cell>
          <cell r="N58">
            <v>0</v>
          </cell>
          <cell r="O58">
            <v>0</v>
          </cell>
          <cell r="P58">
            <v>0</v>
          </cell>
          <cell r="Q58">
            <v>60</v>
          </cell>
          <cell r="R58">
            <v>95</v>
          </cell>
          <cell r="S58">
            <v>0</v>
          </cell>
          <cell r="T58">
            <v>85</v>
          </cell>
          <cell r="U58">
            <v>70</v>
          </cell>
          <cell r="V58">
            <v>60</v>
          </cell>
          <cell r="W58">
            <v>60</v>
          </cell>
        </row>
        <row r="59">
          <cell r="A59">
            <v>1400</v>
          </cell>
          <cell r="B59">
            <v>50</v>
          </cell>
          <cell r="C59">
            <v>75</v>
          </cell>
          <cell r="D59">
            <v>65</v>
          </cell>
          <cell r="E59">
            <v>55</v>
          </cell>
          <cell r="F59">
            <v>45</v>
          </cell>
          <cell r="G59">
            <v>45</v>
          </cell>
          <cell r="H59">
            <v>0</v>
          </cell>
          <cell r="I59">
            <v>0</v>
          </cell>
          <cell r="J59">
            <v>0</v>
          </cell>
          <cell r="K59">
            <v>0</v>
          </cell>
          <cell r="L59">
            <v>0</v>
          </cell>
          <cell r="M59">
            <v>0</v>
          </cell>
          <cell r="N59">
            <v>0</v>
          </cell>
          <cell r="O59">
            <v>0</v>
          </cell>
          <cell r="P59">
            <v>0</v>
          </cell>
          <cell r="Q59">
            <v>50</v>
          </cell>
          <cell r="R59">
            <v>75</v>
          </cell>
          <cell r="S59">
            <v>0</v>
          </cell>
          <cell r="T59">
            <v>65</v>
          </cell>
          <cell r="U59">
            <v>55</v>
          </cell>
          <cell r="V59">
            <v>45</v>
          </cell>
          <cell r="W59">
            <v>45</v>
          </cell>
        </row>
        <row r="60">
          <cell r="A60">
            <v>1450</v>
          </cell>
          <cell r="B60">
            <v>35</v>
          </cell>
          <cell r="C60">
            <v>60</v>
          </cell>
          <cell r="D60">
            <v>50</v>
          </cell>
          <cell r="E60">
            <v>40</v>
          </cell>
          <cell r="F60">
            <v>30</v>
          </cell>
          <cell r="G60">
            <v>35</v>
          </cell>
          <cell r="H60">
            <v>0</v>
          </cell>
          <cell r="I60">
            <v>0</v>
          </cell>
          <cell r="J60">
            <v>0</v>
          </cell>
          <cell r="K60">
            <v>0</v>
          </cell>
          <cell r="L60">
            <v>0</v>
          </cell>
          <cell r="M60">
            <v>0</v>
          </cell>
          <cell r="N60">
            <v>0</v>
          </cell>
          <cell r="O60">
            <v>0</v>
          </cell>
          <cell r="P60">
            <v>0</v>
          </cell>
          <cell r="Q60">
            <v>35</v>
          </cell>
          <cell r="R60">
            <v>60</v>
          </cell>
          <cell r="S60">
            <v>0</v>
          </cell>
          <cell r="T60">
            <v>50</v>
          </cell>
          <cell r="U60">
            <v>40</v>
          </cell>
          <cell r="V60">
            <v>30</v>
          </cell>
          <cell r="W60">
            <v>35</v>
          </cell>
        </row>
        <row r="61">
          <cell r="A61">
            <v>1500</v>
          </cell>
          <cell r="B61">
            <v>25</v>
          </cell>
          <cell r="C61">
            <v>40</v>
          </cell>
          <cell r="D61">
            <v>40</v>
          </cell>
          <cell r="E61">
            <v>35</v>
          </cell>
          <cell r="F61">
            <v>25</v>
          </cell>
          <cell r="G61">
            <v>25</v>
          </cell>
          <cell r="H61">
            <v>0</v>
          </cell>
          <cell r="I61">
            <v>0</v>
          </cell>
          <cell r="J61">
            <v>0</v>
          </cell>
          <cell r="K61">
            <v>0</v>
          </cell>
          <cell r="L61">
            <v>0</v>
          </cell>
          <cell r="M61">
            <v>0</v>
          </cell>
          <cell r="N61">
            <v>0</v>
          </cell>
          <cell r="O61">
            <v>0</v>
          </cell>
          <cell r="P61">
            <v>0</v>
          </cell>
          <cell r="Q61">
            <v>25</v>
          </cell>
          <cell r="R61">
            <v>40</v>
          </cell>
          <cell r="S61">
            <v>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S78">
            <v>590</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S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S80">
            <v>475</v>
          </cell>
          <cell r="T80">
            <v>475</v>
          </cell>
          <cell r="U80">
            <v>485</v>
          </cell>
          <cell r="V80">
            <v>450</v>
          </cell>
          <cell r="W80">
            <v>460</v>
          </cell>
        </row>
        <row r="81">
          <cell r="A81">
            <v>1050</v>
          </cell>
          <cell r="B81">
            <v>205</v>
          </cell>
          <cell r="C81">
            <v>210</v>
          </cell>
          <cell r="D81">
            <v>190</v>
          </cell>
          <cell r="E81">
            <v>190</v>
          </cell>
          <cell r="F81">
            <v>235</v>
          </cell>
          <cell r="G81">
            <v>205</v>
          </cell>
          <cell r="H81">
            <v>210</v>
          </cell>
          <cell r="I81">
            <v>190</v>
          </cell>
          <cell r="J81">
            <v>190</v>
          </cell>
          <cell r="K81">
            <v>235</v>
          </cell>
          <cell r="L81">
            <v>220</v>
          </cell>
          <cell r="M81">
            <v>190</v>
          </cell>
          <cell r="N81">
            <v>190</v>
          </cell>
          <cell r="O81">
            <v>230</v>
          </cell>
          <cell r="P81">
            <v>480</v>
          </cell>
          <cell r="Q81">
            <v>410</v>
          </cell>
          <cell r="R81">
            <v>460</v>
          </cell>
          <cell r="S81">
            <v>0</v>
          </cell>
          <cell r="T81">
            <v>415</v>
          </cell>
          <cell r="U81">
            <v>480</v>
          </cell>
          <cell r="V81">
            <v>390</v>
          </cell>
          <cell r="W81">
            <v>450</v>
          </cell>
        </row>
        <row r="82">
          <cell r="A82">
            <v>1100</v>
          </cell>
          <cell r="B82">
            <v>130</v>
          </cell>
          <cell r="C82">
            <v>130</v>
          </cell>
          <cell r="D82">
            <v>130</v>
          </cell>
          <cell r="E82">
            <v>145</v>
          </cell>
          <cell r="F82">
            <v>145</v>
          </cell>
          <cell r="G82">
            <v>130</v>
          </cell>
          <cell r="H82">
            <v>135</v>
          </cell>
          <cell r="I82">
            <v>130</v>
          </cell>
          <cell r="J82">
            <v>130</v>
          </cell>
          <cell r="K82">
            <v>145</v>
          </cell>
          <cell r="L82">
            <v>145</v>
          </cell>
          <cell r="M82">
            <v>135</v>
          </cell>
          <cell r="N82">
            <v>135</v>
          </cell>
          <cell r="O82">
            <v>150</v>
          </cell>
          <cell r="P82">
            <v>400</v>
          </cell>
          <cell r="Q82">
            <v>345</v>
          </cell>
          <cell r="R82">
            <v>405</v>
          </cell>
          <cell r="S82">
            <v>0</v>
          </cell>
          <cell r="T82">
            <v>360</v>
          </cell>
          <cell r="U82">
            <v>430</v>
          </cell>
          <cell r="V82">
            <v>300</v>
          </cell>
          <cell r="W82">
            <v>345</v>
          </cell>
        </row>
        <row r="83">
          <cell r="A83">
            <v>1150</v>
          </cell>
          <cell r="B83">
            <v>80</v>
          </cell>
          <cell r="C83">
            <v>80</v>
          </cell>
          <cell r="D83">
            <v>80</v>
          </cell>
          <cell r="E83">
            <v>90</v>
          </cell>
          <cell r="F83">
            <v>110</v>
          </cell>
          <cell r="G83">
            <v>80</v>
          </cell>
          <cell r="H83">
            <v>80</v>
          </cell>
          <cell r="I83">
            <v>80</v>
          </cell>
          <cell r="J83">
            <v>80</v>
          </cell>
          <cell r="K83">
            <v>90</v>
          </cell>
          <cell r="L83">
            <v>110</v>
          </cell>
          <cell r="M83">
            <v>80</v>
          </cell>
          <cell r="N83">
            <v>80</v>
          </cell>
          <cell r="O83">
            <v>100</v>
          </cell>
          <cell r="P83">
            <v>295</v>
          </cell>
          <cell r="Q83">
            <v>265</v>
          </cell>
          <cell r="R83">
            <v>315</v>
          </cell>
          <cell r="S83">
            <v>0</v>
          </cell>
          <cell r="T83">
            <v>315</v>
          </cell>
          <cell r="U83">
            <v>365</v>
          </cell>
          <cell r="V83">
            <v>230</v>
          </cell>
          <cell r="W83">
            <v>250</v>
          </cell>
        </row>
        <row r="84">
          <cell r="A84">
            <v>1200</v>
          </cell>
          <cell r="B84">
            <v>50</v>
          </cell>
          <cell r="C84">
            <v>50</v>
          </cell>
          <cell r="D84">
            <v>50</v>
          </cell>
          <cell r="E84">
            <v>55</v>
          </cell>
          <cell r="F84">
            <v>60</v>
          </cell>
          <cell r="G84">
            <v>50</v>
          </cell>
          <cell r="H84">
            <v>45</v>
          </cell>
          <cell r="I84">
            <v>50</v>
          </cell>
          <cell r="J84">
            <v>50</v>
          </cell>
          <cell r="K84">
            <v>55</v>
          </cell>
          <cell r="L84">
            <v>60</v>
          </cell>
          <cell r="M84">
            <v>45</v>
          </cell>
          <cell r="N84">
            <v>45</v>
          </cell>
          <cell r="O84">
            <v>70</v>
          </cell>
          <cell r="P84">
            <v>190</v>
          </cell>
          <cell r="Q84">
            <v>205</v>
          </cell>
          <cell r="R84">
            <v>245</v>
          </cell>
          <cell r="S84">
            <v>0</v>
          </cell>
          <cell r="T84">
            <v>245</v>
          </cell>
          <cell r="U84">
            <v>230</v>
          </cell>
          <cell r="V84">
            <v>175</v>
          </cell>
          <cell r="W84">
            <v>185</v>
          </cell>
        </row>
        <row r="85">
          <cell r="A85">
            <v>1250</v>
          </cell>
          <cell r="B85">
            <v>150</v>
          </cell>
          <cell r="C85">
            <v>195</v>
          </cell>
          <cell r="D85">
            <v>185</v>
          </cell>
          <cell r="E85">
            <v>165</v>
          </cell>
          <cell r="F85">
            <v>135</v>
          </cell>
          <cell r="G85">
            <v>135</v>
          </cell>
          <cell r="H85">
            <v>0</v>
          </cell>
          <cell r="I85">
            <v>0</v>
          </cell>
          <cell r="J85">
            <v>0</v>
          </cell>
          <cell r="K85">
            <v>0</v>
          </cell>
          <cell r="L85">
            <v>0</v>
          </cell>
          <cell r="M85">
            <v>0</v>
          </cell>
          <cell r="N85">
            <v>0</v>
          </cell>
          <cell r="O85">
            <v>0</v>
          </cell>
          <cell r="P85">
            <v>0</v>
          </cell>
          <cell r="Q85">
            <v>150</v>
          </cell>
          <cell r="R85">
            <v>195</v>
          </cell>
          <cell r="S85">
            <v>0</v>
          </cell>
          <cell r="T85">
            <v>185</v>
          </cell>
          <cell r="U85">
            <v>165</v>
          </cell>
          <cell r="V85">
            <v>135</v>
          </cell>
          <cell r="W85">
            <v>135</v>
          </cell>
        </row>
        <row r="86">
          <cell r="A86">
            <v>1300</v>
          </cell>
          <cell r="B86">
            <v>115</v>
          </cell>
          <cell r="C86">
            <v>155</v>
          </cell>
          <cell r="D86">
            <v>145</v>
          </cell>
          <cell r="E86">
            <v>125</v>
          </cell>
          <cell r="F86">
            <v>105</v>
          </cell>
          <cell r="G86">
            <v>100</v>
          </cell>
          <cell r="H86">
            <v>0</v>
          </cell>
          <cell r="I86">
            <v>0</v>
          </cell>
          <cell r="J86">
            <v>0</v>
          </cell>
          <cell r="K86">
            <v>0</v>
          </cell>
          <cell r="L86">
            <v>0</v>
          </cell>
          <cell r="M86">
            <v>0</v>
          </cell>
          <cell r="N86">
            <v>0</v>
          </cell>
          <cell r="O86">
            <v>0</v>
          </cell>
          <cell r="P86">
            <v>0</v>
          </cell>
          <cell r="Q86">
            <v>115</v>
          </cell>
          <cell r="R86">
            <v>155</v>
          </cell>
          <cell r="S86">
            <v>0</v>
          </cell>
          <cell r="T86">
            <v>145</v>
          </cell>
          <cell r="U86">
            <v>125</v>
          </cell>
          <cell r="V86">
            <v>105</v>
          </cell>
          <cell r="W86">
            <v>100</v>
          </cell>
        </row>
        <row r="87">
          <cell r="A87">
            <v>1350</v>
          </cell>
          <cell r="B87">
            <v>80</v>
          </cell>
          <cell r="C87">
            <v>130</v>
          </cell>
          <cell r="D87">
            <v>115</v>
          </cell>
          <cell r="E87">
            <v>90</v>
          </cell>
          <cell r="F87">
            <v>80</v>
          </cell>
          <cell r="G87">
            <v>80</v>
          </cell>
          <cell r="H87">
            <v>0</v>
          </cell>
          <cell r="I87">
            <v>0</v>
          </cell>
          <cell r="J87">
            <v>0</v>
          </cell>
          <cell r="K87">
            <v>0</v>
          </cell>
          <cell r="L87">
            <v>0</v>
          </cell>
          <cell r="M87">
            <v>0</v>
          </cell>
          <cell r="N87">
            <v>0</v>
          </cell>
          <cell r="O87">
            <v>0</v>
          </cell>
          <cell r="P87">
            <v>0</v>
          </cell>
          <cell r="Q87">
            <v>80</v>
          </cell>
          <cell r="R87">
            <v>130</v>
          </cell>
          <cell r="S87">
            <v>0</v>
          </cell>
          <cell r="T87">
            <v>115</v>
          </cell>
          <cell r="U87">
            <v>90</v>
          </cell>
          <cell r="V87">
            <v>80</v>
          </cell>
          <cell r="W87">
            <v>80</v>
          </cell>
        </row>
        <row r="88">
          <cell r="A88">
            <v>1400</v>
          </cell>
          <cell r="B88">
            <v>65</v>
          </cell>
          <cell r="C88">
            <v>100</v>
          </cell>
          <cell r="D88">
            <v>85</v>
          </cell>
          <cell r="E88">
            <v>75</v>
          </cell>
          <cell r="F88">
            <v>60</v>
          </cell>
          <cell r="G88">
            <v>60</v>
          </cell>
          <cell r="H88">
            <v>0</v>
          </cell>
          <cell r="I88">
            <v>0</v>
          </cell>
          <cell r="J88">
            <v>0</v>
          </cell>
          <cell r="K88">
            <v>0</v>
          </cell>
          <cell r="L88">
            <v>0</v>
          </cell>
          <cell r="M88">
            <v>0</v>
          </cell>
          <cell r="N88">
            <v>0</v>
          </cell>
          <cell r="O88">
            <v>0</v>
          </cell>
          <cell r="P88">
            <v>0</v>
          </cell>
          <cell r="Q88">
            <v>65</v>
          </cell>
          <cell r="R88">
            <v>100</v>
          </cell>
          <cell r="S88">
            <v>0</v>
          </cell>
          <cell r="T88">
            <v>85</v>
          </cell>
          <cell r="U88">
            <v>75</v>
          </cell>
          <cell r="V88">
            <v>60</v>
          </cell>
          <cell r="W88">
            <v>60</v>
          </cell>
        </row>
        <row r="89">
          <cell r="A89">
            <v>1450</v>
          </cell>
          <cell r="B89">
            <v>45</v>
          </cell>
          <cell r="C89">
            <v>80</v>
          </cell>
          <cell r="D89">
            <v>70</v>
          </cell>
          <cell r="E89">
            <v>55</v>
          </cell>
          <cell r="F89">
            <v>40</v>
          </cell>
          <cell r="G89">
            <v>45</v>
          </cell>
          <cell r="H89">
            <v>0</v>
          </cell>
          <cell r="I89">
            <v>0</v>
          </cell>
          <cell r="J89">
            <v>0</v>
          </cell>
          <cell r="K89">
            <v>0</v>
          </cell>
          <cell r="L89">
            <v>0</v>
          </cell>
          <cell r="M89">
            <v>0</v>
          </cell>
          <cell r="N89">
            <v>0</v>
          </cell>
          <cell r="O89">
            <v>0</v>
          </cell>
          <cell r="P89">
            <v>0</v>
          </cell>
          <cell r="Q89">
            <v>45</v>
          </cell>
          <cell r="R89">
            <v>80</v>
          </cell>
          <cell r="S89">
            <v>0</v>
          </cell>
          <cell r="T89">
            <v>70</v>
          </cell>
          <cell r="U89">
            <v>55</v>
          </cell>
          <cell r="V89">
            <v>40</v>
          </cell>
          <cell r="W89">
            <v>45</v>
          </cell>
        </row>
        <row r="90">
          <cell r="A90">
            <v>1500</v>
          </cell>
          <cell r="B90">
            <v>35</v>
          </cell>
          <cell r="C90">
            <v>55</v>
          </cell>
          <cell r="D90">
            <v>55</v>
          </cell>
          <cell r="E90">
            <v>45</v>
          </cell>
          <cell r="F90">
            <v>30</v>
          </cell>
          <cell r="G90">
            <v>35</v>
          </cell>
          <cell r="H90">
            <v>0</v>
          </cell>
          <cell r="I90">
            <v>0</v>
          </cell>
          <cell r="J90">
            <v>0</v>
          </cell>
          <cell r="K90">
            <v>0</v>
          </cell>
          <cell r="L90">
            <v>0</v>
          </cell>
          <cell r="M90">
            <v>0</v>
          </cell>
          <cell r="N90">
            <v>0</v>
          </cell>
          <cell r="O90">
            <v>0</v>
          </cell>
          <cell r="P90">
            <v>0</v>
          </cell>
          <cell r="Q90">
            <v>35</v>
          </cell>
          <cell r="R90">
            <v>55</v>
          </cell>
          <cell r="S90">
            <v>0</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S107">
            <v>885</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S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S109">
            <v>715</v>
          </cell>
          <cell r="T109">
            <v>715</v>
          </cell>
          <cell r="U109">
            <v>725</v>
          </cell>
          <cell r="V109">
            <v>670</v>
          </cell>
          <cell r="W109">
            <v>685</v>
          </cell>
        </row>
        <row r="110">
          <cell r="A110">
            <v>1050</v>
          </cell>
          <cell r="B110">
            <v>310</v>
          </cell>
          <cell r="C110">
            <v>315</v>
          </cell>
          <cell r="D110">
            <v>290</v>
          </cell>
          <cell r="E110">
            <v>290</v>
          </cell>
          <cell r="F110">
            <v>350</v>
          </cell>
          <cell r="G110">
            <v>310</v>
          </cell>
          <cell r="H110">
            <v>315</v>
          </cell>
          <cell r="I110">
            <v>290</v>
          </cell>
          <cell r="J110">
            <v>290</v>
          </cell>
          <cell r="K110">
            <v>350</v>
          </cell>
          <cell r="L110">
            <v>330</v>
          </cell>
          <cell r="M110">
            <v>290</v>
          </cell>
          <cell r="N110">
            <v>290</v>
          </cell>
          <cell r="O110">
            <v>345</v>
          </cell>
          <cell r="P110">
            <v>720</v>
          </cell>
          <cell r="Q110">
            <v>615</v>
          </cell>
          <cell r="R110">
            <v>685</v>
          </cell>
          <cell r="S110">
            <v>0</v>
          </cell>
          <cell r="T110">
            <v>625</v>
          </cell>
          <cell r="U110">
            <v>720</v>
          </cell>
          <cell r="V110">
            <v>585</v>
          </cell>
          <cell r="W110">
            <v>670</v>
          </cell>
        </row>
        <row r="111">
          <cell r="A111">
            <v>1100</v>
          </cell>
          <cell r="B111">
            <v>190</v>
          </cell>
          <cell r="C111">
            <v>190</v>
          </cell>
          <cell r="D111">
            <v>190</v>
          </cell>
          <cell r="E111">
            <v>220</v>
          </cell>
          <cell r="F111">
            <v>220</v>
          </cell>
          <cell r="G111">
            <v>190</v>
          </cell>
          <cell r="H111">
            <v>200</v>
          </cell>
          <cell r="I111">
            <v>190</v>
          </cell>
          <cell r="J111">
            <v>190</v>
          </cell>
          <cell r="K111">
            <v>220</v>
          </cell>
          <cell r="L111">
            <v>220</v>
          </cell>
          <cell r="M111">
            <v>200</v>
          </cell>
          <cell r="N111">
            <v>200</v>
          </cell>
          <cell r="O111">
            <v>225</v>
          </cell>
          <cell r="P111">
            <v>605</v>
          </cell>
          <cell r="Q111">
            <v>515</v>
          </cell>
          <cell r="R111">
            <v>610</v>
          </cell>
          <cell r="S111">
            <v>0</v>
          </cell>
          <cell r="T111">
            <v>545</v>
          </cell>
          <cell r="U111">
            <v>645</v>
          </cell>
          <cell r="V111">
            <v>445</v>
          </cell>
          <cell r="W111">
            <v>520</v>
          </cell>
        </row>
        <row r="112">
          <cell r="A112">
            <v>1150</v>
          </cell>
          <cell r="B112">
            <v>125</v>
          </cell>
          <cell r="C112">
            <v>125</v>
          </cell>
          <cell r="D112">
            <v>125</v>
          </cell>
          <cell r="E112">
            <v>135</v>
          </cell>
          <cell r="F112">
            <v>165</v>
          </cell>
          <cell r="G112">
            <v>125</v>
          </cell>
          <cell r="H112">
            <v>125</v>
          </cell>
          <cell r="I112">
            <v>125</v>
          </cell>
          <cell r="J112">
            <v>125</v>
          </cell>
          <cell r="K112">
            <v>135</v>
          </cell>
          <cell r="L112">
            <v>165</v>
          </cell>
          <cell r="M112">
            <v>125</v>
          </cell>
          <cell r="N112">
            <v>125</v>
          </cell>
          <cell r="O112">
            <v>150</v>
          </cell>
          <cell r="P112">
            <v>445</v>
          </cell>
          <cell r="Q112">
            <v>400</v>
          </cell>
          <cell r="R112">
            <v>475</v>
          </cell>
          <cell r="S112">
            <v>0</v>
          </cell>
          <cell r="T112">
            <v>475</v>
          </cell>
          <cell r="U112">
            <v>550</v>
          </cell>
          <cell r="V112">
            <v>345</v>
          </cell>
          <cell r="W112">
            <v>375</v>
          </cell>
        </row>
        <row r="113">
          <cell r="A113">
            <v>1200</v>
          </cell>
          <cell r="B113">
            <v>75</v>
          </cell>
          <cell r="C113">
            <v>75</v>
          </cell>
          <cell r="D113">
            <v>75</v>
          </cell>
          <cell r="E113">
            <v>80</v>
          </cell>
          <cell r="F113">
            <v>90</v>
          </cell>
          <cell r="G113">
            <v>75</v>
          </cell>
          <cell r="H113">
            <v>70</v>
          </cell>
          <cell r="I113">
            <v>75</v>
          </cell>
          <cell r="J113">
            <v>75</v>
          </cell>
          <cell r="K113">
            <v>80</v>
          </cell>
          <cell r="L113">
            <v>90</v>
          </cell>
          <cell r="M113">
            <v>70</v>
          </cell>
          <cell r="N113">
            <v>70</v>
          </cell>
          <cell r="O113">
            <v>105</v>
          </cell>
          <cell r="P113">
            <v>290</v>
          </cell>
          <cell r="Q113">
            <v>310</v>
          </cell>
          <cell r="R113">
            <v>370</v>
          </cell>
          <cell r="S113">
            <v>0</v>
          </cell>
          <cell r="T113">
            <v>370</v>
          </cell>
          <cell r="U113">
            <v>345</v>
          </cell>
          <cell r="V113">
            <v>260</v>
          </cell>
          <cell r="W113">
            <v>275</v>
          </cell>
        </row>
        <row r="114">
          <cell r="A114">
            <v>1250</v>
          </cell>
          <cell r="B114">
            <v>225</v>
          </cell>
          <cell r="C114">
            <v>299</v>
          </cell>
          <cell r="D114">
            <v>280</v>
          </cell>
          <cell r="E114">
            <v>245</v>
          </cell>
          <cell r="F114">
            <v>200</v>
          </cell>
          <cell r="G114">
            <v>205</v>
          </cell>
          <cell r="H114">
            <v>0</v>
          </cell>
          <cell r="I114">
            <v>0</v>
          </cell>
          <cell r="J114">
            <v>0</v>
          </cell>
          <cell r="K114">
            <v>0</v>
          </cell>
          <cell r="L114">
            <v>0</v>
          </cell>
          <cell r="M114">
            <v>0</v>
          </cell>
          <cell r="N114">
            <v>0</v>
          </cell>
          <cell r="O114">
            <v>0</v>
          </cell>
          <cell r="P114">
            <v>0</v>
          </cell>
          <cell r="Q114">
            <v>225</v>
          </cell>
          <cell r="R114">
            <v>299</v>
          </cell>
          <cell r="S114">
            <v>0</v>
          </cell>
          <cell r="T114">
            <v>280</v>
          </cell>
          <cell r="U114">
            <v>245</v>
          </cell>
          <cell r="V114">
            <v>200</v>
          </cell>
          <cell r="W114">
            <v>205</v>
          </cell>
        </row>
        <row r="115">
          <cell r="A115">
            <v>1300</v>
          </cell>
          <cell r="B115">
            <v>170</v>
          </cell>
          <cell r="C115">
            <v>235</v>
          </cell>
          <cell r="D115">
            <v>220</v>
          </cell>
          <cell r="E115">
            <v>185</v>
          </cell>
          <cell r="F115">
            <v>160</v>
          </cell>
          <cell r="G115">
            <v>150</v>
          </cell>
          <cell r="H115">
            <v>0</v>
          </cell>
          <cell r="I115">
            <v>0</v>
          </cell>
          <cell r="J115">
            <v>0</v>
          </cell>
          <cell r="K115">
            <v>0</v>
          </cell>
          <cell r="L115">
            <v>0</v>
          </cell>
          <cell r="M115">
            <v>0</v>
          </cell>
          <cell r="N115">
            <v>0</v>
          </cell>
          <cell r="O115">
            <v>0</v>
          </cell>
          <cell r="P115">
            <v>0</v>
          </cell>
          <cell r="Q115">
            <v>170</v>
          </cell>
          <cell r="R115">
            <v>235</v>
          </cell>
          <cell r="S115">
            <v>0</v>
          </cell>
          <cell r="T115">
            <v>220</v>
          </cell>
          <cell r="U115">
            <v>185</v>
          </cell>
          <cell r="V115">
            <v>160</v>
          </cell>
          <cell r="W115">
            <v>150</v>
          </cell>
        </row>
        <row r="116">
          <cell r="A116">
            <v>1350</v>
          </cell>
          <cell r="B116">
            <v>125</v>
          </cell>
          <cell r="C116">
            <v>190</v>
          </cell>
          <cell r="D116">
            <v>170</v>
          </cell>
          <cell r="E116">
            <v>135</v>
          </cell>
          <cell r="F116">
            <v>115</v>
          </cell>
          <cell r="G116">
            <v>115</v>
          </cell>
          <cell r="H116">
            <v>0</v>
          </cell>
          <cell r="I116">
            <v>0</v>
          </cell>
          <cell r="J116">
            <v>0</v>
          </cell>
          <cell r="K116">
            <v>0</v>
          </cell>
          <cell r="L116">
            <v>0</v>
          </cell>
          <cell r="M116">
            <v>0</v>
          </cell>
          <cell r="N116">
            <v>0</v>
          </cell>
          <cell r="O116">
            <v>0</v>
          </cell>
          <cell r="P116">
            <v>0</v>
          </cell>
          <cell r="Q116">
            <v>125</v>
          </cell>
          <cell r="R116">
            <v>190</v>
          </cell>
          <cell r="S116">
            <v>0</v>
          </cell>
          <cell r="T116">
            <v>170</v>
          </cell>
          <cell r="U116">
            <v>135</v>
          </cell>
          <cell r="V116">
            <v>115</v>
          </cell>
          <cell r="W116">
            <v>115</v>
          </cell>
        </row>
        <row r="117">
          <cell r="A117">
            <v>1400</v>
          </cell>
          <cell r="B117">
            <v>95</v>
          </cell>
          <cell r="C117">
            <v>150</v>
          </cell>
          <cell r="D117">
            <v>130</v>
          </cell>
          <cell r="E117">
            <v>110</v>
          </cell>
          <cell r="F117">
            <v>90</v>
          </cell>
          <cell r="G117">
            <v>90</v>
          </cell>
          <cell r="H117">
            <v>0</v>
          </cell>
          <cell r="I117">
            <v>0</v>
          </cell>
          <cell r="J117">
            <v>0</v>
          </cell>
          <cell r="K117">
            <v>0</v>
          </cell>
          <cell r="L117">
            <v>0</v>
          </cell>
          <cell r="M117">
            <v>0</v>
          </cell>
          <cell r="N117">
            <v>0</v>
          </cell>
          <cell r="O117">
            <v>0</v>
          </cell>
          <cell r="P117">
            <v>0</v>
          </cell>
          <cell r="Q117">
            <v>95</v>
          </cell>
          <cell r="R117">
            <v>150</v>
          </cell>
          <cell r="S117">
            <v>0</v>
          </cell>
          <cell r="T117">
            <v>130</v>
          </cell>
          <cell r="U117">
            <v>110</v>
          </cell>
          <cell r="V117">
            <v>90</v>
          </cell>
          <cell r="W117">
            <v>90</v>
          </cell>
        </row>
        <row r="118">
          <cell r="A118">
            <v>1450</v>
          </cell>
          <cell r="B118">
            <v>70</v>
          </cell>
          <cell r="C118">
            <v>115</v>
          </cell>
          <cell r="D118">
            <v>105</v>
          </cell>
          <cell r="E118">
            <v>80</v>
          </cell>
          <cell r="F118">
            <v>60</v>
          </cell>
          <cell r="G118">
            <v>65</v>
          </cell>
          <cell r="H118">
            <v>0</v>
          </cell>
          <cell r="I118">
            <v>0</v>
          </cell>
          <cell r="J118">
            <v>0</v>
          </cell>
          <cell r="K118">
            <v>0</v>
          </cell>
          <cell r="L118">
            <v>0</v>
          </cell>
          <cell r="M118">
            <v>0</v>
          </cell>
          <cell r="N118">
            <v>0</v>
          </cell>
          <cell r="O118">
            <v>0</v>
          </cell>
          <cell r="P118">
            <v>0</v>
          </cell>
          <cell r="Q118">
            <v>70</v>
          </cell>
          <cell r="R118">
            <v>115</v>
          </cell>
          <cell r="S118">
            <v>0</v>
          </cell>
          <cell r="T118">
            <v>105</v>
          </cell>
          <cell r="U118">
            <v>80</v>
          </cell>
          <cell r="V118">
            <v>60</v>
          </cell>
          <cell r="W118">
            <v>65</v>
          </cell>
        </row>
        <row r="119">
          <cell r="A119">
            <v>1500</v>
          </cell>
          <cell r="B119">
            <v>55</v>
          </cell>
          <cell r="C119">
            <v>85</v>
          </cell>
          <cell r="D119">
            <v>75</v>
          </cell>
          <cell r="E119">
            <v>70</v>
          </cell>
          <cell r="F119">
            <v>50</v>
          </cell>
          <cell r="G119">
            <v>50</v>
          </cell>
          <cell r="H119">
            <v>0</v>
          </cell>
          <cell r="I119">
            <v>0</v>
          </cell>
          <cell r="J119">
            <v>0</v>
          </cell>
          <cell r="K119">
            <v>0</v>
          </cell>
          <cell r="L119">
            <v>0</v>
          </cell>
          <cell r="M119">
            <v>0</v>
          </cell>
          <cell r="N119">
            <v>0</v>
          </cell>
          <cell r="O119">
            <v>0</v>
          </cell>
          <cell r="P119">
            <v>0</v>
          </cell>
          <cell r="Q119">
            <v>55</v>
          </cell>
          <cell r="R119">
            <v>85</v>
          </cell>
          <cell r="S119">
            <v>0</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S136">
            <v>1325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S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S138">
            <v>1070</v>
          </cell>
          <cell r="T138">
            <v>1070</v>
          </cell>
          <cell r="U138">
            <v>1090</v>
          </cell>
          <cell r="V138">
            <v>1010</v>
          </cell>
          <cell r="W138">
            <v>1030</v>
          </cell>
        </row>
        <row r="139">
          <cell r="A139">
            <v>1050</v>
          </cell>
          <cell r="B139">
            <v>465</v>
          </cell>
          <cell r="C139">
            <v>475</v>
          </cell>
          <cell r="D139">
            <v>430</v>
          </cell>
          <cell r="E139">
            <v>430</v>
          </cell>
          <cell r="F139">
            <v>525</v>
          </cell>
          <cell r="G139">
            <v>465</v>
          </cell>
          <cell r="H139">
            <v>475</v>
          </cell>
          <cell r="I139">
            <v>430</v>
          </cell>
          <cell r="J139">
            <v>430</v>
          </cell>
          <cell r="K139">
            <v>525</v>
          </cell>
          <cell r="L139">
            <v>495</v>
          </cell>
          <cell r="M139">
            <v>430</v>
          </cell>
          <cell r="N139">
            <v>430</v>
          </cell>
          <cell r="O139">
            <v>515</v>
          </cell>
          <cell r="P139">
            <v>1080</v>
          </cell>
          <cell r="Q139">
            <v>925</v>
          </cell>
          <cell r="R139">
            <v>1030</v>
          </cell>
          <cell r="S139">
            <v>0</v>
          </cell>
          <cell r="T139">
            <v>940</v>
          </cell>
          <cell r="U139">
            <v>1080</v>
          </cell>
          <cell r="V139">
            <v>875</v>
          </cell>
          <cell r="W139">
            <v>1010</v>
          </cell>
        </row>
        <row r="140">
          <cell r="A140">
            <v>1100</v>
          </cell>
          <cell r="B140">
            <v>290</v>
          </cell>
          <cell r="C140">
            <v>290</v>
          </cell>
          <cell r="D140">
            <v>290</v>
          </cell>
          <cell r="E140">
            <v>330</v>
          </cell>
          <cell r="F140">
            <v>330</v>
          </cell>
          <cell r="G140">
            <v>290</v>
          </cell>
          <cell r="H140">
            <v>300</v>
          </cell>
          <cell r="I140">
            <v>290</v>
          </cell>
          <cell r="J140">
            <v>290</v>
          </cell>
          <cell r="K140">
            <v>330</v>
          </cell>
          <cell r="L140">
            <v>330</v>
          </cell>
          <cell r="M140">
            <v>300</v>
          </cell>
          <cell r="N140">
            <v>300</v>
          </cell>
          <cell r="O140">
            <v>340</v>
          </cell>
          <cell r="P140">
            <v>905</v>
          </cell>
          <cell r="Q140">
            <v>770</v>
          </cell>
          <cell r="R140">
            <v>915</v>
          </cell>
          <cell r="S140">
            <v>0</v>
          </cell>
          <cell r="T140">
            <v>815</v>
          </cell>
          <cell r="U140">
            <v>965</v>
          </cell>
          <cell r="V140">
            <v>670</v>
          </cell>
          <cell r="W140">
            <v>780</v>
          </cell>
        </row>
        <row r="141">
          <cell r="A141">
            <v>1150</v>
          </cell>
          <cell r="B141">
            <v>185</v>
          </cell>
          <cell r="C141">
            <v>185</v>
          </cell>
          <cell r="D141">
            <v>185</v>
          </cell>
          <cell r="E141">
            <v>205</v>
          </cell>
          <cell r="F141">
            <v>245</v>
          </cell>
          <cell r="G141">
            <v>185</v>
          </cell>
          <cell r="H141">
            <v>185</v>
          </cell>
          <cell r="I141">
            <v>185</v>
          </cell>
          <cell r="J141">
            <v>185</v>
          </cell>
          <cell r="K141">
            <v>205</v>
          </cell>
          <cell r="L141">
            <v>245</v>
          </cell>
          <cell r="M141">
            <v>185</v>
          </cell>
          <cell r="N141">
            <v>185</v>
          </cell>
          <cell r="O141">
            <v>225</v>
          </cell>
          <cell r="P141">
            <v>670</v>
          </cell>
          <cell r="Q141">
            <v>595</v>
          </cell>
          <cell r="R141">
            <v>710</v>
          </cell>
          <cell r="S141">
            <v>0</v>
          </cell>
          <cell r="T141">
            <v>710</v>
          </cell>
          <cell r="U141">
            <v>825</v>
          </cell>
          <cell r="V141">
            <v>515</v>
          </cell>
          <cell r="W141">
            <v>565</v>
          </cell>
        </row>
        <row r="142">
          <cell r="A142">
            <v>1200</v>
          </cell>
          <cell r="B142">
            <v>115</v>
          </cell>
          <cell r="C142">
            <v>115</v>
          </cell>
          <cell r="D142">
            <v>115</v>
          </cell>
          <cell r="E142">
            <v>125</v>
          </cell>
          <cell r="F142">
            <v>135</v>
          </cell>
          <cell r="G142">
            <v>115</v>
          </cell>
          <cell r="H142">
            <v>105</v>
          </cell>
          <cell r="I142">
            <v>115</v>
          </cell>
          <cell r="J142">
            <v>115</v>
          </cell>
          <cell r="K142">
            <v>125</v>
          </cell>
          <cell r="L142">
            <v>135</v>
          </cell>
          <cell r="M142">
            <v>105</v>
          </cell>
          <cell r="N142">
            <v>105</v>
          </cell>
          <cell r="O142">
            <v>155</v>
          </cell>
          <cell r="P142">
            <v>430</v>
          </cell>
          <cell r="Q142">
            <v>465</v>
          </cell>
          <cell r="R142">
            <v>555</v>
          </cell>
          <cell r="S142">
            <v>0</v>
          </cell>
          <cell r="T142">
            <v>555</v>
          </cell>
          <cell r="U142">
            <v>515</v>
          </cell>
          <cell r="V142">
            <v>390</v>
          </cell>
          <cell r="W142">
            <v>410</v>
          </cell>
        </row>
        <row r="143">
          <cell r="A143">
            <v>1250</v>
          </cell>
          <cell r="B143">
            <v>340</v>
          </cell>
          <cell r="C143">
            <v>440</v>
          </cell>
          <cell r="D143">
            <v>420</v>
          </cell>
          <cell r="E143">
            <v>370</v>
          </cell>
          <cell r="F143">
            <v>300</v>
          </cell>
          <cell r="G143">
            <v>310</v>
          </cell>
          <cell r="H143">
            <v>0</v>
          </cell>
          <cell r="I143">
            <v>0</v>
          </cell>
          <cell r="J143">
            <v>0</v>
          </cell>
          <cell r="K143">
            <v>0</v>
          </cell>
          <cell r="L143">
            <v>0</v>
          </cell>
          <cell r="M143">
            <v>0</v>
          </cell>
          <cell r="N143">
            <v>0</v>
          </cell>
          <cell r="O143">
            <v>0</v>
          </cell>
          <cell r="P143">
            <v>0</v>
          </cell>
          <cell r="Q143">
            <v>340</v>
          </cell>
          <cell r="R143">
            <v>440</v>
          </cell>
          <cell r="S143">
            <v>0</v>
          </cell>
          <cell r="T143">
            <v>420</v>
          </cell>
          <cell r="U143">
            <v>370</v>
          </cell>
          <cell r="V143">
            <v>300</v>
          </cell>
          <cell r="W143">
            <v>310</v>
          </cell>
        </row>
        <row r="144">
          <cell r="A144">
            <v>1300</v>
          </cell>
          <cell r="B144">
            <v>255</v>
          </cell>
          <cell r="C144">
            <v>350</v>
          </cell>
          <cell r="D144">
            <v>330</v>
          </cell>
          <cell r="E144">
            <v>280</v>
          </cell>
          <cell r="F144">
            <v>235</v>
          </cell>
          <cell r="G144">
            <v>225</v>
          </cell>
          <cell r="H144">
            <v>0</v>
          </cell>
          <cell r="I144">
            <v>0</v>
          </cell>
          <cell r="J144">
            <v>0</v>
          </cell>
          <cell r="K144">
            <v>0</v>
          </cell>
          <cell r="L144">
            <v>0</v>
          </cell>
          <cell r="M144">
            <v>0</v>
          </cell>
          <cell r="N144">
            <v>0</v>
          </cell>
          <cell r="O144">
            <v>0</v>
          </cell>
          <cell r="P144">
            <v>0</v>
          </cell>
          <cell r="Q144">
            <v>255</v>
          </cell>
          <cell r="R144">
            <v>350</v>
          </cell>
          <cell r="S144">
            <v>0</v>
          </cell>
          <cell r="T144">
            <v>330</v>
          </cell>
          <cell r="U144">
            <v>280</v>
          </cell>
          <cell r="V144">
            <v>235</v>
          </cell>
          <cell r="W144">
            <v>225</v>
          </cell>
        </row>
        <row r="145">
          <cell r="A145">
            <v>1350</v>
          </cell>
          <cell r="B145">
            <v>185</v>
          </cell>
          <cell r="C145">
            <v>290</v>
          </cell>
          <cell r="D145">
            <v>255</v>
          </cell>
          <cell r="E145">
            <v>205</v>
          </cell>
          <cell r="F145">
            <v>175</v>
          </cell>
          <cell r="G145">
            <v>175</v>
          </cell>
          <cell r="H145">
            <v>0</v>
          </cell>
          <cell r="I145">
            <v>0</v>
          </cell>
          <cell r="J145">
            <v>0</v>
          </cell>
          <cell r="K145">
            <v>0</v>
          </cell>
          <cell r="L145">
            <v>0</v>
          </cell>
          <cell r="M145">
            <v>0</v>
          </cell>
          <cell r="N145">
            <v>0</v>
          </cell>
          <cell r="O145">
            <v>0</v>
          </cell>
          <cell r="P145">
            <v>0</v>
          </cell>
          <cell r="Q145">
            <v>185</v>
          </cell>
          <cell r="R145">
            <v>290</v>
          </cell>
          <cell r="S145">
            <v>0</v>
          </cell>
          <cell r="T145">
            <v>255</v>
          </cell>
          <cell r="U145">
            <v>205</v>
          </cell>
          <cell r="V145">
            <v>175</v>
          </cell>
          <cell r="W145">
            <v>175</v>
          </cell>
        </row>
        <row r="146">
          <cell r="A146">
            <v>1400</v>
          </cell>
          <cell r="B146">
            <v>145</v>
          </cell>
          <cell r="C146">
            <v>225</v>
          </cell>
          <cell r="D146">
            <v>195</v>
          </cell>
          <cell r="E146">
            <v>165</v>
          </cell>
          <cell r="F146">
            <v>135</v>
          </cell>
          <cell r="G146">
            <v>135</v>
          </cell>
          <cell r="H146">
            <v>0</v>
          </cell>
          <cell r="I146">
            <v>0</v>
          </cell>
          <cell r="J146">
            <v>0</v>
          </cell>
          <cell r="K146">
            <v>0</v>
          </cell>
          <cell r="L146">
            <v>0</v>
          </cell>
          <cell r="M146">
            <v>0</v>
          </cell>
          <cell r="N146">
            <v>0</v>
          </cell>
          <cell r="O146">
            <v>0</v>
          </cell>
          <cell r="P146">
            <v>0</v>
          </cell>
          <cell r="Q146">
            <v>145</v>
          </cell>
          <cell r="R146">
            <v>225</v>
          </cell>
          <cell r="S146">
            <v>0</v>
          </cell>
          <cell r="T146">
            <v>195</v>
          </cell>
          <cell r="U146">
            <v>165</v>
          </cell>
          <cell r="V146">
            <v>135</v>
          </cell>
          <cell r="W146">
            <v>135</v>
          </cell>
        </row>
        <row r="147">
          <cell r="A147">
            <v>1450</v>
          </cell>
          <cell r="B147">
            <v>105</v>
          </cell>
          <cell r="C147">
            <v>175</v>
          </cell>
          <cell r="D147">
            <v>155</v>
          </cell>
          <cell r="E147">
            <v>125</v>
          </cell>
          <cell r="F147">
            <v>95</v>
          </cell>
          <cell r="G147">
            <v>100</v>
          </cell>
          <cell r="H147">
            <v>0</v>
          </cell>
          <cell r="I147">
            <v>0</v>
          </cell>
          <cell r="J147">
            <v>0</v>
          </cell>
          <cell r="K147">
            <v>0</v>
          </cell>
          <cell r="L147">
            <v>0</v>
          </cell>
          <cell r="M147">
            <v>0</v>
          </cell>
          <cell r="N147">
            <v>0</v>
          </cell>
          <cell r="O147">
            <v>0</v>
          </cell>
          <cell r="P147">
            <v>0</v>
          </cell>
          <cell r="Q147">
            <v>105</v>
          </cell>
          <cell r="R147">
            <v>175</v>
          </cell>
          <cell r="S147">
            <v>0</v>
          </cell>
          <cell r="T147">
            <v>155</v>
          </cell>
          <cell r="U147">
            <v>125</v>
          </cell>
          <cell r="V147">
            <v>95</v>
          </cell>
          <cell r="W147">
            <v>100</v>
          </cell>
        </row>
        <row r="148">
          <cell r="A148">
            <v>1500</v>
          </cell>
          <cell r="B148">
            <v>80</v>
          </cell>
          <cell r="C148">
            <v>125</v>
          </cell>
          <cell r="D148">
            <v>115</v>
          </cell>
          <cell r="E148">
            <v>105</v>
          </cell>
          <cell r="F148">
            <v>70</v>
          </cell>
          <cell r="G148">
            <v>75</v>
          </cell>
          <cell r="H148">
            <v>0</v>
          </cell>
          <cell r="I148">
            <v>0</v>
          </cell>
          <cell r="J148">
            <v>0</v>
          </cell>
          <cell r="K148">
            <v>0</v>
          </cell>
          <cell r="L148">
            <v>0</v>
          </cell>
          <cell r="M148">
            <v>0</v>
          </cell>
          <cell r="N148">
            <v>0</v>
          </cell>
          <cell r="O148">
            <v>0</v>
          </cell>
          <cell r="P148">
            <v>0</v>
          </cell>
          <cell r="Q148">
            <v>80</v>
          </cell>
          <cell r="R148">
            <v>125</v>
          </cell>
          <cell r="S148">
            <v>0</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S164">
            <v>2210</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S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S166">
            <v>1785</v>
          </cell>
          <cell r="T166">
            <v>1785</v>
          </cell>
          <cell r="U166">
            <v>1820</v>
          </cell>
          <cell r="V166">
            <v>1680</v>
          </cell>
          <cell r="W166">
            <v>1720</v>
          </cell>
        </row>
        <row r="167">
          <cell r="A167">
            <v>1050</v>
          </cell>
          <cell r="B167">
            <v>770</v>
          </cell>
          <cell r="C167">
            <v>790</v>
          </cell>
          <cell r="D167">
            <v>720</v>
          </cell>
          <cell r="E167">
            <v>720</v>
          </cell>
          <cell r="F167">
            <v>875</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S167">
            <v>0</v>
          </cell>
          <cell r="T167">
            <v>1565</v>
          </cell>
          <cell r="U167">
            <v>1800</v>
          </cell>
          <cell r="V167">
            <v>1460</v>
          </cell>
          <cell r="W167">
            <v>1680</v>
          </cell>
        </row>
        <row r="168">
          <cell r="A168">
            <v>1100</v>
          </cell>
          <cell r="B168">
            <v>480</v>
          </cell>
          <cell r="C168">
            <v>480</v>
          </cell>
          <cell r="D168">
            <v>480</v>
          </cell>
          <cell r="E168">
            <v>550</v>
          </cell>
          <cell r="F168">
            <v>550</v>
          </cell>
          <cell r="G168">
            <v>480</v>
          </cell>
          <cell r="H168">
            <v>495</v>
          </cell>
          <cell r="I168">
            <v>480</v>
          </cell>
          <cell r="J168">
            <v>480</v>
          </cell>
          <cell r="K168">
            <v>550</v>
          </cell>
          <cell r="L168">
            <v>550</v>
          </cell>
          <cell r="M168">
            <v>495</v>
          </cell>
          <cell r="N168">
            <v>495</v>
          </cell>
          <cell r="O168">
            <v>565</v>
          </cell>
          <cell r="P168">
            <v>1510</v>
          </cell>
          <cell r="Q168">
            <v>1285</v>
          </cell>
          <cell r="R168">
            <v>1525</v>
          </cell>
          <cell r="S168">
            <v>0</v>
          </cell>
          <cell r="T168">
            <v>1360</v>
          </cell>
          <cell r="U168">
            <v>1610</v>
          </cell>
          <cell r="V168">
            <v>1115</v>
          </cell>
          <cell r="W168">
            <v>1305</v>
          </cell>
        </row>
        <row r="169">
          <cell r="A169">
            <v>1150</v>
          </cell>
          <cell r="B169">
            <v>310</v>
          </cell>
          <cell r="C169">
            <v>310</v>
          </cell>
          <cell r="D169">
            <v>310</v>
          </cell>
          <cell r="E169">
            <v>345</v>
          </cell>
          <cell r="F169">
            <v>410</v>
          </cell>
          <cell r="G169">
            <v>310</v>
          </cell>
          <cell r="H169">
            <v>310</v>
          </cell>
          <cell r="I169">
            <v>310</v>
          </cell>
          <cell r="J169">
            <v>310</v>
          </cell>
          <cell r="K169">
            <v>345</v>
          </cell>
          <cell r="L169">
            <v>410</v>
          </cell>
          <cell r="M169">
            <v>310</v>
          </cell>
          <cell r="N169">
            <v>310</v>
          </cell>
          <cell r="O169">
            <v>375</v>
          </cell>
          <cell r="P169">
            <v>1115</v>
          </cell>
          <cell r="Q169">
            <v>995</v>
          </cell>
          <cell r="R169">
            <v>1185</v>
          </cell>
          <cell r="S169">
            <v>0</v>
          </cell>
          <cell r="T169">
            <v>1185</v>
          </cell>
          <cell r="U169">
            <v>1370</v>
          </cell>
          <cell r="V169">
            <v>860</v>
          </cell>
          <cell r="W169">
            <v>945</v>
          </cell>
        </row>
        <row r="170">
          <cell r="A170">
            <v>1200</v>
          </cell>
          <cell r="B170">
            <v>190</v>
          </cell>
          <cell r="C170">
            <v>190</v>
          </cell>
          <cell r="D170">
            <v>190</v>
          </cell>
          <cell r="E170">
            <v>205</v>
          </cell>
          <cell r="F170">
            <v>225</v>
          </cell>
          <cell r="G170">
            <v>190</v>
          </cell>
          <cell r="H170">
            <v>170</v>
          </cell>
          <cell r="I170">
            <v>190</v>
          </cell>
          <cell r="J170">
            <v>190</v>
          </cell>
          <cell r="K170">
            <v>205</v>
          </cell>
          <cell r="L170">
            <v>225</v>
          </cell>
          <cell r="M170">
            <v>170</v>
          </cell>
          <cell r="N170">
            <v>170</v>
          </cell>
          <cell r="O170">
            <v>255</v>
          </cell>
          <cell r="P170">
            <v>720</v>
          </cell>
          <cell r="Q170">
            <v>770</v>
          </cell>
          <cell r="R170">
            <v>925</v>
          </cell>
          <cell r="S170">
            <v>0</v>
          </cell>
          <cell r="T170">
            <v>925</v>
          </cell>
          <cell r="U170">
            <v>855</v>
          </cell>
          <cell r="V170">
            <v>650</v>
          </cell>
          <cell r="W170">
            <v>685</v>
          </cell>
        </row>
        <row r="171">
          <cell r="A171">
            <v>1250</v>
          </cell>
          <cell r="B171">
            <v>565</v>
          </cell>
          <cell r="C171">
            <v>735</v>
          </cell>
          <cell r="D171">
            <v>705</v>
          </cell>
          <cell r="E171">
            <v>615</v>
          </cell>
          <cell r="F171">
            <v>495</v>
          </cell>
          <cell r="G171">
            <v>515</v>
          </cell>
          <cell r="H171">
            <v>0</v>
          </cell>
          <cell r="I171">
            <v>0</v>
          </cell>
          <cell r="J171">
            <v>0</v>
          </cell>
          <cell r="K171">
            <v>0</v>
          </cell>
          <cell r="L171">
            <v>0</v>
          </cell>
          <cell r="M171">
            <v>0</v>
          </cell>
          <cell r="N171">
            <v>0</v>
          </cell>
          <cell r="O171">
            <v>0</v>
          </cell>
          <cell r="P171">
            <v>0</v>
          </cell>
          <cell r="Q171">
            <v>565</v>
          </cell>
          <cell r="R171">
            <v>735</v>
          </cell>
          <cell r="S171">
            <v>0</v>
          </cell>
          <cell r="T171">
            <v>705</v>
          </cell>
          <cell r="U171">
            <v>615</v>
          </cell>
          <cell r="V171">
            <v>495</v>
          </cell>
          <cell r="W171">
            <v>515</v>
          </cell>
        </row>
        <row r="172">
          <cell r="A172">
            <v>1300</v>
          </cell>
          <cell r="B172">
            <v>430</v>
          </cell>
          <cell r="C172">
            <v>585</v>
          </cell>
          <cell r="D172">
            <v>550</v>
          </cell>
          <cell r="E172">
            <v>465</v>
          </cell>
          <cell r="F172">
            <v>395</v>
          </cell>
          <cell r="G172">
            <v>375</v>
          </cell>
          <cell r="H172">
            <v>0</v>
          </cell>
          <cell r="I172">
            <v>0</v>
          </cell>
          <cell r="J172">
            <v>0</v>
          </cell>
          <cell r="K172">
            <v>0</v>
          </cell>
          <cell r="L172">
            <v>0</v>
          </cell>
          <cell r="M172">
            <v>0</v>
          </cell>
          <cell r="N172">
            <v>0</v>
          </cell>
          <cell r="O172">
            <v>0</v>
          </cell>
          <cell r="P172">
            <v>0</v>
          </cell>
          <cell r="Q172">
            <v>430</v>
          </cell>
          <cell r="R172">
            <v>585</v>
          </cell>
          <cell r="S172">
            <v>0</v>
          </cell>
          <cell r="T172">
            <v>550</v>
          </cell>
          <cell r="U172">
            <v>465</v>
          </cell>
          <cell r="V172">
            <v>395</v>
          </cell>
          <cell r="W172">
            <v>375</v>
          </cell>
        </row>
        <row r="173">
          <cell r="A173">
            <v>1350</v>
          </cell>
          <cell r="B173">
            <v>310</v>
          </cell>
          <cell r="C173">
            <v>480</v>
          </cell>
          <cell r="D173">
            <v>430</v>
          </cell>
          <cell r="E173">
            <v>345</v>
          </cell>
          <cell r="F173">
            <v>290</v>
          </cell>
          <cell r="G173">
            <v>290</v>
          </cell>
          <cell r="H173">
            <v>0</v>
          </cell>
          <cell r="I173">
            <v>0</v>
          </cell>
          <cell r="J173">
            <v>0</v>
          </cell>
          <cell r="K173">
            <v>0</v>
          </cell>
          <cell r="L173">
            <v>0</v>
          </cell>
          <cell r="M173">
            <v>0</v>
          </cell>
          <cell r="N173">
            <v>0</v>
          </cell>
          <cell r="O173">
            <v>0</v>
          </cell>
          <cell r="P173">
            <v>0</v>
          </cell>
          <cell r="Q173">
            <v>310</v>
          </cell>
          <cell r="R173">
            <v>480</v>
          </cell>
          <cell r="S173">
            <v>0</v>
          </cell>
          <cell r="T173">
            <v>430</v>
          </cell>
          <cell r="U173">
            <v>345</v>
          </cell>
          <cell r="V173">
            <v>290</v>
          </cell>
          <cell r="W173">
            <v>290</v>
          </cell>
        </row>
        <row r="174">
          <cell r="A174">
            <v>1400</v>
          </cell>
          <cell r="B174">
            <v>240</v>
          </cell>
          <cell r="C174">
            <v>380</v>
          </cell>
          <cell r="D174">
            <v>325</v>
          </cell>
          <cell r="E174">
            <v>275</v>
          </cell>
          <cell r="F174">
            <v>225</v>
          </cell>
          <cell r="G174">
            <v>225</v>
          </cell>
          <cell r="H174">
            <v>0</v>
          </cell>
          <cell r="I174">
            <v>0</v>
          </cell>
          <cell r="J174">
            <v>0</v>
          </cell>
          <cell r="K174">
            <v>0</v>
          </cell>
          <cell r="L174">
            <v>0</v>
          </cell>
          <cell r="M174">
            <v>0</v>
          </cell>
          <cell r="N174">
            <v>0</v>
          </cell>
          <cell r="O174">
            <v>0</v>
          </cell>
          <cell r="P174">
            <v>0</v>
          </cell>
          <cell r="Q174">
            <v>240</v>
          </cell>
          <cell r="R174">
            <v>380</v>
          </cell>
          <cell r="S174">
            <v>0</v>
          </cell>
          <cell r="T174">
            <v>325</v>
          </cell>
          <cell r="U174">
            <v>275</v>
          </cell>
          <cell r="V174">
            <v>225</v>
          </cell>
          <cell r="W174">
            <v>225</v>
          </cell>
        </row>
        <row r="175">
          <cell r="A175">
            <v>1450</v>
          </cell>
          <cell r="B175">
            <v>170</v>
          </cell>
          <cell r="C175">
            <v>290</v>
          </cell>
          <cell r="D175">
            <v>255</v>
          </cell>
          <cell r="E175">
            <v>205</v>
          </cell>
          <cell r="F175">
            <v>155</v>
          </cell>
          <cell r="G175">
            <v>165</v>
          </cell>
          <cell r="H175">
            <v>0</v>
          </cell>
          <cell r="I175">
            <v>0</v>
          </cell>
          <cell r="J175">
            <v>0</v>
          </cell>
          <cell r="K175">
            <v>0</v>
          </cell>
          <cell r="L175">
            <v>0</v>
          </cell>
          <cell r="M175">
            <v>0</v>
          </cell>
          <cell r="N175">
            <v>0</v>
          </cell>
          <cell r="O175">
            <v>0</v>
          </cell>
          <cell r="P175">
            <v>0</v>
          </cell>
          <cell r="Q175">
            <v>170</v>
          </cell>
          <cell r="R175">
            <v>290</v>
          </cell>
          <cell r="S175">
            <v>0</v>
          </cell>
          <cell r="T175">
            <v>255</v>
          </cell>
          <cell r="U175">
            <v>205</v>
          </cell>
          <cell r="V175">
            <v>155</v>
          </cell>
          <cell r="W175">
            <v>165</v>
          </cell>
        </row>
        <row r="176">
          <cell r="A176">
            <v>1500</v>
          </cell>
          <cell r="B176">
            <v>135</v>
          </cell>
          <cell r="C176">
            <v>205</v>
          </cell>
          <cell r="D176">
            <v>190</v>
          </cell>
          <cell r="E176">
            <v>170</v>
          </cell>
          <cell r="F176">
            <v>120</v>
          </cell>
          <cell r="G176">
            <v>130</v>
          </cell>
          <cell r="H176">
            <v>0</v>
          </cell>
          <cell r="I176">
            <v>0</v>
          </cell>
          <cell r="J176">
            <v>0</v>
          </cell>
          <cell r="K176">
            <v>0</v>
          </cell>
          <cell r="L176">
            <v>0</v>
          </cell>
          <cell r="M176">
            <v>0</v>
          </cell>
          <cell r="N176">
            <v>0</v>
          </cell>
          <cell r="O176">
            <v>0</v>
          </cell>
          <cell r="P176">
            <v>0</v>
          </cell>
          <cell r="Q176">
            <v>135</v>
          </cell>
          <cell r="R176">
            <v>205</v>
          </cell>
          <cell r="S176">
            <v>0</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S193">
            <v>3680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S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S195">
            <v>2970</v>
          </cell>
          <cell r="T195">
            <v>2970</v>
          </cell>
          <cell r="U195">
            <v>3030</v>
          </cell>
          <cell r="V195">
            <v>2800</v>
          </cell>
          <cell r="W195">
            <v>2865</v>
          </cell>
        </row>
        <row r="196">
          <cell r="A196">
            <v>1050</v>
          </cell>
          <cell r="B196">
            <v>1285</v>
          </cell>
          <cell r="C196">
            <v>1315</v>
          </cell>
          <cell r="D196">
            <v>1200</v>
          </cell>
          <cell r="E196">
            <v>1200</v>
          </cell>
          <cell r="F196">
            <v>1455</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S196">
            <v>0</v>
          </cell>
          <cell r="T196">
            <v>2605</v>
          </cell>
          <cell r="U196">
            <v>3000</v>
          </cell>
          <cell r="V196">
            <v>2430</v>
          </cell>
          <cell r="W196">
            <v>2800</v>
          </cell>
        </row>
        <row r="197">
          <cell r="A197">
            <v>1100</v>
          </cell>
          <cell r="B197">
            <v>800</v>
          </cell>
          <cell r="C197">
            <v>800</v>
          </cell>
          <cell r="D197">
            <v>800</v>
          </cell>
          <cell r="E197">
            <v>915</v>
          </cell>
          <cell r="F197">
            <v>915</v>
          </cell>
          <cell r="G197">
            <v>800</v>
          </cell>
          <cell r="H197">
            <v>830</v>
          </cell>
          <cell r="I197">
            <v>800</v>
          </cell>
          <cell r="J197">
            <v>800</v>
          </cell>
          <cell r="K197">
            <v>915</v>
          </cell>
          <cell r="L197">
            <v>915</v>
          </cell>
          <cell r="M197">
            <v>830</v>
          </cell>
          <cell r="N197">
            <v>830</v>
          </cell>
          <cell r="O197">
            <v>945</v>
          </cell>
          <cell r="P197">
            <v>1855</v>
          </cell>
          <cell r="Q197">
            <v>2145</v>
          </cell>
          <cell r="R197">
            <v>2545</v>
          </cell>
          <cell r="S197">
            <v>0</v>
          </cell>
          <cell r="T197">
            <v>2265</v>
          </cell>
          <cell r="U197">
            <v>2685</v>
          </cell>
          <cell r="V197">
            <v>1860</v>
          </cell>
          <cell r="W197">
            <v>2170</v>
          </cell>
        </row>
        <row r="198">
          <cell r="A198">
            <v>1150</v>
          </cell>
          <cell r="B198">
            <v>515</v>
          </cell>
          <cell r="C198">
            <v>515</v>
          </cell>
          <cell r="D198">
            <v>515</v>
          </cell>
          <cell r="E198">
            <v>570</v>
          </cell>
          <cell r="F198">
            <v>685</v>
          </cell>
          <cell r="G198">
            <v>515</v>
          </cell>
          <cell r="H198">
            <v>515</v>
          </cell>
          <cell r="I198">
            <v>515</v>
          </cell>
          <cell r="J198">
            <v>515</v>
          </cell>
          <cell r="K198">
            <v>570</v>
          </cell>
          <cell r="L198">
            <v>685</v>
          </cell>
          <cell r="M198">
            <v>515</v>
          </cell>
          <cell r="N198">
            <v>515</v>
          </cell>
          <cell r="O198">
            <v>630</v>
          </cell>
          <cell r="P198">
            <v>1200</v>
          </cell>
          <cell r="Q198">
            <v>1655</v>
          </cell>
          <cell r="R198">
            <v>1970</v>
          </cell>
          <cell r="S198">
            <v>0</v>
          </cell>
          <cell r="T198">
            <v>1970</v>
          </cell>
          <cell r="U198">
            <v>2285</v>
          </cell>
          <cell r="V198">
            <v>1430</v>
          </cell>
          <cell r="W198">
            <v>1570</v>
          </cell>
        </row>
        <row r="199">
          <cell r="A199">
            <v>1200</v>
          </cell>
          <cell r="B199">
            <v>315</v>
          </cell>
          <cell r="C199">
            <v>315</v>
          </cell>
          <cell r="D199">
            <v>315</v>
          </cell>
          <cell r="E199">
            <v>345</v>
          </cell>
          <cell r="F199">
            <v>370</v>
          </cell>
          <cell r="G199">
            <v>315</v>
          </cell>
          <cell r="H199">
            <v>285</v>
          </cell>
          <cell r="I199">
            <v>315</v>
          </cell>
          <cell r="J199">
            <v>315</v>
          </cell>
          <cell r="K199">
            <v>345</v>
          </cell>
          <cell r="L199">
            <v>370</v>
          </cell>
          <cell r="M199">
            <v>285</v>
          </cell>
          <cell r="N199">
            <v>285</v>
          </cell>
          <cell r="O199">
            <v>430</v>
          </cell>
          <cell r="P199">
            <v>0</v>
          </cell>
          <cell r="Q199">
            <v>1285</v>
          </cell>
          <cell r="R199">
            <v>1545</v>
          </cell>
          <cell r="S199">
            <v>0</v>
          </cell>
          <cell r="T199">
            <v>1545</v>
          </cell>
          <cell r="U199">
            <v>1430</v>
          </cell>
          <cell r="V199">
            <v>1085</v>
          </cell>
          <cell r="W199">
            <v>1145</v>
          </cell>
        </row>
        <row r="200">
          <cell r="A200">
            <v>1250</v>
          </cell>
          <cell r="B200">
            <v>945</v>
          </cell>
          <cell r="C200">
            <v>1230</v>
          </cell>
          <cell r="D200">
            <v>1170</v>
          </cell>
          <cell r="E200">
            <v>1030</v>
          </cell>
          <cell r="F200">
            <v>830</v>
          </cell>
          <cell r="G200">
            <v>855</v>
          </cell>
          <cell r="H200">
            <v>0</v>
          </cell>
          <cell r="I200">
            <v>0</v>
          </cell>
          <cell r="J200">
            <v>0</v>
          </cell>
          <cell r="K200">
            <v>0</v>
          </cell>
          <cell r="L200">
            <v>0</v>
          </cell>
          <cell r="M200">
            <v>0</v>
          </cell>
          <cell r="N200">
            <v>0</v>
          </cell>
          <cell r="O200">
            <v>0</v>
          </cell>
          <cell r="P200">
            <v>0</v>
          </cell>
          <cell r="Q200">
            <v>945</v>
          </cell>
          <cell r="R200">
            <v>1230</v>
          </cell>
          <cell r="S200">
            <v>0</v>
          </cell>
          <cell r="T200">
            <v>1170</v>
          </cell>
          <cell r="U200">
            <v>1030</v>
          </cell>
          <cell r="V200">
            <v>830</v>
          </cell>
          <cell r="W200">
            <v>855</v>
          </cell>
        </row>
        <row r="201">
          <cell r="A201">
            <v>1300</v>
          </cell>
          <cell r="B201">
            <v>715</v>
          </cell>
          <cell r="C201">
            <v>970</v>
          </cell>
          <cell r="D201">
            <v>915</v>
          </cell>
          <cell r="E201">
            <v>770</v>
          </cell>
          <cell r="F201">
            <v>660</v>
          </cell>
          <cell r="G201">
            <v>630</v>
          </cell>
          <cell r="H201">
            <v>0</v>
          </cell>
          <cell r="I201">
            <v>0</v>
          </cell>
          <cell r="J201">
            <v>0</v>
          </cell>
          <cell r="K201">
            <v>0</v>
          </cell>
          <cell r="L201">
            <v>0</v>
          </cell>
          <cell r="M201">
            <v>0</v>
          </cell>
          <cell r="N201">
            <v>0</v>
          </cell>
          <cell r="O201">
            <v>0</v>
          </cell>
          <cell r="P201">
            <v>0</v>
          </cell>
          <cell r="Q201">
            <v>715</v>
          </cell>
          <cell r="R201">
            <v>970</v>
          </cell>
          <cell r="S201">
            <v>0</v>
          </cell>
          <cell r="T201">
            <v>915</v>
          </cell>
          <cell r="U201">
            <v>770</v>
          </cell>
          <cell r="V201">
            <v>660</v>
          </cell>
          <cell r="W201">
            <v>630</v>
          </cell>
        </row>
        <row r="202">
          <cell r="A202">
            <v>1350</v>
          </cell>
          <cell r="B202">
            <v>515</v>
          </cell>
          <cell r="C202">
            <v>800</v>
          </cell>
          <cell r="D202">
            <v>715</v>
          </cell>
          <cell r="E202">
            <v>570</v>
          </cell>
          <cell r="F202">
            <v>485</v>
          </cell>
          <cell r="G202">
            <v>485</v>
          </cell>
          <cell r="H202">
            <v>0</v>
          </cell>
          <cell r="I202">
            <v>0</v>
          </cell>
          <cell r="J202">
            <v>0</v>
          </cell>
          <cell r="K202">
            <v>0</v>
          </cell>
          <cell r="L202">
            <v>0</v>
          </cell>
          <cell r="M202">
            <v>0</v>
          </cell>
          <cell r="N202">
            <v>0</v>
          </cell>
          <cell r="O202">
            <v>0</v>
          </cell>
          <cell r="P202">
            <v>0</v>
          </cell>
          <cell r="Q202">
            <v>515</v>
          </cell>
          <cell r="R202">
            <v>800</v>
          </cell>
          <cell r="S202">
            <v>0</v>
          </cell>
          <cell r="T202">
            <v>715</v>
          </cell>
          <cell r="U202">
            <v>570</v>
          </cell>
          <cell r="V202">
            <v>485</v>
          </cell>
          <cell r="W202">
            <v>485</v>
          </cell>
        </row>
        <row r="203">
          <cell r="A203">
            <v>1400</v>
          </cell>
          <cell r="B203">
            <v>400</v>
          </cell>
          <cell r="C203">
            <v>630</v>
          </cell>
          <cell r="D203">
            <v>545</v>
          </cell>
          <cell r="E203">
            <v>455</v>
          </cell>
          <cell r="F203">
            <v>370</v>
          </cell>
          <cell r="G203">
            <v>370</v>
          </cell>
          <cell r="H203">
            <v>0</v>
          </cell>
          <cell r="I203">
            <v>0</v>
          </cell>
          <cell r="J203">
            <v>0</v>
          </cell>
          <cell r="K203">
            <v>0</v>
          </cell>
          <cell r="L203">
            <v>0</v>
          </cell>
          <cell r="M203">
            <v>0</v>
          </cell>
          <cell r="N203">
            <v>0</v>
          </cell>
          <cell r="O203">
            <v>0</v>
          </cell>
          <cell r="P203">
            <v>0</v>
          </cell>
          <cell r="Q203">
            <v>400</v>
          </cell>
          <cell r="R203">
            <v>630</v>
          </cell>
          <cell r="S203">
            <v>0</v>
          </cell>
          <cell r="T203">
            <v>545</v>
          </cell>
          <cell r="U203">
            <v>455</v>
          </cell>
          <cell r="V203">
            <v>370</v>
          </cell>
          <cell r="W203">
            <v>370</v>
          </cell>
        </row>
        <row r="204">
          <cell r="A204">
            <v>1450</v>
          </cell>
          <cell r="B204">
            <v>285</v>
          </cell>
          <cell r="C204">
            <v>485</v>
          </cell>
          <cell r="D204">
            <v>430</v>
          </cell>
          <cell r="E204">
            <v>345</v>
          </cell>
          <cell r="F204">
            <v>260</v>
          </cell>
          <cell r="G204">
            <v>275</v>
          </cell>
          <cell r="H204">
            <v>0</v>
          </cell>
          <cell r="I204">
            <v>0</v>
          </cell>
          <cell r="J204">
            <v>0</v>
          </cell>
          <cell r="K204">
            <v>0</v>
          </cell>
          <cell r="L204">
            <v>0</v>
          </cell>
          <cell r="M204">
            <v>0</v>
          </cell>
          <cell r="N204">
            <v>0</v>
          </cell>
          <cell r="O204">
            <v>0</v>
          </cell>
          <cell r="P204">
            <v>0</v>
          </cell>
          <cell r="Q204">
            <v>285</v>
          </cell>
          <cell r="R204">
            <v>485</v>
          </cell>
          <cell r="S204">
            <v>0</v>
          </cell>
          <cell r="T204">
            <v>430</v>
          </cell>
          <cell r="U204">
            <v>345</v>
          </cell>
          <cell r="V204">
            <v>260</v>
          </cell>
          <cell r="W204">
            <v>275</v>
          </cell>
        </row>
        <row r="205">
          <cell r="A205">
            <v>1500</v>
          </cell>
          <cell r="B205">
            <v>230</v>
          </cell>
          <cell r="C205">
            <v>345</v>
          </cell>
          <cell r="D205">
            <v>315</v>
          </cell>
          <cell r="E205">
            <v>285</v>
          </cell>
          <cell r="F205">
            <v>200</v>
          </cell>
          <cell r="G205">
            <v>215</v>
          </cell>
          <cell r="H205">
            <v>0</v>
          </cell>
          <cell r="I205">
            <v>0</v>
          </cell>
          <cell r="J205">
            <v>0</v>
          </cell>
          <cell r="K205">
            <v>0</v>
          </cell>
          <cell r="L205">
            <v>0</v>
          </cell>
          <cell r="M205">
            <v>0</v>
          </cell>
          <cell r="N205">
            <v>0</v>
          </cell>
          <cell r="O205">
            <v>0</v>
          </cell>
          <cell r="P205">
            <v>0</v>
          </cell>
          <cell r="Q205">
            <v>230</v>
          </cell>
          <cell r="R205">
            <v>345</v>
          </cell>
          <cell r="S205">
            <v>0</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S221">
            <v>6625</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S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S223">
            <v>5350</v>
          </cell>
          <cell r="T223">
            <v>5350</v>
          </cell>
          <cell r="U223">
            <v>5450</v>
          </cell>
          <cell r="V223">
            <v>5040</v>
          </cell>
          <cell r="W223">
            <v>5155</v>
          </cell>
        </row>
        <row r="224">
          <cell r="A224">
            <v>1050</v>
          </cell>
          <cell r="B224">
            <v>2315</v>
          </cell>
          <cell r="C224">
            <v>2365</v>
          </cell>
          <cell r="D224">
            <v>2160</v>
          </cell>
          <cell r="E224">
            <v>2160</v>
          </cell>
          <cell r="F224">
            <v>2625</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S224">
            <v>0</v>
          </cell>
          <cell r="T224">
            <v>4690</v>
          </cell>
          <cell r="U224">
            <v>5400</v>
          </cell>
          <cell r="V224">
            <v>4370</v>
          </cell>
          <cell r="W224">
            <v>5040</v>
          </cell>
        </row>
        <row r="225">
          <cell r="A225">
            <v>1100</v>
          </cell>
          <cell r="B225">
            <v>1440</v>
          </cell>
          <cell r="C225" t="str">
            <v/>
          </cell>
          <cell r="D225">
            <v>1440</v>
          </cell>
          <cell r="E225">
            <v>1440</v>
          </cell>
          <cell r="F225">
            <v>1645</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S225">
            <v>0</v>
          </cell>
          <cell r="T225">
            <v>4075</v>
          </cell>
          <cell r="U225">
            <v>4835</v>
          </cell>
          <cell r="V225">
            <v>3345</v>
          </cell>
          <cell r="W225">
            <v>3910</v>
          </cell>
        </row>
        <row r="226">
          <cell r="A226">
            <v>1150</v>
          </cell>
          <cell r="B226">
            <v>925</v>
          </cell>
          <cell r="C226">
            <v>925</v>
          </cell>
          <cell r="D226">
            <v>925</v>
          </cell>
          <cell r="E226">
            <v>1030</v>
          </cell>
          <cell r="F226">
            <v>1235</v>
          </cell>
          <cell r="G226">
            <v>925</v>
          </cell>
          <cell r="H226">
            <v>925</v>
          </cell>
          <cell r="I226">
            <v>925</v>
          </cell>
          <cell r="J226">
            <v>925</v>
          </cell>
          <cell r="K226">
            <v>1030</v>
          </cell>
          <cell r="L226">
            <v>1235</v>
          </cell>
          <cell r="M226">
            <v>925</v>
          </cell>
          <cell r="N226">
            <v>925</v>
          </cell>
          <cell r="O226">
            <v>1130</v>
          </cell>
          <cell r="P226">
            <v>3345</v>
          </cell>
          <cell r="Q226">
            <v>2985</v>
          </cell>
          <cell r="R226">
            <v>3550</v>
          </cell>
          <cell r="S226">
            <v>0</v>
          </cell>
          <cell r="T226">
            <v>3550</v>
          </cell>
          <cell r="U226">
            <v>4115</v>
          </cell>
          <cell r="V226">
            <v>2570</v>
          </cell>
          <cell r="W226">
            <v>2830</v>
          </cell>
        </row>
        <row r="227">
          <cell r="A227">
            <v>1200</v>
          </cell>
          <cell r="B227">
            <v>565</v>
          </cell>
          <cell r="C227">
            <v>565</v>
          </cell>
          <cell r="D227">
            <v>565</v>
          </cell>
          <cell r="E227">
            <v>615</v>
          </cell>
          <cell r="F227">
            <v>670</v>
          </cell>
          <cell r="G227">
            <v>565</v>
          </cell>
          <cell r="H227">
            <v>515</v>
          </cell>
          <cell r="I227">
            <v>565</v>
          </cell>
          <cell r="J227">
            <v>565</v>
          </cell>
          <cell r="K227">
            <v>615</v>
          </cell>
          <cell r="L227">
            <v>670</v>
          </cell>
          <cell r="M227">
            <v>515</v>
          </cell>
          <cell r="N227">
            <v>515</v>
          </cell>
          <cell r="O227">
            <v>770</v>
          </cell>
          <cell r="P227">
            <v>2160</v>
          </cell>
          <cell r="Q227">
            <v>2315</v>
          </cell>
          <cell r="R227">
            <v>2775</v>
          </cell>
          <cell r="S227">
            <v>0</v>
          </cell>
          <cell r="T227">
            <v>2725</v>
          </cell>
          <cell r="U227">
            <v>2570</v>
          </cell>
          <cell r="V227">
            <v>1955</v>
          </cell>
          <cell r="W227">
            <v>2055</v>
          </cell>
        </row>
        <row r="228">
          <cell r="A228">
            <v>1250</v>
          </cell>
          <cell r="B228">
            <v>1695</v>
          </cell>
          <cell r="C228">
            <v>2210</v>
          </cell>
          <cell r="D228">
            <v>2110</v>
          </cell>
          <cell r="E228">
            <v>1850</v>
          </cell>
          <cell r="F228">
            <v>1490</v>
          </cell>
          <cell r="G228">
            <v>1545</v>
          </cell>
          <cell r="H228">
            <v>0</v>
          </cell>
          <cell r="I228">
            <v>0</v>
          </cell>
          <cell r="J228">
            <v>0</v>
          </cell>
          <cell r="K228">
            <v>0</v>
          </cell>
          <cell r="L228">
            <v>0</v>
          </cell>
          <cell r="M228">
            <v>0</v>
          </cell>
          <cell r="N228">
            <v>0</v>
          </cell>
          <cell r="O228">
            <v>0</v>
          </cell>
          <cell r="P228">
            <v>0</v>
          </cell>
          <cell r="Q228">
            <v>1695</v>
          </cell>
          <cell r="R228">
            <v>2210</v>
          </cell>
          <cell r="S228">
            <v>0</v>
          </cell>
          <cell r="T228">
            <v>2110</v>
          </cell>
          <cell r="U228">
            <v>1850</v>
          </cell>
          <cell r="V228">
            <v>1490</v>
          </cell>
          <cell r="W228">
            <v>1545</v>
          </cell>
        </row>
        <row r="229">
          <cell r="A229">
            <v>1300</v>
          </cell>
          <cell r="B229">
            <v>1285</v>
          </cell>
          <cell r="C229">
            <v>1750</v>
          </cell>
          <cell r="D229">
            <v>1645</v>
          </cell>
          <cell r="E229">
            <v>1390</v>
          </cell>
          <cell r="F229">
            <v>1185</v>
          </cell>
          <cell r="G229">
            <v>1130</v>
          </cell>
          <cell r="H229">
            <v>0</v>
          </cell>
          <cell r="I229">
            <v>0</v>
          </cell>
          <cell r="J229">
            <v>0</v>
          </cell>
          <cell r="K229">
            <v>0</v>
          </cell>
          <cell r="L229">
            <v>0</v>
          </cell>
          <cell r="M229">
            <v>0</v>
          </cell>
          <cell r="N229">
            <v>0</v>
          </cell>
          <cell r="O229">
            <v>0</v>
          </cell>
          <cell r="P229">
            <v>0</v>
          </cell>
          <cell r="Q229">
            <v>1285</v>
          </cell>
          <cell r="R229">
            <v>1750</v>
          </cell>
          <cell r="S229">
            <v>0</v>
          </cell>
          <cell r="T229">
            <v>1645</v>
          </cell>
          <cell r="U229">
            <v>1390</v>
          </cell>
          <cell r="V229">
            <v>1185</v>
          </cell>
          <cell r="W229">
            <v>1130</v>
          </cell>
        </row>
        <row r="230">
          <cell r="A230">
            <v>1350</v>
          </cell>
          <cell r="B230">
            <v>925</v>
          </cell>
          <cell r="C230">
            <v>1440</v>
          </cell>
          <cell r="D230">
            <v>1285</v>
          </cell>
          <cell r="E230">
            <v>1030</v>
          </cell>
          <cell r="F230">
            <v>875</v>
          </cell>
          <cell r="G230">
            <v>875</v>
          </cell>
          <cell r="H230">
            <v>0</v>
          </cell>
          <cell r="I230">
            <v>0</v>
          </cell>
          <cell r="J230">
            <v>0</v>
          </cell>
          <cell r="K230">
            <v>0</v>
          </cell>
          <cell r="L230">
            <v>0</v>
          </cell>
          <cell r="M230">
            <v>0</v>
          </cell>
          <cell r="N230">
            <v>0</v>
          </cell>
          <cell r="O230">
            <v>0</v>
          </cell>
          <cell r="P230">
            <v>0</v>
          </cell>
          <cell r="Q230">
            <v>925</v>
          </cell>
          <cell r="R230">
            <v>1440</v>
          </cell>
          <cell r="S230">
            <v>0</v>
          </cell>
          <cell r="T230">
            <v>1285</v>
          </cell>
          <cell r="U230">
            <v>1030</v>
          </cell>
          <cell r="V230">
            <v>875</v>
          </cell>
          <cell r="W230">
            <v>875</v>
          </cell>
        </row>
        <row r="231">
          <cell r="A231">
            <v>1400</v>
          </cell>
          <cell r="B231">
            <v>720</v>
          </cell>
          <cell r="C231">
            <v>1130</v>
          </cell>
          <cell r="D231">
            <v>975</v>
          </cell>
          <cell r="E231">
            <v>825</v>
          </cell>
          <cell r="F231">
            <v>670</v>
          </cell>
          <cell r="G231">
            <v>670</v>
          </cell>
          <cell r="H231">
            <v>0</v>
          </cell>
          <cell r="I231">
            <v>0</v>
          </cell>
          <cell r="J231">
            <v>0</v>
          </cell>
          <cell r="K231">
            <v>0</v>
          </cell>
          <cell r="L231">
            <v>0</v>
          </cell>
          <cell r="M231">
            <v>0</v>
          </cell>
          <cell r="N231">
            <v>0</v>
          </cell>
          <cell r="O231">
            <v>0</v>
          </cell>
          <cell r="P231">
            <v>0</v>
          </cell>
          <cell r="Q231">
            <v>720</v>
          </cell>
          <cell r="R231">
            <v>1130</v>
          </cell>
          <cell r="S231">
            <v>0</v>
          </cell>
          <cell r="T231">
            <v>975</v>
          </cell>
          <cell r="U231">
            <v>825</v>
          </cell>
          <cell r="V231">
            <v>670</v>
          </cell>
          <cell r="W231">
            <v>670</v>
          </cell>
        </row>
        <row r="232">
          <cell r="A232">
            <v>1450</v>
          </cell>
          <cell r="B232">
            <v>515</v>
          </cell>
          <cell r="C232">
            <v>875</v>
          </cell>
          <cell r="D232">
            <v>770</v>
          </cell>
          <cell r="E232">
            <v>615</v>
          </cell>
          <cell r="F232">
            <v>465</v>
          </cell>
          <cell r="G232">
            <v>500</v>
          </cell>
          <cell r="H232">
            <v>0</v>
          </cell>
          <cell r="I232">
            <v>0</v>
          </cell>
          <cell r="J232">
            <v>0</v>
          </cell>
          <cell r="K232">
            <v>0</v>
          </cell>
          <cell r="L232">
            <v>0</v>
          </cell>
          <cell r="M232">
            <v>0</v>
          </cell>
          <cell r="N232">
            <v>0</v>
          </cell>
          <cell r="O232">
            <v>0</v>
          </cell>
          <cell r="P232">
            <v>0</v>
          </cell>
          <cell r="Q232">
            <v>515</v>
          </cell>
          <cell r="R232">
            <v>875</v>
          </cell>
          <cell r="S232">
            <v>0</v>
          </cell>
          <cell r="T232">
            <v>770</v>
          </cell>
          <cell r="U232">
            <v>615</v>
          </cell>
          <cell r="V232">
            <v>465</v>
          </cell>
          <cell r="W232">
            <v>500</v>
          </cell>
        </row>
        <row r="233">
          <cell r="A233">
            <v>1500</v>
          </cell>
          <cell r="B233">
            <v>410</v>
          </cell>
          <cell r="C233">
            <v>620</v>
          </cell>
          <cell r="D233">
            <v>565</v>
          </cell>
          <cell r="E233">
            <v>515</v>
          </cell>
          <cell r="F233">
            <v>360</v>
          </cell>
          <cell r="G233">
            <v>385</v>
          </cell>
          <cell r="H233">
            <v>0</v>
          </cell>
          <cell r="I233">
            <v>0</v>
          </cell>
          <cell r="J233">
            <v>0</v>
          </cell>
          <cell r="K233">
            <v>0</v>
          </cell>
          <cell r="L233">
            <v>0</v>
          </cell>
          <cell r="M233">
            <v>0</v>
          </cell>
          <cell r="N233">
            <v>0</v>
          </cell>
          <cell r="O233">
            <v>0</v>
          </cell>
          <cell r="P233">
            <v>0</v>
          </cell>
          <cell r="Q233">
            <v>410</v>
          </cell>
          <cell r="R233">
            <v>620</v>
          </cell>
          <cell r="S233">
            <v>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S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S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S252">
            <v>160</v>
          </cell>
          <cell r="T252">
            <v>160</v>
          </cell>
          <cell r="U252">
            <v>160</v>
          </cell>
          <cell r="V252">
            <v>160</v>
          </cell>
          <cell r="W252">
            <v>160</v>
          </cell>
        </row>
        <row r="253">
          <cell r="A253">
            <v>1050</v>
          </cell>
          <cell r="B253">
            <v>75</v>
          </cell>
          <cell r="C253">
            <v>75</v>
          </cell>
          <cell r="D253">
            <v>70</v>
          </cell>
          <cell r="E253">
            <v>70</v>
          </cell>
          <cell r="F253">
            <v>85</v>
          </cell>
          <cell r="G253">
            <v>75</v>
          </cell>
          <cell r="H253">
            <v>75</v>
          </cell>
          <cell r="I253">
            <v>70</v>
          </cell>
          <cell r="J253">
            <v>70</v>
          </cell>
          <cell r="K253">
            <v>85</v>
          </cell>
          <cell r="L253">
            <v>80</v>
          </cell>
          <cell r="M253">
            <v>70</v>
          </cell>
          <cell r="N253">
            <v>70</v>
          </cell>
          <cell r="O253">
            <v>80</v>
          </cell>
          <cell r="P253">
            <v>160</v>
          </cell>
          <cell r="Q253">
            <v>150</v>
          </cell>
          <cell r="R253">
            <v>160</v>
          </cell>
          <cell r="S253">
            <v>0</v>
          </cell>
          <cell r="T253">
            <v>155</v>
          </cell>
          <cell r="U253">
            <v>160</v>
          </cell>
          <cell r="V253">
            <v>140</v>
          </cell>
          <cell r="W253">
            <v>160</v>
          </cell>
        </row>
        <row r="254">
          <cell r="A254">
            <v>1100</v>
          </cell>
          <cell r="B254">
            <v>45</v>
          </cell>
          <cell r="C254">
            <v>45</v>
          </cell>
          <cell r="D254">
            <v>45</v>
          </cell>
          <cell r="E254">
            <v>55</v>
          </cell>
          <cell r="F254">
            <v>55</v>
          </cell>
          <cell r="G254">
            <v>45</v>
          </cell>
          <cell r="H254">
            <v>50</v>
          </cell>
          <cell r="I254">
            <v>45</v>
          </cell>
          <cell r="J254">
            <v>45</v>
          </cell>
          <cell r="K254">
            <v>55</v>
          </cell>
          <cell r="L254">
            <v>55</v>
          </cell>
          <cell r="M254">
            <v>50</v>
          </cell>
          <cell r="N254">
            <v>50</v>
          </cell>
          <cell r="O254">
            <v>55</v>
          </cell>
          <cell r="P254">
            <v>145</v>
          </cell>
          <cell r="Q254">
            <v>125</v>
          </cell>
          <cell r="R254">
            <v>145</v>
          </cell>
          <cell r="S254">
            <v>0</v>
          </cell>
          <cell r="T254">
            <v>135</v>
          </cell>
          <cell r="U254">
            <v>155</v>
          </cell>
          <cell r="V254">
            <v>105</v>
          </cell>
          <cell r="W254">
            <v>125</v>
          </cell>
        </row>
        <row r="255">
          <cell r="A255">
            <v>1150</v>
          </cell>
          <cell r="B255">
            <v>30</v>
          </cell>
          <cell r="C255" t="str">
            <v/>
          </cell>
          <cell r="D255">
            <v>30</v>
          </cell>
          <cell r="E255">
            <v>30</v>
          </cell>
          <cell r="F255">
            <v>35</v>
          </cell>
          <cell r="G255">
            <v>30</v>
          </cell>
          <cell r="H255" t="str">
            <v/>
          </cell>
          <cell r="I255">
            <v>30</v>
          </cell>
          <cell r="J255">
            <v>30</v>
          </cell>
          <cell r="K255">
            <v>35</v>
          </cell>
          <cell r="L255">
            <v>40</v>
          </cell>
          <cell r="M255">
            <v>30</v>
          </cell>
          <cell r="N255">
            <v>30</v>
          </cell>
          <cell r="O255">
            <v>35</v>
          </cell>
          <cell r="P255">
            <v>105</v>
          </cell>
          <cell r="Q255">
            <v>95</v>
          </cell>
          <cell r="R255">
            <v>115</v>
          </cell>
          <cell r="S255">
            <v>0</v>
          </cell>
          <cell r="T255">
            <v>115</v>
          </cell>
          <cell r="U255">
            <v>130</v>
          </cell>
          <cell r="V255">
            <v>85</v>
          </cell>
          <cell r="W255">
            <v>90</v>
          </cell>
        </row>
        <row r="256">
          <cell r="A256">
            <v>1200</v>
          </cell>
          <cell r="B256">
            <v>20</v>
          </cell>
          <cell r="C256">
            <v>20</v>
          </cell>
          <cell r="D256">
            <v>20</v>
          </cell>
          <cell r="E256">
            <v>25</v>
          </cell>
          <cell r="F256">
            <v>20</v>
          </cell>
          <cell r="G256">
            <v>20</v>
          </cell>
          <cell r="H256">
            <v>15</v>
          </cell>
          <cell r="I256">
            <v>20</v>
          </cell>
          <cell r="J256">
            <v>20</v>
          </cell>
          <cell r="K256">
            <v>25</v>
          </cell>
          <cell r="L256">
            <v>20</v>
          </cell>
          <cell r="M256">
            <v>15</v>
          </cell>
          <cell r="N256">
            <v>15</v>
          </cell>
          <cell r="O256">
            <v>25</v>
          </cell>
          <cell r="P256">
            <v>70</v>
          </cell>
          <cell r="Q256">
            <v>75</v>
          </cell>
          <cell r="R256">
            <v>90</v>
          </cell>
          <cell r="S256">
            <v>0</v>
          </cell>
          <cell r="T256">
            <v>90</v>
          </cell>
          <cell r="U256">
            <v>80</v>
          </cell>
          <cell r="V256">
            <v>60</v>
          </cell>
          <cell r="W256">
            <v>65</v>
          </cell>
        </row>
        <row r="257">
          <cell r="A257">
            <v>1250</v>
          </cell>
          <cell r="B257">
            <v>55</v>
          </cell>
          <cell r="C257">
            <v>70</v>
          </cell>
          <cell r="D257">
            <v>65</v>
          </cell>
          <cell r="E257">
            <v>60</v>
          </cell>
          <cell r="F257">
            <v>50</v>
          </cell>
          <cell r="G257">
            <v>50</v>
          </cell>
          <cell r="H257">
            <v>0</v>
          </cell>
          <cell r="I257">
            <v>0</v>
          </cell>
          <cell r="J257">
            <v>0</v>
          </cell>
          <cell r="K257">
            <v>0</v>
          </cell>
          <cell r="L257">
            <v>0</v>
          </cell>
          <cell r="M257">
            <v>0</v>
          </cell>
          <cell r="N257">
            <v>0</v>
          </cell>
          <cell r="O257">
            <v>0</v>
          </cell>
          <cell r="P257">
            <v>0</v>
          </cell>
          <cell r="Q257">
            <v>55</v>
          </cell>
          <cell r="R257">
            <v>70</v>
          </cell>
          <cell r="S257">
            <v>0</v>
          </cell>
          <cell r="T257">
            <v>65</v>
          </cell>
          <cell r="U257">
            <v>60</v>
          </cell>
          <cell r="V257">
            <v>50</v>
          </cell>
          <cell r="W257">
            <v>50</v>
          </cell>
        </row>
        <row r="258">
          <cell r="A258">
            <v>1300</v>
          </cell>
          <cell r="B258">
            <v>40</v>
          </cell>
          <cell r="C258">
            <v>55</v>
          </cell>
          <cell r="D258">
            <v>55</v>
          </cell>
          <cell r="E258">
            <v>45</v>
          </cell>
          <cell r="F258">
            <v>40</v>
          </cell>
          <cell r="G258">
            <v>35</v>
          </cell>
          <cell r="H258">
            <v>0</v>
          </cell>
          <cell r="I258">
            <v>0</v>
          </cell>
          <cell r="J258">
            <v>0</v>
          </cell>
          <cell r="K258">
            <v>0</v>
          </cell>
          <cell r="L258">
            <v>0</v>
          </cell>
          <cell r="M258">
            <v>0</v>
          </cell>
          <cell r="N258">
            <v>0</v>
          </cell>
          <cell r="O258">
            <v>0</v>
          </cell>
          <cell r="P258">
            <v>0</v>
          </cell>
          <cell r="Q258">
            <v>40</v>
          </cell>
          <cell r="R258">
            <v>55</v>
          </cell>
          <cell r="S258">
            <v>0</v>
          </cell>
          <cell r="T258">
            <v>55</v>
          </cell>
          <cell r="U258">
            <v>45</v>
          </cell>
          <cell r="V258">
            <v>40</v>
          </cell>
          <cell r="W258">
            <v>35</v>
          </cell>
        </row>
        <row r="259">
          <cell r="A259">
            <v>1350</v>
          </cell>
          <cell r="B259">
            <v>30</v>
          </cell>
          <cell r="C259">
            <v>45</v>
          </cell>
          <cell r="D259">
            <v>40</v>
          </cell>
          <cell r="E259">
            <v>35</v>
          </cell>
          <cell r="F259">
            <v>30</v>
          </cell>
          <cell r="G259">
            <v>30</v>
          </cell>
          <cell r="H259">
            <v>0</v>
          </cell>
          <cell r="I259">
            <v>0</v>
          </cell>
          <cell r="J259">
            <v>0</v>
          </cell>
          <cell r="K259">
            <v>0</v>
          </cell>
          <cell r="L259">
            <v>0</v>
          </cell>
          <cell r="M259">
            <v>0</v>
          </cell>
          <cell r="N259">
            <v>0</v>
          </cell>
          <cell r="O259">
            <v>0</v>
          </cell>
          <cell r="P259">
            <v>0</v>
          </cell>
          <cell r="Q259">
            <v>30</v>
          </cell>
          <cell r="R259">
            <v>45</v>
          </cell>
          <cell r="S259">
            <v>0</v>
          </cell>
          <cell r="T259">
            <v>40</v>
          </cell>
          <cell r="U259">
            <v>35</v>
          </cell>
          <cell r="V259">
            <v>30</v>
          </cell>
          <cell r="W259">
            <v>30</v>
          </cell>
        </row>
        <row r="260">
          <cell r="A260">
            <v>1400</v>
          </cell>
          <cell r="B260">
            <v>25</v>
          </cell>
          <cell r="C260">
            <v>35</v>
          </cell>
          <cell r="D260">
            <v>30</v>
          </cell>
          <cell r="E260">
            <v>25</v>
          </cell>
          <cell r="F260">
            <v>20</v>
          </cell>
          <cell r="G260">
            <v>20</v>
          </cell>
          <cell r="H260">
            <v>0</v>
          </cell>
          <cell r="I260">
            <v>0</v>
          </cell>
          <cell r="J260">
            <v>0</v>
          </cell>
          <cell r="K260">
            <v>0</v>
          </cell>
          <cell r="L260">
            <v>0</v>
          </cell>
          <cell r="M260">
            <v>0</v>
          </cell>
          <cell r="N260">
            <v>0</v>
          </cell>
          <cell r="O260">
            <v>0</v>
          </cell>
          <cell r="P260">
            <v>0</v>
          </cell>
          <cell r="Q260">
            <v>25</v>
          </cell>
          <cell r="R260">
            <v>35</v>
          </cell>
          <cell r="S260">
            <v>0</v>
          </cell>
          <cell r="T260">
            <v>30</v>
          </cell>
          <cell r="U260">
            <v>25</v>
          </cell>
          <cell r="V260">
            <v>20</v>
          </cell>
          <cell r="W260">
            <v>20</v>
          </cell>
        </row>
        <row r="261">
          <cell r="A261">
            <v>1450</v>
          </cell>
          <cell r="B261">
            <v>15</v>
          </cell>
          <cell r="C261">
            <v>30</v>
          </cell>
          <cell r="D261">
            <v>25</v>
          </cell>
          <cell r="E261">
            <v>20</v>
          </cell>
          <cell r="F261">
            <v>15</v>
          </cell>
          <cell r="G261">
            <v>15</v>
          </cell>
          <cell r="H261">
            <v>0</v>
          </cell>
          <cell r="I261">
            <v>0</v>
          </cell>
          <cell r="J261">
            <v>0</v>
          </cell>
          <cell r="K261">
            <v>0</v>
          </cell>
          <cell r="L261">
            <v>0</v>
          </cell>
          <cell r="M261">
            <v>0</v>
          </cell>
          <cell r="N261">
            <v>0</v>
          </cell>
          <cell r="O261">
            <v>0</v>
          </cell>
          <cell r="P261">
            <v>0</v>
          </cell>
          <cell r="Q261">
            <v>15</v>
          </cell>
          <cell r="R261">
            <v>30</v>
          </cell>
          <cell r="S261">
            <v>0</v>
          </cell>
          <cell r="T261">
            <v>25</v>
          </cell>
          <cell r="U261">
            <v>20</v>
          </cell>
          <cell r="V261">
            <v>15</v>
          </cell>
          <cell r="W261">
            <v>15</v>
          </cell>
        </row>
        <row r="262">
          <cell r="A262">
            <v>1500</v>
          </cell>
          <cell r="B262">
            <v>15</v>
          </cell>
          <cell r="C262">
            <v>20</v>
          </cell>
          <cell r="D262">
            <v>20</v>
          </cell>
          <cell r="E262">
            <v>15</v>
          </cell>
          <cell r="F262">
            <v>10</v>
          </cell>
          <cell r="G262">
            <v>10</v>
          </cell>
          <cell r="H262">
            <v>0</v>
          </cell>
          <cell r="I262">
            <v>0</v>
          </cell>
          <cell r="J262">
            <v>0</v>
          </cell>
          <cell r="K262">
            <v>0</v>
          </cell>
          <cell r="L262">
            <v>0</v>
          </cell>
          <cell r="M262">
            <v>0</v>
          </cell>
          <cell r="N262">
            <v>0</v>
          </cell>
          <cell r="O262">
            <v>0</v>
          </cell>
          <cell r="P262">
            <v>0</v>
          </cell>
          <cell r="Q262">
            <v>15</v>
          </cell>
          <cell r="R262">
            <v>20</v>
          </cell>
          <cell r="S262">
            <v>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S278">
            <v>455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S279">
            <v>455</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S280">
            <v>420</v>
          </cell>
          <cell r="T280">
            <v>420</v>
          </cell>
          <cell r="U280">
            <v>420</v>
          </cell>
          <cell r="V280">
            <v>420</v>
          </cell>
          <cell r="W280">
            <v>420</v>
          </cell>
        </row>
        <row r="281">
          <cell r="A281">
            <v>1050</v>
          </cell>
          <cell r="B281">
            <v>195</v>
          </cell>
          <cell r="C281">
            <v>195</v>
          </cell>
          <cell r="D281">
            <v>180</v>
          </cell>
          <cell r="E281">
            <v>180</v>
          </cell>
          <cell r="F281">
            <v>220</v>
          </cell>
          <cell r="G281">
            <v>195</v>
          </cell>
          <cell r="H281">
            <v>195</v>
          </cell>
          <cell r="I281">
            <v>180</v>
          </cell>
          <cell r="J281">
            <v>180</v>
          </cell>
          <cell r="K281">
            <v>220</v>
          </cell>
          <cell r="L281">
            <v>205</v>
          </cell>
          <cell r="M281">
            <v>180</v>
          </cell>
          <cell r="N281">
            <v>180</v>
          </cell>
          <cell r="O281">
            <v>215</v>
          </cell>
          <cell r="P281">
            <v>420</v>
          </cell>
          <cell r="Q281">
            <v>385</v>
          </cell>
          <cell r="R281">
            <v>420</v>
          </cell>
          <cell r="S281">
            <v>0</v>
          </cell>
          <cell r="T281">
            <v>405</v>
          </cell>
          <cell r="U281">
            <v>420</v>
          </cell>
          <cell r="V281">
            <v>365</v>
          </cell>
          <cell r="W281">
            <v>420</v>
          </cell>
        </row>
        <row r="282">
          <cell r="A282">
            <v>1100</v>
          </cell>
          <cell r="B282">
            <v>120</v>
          </cell>
          <cell r="C282">
            <v>120</v>
          </cell>
          <cell r="D282">
            <v>120</v>
          </cell>
          <cell r="E282">
            <v>135</v>
          </cell>
          <cell r="F282">
            <v>135</v>
          </cell>
          <cell r="G282">
            <v>120</v>
          </cell>
          <cell r="H282">
            <v>125</v>
          </cell>
          <cell r="I282">
            <v>120</v>
          </cell>
          <cell r="J282">
            <v>120</v>
          </cell>
          <cell r="K282">
            <v>135</v>
          </cell>
          <cell r="L282">
            <v>135</v>
          </cell>
          <cell r="M282">
            <v>125</v>
          </cell>
          <cell r="N282">
            <v>125</v>
          </cell>
          <cell r="O282">
            <v>140</v>
          </cell>
          <cell r="P282">
            <v>375</v>
          </cell>
          <cell r="Q282">
            <v>320</v>
          </cell>
          <cell r="R282">
            <v>380</v>
          </cell>
          <cell r="S282">
            <v>0</v>
          </cell>
          <cell r="T282">
            <v>355</v>
          </cell>
          <cell r="U282">
            <v>405</v>
          </cell>
          <cell r="V282">
            <v>280</v>
          </cell>
          <cell r="W282">
            <v>325</v>
          </cell>
        </row>
        <row r="283">
          <cell r="A283">
            <v>1150</v>
          </cell>
          <cell r="B283">
            <v>75</v>
          </cell>
          <cell r="C283">
            <v>75</v>
          </cell>
          <cell r="D283">
            <v>75</v>
          </cell>
          <cell r="E283">
            <v>85</v>
          </cell>
          <cell r="F283">
            <v>105</v>
          </cell>
          <cell r="G283">
            <v>75</v>
          </cell>
          <cell r="H283">
            <v>75</v>
          </cell>
          <cell r="I283">
            <v>75</v>
          </cell>
          <cell r="J283">
            <v>75</v>
          </cell>
          <cell r="K283">
            <v>85</v>
          </cell>
          <cell r="L283">
            <v>105</v>
          </cell>
          <cell r="M283">
            <v>75</v>
          </cell>
          <cell r="N283">
            <v>75</v>
          </cell>
          <cell r="O283">
            <v>95</v>
          </cell>
          <cell r="P283">
            <v>280</v>
          </cell>
          <cell r="Q283">
            <v>250</v>
          </cell>
          <cell r="R283">
            <v>295</v>
          </cell>
          <cell r="S283">
            <v>0</v>
          </cell>
          <cell r="T283">
            <v>295</v>
          </cell>
          <cell r="U283">
            <v>345</v>
          </cell>
          <cell r="V283">
            <v>215</v>
          </cell>
          <cell r="W283">
            <v>235</v>
          </cell>
        </row>
        <row r="284">
          <cell r="A284">
            <v>1200</v>
          </cell>
          <cell r="B284">
            <v>45</v>
          </cell>
          <cell r="C284">
            <v>45</v>
          </cell>
          <cell r="D284">
            <v>45</v>
          </cell>
          <cell r="E284">
            <v>50</v>
          </cell>
          <cell r="F284">
            <v>55</v>
          </cell>
          <cell r="G284">
            <v>45</v>
          </cell>
          <cell r="H284">
            <v>45</v>
          </cell>
          <cell r="I284">
            <v>45</v>
          </cell>
          <cell r="J284">
            <v>45</v>
          </cell>
          <cell r="K284">
            <v>50</v>
          </cell>
          <cell r="L284">
            <v>55</v>
          </cell>
          <cell r="M284">
            <v>45</v>
          </cell>
          <cell r="N284">
            <v>45</v>
          </cell>
          <cell r="O284">
            <v>65</v>
          </cell>
          <cell r="P284">
            <v>180</v>
          </cell>
          <cell r="Q284">
            <v>195</v>
          </cell>
          <cell r="R284">
            <v>230</v>
          </cell>
          <cell r="S284">
            <v>0</v>
          </cell>
          <cell r="T284">
            <v>230</v>
          </cell>
          <cell r="U284">
            <v>215</v>
          </cell>
          <cell r="V284">
            <v>165</v>
          </cell>
          <cell r="W284">
            <v>170</v>
          </cell>
        </row>
        <row r="285">
          <cell r="A285">
            <v>1250</v>
          </cell>
          <cell r="B285">
            <v>140</v>
          </cell>
          <cell r="C285">
            <v>185</v>
          </cell>
          <cell r="D285">
            <v>175</v>
          </cell>
          <cell r="E285">
            <v>155</v>
          </cell>
          <cell r="F285">
            <v>125</v>
          </cell>
          <cell r="G285">
            <v>130</v>
          </cell>
          <cell r="H285">
            <v>0</v>
          </cell>
          <cell r="I285">
            <v>0</v>
          </cell>
          <cell r="J285">
            <v>0</v>
          </cell>
          <cell r="K285">
            <v>0</v>
          </cell>
          <cell r="L285">
            <v>0</v>
          </cell>
          <cell r="M285">
            <v>0</v>
          </cell>
          <cell r="N285">
            <v>0</v>
          </cell>
          <cell r="O285">
            <v>0</v>
          </cell>
          <cell r="P285">
            <v>0</v>
          </cell>
          <cell r="Q285">
            <v>140</v>
          </cell>
          <cell r="R285">
            <v>185</v>
          </cell>
          <cell r="S285">
            <v>0</v>
          </cell>
          <cell r="T285">
            <v>175</v>
          </cell>
          <cell r="U285">
            <v>155</v>
          </cell>
          <cell r="V285">
            <v>125</v>
          </cell>
          <cell r="W285">
            <v>130</v>
          </cell>
        </row>
        <row r="286">
          <cell r="A286">
            <v>1300</v>
          </cell>
          <cell r="B286">
            <v>105</v>
          </cell>
          <cell r="C286">
            <v>145</v>
          </cell>
          <cell r="D286">
            <v>135</v>
          </cell>
          <cell r="E286">
            <v>115</v>
          </cell>
          <cell r="F286">
            <v>100</v>
          </cell>
          <cell r="G286">
            <v>95</v>
          </cell>
          <cell r="H286">
            <v>0</v>
          </cell>
          <cell r="I286">
            <v>0</v>
          </cell>
          <cell r="J286">
            <v>0</v>
          </cell>
          <cell r="K286">
            <v>0</v>
          </cell>
          <cell r="L286">
            <v>0</v>
          </cell>
          <cell r="M286">
            <v>0</v>
          </cell>
          <cell r="N286">
            <v>0</v>
          </cell>
          <cell r="O286">
            <v>0</v>
          </cell>
          <cell r="P286">
            <v>0</v>
          </cell>
          <cell r="Q286">
            <v>105</v>
          </cell>
          <cell r="R286">
            <v>145</v>
          </cell>
          <cell r="S286">
            <v>0</v>
          </cell>
          <cell r="T286">
            <v>135</v>
          </cell>
          <cell r="U286">
            <v>115</v>
          </cell>
          <cell r="V286">
            <v>100</v>
          </cell>
          <cell r="W286">
            <v>95</v>
          </cell>
        </row>
        <row r="287">
          <cell r="A287">
            <v>1350</v>
          </cell>
          <cell r="B287">
            <v>75</v>
          </cell>
          <cell r="C287">
            <v>120</v>
          </cell>
          <cell r="D287">
            <v>105</v>
          </cell>
          <cell r="E287">
            <v>85</v>
          </cell>
          <cell r="F287">
            <v>75</v>
          </cell>
          <cell r="G287">
            <v>75</v>
          </cell>
          <cell r="H287">
            <v>0</v>
          </cell>
          <cell r="I287">
            <v>0</v>
          </cell>
          <cell r="J287">
            <v>0</v>
          </cell>
          <cell r="K287">
            <v>0</v>
          </cell>
          <cell r="L287">
            <v>0</v>
          </cell>
          <cell r="M287">
            <v>0</v>
          </cell>
          <cell r="N287">
            <v>0</v>
          </cell>
          <cell r="O287">
            <v>0</v>
          </cell>
          <cell r="P287">
            <v>0</v>
          </cell>
          <cell r="Q287">
            <v>75</v>
          </cell>
          <cell r="R287">
            <v>120</v>
          </cell>
          <cell r="S287">
            <v>0</v>
          </cell>
          <cell r="T287">
            <v>105</v>
          </cell>
          <cell r="U287">
            <v>85</v>
          </cell>
          <cell r="V287">
            <v>75</v>
          </cell>
          <cell r="W287">
            <v>75</v>
          </cell>
        </row>
        <row r="288">
          <cell r="A288">
            <v>1400</v>
          </cell>
          <cell r="B288">
            <v>60</v>
          </cell>
          <cell r="C288">
            <v>95</v>
          </cell>
          <cell r="D288">
            <v>80</v>
          </cell>
          <cell r="E288">
            <v>70</v>
          </cell>
          <cell r="F288">
            <v>55</v>
          </cell>
          <cell r="G288">
            <v>55</v>
          </cell>
          <cell r="H288">
            <v>0</v>
          </cell>
          <cell r="I288">
            <v>0</v>
          </cell>
          <cell r="J288">
            <v>0</v>
          </cell>
          <cell r="K288">
            <v>0</v>
          </cell>
          <cell r="L288">
            <v>0</v>
          </cell>
          <cell r="M288">
            <v>0</v>
          </cell>
          <cell r="N288">
            <v>0</v>
          </cell>
          <cell r="O288">
            <v>0</v>
          </cell>
          <cell r="P288">
            <v>0</v>
          </cell>
          <cell r="Q288">
            <v>60</v>
          </cell>
          <cell r="R288">
            <v>95</v>
          </cell>
          <cell r="S288">
            <v>0</v>
          </cell>
          <cell r="T288">
            <v>80</v>
          </cell>
          <cell r="U288">
            <v>70</v>
          </cell>
          <cell r="V288">
            <v>55</v>
          </cell>
          <cell r="W288">
            <v>55</v>
          </cell>
        </row>
        <row r="289">
          <cell r="A289">
            <v>1450</v>
          </cell>
          <cell r="B289">
            <v>45</v>
          </cell>
          <cell r="C289">
            <v>75</v>
          </cell>
          <cell r="D289">
            <v>65</v>
          </cell>
          <cell r="E289">
            <v>50</v>
          </cell>
          <cell r="F289">
            <v>40</v>
          </cell>
          <cell r="G289">
            <v>40</v>
          </cell>
          <cell r="H289">
            <v>0</v>
          </cell>
          <cell r="I289">
            <v>0</v>
          </cell>
          <cell r="J289">
            <v>0</v>
          </cell>
          <cell r="K289">
            <v>0</v>
          </cell>
          <cell r="L289">
            <v>0</v>
          </cell>
          <cell r="M289">
            <v>0</v>
          </cell>
          <cell r="N289">
            <v>0</v>
          </cell>
          <cell r="O289">
            <v>0</v>
          </cell>
          <cell r="P289">
            <v>0</v>
          </cell>
          <cell r="Q289">
            <v>45</v>
          </cell>
          <cell r="R289">
            <v>75</v>
          </cell>
          <cell r="S289">
            <v>0</v>
          </cell>
          <cell r="T289">
            <v>65</v>
          </cell>
          <cell r="U289">
            <v>50</v>
          </cell>
          <cell r="V289">
            <v>40</v>
          </cell>
          <cell r="W289">
            <v>40</v>
          </cell>
        </row>
        <row r="290">
          <cell r="A290">
            <v>1500</v>
          </cell>
          <cell r="B290">
            <v>35</v>
          </cell>
          <cell r="C290">
            <v>50</v>
          </cell>
          <cell r="D290">
            <v>45</v>
          </cell>
          <cell r="E290">
            <v>45</v>
          </cell>
          <cell r="F290">
            <v>30</v>
          </cell>
          <cell r="G290">
            <v>30</v>
          </cell>
          <cell r="H290">
            <v>0</v>
          </cell>
          <cell r="I290">
            <v>0</v>
          </cell>
          <cell r="J290">
            <v>0</v>
          </cell>
          <cell r="K290">
            <v>0</v>
          </cell>
          <cell r="L290">
            <v>0</v>
          </cell>
          <cell r="M290">
            <v>0</v>
          </cell>
          <cell r="N290">
            <v>0</v>
          </cell>
          <cell r="O290">
            <v>0</v>
          </cell>
          <cell r="P290">
            <v>0</v>
          </cell>
          <cell r="Q290">
            <v>35</v>
          </cell>
          <cell r="R290">
            <v>50</v>
          </cell>
          <cell r="S290">
            <v>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S306">
            <v>605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S307">
            <v>605</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S308">
            <v>560</v>
          </cell>
          <cell r="T308">
            <v>560</v>
          </cell>
          <cell r="U308">
            <v>560</v>
          </cell>
          <cell r="V308">
            <v>560</v>
          </cell>
          <cell r="W308">
            <v>560</v>
          </cell>
        </row>
        <row r="309">
          <cell r="A309">
            <v>1050</v>
          </cell>
          <cell r="B309">
            <v>255</v>
          </cell>
          <cell r="C309">
            <v>265</v>
          </cell>
          <cell r="D309">
            <v>240</v>
          </cell>
          <cell r="E309">
            <v>240</v>
          </cell>
          <cell r="F309">
            <v>290</v>
          </cell>
          <cell r="G309">
            <v>255</v>
          </cell>
          <cell r="H309">
            <v>265</v>
          </cell>
          <cell r="I309">
            <v>240</v>
          </cell>
          <cell r="J309">
            <v>240</v>
          </cell>
          <cell r="K309">
            <v>290</v>
          </cell>
          <cell r="L309">
            <v>275</v>
          </cell>
          <cell r="M309">
            <v>240</v>
          </cell>
          <cell r="N309">
            <v>240</v>
          </cell>
          <cell r="O309">
            <v>285</v>
          </cell>
          <cell r="P309">
            <v>560</v>
          </cell>
          <cell r="Q309">
            <v>515</v>
          </cell>
          <cell r="R309">
            <v>560</v>
          </cell>
          <cell r="S309">
            <v>0</v>
          </cell>
          <cell r="T309">
            <v>545</v>
          </cell>
          <cell r="U309">
            <v>560</v>
          </cell>
          <cell r="V309">
            <v>485</v>
          </cell>
          <cell r="W309">
            <v>560</v>
          </cell>
        </row>
        <row r="310">
          <cell r="A310">
            <v>1100</v>
          </cell>
          <cell r="B310">
            <v>160</v>
          </cell>
          <cell r="C310">
            <v>160</v>
          </cell>
          <cell r="D310">
            <v>160</v>
          </cell>
          <cell r="E310">
            <v>185</v>
          </cell>
          <cell r="F310">
            <v>185</v>
          </cell>
          <cell r="G310">
            <v>160</v>
          </cell>
          <cell r="H310">
            <v>165</v>
          </cell>
          <cell r="I310">
            <v>160</v>
          </cell>
          <cell r="J310">
            <v>160</v>
          </cell>
          <cell r="K310">
            <v>185</v>
          </cell>
          <cell r="L310">
            <v>185</v>
          </cell>
          <cell r="M310">
            <v>165</v>
          </cell>
          <cell r="N310">
            <v>165</v>
          </cell>
          <cell r="O310">
            <v>190</v>
          </cell>
          <cell r="P310">
            <v>505</v>
          </cell>
          <cell r="Q310">
            <v>430</v>
          </cell>
          <cell r="R310">
            <v>510</v>
          </cell>
          <cell r="S310">
            <v>0</v>
          </cell>
          <cell r="T310">
            <v>470</v>
          </cell>
          <cell r="U310">
            <v>540</v>
          </cell>
          <cell r="V310">
            <v>370</v>
          </cell>
          <cell r="W310">
            <v>435</v>
          </cell>
        </row>
        <row r="311">
          <cell r="A311">
            <v>1150</v>
          </cell>
          <cell r="B311">
            <v>105</v>
          </cell>
          <cell r="C311">
            <v>105</v>
          </cell>
          <cell r="D311">
            <v>105</v>
          </cell>
          <cell r="E311">
            <v>115</v>
          </cell>
          <cell r="F311">
            <v>135</v>
          </cell>
          <cell r="G311">
            <v>105</v>
          </cell>
          <cell r="H311">
            <v>105</v>
          </cell>
          <cell r="I311">
            <v>105</v>
          </cell>
          <cell r="J311">
            <v>105</v>
          </cell>
          <cell r="K311">
            <v>115</v>
          </cell>
          <cell r="L311">
            <v>135</v>
          </cell>
          <cell r="M311">
            <v>105</v>
          </cell>
          <cell r="N311">
            <v>105</v>
          </cell>
          <cell r="O311">
            <v>125</v>
          </cell>
          <cell r="P311">
            <v>370</v>
          </cell>
          <cell r="Q311">
            <v>330</v>
          </cell>
          <cell r="R311">
            <v>395</v>
          </cell>
          <cell r="S311">
            <v>0</v>
          </cell>
          <cell r="T311">
            <v>395</v>
          </cell>
          <cell r="U311">
            <v>455</v>
          </cell>
          <cell r="V311">
            <v>285</v>
          </cell>
          <cell r="W311">
            <v>315</v>
          </cell>
        </row>
        <row r="312">
          <cell r="A312">
            <v>1200</v>
          </cell>
          <cell r="B312">
            <v>65</v>
          </cell>
          <cell r="C312">
            <v>65</v>
          </cell>
          <cell r="D312">
            <v>65</v>
          </cell>
          <cell r="E312">
            <v>70</v>
          </cell>
          <cell r="F312">
            <v>75</v>
          </cell>
          <cell r="G312">
            <v>65</v>
          </cell>
          <cell r="H312">
            <v>55</v>
          </cell>
          <cell r="I312">
            <v>65</v>
          </cell>
          <cell r="J312">
            <v>65</v>
          </cell>
          <cell r="K312">
            <v>70</v>
          </cell>
          <cell r="L312">
            <v>75</v>
          </cell>
          <cell r="M312">
            <v>55</v>
          </cell>
          <cell r="N312">
            <v>55</v>
          </cell>
          <cell r="O312">
            <v>85</v>
          </cell>
          <cell r="P312">
            <v>240</v>
          </cell>
          <cell r="Q312">
            <v>255</v>
          </cell>
          <cell r="R312">
            <v>310</v>
          </cell>
          <cell r="S312">
            <v>0</v>
          </cell>
          <cell r="T312">
            <v>310</v>
          </cell>
          <cell r="U312">
            <v>285</v>
          </cell>
          <cell r="V312">
            <v>215</v>
          </cell>
          <cell r="W312">
            <v>230</v>
          </cell>
        </row>
        <row r="313">
          <cell r="A313">
            <v>1250</v>
          </cell>
          <cell r="B313">
            <v>190</v>
          </cell>
          <cell r="C313">
            <v>245</v>
          </cell>
          <cell r="D313">
            <v>235</v>
          </cell>
          <cell r="E313">
            <v>205</v>
          </cell>
          <cell r="F313">
            <v>165</v>
          </cell>
          <cell r="G313">
            <v>170</v>
          </cell>
          <cell r="H313">
            <v>0</v>
          </cell>
          <cell r="I313">
            <v>0</v>
          </cell>
          <cell r="J313">
            <v>0</v>
          </cell>
          <cell r="K313">
            <v>0</v>
          </cell>
          <cell r="L313">
            <v>0</v>
          </cell>
          <cell r="M313">
            <v>0</v>
          </cell>
          <cell r="N313">
            <v>0</v>
          </cell>
          <cell r="O313">
            <v>0</v>
          </cell>
          <cell r="P313">
            <v>0</v>
          </cell>
          <cell r="Q313">
            <v>190</v>
          </cell>
          <cell r="R313">
            <v>245</v>
          </cell>
          <cell r="S313">
            <v>0</v>
          </cell>
          <cell r="T313">
            <v>235</v>
          </cell>
          <cell r="U313">
            <v>205</v>
          </cell>
          <cell r="V313">
            <v>165</v>
          </cell>
          <cell r="W313">
            <v>170</v>
          </cell>
        </row>
        <row r="314">
          <cell r="A314">
            <v>1300</v>
          </cell>
          <cell r="B314">
            <v>145</v>
          </cell>
          <cell r="C314">
            <v>195</v>
          </cell>
          <cell r="D314">
            <v>185</v>
          </cell>
          <cell r="E314">
            <v>155</v>
          </cell>
          <cell r="F314">
            <v>130</v>
          </cell>
          <cell r="G314">
            <v>125</v>
          </cell>
          <cell r="H314">
            <v>0</v>
          </cell>
          <cell r="I314">
            <v>0</v>
          </cell>
          <cell r="J314">
            <v>0</v>
          </cell>
          <cell r="K314">
            <v>0</v>
          </cell>
          <cell r="L314">
            <v>0</v>
          </cell>
          <cell r="M314">
            <v>0</v>
          </cell>
          <cell r="N314">
            <v>0</v>
          </cell>
          <cell r="O314">
            <v>0</v>
          </cell>
          <cell r="P314">
            <v>0</v>
          </cell>
          <cell r="Q314">
            <v>145</v>
          </cell>
          <cell r="R314">
            <v>195</v>
          </cell>
          <cell r="S314">
            <v>0</v>
          </cell>
          <cell r="T314">
            <v>185</v>
          </cell>
          <cell r="U314">
            <v>155</v>
          </cell>
          <cell r="V314">
            <v>130</v>
          </cell>
          <cell r="W314">
            <v>125</v>
          </cell>
        </row>
        <row r="315">
          <cell r="A315">
            <v>1350</v>
          </cell>
          <cell r="B315">
            <v>105</v>
          </cell>
          <cell r="C315">
            <v>160</v>
          </cell>
          <cell r="D315">
            <v>145</v>
          </cell>
          <cell r="E315">
            <v>115</v>
          </cell>
          <cell r="F315">
            <v>100</v>
          </cell>
          <cell r="G315">
            <v>95</v>
          </cell>
          <cell r="H315">
            <v>0</v>
          </cell>
          <cell r="I315">
            <v>0</v>
          </cell>
          <cell r="J315">
            <v>0</v>
          </cell>
          <cell r="K315">
            <v>0</v>
          </cell>
          <cell r="L315">
            <v>0</v>
          </cell>
          <cell r="M315">
            <v>0</v>
          </cell>
          <cell r="N315">
            <v>0</v>
          </cell>
          <cell r="O315">
            <v>0</v>
          </cell>
          <cell r="P315">
            <v>0</v>
          </cell>
          <cell r="Q315">
            <v>105</v>
          </cell>
          <cell r="R315">
            <v>160</v>
          </cell>
          <cell r="S315">
            <v>0</v>
          </cell>
          <cell r="T315">
            <v>145</v>
          </cell>
          <cell r="U315">
            <v>115</v>
          </cell>
          <cell r="V315">
            <v>100</v>
          </cell>
          <cell r="W315">
            <v>95</v>
          </cell>
        </row>
        <row r="316">
          <cell r="A316">
            <v>1400</v>
          </cell>
          <cell r="B316">
            <v>80</v>
          </cell>
          <cell r="C316">
            <v>125</v>
          </cell>
          <cell r="D316">
            <v>110</v>
          </cell>
          <cell r="E316">
            <v>90</v>
          </cell>
          <cell r="F316">
            <v>75</v>
          </cell>
          <cell r="G316">
            <v>75</v>
          </cell>
          <cell r="H316">
            <v>0</v>
          </cell>
          <cell r="I316">
            <v>0</v>
          </cell>
          <cell r="J316">
            <v>0</v>
          </cell>
          <cell r="K316">
            <v>0</v>
          </cell>
          <cell r="L316">
            <v>0</v>
          </cell>
          <cell r="M316">
            <v>0</v>
          </cell>
          <cell r="N316">
            <v>0</v>
          </cell>
          <cell r="O316">
            <v>0</v>
          </cell>
          <cell r="P316">
            <v>0</v>
          </cell>
          <cell r="Q316">
            <v>80</v>
          </cell>
          <cell r="R316">
            <v>125</v>
          </cell>
          <cell r="S316">
            <v>0</v>
          </cell>
          <cell r="T316">
            <v>110</v>
          </cell>
          <cell r="U316">
            <v>90</v>
          </cell>
          <cell r="V316">
            <v>75</v>
          </cell>
          <cell r="W316">
            <v>75</v>
          </cell>
        </row>
        <row r="317">
          <cell r="A317">
            <v>1450</v>
          </cell>
          <cell r="B317">
            <v>55</v>
          </cell>
          <cell r="C317">
            <v>100</v>
          </cell>
          <cell r="D317">
            <v>85</v>
          </cell>
          <cell r="E317">
            <v>70</v>
          </cell>
          <cell r="F317">
            <v>50</v>
          </cell>
          <cell r="G317">
            <v>55</v>
          </cell>
          <cell r="H317">
            <v>0</v>
          </cell>
          <cell r="I317">
            <v>0</v>
          </cell>
          <cell r="J317">
            <v>0</v>
          </cell>
          <cell r="K317">
            <v>0</v>
          </cell>
          <cell r="L317">
            <v>0</v>
          </cell>
          <cell r="M317">
            <v>0</v>
          </cell>
          <cell r="N317">
            <v>0</v>
          </cell>
          <cell r="O317">
            <v>0</v>
          </cell>
          <cell r="P317">
            <v>0</v>
          </cell>
          <cell r="Q317">
            <v>55</v>
          </cell>
          <cell r="R317">
            <v>100</v>
          </cell>
          <cell r="S317">
            <v>0</v>
          </cell>
          <cell r="T317">
            <v>85</v>
          </cell>
          <cell r="U317">
            <v>70</v>
          </cell>
          <cell r="V317">
            <v>50</v>
          </cell>
          <cell r="W317">
            <v>55</v>
          </cell>
        </row>
        <row r="318">
          <cell r="A318">
            <v>1500</v>
          </cell>
          <cell r="B318">
            <v>45</v>
          </cell>
          <cell r="C318">
            <v>70</v>
          </cell>
          <cell r="D318">
            <v>65</v>
          </cell>
          <cell r="E318">
            <v>55</v>
          </cell>
          <cell r="F318">
            <v>40</v>
          </cell>
          <cell r="G318">
            <v>45</v>
          </cell>
          <cell r="H318">
            <v>0</v>
          </cell>
          <cell r="I318">
            <v>0</v>
          </cell>
          <cell r="J318">
            <v>0</v>
          </cell>
          <cell r="K318">
            <v>0</v>
          </cell>
          <cell r="L318">
            <v>0</v>
          </cell>
          <cell r="M318">
            <v>0</v>
          </cell>
          <cell r="N318">
            <v>0</v>
          </cell>
          <cell r="O318">
            <v>0</v>
          </cell>
          <cell r="P318">
            <v>0</v>
          </cell>
          <cell r="Q318">
            <v>45</v>
          </cell>
          <cell r="R318">
            <v>70</v>
          </cell>
          <cell r="S318">
            <v>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S335">
            <v>910</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S336">
            <v>910</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S337">
            <v>840</v>
          </cell>
          <cell r="T337">
            <v>840</v>
          </cell>
          <cell r="U337">
            <v>840</v>
          </cell>
          <cell r="V337">
            <v>840</v>
          </cell>
          <cell r="W337">
            <v>840</v>
          </cell>
        </row>
        <row r="338">
          <cell r="A338">
            <v>1050</v>
          </cell>
          <cell r="B338">
            <v>385</v>
          </cell>
          <cell r="C338">
            <v>395</v>
          </cell>
          <cell r="D338">
            <v>360</v>
          </cell>
          <cell r="E338">
            <v>360</v>
          </cell>
          <cell r="F338">
            <v>435</v>
          </cell>
          <cell r="G338">
            <v>385</v>
          </cell>
          <cell r="H338">
            <v>395</v>
          </cell>
          <cell r="I338">
            <v>360</v>
          </cell>
          <cell r="J338">
            <v>360</v>
          </cell>
          <cell r="K338">
            <v>435</v>
          </cell>
          <cell r="L338">
            <v>410</v>
          </cell>
          <cell r="M338">
            <v>360</v>
          </cell>
          <cell r="N338">
            <v>360</v>
          </cell>
          <cell r="O338">
            <v>430</v>
          </cell>
          <cell r="P338">
            <v>840</v>
          </cell>
          <cell r="Q338">
            <v>770</v>
          </cell>
          <cell r="R338">
            <v>840</v>
          </cell>
          <cell r="S338">
            <v>0</v>
          </cell>
          <cell r="T338">
            <v>815</v>
          </cell>
          <cell r="U338">
            <v>840</v>
          </cell>
          <cell r="V338">
            <v>730</v>
          </cell>
          <cell r="W338">
            <v>840</v>
          </cell>
        </row>
        <row r="339">
          <cell r="A339">
            <v>1100</v>
          </cell>
          <cell r="B339">
            <v>240</v>
          </cell>
          <cell r="C339">
            <v>240</v>
          </cell>
          <cell r="D339">
            <v>240</v>
          </cell>
          <cell r="E339">
            <v>275</v>
          </cell>
          <cell r="F339">
            <v>275</v>
          </cell>
          <cell r="G339">
            <v>240</v>
          </cell>
          <cell r="H339">
            <v>250</v>
          </cell>
          <cell r="I339">
            <v>240</v>
          </cell>
          <cell r="J339">
            <v>240</v>
          </cell>
          <cell r="K339">
            <v>275</v>
          </cell>
          <cell r="L339">
            <v>275</v>
          </cell>
          <cell r="M339">
            <v>250</v>
          </cell>
          <cell r="N339">
            <v>250</v>
          </cell>
          <cell r="O339">
            <v>285</v>
          </cell>
          <cell r="P339">
            <v>755</v>
          </cell>
          <cell r="Q339">
            <v>645</v>
          </cell>
          <cell r="R339">
            <v>765</v>
          </cell>
          <cell r="S339">
            <v>0</v>
          </cell>
          <cell r="T339">
            <v>705</v>
          </cell>
          <cell r="U339">
            <v>805</v>
          </cell>
          <cell r="V339">
            <v>560</v>
          </cell>
          <cell r="W339">
            <v>650</v>
          </cell>
        </row>
        <row r="340">
          <cell r="A340">
            <v>1150</v>
          </cell>
          <cell r="B340">
            <v>155</v>
          </cell>
          <cell r="C340">
            <v>155</v>
          </cell>
          <cell r="D340">
            <v>155</v>
          </cell>
          <cell r="E340">
            <v>170</v>
          </cell>
          <cell r="F340">
            <v>205</v>
          </cell>
          <cell r="G340">
            <v>155</v>
          </cell>
          <cell r="H340">
            <v>155</v>
          </cell>
          <cell r="I340">
            <v>155</v>
          </cell>
          <cell r="J340">
            <v>155</v>
          </cell>
          <cell r="K340">
            <v>170</v>
          </cell>
          <cell r="L340">
            <v>205</v>
          </cell>
          <cell r="M340">
            <v>155</v>
          </cell>
          <cell r="N340">
            <v>155</v>
          </cell>
          <cell r="O340">
            <v>190</v>
          </cell>
          <cell r="P340">
            <v>555</v>
          </cell>
          <cell r="Q340">
            <v>495</v>
          </cell>
          <cell r="R340">
            <v>505</v>
          </cell>
          <cell r="S340">
            <v>0</v>
          </cell>
          <cell r="T340">
            <v>590</v>
          </cell>
          <cell r="U340">
            <v>685</v>
          </cell>
          <cell r="V340">
            <v>430</v>
          </cell>
          <cell r="W340">
            <v>470</v>
          </cell>
        </row>
        <row r="341">
          <cell r="A341">
            <v>1200</v>
          </cell>
          <cell r="B341">
            <v>95</v>
          </cell>
          <cell r="C341">
            <v>95</v>
          </cell>
          <cell r="D341">
            <v>95</v>
          </cell>
          <cell r="E341">
            <v>105</v>
          </cell>
          <cell r="F341">
            <v>110</v>
          </cell>
          <cell r="G341">
            <v>95</v>
          </cell>
          <cell r="H341">
            <v>85</v>
          </cell>
          <cell r="I341">
            <v>95</v>
          </cell>
          <cell r="J341">
            <v>95</v>
          </cell>
          <cell r="K341">
            <v>105</v>
          </cell>
          <cell r="L341">
            <v>110</v>
          </cell>
          <cell r="M341">
            <v>85</v>
          </cell>
          <cell r="N341">
            <v>85</v>
          </cell>
          <cell r="O341">
            <v>130</v>
          </cell>
          <cell r="P341">
            <v>360</v>
          </cell>
          <cell r="Q341">
            <v>385</v>
          </cell>
          <cell r="R341">
            <v>465</v>
          </cell>
          <cell r="S341">
            <v>0</v>
          </cell>
          <cell r="T341">
            <v>465</v>
          </cell>
          <cell r="U341">
            <v>430</v>
          </cell>
          <cell r="V341">
            <v>325</v>
          </cell>
          <cell r="W341">
            <v>345</v>
          </cell>
        </row>
        <row r="342">
          <cell r="A342">
            <v>1250</v>
          </cell>
          <cell r="B342">
            <v>285</v>
          </cell>
          <cell r="C342">
            <v>370</v>
          </cell>
          <cell r="D342">
            <v>350</v>
          </cell>
          <cell r="E342">
            <v>310</v>
          </cell>
          <cell r="F342">
            <v>250</v>
          </cell>
          <cell r="G342">
            <v>255</v>
          </cell>
          <cell r="H342">
            <v>0</v>
          </cell>
          <cell r="I342">
            <v>0</v>
          </cell>
          <cell r="J342">
            <v>0</v>
          </cell>
          <cell r="K342">
            <v>0</v>
          </cell>
          <cell r="L342">
            <v>0</v>
          </cell>
          <cell r="M342">
            <v>0</v>
          </cell>
          <cell r="N342">
            <v>0</v>
          </cell>
          <cell r="O342">
            <v>0</v>
          </cell>
          <cell r="P342">
            <v>0</v>
          </cell>
          <cell r="Q342">
            <v>285</v>
          </cell>
          <cell r="R342">
            <v>370</v>
          </cell>
          <cell r="S342">
            <v>0</v>
          </cell>
          <cell r="T342">
            <v>350</v>
          </cell>
          <cell r="U342">
            <v>310</v>
          </cell>
          <cell r="V342">
            <v>250</v>
          </cell>
          <cell r="W342">
            <v>255</v>
          </cell>
        </row>
        <row r="343">
          <cell r="A343">
            <v>1300</v>
          </cell>
          <cell r="B343">
            <v>215</v>
          </cell>
          <cell r="C343">
            <v>290</v>
          </cell>
          <cell r="D343">
            <v>275</v>
          </cell>
          <cell r="E343">
            <v>230</v>
          </cell>
          <cell r="F343">
            <v>200</v>
          </cell>
          <cell r="G343">
            <v>190</v>
          </cell>
          <cell r="H343">
            <v>0</v>
          </cell>
          <cell r="I343">
            <v>0</v>
          </cell>
          <cell r="J343">
            <v>0</v>
          </cell>
          <cell r="K343">
            <v>0</v>
          </cell>
          <cell r="L343">
            <v>0</v>
          </cell>
          <cell r="M343">
            <v>0</v>
          </cell>
          <cell r="N343">
            <v>0</v>
          </cell>
          <cell r="O343">
            <v>0</v>
          </cell>
          <cell r="P343">
            <v>0</v>
          </cell>
          <cell r="Q343">
            <v>215</v>
          </cell>
          <cell r="R343">
            <v>290</v>
          </cell>
          <cell r="S343">
            <v>0</v>
          </cell>
          <cell r="T343">
            <v>275</v>
          </cell>
          <cell r="U343">
            <v>230</v>
          </cell>
          <cell r="V343">
            <v>200</v>
          </cell>
          <cell r="W343">
            <v>190</v>
          </cell>
        </row>
        <row r="344">
          <cell r="A344">
            <v>1350</v>
          </cell>
          <cell r="B344">
            <v>155</v>
          </cell>
          <cell r="C344">
            <v>240</v>
          </cell>
          <cell r="D344">
            <v>215</v>
          </cell>
          <cell r="E344">
            <v>170</v>
          </cell>
          <cell r="F344">
            <v>145</v>
          </cell>
          <cell r="G344">
            <v>145</v>
          </cell>
          <cell r="H344">
            <v>0</v>
          </cell>
          <cell r="I344">
            <v>0</v>
          </cell>
          <cell r="J344">
            <v>0</v>
          </cell>
          <cell r="K344">
            <v>0</v>
          </cell>
          <cell r="L344">
            <v>0</v>
          </cell>
          <cell r="M344">
            <v>0</v>
          </cell>
          <cell r="N344">
            <v>0</v>
          </cell>
          <cell r="O344">
            <v>0</v>
          </cell>
          <cell r="P344">
            <v>0</v>
          </cell>
          <cell r="Q344">
            <v>155</v>
          </cell>
          <cell r="R344">
            <v>240</v>
          </cell>
          <cell r="S344">
            <v>0</v>
          </cell>
          <cell r="T344">
            <v>215</v>
          </cell>
          <cell r="U344">
            <v>170</v>
          </cell>
          <cell r="V344">
            <v>145</v>
          </cell>
          <cell r="W344">
            <v>145</v>
          </cell>
        </row>
        <row r="345">
          <cell r="A345">
            <v>1400</v>
          </cell>
          <cell r="B345">
            <v>120</v>
          </cell>
          <cell r="C345">
            <v>190</v>
          </cell>
          <cell r="D345">
            <v>165</v>
          </cell>
          <cell r="E345">
            <v>135</v>
          </cell>
          <cell r="F345">
            <v>110</v>
          </cell>
          <cell r="G345">
            <v>110</v>
          </cell>
          <cell r="H345">
            <v>0</v>
          </cell>
          <cell r="I345">
            <v>0</v>
          </cell>
          <cell r="J345">
            <v>0</v>
          </cell>
          <cell r="K345">
            <v>0</v>
          </cell>
          <cell r="L345">
            <v>0</v>
          </cell>
          <cell r="M345">
            <v>0</v>
          </cell>
          <cell r="N345">
            <v>0</v>
          </cell>
          <cell r="O345">
            <v>0</v>
          </cell>
          <cell r="P345">
            <v>0</v>
          </cell>
          <cell r="Q345">
            <v>120</v>
          </cell>
          <cell r="R345">
            <v>190</v>
          </cell>
          <cell r="S345">
            <v>0</v>
          </cell>
          <cell r="T345">
            <v>165</v>
          </cell>
          <cell r="U345">
            <v>135</v>
          </cell>
          <cell r="V345">
            <v>110</v>
          </cell>
          <cell r="W345">
            <v>110</v>
          </cell>
        </row>
        <row r="346">
          <cell r="A346">
            <v>1450</v>
          </cell>
          <cell r="B346">
            <v>85</v>
          </cell>
          <cell r="C346">
            <v>145</v>
          </cell>
          <cell r="D346">
            <v>130</v>
          </cell>
          <cell r="E346">
            <v>105</v>
          </cell>
          <cell r="F346">
            <v>75</v>
          </cell>
          <cell r="G346">
            <v>85</v>
          </cell>
          <cell r="H346">
            <v>0</v>
          </cell>
          <cell r="I346">
            <v>0</v>
          </cell>
          <cell r="J346">
            <v>0</v>
          </cell>
          <cell r="K346">
            <v>0</v>
          </cell>
          <cell r="L346">
            <v>0</v>
          </cell>
          <cell r="M346">
            <v>0</v>
          </cell>
          <cell r="N346">
            <v>0</v>
          </cell>
          <cell r="O346">
            <v>0</v>
          </cell>
          <cell r="P346">
            <v>0</v>
          </cell>
          <cell r="Q346">
            <v>85</v>
          </cell>
          <cell r="R346">
            <v>145</v>
          </cell>
          <cell r="S346">
            <v>0</v>
          </cell>
          <cell r="T346">
            <v>130</v>
          </cell>
          <cell r="U346">
            <v>105</v>
          </cell>
          <cell r="V346">
            <v>75</v>
          </cell>
          <cell r="W346">
            <v>85</v>
          </cell>
        </row>
        <row r="347">
          <cell r="A347">
            <v>1500</v>
          </cell>
          <cell r="B347">
            <v>70</v>
          </cell>
          <cell r="C347">
            <v>105</v>
          </cell>
          <cell r="D347">
            <v>95</v>
          </cell>
          <cell r="E347">
            <v>85</v>
          </cell>
          <cell r="F347">
            <v>60</v>
          </cell>
          <cell r="G347">
            <v>65</v>
          </cell>
          <cell r="H347">
            <v>0</v>
          </cell>
          <cell r="I347">
            <v>0</v>
          </cell>
          <cell r="J347">
            <v>0</v>
          </cell>
          <cell r="K347">
            <v>0</v>
          </cell>
          <cell r="L347">
            <v>0</v>
          </cell>
          <cell r="M347">
            <v>0</v>
          </cell>
          <cell r="N347">
            <v>0</v>
          </cell>
          <cell r="O347">
            <v>0</v>
          </cell>
          <cell r="P347">
            <v>0</v>
          </cell>
          <cell r="Q347">
            <v>70</v>
          </cell>
          <cell r="R347">
            <v>105</v>
          </cell>
          <cell r="S347">
            <v>0</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S364">
            <v>1365</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S365">
            <v>1365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S366">
            <v>1260</v>
          </cell>
          <cell r="T366">
            <v>1260</v>
          </cell>
          <cell r="U366">
            <v>1260</v>
          </cell>
          <cell r="V366">
            <v>1260</v>
          </cell>
          <cell r="W366">
            <v>1260</v>
          </cell>
        </row>
        <row r="367">
          <cell r="A367">
            <v>1050</v>
          </cell>
          <cell r="B367">
            <v>580</v>
          </cell>
          <cell r="C367">
            <v>590</v>
          </cell>
          <cell r="D367">
            <v>540</v>
          </cell>
          <cell r="E367">
            <v>540</v>
          </cell>
          <cell r="F367">
            <v>655</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S367">
            <v>0</v>
          </cell>
          <cell r="T367">
            <v>1220</v>
          </cell>
          <cell r="U367">
            <v>1260</v>
          </cell>
          <cell r="V367">
            <v>1095</v>
          </cell>
          <cell r="W367">
            <v>1260</v>
          </cell>
        </row>
        <row r="368">
          <cell r="A368">
            <v>1100</v>
          </cell>
          <cell r="B368">
            <v>360</v>
          </cell>
          <cell r="C368">
            <v>360</v>
          </cell>
          <cell r="D368">
            <v>360</v>
          </cell>
          <cell r="E368">
            <v>410</v>
          </cell>
          <cell r="F368">
            <v>410</v>
          </cell>
          <cell r="G368">
            <v>360</v>
          </cell>
          <cell r="H368">
            <v>375</v>
          </cell>
          <cell r="I368">
            <v>360</v>
          </cell>
          <cell r="J368">
            <v>360</v>
          </cell>
          <cell r="K368">
            <v>410</v>
          </cell>
          <cell r="L368">
            <v>410</v>
          </cell>
          <cell r="M368">
            <v>375</v>
          </cell>
          <cell r="N368">
            <v>375</v>
          </cell>
          <cell r="O368">
            <v>425</v>
          </cell>
          <cell r="P368">
            <v>1130</v>
          </cell>
          <cell r="Q368">
            <v>965</v>
          </cell>
          <cell r="R368">
            <v>1145</v>
          </cell>
          <cell r="S368">
            <v>0</v>
          </cell>
          <cell r="T368">
            <v>1060</v>
          </cell>
          <cell r="U368">
            <v>1210</v>
          </cell>
          <cell r="V368">
            <v>835</v>
          </cell>
          <cell r="W368">
            <v>975</v>
          </cell>
        </row>
        <row r="369">
          <cell r="A369">
            <v>1150</v>
          </cell>
          <cell r="B369">
            <v>230</v>
          </cell>
          <cell r="C369">
            <v>230</v>
          </cell>
          <cell r="D369">
            <v>230</v>
          </cell>
          <cell r="E369">
            <v>255</v>
          </cell>
          <cell r="F369">
            <v>310</v>
          </cell>
          <cell r="G369">
            <v>230</v>
          </cell>
          <cell r="H369">
            <v>230</v>
          </cell>
          <cell r="I369">
            <v>230</v>
          </cell>
          <cell r="J369">
            <v>230</v>
          </cell>
          <cell r="K369">
            <v>255</v>
          </cell>
          <cell r="L369">
            <v>310</v>
          </cell>
          <cell r="M369">
            <v>230</v>
          </cell>
          <cell r="N369">
            <v>230</v>
          </cell>
          <cell r="O369">
            <v>285</v>
          </cell>
          <cell r="P369">
            <v>835</v>
          </cell>
          <cell r="Q369">
            <v>735</v>
          </cell>
          <cell r="R369">
            <v>885</v>
          </cell>
          <cell r="S369">
            <v>0</v>
          </cell>
          <cell r="T369">
            <v>885</v>
          </cell>
          <cell r="U369">
            <v>1030</v>
          </cell>
          <cell r="V369">
            <v>645</v>
          </cell>
          <cell r="W369">
            <v>705</v>
          </cell>
        </row>
        <row r="370">
          <cell r="A370">
            <v>1200</v>
          </cell>
          <cell r="B370">
            <v>140</v>
          </cell>
          <cell r="C370">
            <v>140</v>
          </cell>
          <cell r="D370">
            <v>140</v>
          </cell>
          <cell r="E370">
            <v>155</v>
          </cell>
          <cell r="F370">
            <v>165</v>
          </cell>
          <cell r="G370">
            <v>140</v>
          </cell>
          <cell r="H370">
            <v>130</v>
          </cell>
          <cell r="I370">
            <v>140</v>
          </cell>
          <cell r="J370">
            <v>140</v>
          </cell>
          <cell r="K370">
            <v>155</v>
          </cell>
          <cell r="L370">
            <v>165</v>
          </cell>
          <cell r="M370">
            <v>130</v>
          </cell>
          <cell r="N370">
            <v>130</v>
          </cell>
          <cell r="O370">
            <v>195</v>
          </cell>
          <cell r="P370">
            <v>540</v>
          </cell>
          <cell r="Q370">
            <v>580</v>
          </cell>
          <cell r="R370">
            <v>695</v>
          </cell>
          <cell r="S370">
            <v>0</v>
          </cell>
          <cell r="T370">
            <v>695</v>
          </cell>
          <cell r="U370">
            <v>645</v>
          </cell>
          <cell r="V370">
            <v>490</v>
          </cell>
          <cell r="W370">
            <v>515</v>
          </cell>
        </row>
        <row r="371">
          <cell r="A371">
            <v>1250</v>
          </cell>
          <cell r="B371">
            <v>425</v>
          </cell>
          <cell r="C371">
            <v>555</v>
          </cell>
          <cell r="D371">
            <v>525</v>
          </cell>
          <cell r="E371">
            <v>465</v>
          </cell>
          <cell r="F371">
            <v>375</v>
          </cell>
          <cell r="G371">
            <v>385</v>
          </cell>
          <cell r="H371">
            <v>0</v>
          </cell>
          <cell r="I371">
            <v>0</v>
          </cell>
          <cell r="J371">
            <v>0</v>
          </cell>
          <cell r="K371">
            <v>0</v>
          </cell>
          <cell r="L371">
            <v>0</v>
          </cell>
          <cell r="M371">
            <v>0</v>
          </cell>
          <cell r="N371">
            <v>0</v>
          </cell>
          <cell r="O371">
            <v>0</v>
          </cell>
          <cell r="P371">
            <v>0</v>
          </cell>
          <cell r="Q371">
            <v>425</v>
          </cell>
          <cell r="R371">
            <v>555</v>
          </cell>
          <cell r="S371">
            <v>0</v>
          </cell>
          <cell r="T371">
            <v>525</v>
          </cell>
          <cell r="U371">
            <v>465</v>
          </cell>
          <cell r="V371">
            <v>375</v>
          </cell>
          <cell r="W371">
            <v>385</v>
          </cell>
        </row>
        <row r="372">
          <cell r="A372">
            <v>1300</v>
          </cell>
          <cell r="B372">
            <v>320</v>
          </cell>
          <cell r="C372">
            <v>435</v>
          </cell>
          <cell r="D372">
            <v>410</v>
          </cell>
          <cell r="E372">
            <v>345</v>
          </cell>
          <cell r="F372">
            <v>295</v>
          </cell>
          <cell r="G372">
            <v>285</v>
          </cell>
          <cell r="H372">
            <v>0</v>
          </cell>
          <cell r="I372">
            <v>0</v>
          </cell>
          <cell r="J372">
            <v>0</v>
          </cell>
          <cell r="K372">
            <v>0</v>
          </cell>
          <cell r="L372">
            <v>0</v>
          </cell>
          <cell r="M372">
            <v>0</v>
          </cell>
          <cell r="N372">
            <v>0</v>
          </cell>
          <cell r="O372">
            <v>0</v>
          </cell>
          <cell r="P372">
            <v>0</v>
          </cell>
          <cell r="Q372">
            <v>320</v>
          </cell>
          <cell r="R372">
            <v>435</v>
          </cell>
          <cell r="S372">
            <v>0</v>
          </cell>
          <cell r="T372">
            <v>410</v>
          </cell>
          <cell r="U372">
            <v>345</v>
          </cell>
          <cell r="V372">
            <v>295</v>
          </cell>
          <cell r="W372">
            <v>285</v>
          </cell>
        </row>
        <row r="373">
          <cell r="A373">
            <v>1350</v>
          </cell>
          <cell r="B373">
            <v>230</v>
          </cell>
          <cell r="C373">
            <v>360</v>
          </cell>
          <cell r="D373">
            <v>320</v>
          </cell>
          <cell r="E373">
            <v>255</v>
          </cell>
          <cell r="F373">
            <v>220</v>
          </cell>
          <cell r="G373">
            <v>220</v>
          </cell>
          <cell r="H373">
            <v>0</v>
          </cell>
          <cell r="I373">
            <v>0</v>
          </cell>
          <cell r="J373">
            <v>0</v>
          </cell>
          <cell r="K373">
            <v>0</v>
          </cell>
          <cell r="L373">
            <v>0</v>
          </cell>
          <cell r="M373">
            <v>0</v>
          </cell>
          <cell r="N373">
            <v>0</v>
          </cell>
          <cell r="O373">
            <v>0</v>
          </cell>
          <cell r="P373">
            <v>0</v>
          </cell>
          <cell r="Q373">
            <v>230</v>
          </cell>
          <cell r="R373">
            <v>360</v>
          </cell>
          <cell r="S373">
            <v>0</v>
          </cell>
          <cell r="T373">
            <v>320</v>
          </cell>
          <cell r="U373">
            <v>255</v>
          </cell>
          <cell r="V373">
            <v>220</v>
          </cell>
          <cell r="W373">
            <v>220</v>
          </cell>
        </row>
        <row r="374">
          <cell r="A374">
            <v>1400</v>
          </cell>
          <cell r="B374">
            <v>180</v>
          </cell>
          <cell r="C374">
            <v>285</v>
          </cell>
          <cell r="D374">
            <v>245</v>
          </cell>
          <cell r="E374">
            <v>205</v>
          </cell>
          <cell r="F374">
            <v>170</v>
          </cell>
          <cell r="G374">
            <v>165</v>
          </cell>
          <cell r="H374">
            <v>0</v>
          </cell>
          <cell r="I374">
            <v>0</v>
          </cell>
          <cell r="J374">
            <v>0</v>
          </cell>
          <cell r="K374">
            <v>0</v>
          </cell>
          <cell r="L374">
            <v>0</v>
          </cell>
          <cell r="M374">
            <v>0</v>
          </cell>
          <cell r="N374">
            <v>0</v>
          </cell>
          <cell r="O374">
            <v>0</v>
          </cell>
          <cell r="P374">
            <v>0</v>
          </cell>
          <cell r="Q374">
            <v>180</v>
          </cell>
          <cell r="R374">
            <v>285</v>
          </cell>
          <cell r="S374">
            <v>0</v>
          </cell>
          <cell r="T374">
            <v>245</v>
          </cell>
          <cell r="U374">
            <v>205</v>
          </cell>
          <cell r="V374">
            <v>170</v>
          </cell>
          <cell r="W374">
            <v>165</v>
          </cell>
        </row>
        <row r="375">
          <cell r="A375">
            <v>1450</v>
          </cell>
          <cell r="B375">
            <v>130</v>
          </cell>
          <cell r="C375">
            <v>220</v>
          </cell>
          <cell r="D375">
            <v>195</v>
          </cell>
          <cell r="E375">
            <v>155</v>
          </cell>
          <cell r="F375">
            <v>115</v>
          </cell>
          <cell r="G375">
            <v>125</v>
          </cell>
          <cell r="H375">
            <v>0</v>
          </cell>
          <cell r="I375">
            <v>0</v>
          </cell>
          <cell r="J375">
            <v>0</v>
          </cell>
          <cell r="K375">
            <v>0</v>
          </cell>
          <cell r="L375">
            <v>0</v>
          </cell>
          <cell r="M375">
            <v>0</v>
          </cell>
          <cell r="N375">
            <v>0</v>
          </cell>
          <cell r="O375">
            <v>0</v>
          </cell>
          <cell r="P375">
            <v>0</v>
          </cell>
          <cell r="Q375">
            <v>130</v>
          </cell>
          <cell r="R375">
            <v>220</v>
          </cell>
          <cell r="S375">
            <v>0</v>
          </cell>
          <cell r="T375">
            <v>195</v>
          </cell>
          <cell r="U375">
            <v>155</v>
          </cell>
          <cell r="V375">
            <v>115</v>
          </cell>
          <cell r="W375">
            <v>125</v>
          </cell>
        </row>
        <row r="376">
          <cell r="A376">
            <v>1500</v>
          </cell>
          <cell r="B376">
            <v>105</v>
          </cell>
          <cell r="C376">
            <v>155</v>
          </cell>
          <cell r="D376">
            <v>140</v>
          </cell>
          <cell r="E376">
            <v>130</v>
          </cell>
          <cell r="F376">
            <v>90</v>
          </cell>
          <cell r="G376">
            <v>95</v>
          </cell>
          <cell r="H376">
            <v>0</v>
          </cell>
          <cell r="I376">
            <v>0</v>
          </cell>
          <cell r="J376">
            <v>0</v>
          </cell>
          <cell r="K376">
            <v>0</v>
          </cell>
          <cell r="L376">
            <v>0</v>
          </cell>
          <cell r="M376">
            <v>0</v>
          </cell>
          <cell r="N376">
            <v>0</v>
          </cell>
          <cell r="O376">
            <v>0</v>
          </cell>
          <cell r="P376">
            <v>0</v>
          </cell>
          <cell r="Q376">
            <v>105</v>
          </cell>
          <cell r="R376">
            <v>155</v>
          </cell>
          <cell r="S376">
            <v>0</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S393">
            <v>2270</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S394">
            <v>2270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S395">
            <v>2105</v>
          </cell>
          <cell r="T395">
            <v>2105</v>
          </cell>
          <cell r="U395">
            <v>2105</v>
          </cell>
          <cell r="V395">
            <v>2100</v>
          </cell>
          <cell r="W395">
            <v>2105</v>
          </cell>
        </row>
        <row r="396">
          <cell r="A396">
            <v>1050</v>
          </cell>
          <cell r="B396">
            <v>965</v>
          </cell>
          <cell r="C396">
            <v>985</v>
          </cell>
          <cell r="D396">
            <v>900</v>
          </cell>
          <cell r="E396">
            <v>900</v>
          </cell>
          <cell r="F396">
            <v>1095</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S396">
            <v>0</v>
          </cell>
          <cell r="T396">
            <v>2035</v>
          </cell>
          <cell r="U396">
            <v>2105</v>
          </cell>
          <cell r="V396">
            <v>1820</v>
          </cell>
          <cell r="W396">
            <v>2100</v>
          </cell>
        </row>
        <row r="397">
          <cell r="A397">
            <v>1100</v>
          </cell>
          <cell r="B397">
            <v>600</v>
          </cell>
          <cell r="C397">
            <v>600</v>
          </cell>
          <cell r="D397">
            <v>600</v>
          </cell>
          <cell r="E397">
            <v>685</v>
          </cell>
          <cell r="F397">
            <v>685</v>
          </cell>
          <cell r="G397">
            <v>600</v>
          </cell>
          <cell r="H397">
            <v>620</v>
          </cell>
          <cell r="I397">
            <v>600</v>
          </cell>
          <cell r="J397">
            <v>600</v>
          </cell>
          <cell r="K397">
            <v>685</v>
          </cell>
          <cell r="L397">
            <v>685</v>
          </cell>
          <cell r="M397">
            <v>620</v>
          </cell>
          <cell r="N397">
            <v>620</v>
          </cell>
          <cell r="O397">
            <v>710</v>
          </cell>
          <cell r="P397">
            <v>1885</v>
          </cell>
          <cell r="Q397">
            <v>1605</v>
          </cell>
          <cell r="R397">
            <v>1905</v>
          </cell>
          <cell r="S397">
            <v>0</v>
          </cell>
          <cell r="T397">
            <v>1770</v>
          </cell>
          <cell r="U397">
            <v>2015</v>
          </cell>
          <cell r="V397">
            <v>1395</v>
          </cell>
          <cell r="W397">
            <v>1630</v>
          </cell>
        </row>
        <row r="398">
          <cell r="A398">
            <v>1150</v>
          </cell>
          <cell r="B398">
            <v>385</v>
          </cell>
          <cell r="C398">
            <v>385</v>
          </cell>
          <cell r="D398">
            <v>385</v>
          </cell>
          <cell r="E398">
            <v>430</v>
          </cell>
          <cell r="F398">
            <v>515</v>
          </cell>
          <cell r="G398">
            <v>385</v>
          </cell>
          <cell r="H398">
            <v>385</v>
          </cell>
          <cell r="I398">
            <v>385</v>
          </cell>
          <cell r="J398">
            <v>385</v>
          </cell>
          <cell r="K398">
            <v>430</v>
          </cell>
          <cell r="L398">
            <v>515</v>
          </cell>
          <cell r="M398">
            <v>385</v>
          </cell>
          <cell r="N398">
            <v>385</v>
          </cell>
          <cell r="O398">
            <v>470</v>
          </cell>
          <cell r="P398">
            <v>1395</v>
          </cell>
          <cell r="Q398">
            <v>1245</v>
          </cell>
          <cell r="R398">
            <v>1480</v>
          </cell>
          <cell r="S398">
            <v>0</v>
          </cell>
          <cell r="T398">
            <v>1480</v>
          </cell>
          <cell r="U398">
            <v>1715</v>
          </cell>
          <cell r="V398">
            <v>1070</v>
          </cell>
          <cell r="W398">
            <v>1180</v>
          </cell>
        </row>
        <row r="399">
          <cell r="A399">
            <v>1200</v>
          </cell>
          <cell r="B399">
            <v>235</v>
          </cell>
          <cell r="C399">
            <v>235</v>
          </cell>
          <cell r="D399">
            <v>235</v>
          </cell>
          <cell r="E399">
            <v>255</v>
          </cell>
          <cell r="F399">
            <v>280</v>
          </cell>
          <cell r="G399">
            <v>235</v>
          </cell>
          <cell r="H399">
            <v>215</v>
          </cell>
          <cell r="I399">
            <v>235</v>
          </cell>
          <cell r="J399">
            <v>235</v>
          </cell>
          <cell r="K399">
            <v>255</v>
          </cell>
          <cell r="L399">
            <v>280</v>
          </cell>
          <cell r="M399">
            <v>215</v>
          </cell>
          <cell r="N399">
            <v>215</v>
          </cell>
          <cell r="O399">
            <v>320</v>
          </cell>
          <cell r="P399">
            <v>900</v>
          </cell>
          <cell r="Q399">
            <v>965</v>
          </cell>
          <cell r="R399">
            <v>1155</v>
          </cell>
          <cell r="S399">
            <v>0</v>
          </cell>
          <cell r="T399">
            <v>1155</v>
          </cell>
          <cell r="U399">
            <v>1070</v>
          </cell>
          <cell r="V399">
            <v>815</v>
          </cell>
          <cell r="W399">
            <v>855</v>
          </cell>
        </row>
        <row r="400">
          <cell r="A400">
            <v>1250</v>
          </cell>
          <cell r="B400">
            <v>705</v>
          </cell>
          <cell r="C400">
            <v>920</v>
          </cell>
          <cell r="D400">
            <v>880</v>
          </cell>
          <cell r="E400">
            <v>770</v>
          </cell>
          <cell r="F400">
            <v>620</v>
          </cell>
          <cell r="G400">
            <v>645</v>
          </cell>
          <cell r="H400">
            <v>0</v>
          </cell>
          <cell r="I400">
            <v>0</v>
          </cell>
          <cell r="J400">
            <v>0</v>
          </cell>
          <cell r="K400">
            <v>0</v>
          </cell>
          <cell r="L400">
            <v>0</v>
          </cell>
          <cell r="M400">
            <v>0</v>
          </cell>
          <cell r="N400">
            <v>0</v>
          </cell>
          <cell r="O400">
            <v>0</v>
          </cell>
          <cell r="P400">
            <v>0</v>
          </cell>
          <cell r="Q400">
            <v>705</v>
          </cell>
          <cell r="R400">
            <v>920</v>
          </cell>
          <cell r="S400">
            <v>0</v>
          </cell>
          <cell r="T400">
            <v>880</v>
          </cell>
          <cell r="U400">
            <v>770</v>
          </cell>
          <cell r="V400">
            <v>620</v>
          </cell>
          <cell r="W400">
            <v>645</v>
          </cell>
        </row>
        <row r="401">
          <cell r="A401">
            <v>1300</v>
          </cell>
          <cell r="B401">
            <v>535</v>
          </cell>
          <cell r="C401">
            <v>730</v>
          </cell>
          <cell r="D401">
            <v>685</v>
          </cell>
          <cell r="E401">
            <v>580</v>
          </cell>
          <cell r="F401">
            <v>495</v>
          </cell>
          <cell r="G401">
            <v>470</v>
          </cell>
          <cell r="H401">
            <v>0</v>
          </cell>
          <cell r="I401">
            <v>0</v>
          </cell>
          <cell r="J401">
            <v>0</v>
          </cell>
          <cell r="K401">
            <v>0</v>
          </cell>
          <cell r="L401">
            <v>0</v>
          </cell>
          <cell r="M401">
            <v>0</v>
          </cell>
          <cell r="N401">
            <v>0</v>
          </cell>
          <cell r="O401">
            <v>0</v>
          </cell>
          <cell r="P401">
            <v>0</v>
          </cell>
          <cell r="Q401">
            <v>535</v>
          </cell>
          <cell r="R401">
            <v>730</v>
          </cell>
          <cell r="S401">
            <v>0</v>
          </cell>
          <cell r="T401">
            <v>685</v>
          </cell>
          <cell r="U401">
            <v>580</v>
          </cell>
          <cell r="V401">
            <v>495</v>
          </cell>
          <cell r="W401">
            <v>470</v>
          </cell>
        </row>
        <row r="402">
          <cell r="A402">
            <v>1350</v>
          </cell>
          <cell r="B402">
            <v>385</v>
          </cell>
          <cell r="C402">
            <v>600</v>
          </cell>
          <cell r="D402">
            <v>535</v>
          </cell>
          <cell r="E402">
            <v>430</v>
          </cell>
          <cell r="F402">
            <v>365</v>
          </cell>
          <cell r="G402">
            <v>365</v>
          </cell>
          <cell r="H402">
            <v>0</v>
          </cell>
          <cell r="I402">
            <v>0</v>
          </cell>
          <cell r="J402">
            <v>0</v>
          </cell>
          <cell r="K402">
            <v>0</v>
          </cell>
          <cell r="L402">
            <v>0</v>
          </cell>
          <cell r="M402">
            <v>0</v>
          </cell>
          <cell r="N402">
            <v>0</v>
          </cell>
          <cell r="O402">
            <v>0</v>
          </cell>
          <cell r="P402">
            <v>0</v>
          </cell>
          <cell r="Q402">
            <v>385</v>
          </cell>
          <cell r="R402">
            <v>600</v>
          </cell>
          <cell r="S402">
            <v>0</v>
          </cell>
          <cell r="T402">
            <v>535</v>
          </cell>
          <cell r="U402">
            <v>430</v>
          </cell>
          <cell r="V402">
            <v>365</v>
          </cell>
          <cell r="W402">
            <v>365</v>
          </cell>
        </row>
        <row r="403">
          <cell r="A403">
            <v>1400</v>
          </cell>
          <cell r="B403">
            <v>300</v>
          </cell>
          <cell r="C403">
            <v>470</v>
          </cell>
          <cell r="D403">
            <v>405</v>
          </cell>
          <cell r="E403">
            <v>345</v>
          </cell>
          <cell r="F403">
            <v>280</v>
          </cell>
          <cell r="G403">
            <v>280</v>
          </cell>
          <cell r="H403">
            <v>0</v>
          </cell>
          <cell r="I403">
            <v>0</v>
          </cell>
          <cell r="J403">
            <v>0</v>
          </cell>
          <cell r="K403">
            <v>0</v>
          </cell>
          <cell r="L403">
            <v>0</v>
          </cell>
          <cell r="M403">
            <v>0</v>
          </cell>
          <cell r="N403">
            <v>0</v>
          </cell>
          <cell r="O403">
            <v>0</v>
          </cell>
          <cell r="P403">
            <v>0</v>
          </cell>
          <cell r="Q403">
            <v>300</v>
          </cell>
          <cell r="R403">
            <v>470</v>
          </cell>
          <cell r="S403">
            <v>0</v>
          </cell>
          <cell r="T403">
            <v>405</v>
          </cell>
          <cell r="U403">
            <v>345</v>
          </cell>
          <cell r="V403">
            <v>280</v>
          </cell>
          <cell r="W403">
            <v>280</v>
          </cell>
        </row>
        <row r="404">
          <cell r="A404">
            <v>1450</v>
          </cell>
          <cell r="B404">
            <v>215</v>
          </cell>
          <cell r="C404">
            <v>365</v>
          </cell>
          <cell r="D404">
            <v>320</v>
          </cell>
          <cell r="E404">
            <v>255</v>
          </cell>
          <cell r="F404">
            <v>195</v>
          </cell>
          <cell r="G404">
            <v>210</v>
          </cell>
          <cell r="H404">
            <v>0</v>
          </cell>
          <cell r="I404">
            <v>0</v>
          </cell>
          <cell r="J404">
            <v>0</v>
          </cell>
          <cell r="K404">
            <v>0</v>
          </cell>
          <cell r="L404">
            <v>0</v>
          </cell>
          <cell r="M404">
            <v>0</v>
          </cell>
          <cell r="N404">
            <v>0</v>
          </cell>
          <cell r="O404">
            <v>0</v>
          </cell>
          <cell r="P404">
            <v>0</v>
          </cell>
          <cell r="Q404">
            <v>215</v>
          </cell>
          <cell r="R404">
            <v>365</v>
          </cell>
          <cell r="S404">
            <v>0</v>
          </cell>
          <cell r="T404">
            <v>320</v>
          </cell>
          <cell r="U404">
            <v>255</v>
          </cell>
          <cell r="V404">
            <v>195</v>
          </cell>
          <cell r="W404">
            <v>210</v>
          </cell>
        </row>
        <row r="405">
          <cell r="A405">
            <v>1500</v>
          </cell>
          <cell r="B405">
            <v>170</v>
          </cell>
          <cell r="C405">
            <v>260</v>
          </cell>
          <cell r="D405">
            <v>235</v>
          </cell>
          <cell r="E405">
            <v>215</v>
          </cell>
          <cell r="F405">
            <v>150</v>
          </cell>
          <cell r="G405">
            <v>160</v>
          </cell>
          <cell r="H405">
            <v>0</v>
          </cell>
          <cell r="I405">
            <v>0</v>
          </cell>
          <cell r="J405">
            <v>0</v>
          </cell>
          <cell r="K405">
            <v>0</v>
          </cell>
          <cell r="L405">
            <v>0</v>
          </cell>
          <cell r="M405">
            <v>0</v>
          </cell>
          <cell r="N405">
            <v>0</v>
          </cell>
          <cell r="O405">
            <v>0</v>
          </cell>
          <cell r="P405">
            <v>0</v>
          </cell>
          <cell r="Q405">
            <v>170</v>
          </cell>
          <cell r="R405">
            <v>260</v>
          </cell>
          <cell r="S405">
            <v>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S421">
            <v>3785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S422">
            <v>3785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S423">
            <v>3505</v>
          </cell>
          <cell r="T423">
            <v>3505</v>
          </cell>
          <cell r="U423">
            <v>3505</v>
          </cell>
          <cell r="V423">
            <v>3500</v>
          </cell>
          <cell r="W423">
            <v>3505</v>
          </cell>
        </row>
        <row r="424">
          <cell r="A424">
            <v>1050</v>
          </cell>
          <cell r="B424">
            <v>1605</v>
          </cell>
          <cell r="C424">
            <v>1645</v>
          </cell>
          <cell r="D424">
            <v>1500</v>
          </cell>
          <cell r="E424">
            <v>1500</v>
          </cell>
          <cell r="F424">
            <v>1820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S424">
            <v>0</v>
          </cell>
          <cell r="T424">
            <v>3395</v>
          </cell>
          <cell r="U424">
            <v>3505</v>
          </cell>
          <cell r="V424">
            <v>3035</v>
          </cell>
          <cell r="W424">
            <v>3500</v>
          </cell>
        </row>
        <row r="425">
          <cell r="A425">
            <v>1100</v>
          </cell>
          <cell r="B425">
            <v>1000</v>
          </cell>
          <cell r="C425">
            <v>1000</v>
          </cell>
          <cell r="D425">
            <v>1000</v>
          </cell>
          <cell r="E425">
            <v>1145</v>
          </cell>
          <cell r="F425">
            <v>1145</v>
          </cell>
          <cell r="G425">
            <v>1000</v>
          </cell>
          <cell r="H425">
            <v>1035</v>
          </cell>
          <cell r="I425">
            <v>1000</v>
          </cell>
          <cell r="J425">
            <v>1000</v>
          </cell>
          <cell r="K425">
            <v>1145</v>
          </cell>
          <cell r="L425">
            <v>1145</v>
          </cell>
          <cell r="M425">
            <v>1035</v>
          </cell>
          <cell r="N425">
            <v>1035</v>
          </cell>
          <cell r="O425">
            <v>1180</v>
          </cell>
          <cell r="P425">
            <v>3145</v>
          </cell>
          <cell r="Q425">
            <v>2680</v>
          </cell>
          <cell r="R425">
            <v>3180</v>
          </cell>
          <cell r="S425">
            <v>0</v>
          </cell>
          <cell r="T425">
            <v>3945</v>
          </cell>
          <cell r="U425">
            <v>3360</v>
          </cell>
          <cell r="V425">
            <v>2320</v>
          </cell>
          <cell r="W425">
            <v>2715</v>
          </cell>
        </row>
        <row r="426">
          <cell r="A426">
            <v>1150</v>
          </cell>
          <cell r="B426">
            <v>645</v>
          </cell>
          <cell r="C426">
            <v>645</v>
          </cell>
          <cell r="D426">
            <v>645</v>
          </cell>
          <cell r="E426">
            <v>715</v>
          </cell>
          <cell r="F426">
            <v>855</v>
          </cell>
          <cell r="G426">
            <v>645</v>
          </cell>
          <cell r="H426">
            <v>645</v>
          </cell>
          <cell r="I426">
            <v>645</v>
          </cell>
          <cell r="J426">
            <v>645</v>
          </cell>
          <cell r="K426">
            <v>715</v>
          </cell>
          <cell r="L426">
            <v>855</v>
          </cell>
          <cell r="M426">
            <v>645</v>
          </cell>
          <cell r="N426">
            <v>645</v>
          </cell>
          <cell r="O426">
            <v>785</v>
          </cell>
          <cell r="P426">
            <v>2320</v>
          </cell>
          <cell r="Q426">
            <v>2070</v>
          </cell>
          <cell r="R426">
            <v>2465</v>
          </cell>
          <cell r="S426">
            <v>0</v>
          </cell>
          <cell r="T426">
            <v>2465</v>
          </cell>
          <cell r="U426">
            <v>2855</v>
          </cell>
          <cell r="V426">
            <v>1785</v>
          </cell>
          <cell r="W426">
            <v>1965</v>
          </cell>
        </row>
        <row r="427">
          <cell r="A427">
            <v>1200</v>
          </cell>
          <cell r="B427">
            <v>395</v>
          </cell>
          <cell r="C427">
            <v>395</v>
          </cell>
          <cell r="D427">
            <v>395</v>
          </cell>
          <cell r="E427">
            <v>430</v>
          </cell>
          <cell r="F427">
            <v>465</v>
          </cell>
          <cell r="G427">
            <v>395</v>
          </cell>
          <cell r="H427">
            <v>355</v>
          </cell>
          <cell r="I427">
            <v>395</v>
          </cell>
          <cell r="J427">
            <v>395</v>
          </cell>
          <cell r="K427">
            <v>430</v>
          </cell>
          <cell r="L427">
            <v>465</v>
          </cell>
          <cell r="M427">
            <v>355</v>
          </cell>
          <cell r="N427">
            <v>355</v>
          </cell>
          <cell r="O427">
            <v>535</v>
          </cell>
          <cell r="P427">
            <v>1500</v>
          </cell>
          <cell r="Q427">
            <v>1605</v>
          </cell>
          <cell r="R427">
            <v>1930</v>
          </cell>
          <cell r="S427">
            <v>0</v>
          </cell>
          <cell r="T427">
            <v>1930</v>
          </cell>
          <cell r="U427">
            <v>1785</v>
          </cell>
          <cell r="V427">
            <v>1355</v>
          </cell>
          <cell r="W427">
            <v>1430</v>
          </cell>
        </row>
        <row r="428">
          <cell r="A428">
            <v>1250</v>
          </cell>
          <cell r="B428">
            <v>1180</v>
          </cell>
          <cell r="C428">
            <v>1535</v>
          </cell>
          <cell r="D428">
            <v>1465</v>
          </cell>
          <cell r="E428">
            <v>1285</v>
          </cell>
          <cell r="F428">
            <v>1035</v>
          </cell>
          <cell r="G428">
            <v>1070</v>
          </cell>
          <cell r="H428">
            <v>0</v>
          </cell>
          <cell r="I428">
            <v>0</v>
          </cell>
          <cell r="J428">
            <v>0</v>
          </cell>
          <cell r="K428">
            <v>0</v>
          </cell>
          <cell r="L428">
            <v>0</v>
          </cell>
          <cell r="M428">
            <v>0</v>
          </cell>
          <cell r="N428">
            <v>0</v>
          </cell>
          <cell r="O428">
            <v>0</v>
          </cell>
          <cell r="P428">
            <v>0</v>
          </cell>
          <cell r="Q428">
            <v>1180</v>
          </cell>
          <cell r="R428">
            <v>1535</v>
          </cell>
          <cell r="S428">
            <v>0</v>
          </cell>
          <cell r="T428">
            <v>1465</v>
          </cell>
          <cell r="U428">
            <v>1285</v>
          </cell>
          <cell r="V428">
            <v>1035</v>
          </cell>
          <cell r="W428">
            <v>1070</v>
          </cell>
        </row>
        <row r="429">
          <cell r="A429">
            <v>1300</v>
          </cell>
          <cell r="B429">
            <v>895</v>
          </cell>
          <cell r="C429">
            <v>1215</v>
          </cell>
          <cell r="D429">
            <v>1145</v>
          </cell>
          <cell r="E429">
            <v>965</v>
          </cell>
          <cell r="F429">
            <v>820</v>
          </cell>
          <cell r="G429">
            <v>785</v>
          </cell>
          <cell r="H429">
            <v>0</v>
          </cell>
          <cell r="I429">
            <v>0</v>
          </cell>
          <cell r="J429">
            <v>0</v>
          </cell>
          <cell r="K429">
            <v>0</v>
          </cell>
          <cell r="L429">
            <v>0</v>
          </cell>
          <cell r="M429">
            <v>0</v>
          </cell>
          <cell r="N429">
            <v>0</v>
          </cell>
          <cell r="O429">
            <v>0</v>
          </cell>
          <cell r="P429">
            <v>0</v>
          </cell>
          <cell r="Q429">
            <v>895</v>
          </cell>
          <cell r="R429">
            <v>1215</v>
          </cell>
          <cell r="S429">
            <v>0</v>
          </cell>
          <cell r="T429">
            <v>1145</v>
          </cell>
          <cell r="U429">
            <v>965</v>
          </cell>
          <cell r="V429">
            <v>820</v>
          </cell>
          <cell r="W429">
            <v>785</v>
          </cell>
        </row>
        <row r="430">
          <cell r="A430">
            <v>1350</v>
          </cell>
          <cell r="B430">
            <v>645</v>
          </cell>
          <cell r="C430">
            <v>1000</v>
          </cell>
          <cell r="D430">
            <v>895</v>
          </cell>
          <cell r="E430">
            <v>715</v>
          </cell>
          <cell r="F430">
            <v>610</v>
          </cell>
          <cell r="G430">
            <v>605</v>
          </cell>
          <cell r="H430">
            <v>0</v>
          </cell>
          <cell r="I430">
            <v>0</v>
          </cell>
          <cell r="J430">
            <v>0</v>
          </cell>
          <cell r="K430">
            <v>0</v>
          </cell>
          <cell r="L430">
            <v>0</v>
          </cell>
          <cell r="M430">
            <v>0</v>
          </cell>
          <cell r="N430">
            <v>0</v>
          </cell>
          <cell r="O430">
            <v>0</v>
          </cell>
          <cell r="P430">
            <v>0</v>
          </cell>
          <cell r="Q430">
            <v>645</v>
          </cell>
          <cell r="R430">
            <v>1000</v>
          </cell>
          <cell r="S430">
            <v>0</v>
          </cell>
          <cell r="T430">
            <v>895</v>
          </cell>
          <cell r="U430">
            <v>715</v>
          </cell>
          <cell r="V430">
            <v>610</v>
          </cell>
          <cell r="W430">
            <v>605</v>
          </cell>
        </row>
        <row r="431">
          <cell r="A431">
            <v>1400</v>
          </cell>
          <cell r="B431">
            <v>500</v>
          </cell>
          <cell r="C431">
            <v>785</v>
          </cell>
          <cell r="D431">
            <v>680</v>
          </cell>
          <cell r="E431">
            <v>570</v>
          </cell>
          <cell r="F431">
            <v>465</v>
          </cell>
          <cell r="G431">
            <v>465</v>
          </cell>
          <cell r="H431">
            <v>0</v>
          </cell>
          <cell r="I431">
            <v>0</v>
          </cell>
          <cell r="J431">
            <v>0</v>
          </cell>
          <cell r="K431">
            <v>0</v>
          </cell>
          <cell r="L431">
            <v>0</v>
          </cell>
          <cell r="M431">
            <v>0</v>
          </cell>
          <cell r="N431">
            <v>0</v>
          </cell>
          <cell r="O431">
            <v>0</v>
          </cell>
          <cell r="P431">
            <v>0</v>
          </cell>
          <cell r="Q431">
            <v>500</v>
          </cell>
          <cell r="R431">
            <v>785</v>
          </cell>
          <cell r="S431">
            <v>0</v>
          </cell>
          <cell r="T431">
            <v>680</v>
          </cell>
          <cell r="U431">
            <v>570</v>
          </cell>
          <cell r="V431">
            <v>465</v>
          </cell>
          <cell r="W431">
            <v>465</v>
          </cell>
        </row>
        <row r="432">
          <cell r="A432">
            <v>1450</v>
          </cell>
          <cell r="B432">
            <v>355</v>
          </cell>
          <cell r="C432">
            <v>610</v>
          </cell>
          <cell r="D432">
            <v>535</v>
          </cell>
          <cell r="E432">
            <v>430</v>
          </cell>
          <cell r="F432">
            <v>320</v>
          </cell>
          <cell r="G432">
            <v>345</v>
          </cell>
          <cell r="H432">
            <v>0</v>
          </cell>
          <cell r="I432">
            <v>0</v>
          </cell>
          <cell r="J432">
            <v>0</v>
          </cell>
          <cell r="K432">
            <v>0</v>
          </cell>
          <cell r="L432">
            <v>0</v>
          </cell>
          <cell r="M432">
            <v>0</v>
          </cell>
          <cell r="N432">
            <v>0</v>
          </cell>
          <cell r="O432">
            <v>0</v>
          </cell>
          <cell r="P432">
            <v>0</v>
          </cell>
          <cell r="Q432">
            <v>355</v>
          </cell>
          <cell r="R432">
            <v>610</v>
          </cell>
          <cell r="S432">
            <v>0</v>
          </cell>
          <cell r="T432">
            <v>535</v>
          </cell>
          <cell r="U432">
            <v>430</v>
          </cell>
          <cell r="V432">
            <v>320</v>
          </cell>
          <cell r="W432">
            <v>345</v>
          </cell>
        </row>
        <row r="433">
          <cell r="A433">
            <v>1500</v>
          </cell>
          <cell r="B433">
            <v>285</v>
          </cell>
          <cell r="C433">
            <v>430</v>
          </cell>
          <cell r="D433">
            <v>395</v>
          </cell>
          <cell r="E433">
            <v>355</v>
          </cell>
          <cell r="F433">
            <v>250</v>
          </cell>
          <cell r="G433">
            <v>270</v>
          </cell>
          <cell r="H433">
            <v>0</v>
          </cell>
          <cell r="I433">
            <v>0</v>
          </cell>
          <cell r="J433">
            <v>0</v>
          </cell>
          <cell r="K433">
            <v>0</v>
          </cell>
          <cell r="L433">
            <v>0</v>
          </cell>
          <cell r="M433">
            <v>0</v>
          </cell>
          <cell r="N433">
            <v>0</v>
          </cell>
          <cell r="O433">
            <v>0</v>
          </cell>
          <cell r="P433">
            <v>0</v>
          </cell>
          <cell r="Q433">
            <v>285</v>
          </cell>
          <cell r="R433">
            <v>430</v>
          </cell>
          <cell r="S433">
            <v>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S450">
            <v>6815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S451">
            <v>6815</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S452">
            <v>6310</v>
          </cell>
          <cell r="T452">
            <v>6310</v>
          </cell>
          <cell r="U452">
            <v>6310</v>
          </cell>
          <cell r="V452">
            <v>6300</v>
          </cell>
          <cell r="W452">
            <v>6310</v>
          </cell>
        </row>
        <row r="453">
          <cell r="A453">
            <v>1050</v>
          </cell>
          <cell r="B453">
            <v>2895</v>
          </cell>
          <cell r="C453">
            <v>2955</v>
          </cell>
          <cell r="D453">
            <v>2700</v>
          </cell>
          <cell r="E453">
            <v>2700</v>
          </cell>
          <cell r="F453">
            <v>3280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S453">
            <v>0</v>
          </cell>
          <cell r="T453">
            <v>6105</v>
          </cell>
          <cell r="U453">
            <v>6310</v>
          </cell>
          <cell r="V453">
            <v>5465</v>
          </cell>
          <cell r="W453">
            <v>6300</v>
          </cell>
        </row>
        <row r="454">
          <cell r="A454">
            <v>1100</v>
          </cell>
          <cell r="B454">
            <v>1800</v>
          </cell>
          <cell r="C454">
            <v>1800</v>
          </cell>
          <cell r="D454">
            <v>1800</v>
          </cell>
          <cell r="E454">
            <v>2055</v>
          </cell>
          <cell r="F454">
            <v>2055</v>
          </cell>
          <cell r="G454">
            <v>1800</v>
          </cell>
          <cell r="H454">
            <v>1865</v>
          </cell>
          <cell r="I454">
            <v>1800</v>
          </cell>
          <cell r="J454">
            <v>1800</v>
          </cell>
          <cell r="K454">
            <v>2055</v>
          </cell>
          <cell r="L454">
            <v>2055</v>
          </cell>
          <cell r="M454">
            <v>1865</v>
          </cell>
          <cell r="N454">
            <v>1865</v>
          </cell>
          <cell r="O454">
            <v>2120</v>
          </cell>
          <cell r="P454">
            <v>5655</v>
          </cell>
          <cell r="Q454">
            <v>4820</v>
          </cell>
          <cell r="R454">
            <v>5720</v>
          </cell>
          <cell r="S454">
            <v>0</v>
          </cell>
          <cell r="T454">
            <v>5305</v>
          </cell>
          <cell r="U454">
            <v>6045</v>
          </cell>
          <cell r="V454">
            <v>4180</v>
          </cell>
          <cell r="W454">
            <v>4885</v>
          </cell>
        </row>
        <row r="455">
          <cell r="A455">
            <v>1150</v>
          </cell>
          <cell r="B455">
            <v>1155</v>
          </cell>
          <cell r="C455">
            <v>1155</v>
          </cell>
          <cell r="D455">
            <v>1155</v>
          </cell>
          <cell r="E455">
            <v>1285</v>
          </cell>
          <cell r="F455">
            <v>1545</v>
          </cell>
          <cell r="G455">
            <v>1155</v>
          </cell>
          <cell r="H455">
            <v>1155</v>
          </cell>
          <cell r="I455">
            <v>1155</v>
          </cell>
          <cell r="J455">
            <v>1155</v>
          </cell>
          <cell r="K455">
            <v>1285</v>
          </cell>
          <cell r="L455">
            <v>1545</v>
          </cell>
          <cell r="M455">
            <v>1155</v>
          </cell>
          <cell r="N455">
            <v>1155</v>
          </cell>
          <cell r="O455">
            <v>1415</v>
          </cell>
          <cell r="P455">
            <v>4180</v>
          </cell>
          <cell r="Q455">
            <v>3730</v>
          </cell>
          <cell r="R455">
            <v>4435</v>
          </cell>
          <cell r="S455">
            <v>0</v>
          </cell>
          <cell r="T455">
            <v>4435</v>
          </cell>
          <cell r="U455">
            <v>5145</v>
          </cell>
          <cell r="V455">
            <v>3215</v>
          </cell>
          <cell r="W455">
            <v>3535</v>
          </cell>
        </row>
        <row r="456">
          <cell r="A456">
            <v>1200</v>
          </cell>
          <cell r="B456">
            <v>705</v>
          </cell>
          <cell r="C456">
            <v>705</v>
          </cell>
          <cell r="D456">
            <v>705</v>
          </cell>
          <cell r="E456">
            <v>770</v>
          </cell>
          <cell r="F456">
            <v>835</v>
          </cell>
          <cell r="G456">
            <v>705</v>
          </cell>
          <cell r="H456">
            <v>645</v>
          </cell>
          <cell r="I456">
            <v>705</v>
          </cell>
          <cell r="J456">
            <v>705</v>
          </cell>
          <cell r="K456">
            <v>770</v>
          </cell>
          <cell r="L456">
            <v>835</v>
          </cell>
          <cell r="M456">
            <v>645</v>
          </cell>
          <cell r="N456">
            <v>645</v>
          </cell>
          <cell r="O456">
            <v>965</v>
          </cell>
          <cell r="P456">
            <v>2700</v>
          </cell>
          <cell r="Q456">
            <v>2895</v>
          </cell>
          <cell r="R456">
            <v>3470</v>
          </cell>
          <cell r="S456">
            <v>0</v>
          </cell>
          <cell r="T456">
            <v>3470</v>
          </cell>
          <cell r="U456">
            <v>3215</v>
          </cell>
          <cell r="V456">
            <v>2445</v>
          </cell>
          <cell r="W456">
            <v>2570</v>
          </cell>
        </row>
        <row r="457">
          <cell r="A457">
            <v>1250</v>
          </cell>
          <cell r="B457">
            <v>2120</v>
          </cell>
          <cell r="C457">
            <v>2765</v>
          </cell>
          <cell r="D457">
            <v>2635</v>
          </cell>
          <cell r="E457">
            <v>2315</v>
          </cell>
          <cell r="F457">
            <v>1865</v>
          </cell>
          <cell r="G457">
            <v>1930</v>
          </cell>
          <cell r="H457">
            <v>0</v>
          </cell>
          <cell r="I457">
            <v>0</v>
          </cell>
          <cell r="J457">
            <v>0</v>
          </cell>
          <cell r="K457">
            <v>0</v>
          </cell>
          <cell r="L457">
            <v>0</v>
          </cell>
          <cell r="M457">
            <v>0</v>
          </cell>
          <cell r="N457">
            <v>0</v>
          </cell>
          <cell r="O457">
            <v>0</v>
          </cell>
          <cell r="P457">
            <v>0</v>
          </cell>
          <cell r="Q457">
            <v>2120</v>
          </cell>
          <cell r="R457">
            <v>2765</v>
          </cell>
          <cell r="S457">
            <v>0</v>
          </cell>
          <cell r="T457">
            <v>2635</v>
          </cell>
          <cell r="U457">
            <v>2315</v>
          </cell>
          <cell r="V457">
            <v>1865</v>
          </cell>
          <cell r="W457">
            <v>1930</v>
          </cell>
        </row>
        <row r="458">
          <cell r="A458">
            <v>1300</v>
          </cell>
          <cell r="B458">
            <v>1605</v>
          </cell>
          <cell r="C458">
            <v>2185</v>
          </cell>
          <cell r="D458">
            <v>2055</v>
          </cell>
          <cell r="E458">
            <v>1735</v>
          </cell>
          <cell r="F458">
            <v>1480</v>
          </cell>
          <cell r="G458">
            <v>1415</v>
          </cell>
          <cell r="H458">
            <v>0</v>
          </cell>
          <cell r="I458">
            <v>0</v>
          </cell>
          <cell r="J458">
            <v>0</v>
          </cell>
          <cell r="K458">
            <v>0</v>
          </cell>
          <cell r="L458">
            <v>0</v>
          </cell>
          <cell r="M458">
            <v>0</v>
          </cell>
          <cell r="N458">
            <v>0</v>
          </cell>
          <cell r="O458">
            <v>0</v>
          </cell>
          <cell r="P458">
            <v>0</v>
          </cell>
          <cell r="Q458">
            <v>1605</v>
          </cell>
          <cell r="R458">
            <v>2185</v>
          </cell>
          <cell r="S458">
            <v>0</v>
          </cell>
          <cell r="T458">
            <v>2055</v>
          </cell>
          <cell r="U458">
            <v>1735</v>
          </cell>
          <cell r="V458">
            <v>1480</v>
          </cell>
          <cell r="W458">
            <v>1415</v>
          </cell>
        </row>
        <row r="459">
          <cell r="A459">
            <v>1350</v>
          </cell>
          <cell r="B459">
            <v>1155</v>
          </cell>
          <cell r="C459">
            <v>1800</v>
          </cell>
          <cell r="D459">
            <v>1605</v>
          </cell>
          <cell r="E459">
            <v>1285</v>
          </cell>
          <cell r="F459">
            <v>1095</v>
          </cell>
          <cell r="G459">
            <v>1095</v>
          </cell>
          <cell r="H459">
            <v>0</v>
          </cell>
          <cell r="I459">
            <v>0</v>
          </cell>
          <cell r="J459">
            <v>0</v>
          </cell>
          <cell r="K459">
            <v>0</v>
          </cell>
          <cell r="L459">
            <v>0</v>
          </cell>
          <cell r="M459">
            <v>0</v>
          </cell>
          <cell r="N459">
            <v>0</v>
          </cell>
          <cell r="O459">
            <v>0</v>
          </cell>
          <cell r="P459">
            <v>0</v>
          </cell>
          <cell r="Q459">
            <v>1155</v>
          </cell>
          <cell r="R459">
            <v>1800</v>
          </cell>
          <cell r="S459">
            <v>0</v>
          </cell>
          <cell r="T459">
            <v>1605</v>
          </cell>
          <cell r="U459">
            <v>1285</v>
          </cell>
          <cell r="V459">
            <v>1095</v>
          </cell>
          <cell r="W459">
            <v>1095</v>
          </cell>
        </row>
        <row r="460">
          <cell r="A460">
            <v>1400</v>
          </cell>
          <cell r="B460">
            <v>900</v>
          </cell>
          <cell r="C460">
            <v>1415</v>
          </cell>
          <cell r="D460">
            <v>1220</v>
          </cell>
          <cell r="E460">
            <v>1030</v>
          </cell>
          <cell r="F460">
            <v>835</v>
          </cell>
          <cell r="G460">
            <v>835</v>
          </cell>
          <cell r="H460">
            <v>0</v>
          </cell>
          <cell r="I460">
            <v>0</v>
          </cell>
          <cell r="J460">
            <v>0</v>
          </cell>
          <cell r="K460">
            <v>0</v>
          </cell>
          <cell r="L460">
            <v>0</v>
          </cell>
          <cell r="M460">
            <v>0</v>
          </cell>
          <cell r="N460">
            <v>0</v>
          </cell>
          <cell r="O460">
            <v>0</v>
          </cell>
          <cell r="P460">
            <v>0</v>
          </cell>
          <cell r="Q460">
            <v>900</v>
          </cell>
          <cell r="R460">
            <v>1415</v>
          </cell>
          <cell r="S460">
            <v>0</v>
          </cell>
          <cell r="T460">
            <v>1220</v>
          </cell>
          <cell r="U460">
            <v>1030</v>
          </cell>
          <cell r="V460">
            <v>835</v>
          </cell>
          <cell r="W460">
            <v>835</v>
          </cell>
        </row>
        <row r="461">
          <cell r="A461">
            <v>1450</v>
          </cell>
          <cell r="B461">
            <v>645</v>
          </cell>
          <cell r="C461">
            <v>1095</v>
          </cell>
          <cell r="D461">
            <v>965</v>
          </cell>
          <cell r="E461">
            <v>770</v>
          </cell>
          <cell r="F461">
            <v>580</v>
          </cell>
          <cell r="G461">
            <v>625</v>
          </cell>
          <cell r="H461">
            <v>0</v>
          </cell>
          <cell r="I461">
            <v>0</v>
          </cell>
          <cell r="J461">
            <v>0</v>
          </cell>
          <cell r="K461">
            <v>0</v>
          </cell>
          <cell r="L461">
            <v>0</v>
          </cell>
          <cell r="M461">
            <v>0</v>
          </cell>
          <cell r="N461">
            <v>0</v>
          </cell>
          <cell r="O461">
            <v>0</v>
          </cell>
          <cell r="P461">
            <v>0</v>
          </cell>
          <cell r="Q461">
            <v>645</v>
          </cell>
          <cell r="R461">
            <v>1095</v>
          </cell>
          <cell r="S461">
            <v>0</v>
          </cell>
          <cell r="T461">
            <v>965</v>
          </cell>
          <cell r="U461">
            <v>770</v>
          </cell>
          <cell r="V461">
            <v>580</v>
          </cell>
          <cell r="W461">
            <v>625</v>
          </cell>
        </row>
        <row r="462">
          <cell r="A462">
            <v>1500</v>
          </cell>
          <cell r="B462">
            <v>515</v>
          </cell>
          <cell r="C462">
            <v>770</v>
          </cell>
          <cell r="D462">
            <v>705</v>
          </cell>
          <cell r="E462">
            <v>645</v>
          </cell>
          <cell r="F462">
            <v>450</v>
          </cell>
          <cell r="G462">
            <v>480</v>
          </cell>
          <cell r="H462">
            <v>0</v>
          </cell>
          <cell r="I462">
            <v>0</v>
          </cell>
          <cell r="J462">
            <v>0</v>
          </cell>
          <cell r="K462">
            <v>0</v>
          </cell>
          <cell r="L462">
            <v>0</v>
          </cell>
          <cell r="M462">
            <v>0</v>
          </cell>
          <cell r="N462">
            <v>0</v>
          </cell>
          <cell r="O462">
            <v>0</v>
          </cell>
          <cell r="P462">
            <v>0</v>
          </cell>
          <cell r="Q462">
            <v>515</v>
          </cell>
          <cell r="R462">
            <v>770</v>
          </cell>
          <cell r="S462">
            <v>0</v>
          </cell>
          <cell r="T462">
            <v>705</v>
          </cell>
          <cell r="U462">
            <v>645</v>
          </cell>
          <cell r="V462">
            <v>450</v>
          </cell>
          <cell r="W462">
            <v>480</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ELVE"/>
      <sheetName val="Executive Summary _Thermal"/>
      <sheetName val="Stationwise Thermal _ Hydel Gen"/>
      <sheetName val="Executive Summary -Thermal"/>
      <sheetName val="MPEB Performance"/>
      <sheetName val="Stationwise Thermal &amp; Hydel Gen"/>
      <sheetName val="Fuel Oil &amp; Aux. Cons."/>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C.S.GENERATION"/>
      <sheetName val="BREAKUP OF OIL"/>
      <sheetName val="R.Hrs. Since Comm"/>
      <sheetName val="Salient1"/>
      <sheetName val="Sept "/>
      <sheetName val="A"/>
      <sheetName val="agl-pump-sets"/>
      <sheetName val="EG"/>
      <sheetName val="pump-sets(AI)"/>
      <sheetName val="installes-capacity"/>
      <sheetName val="per-capita"/>
      <sheetName val="towns&amp;villages"/>
      <sheetName val="data"/>
      <sheetName val="DLC"/>
      <sheetName val="04REL"/>
      <sheetName val="A 3.7"/>
      <sheetName val="Cover"/>
      <sheetName val="Vol IV_b"/>
      <sheetName val="Executive_Summary__Thermal"/>
      <sheetName val="Stationwise_Thermal___Hydel_Gen"/>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Coalmine"/>
      <sheetName val="Z"/>
      <sheetName val="Cash2"/>
      <sheetName val="BOUNDARY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집계표"/>
      <sheetName val="내역서"/>
      <sheetName val="총괄표"/>
      <sheetName val="CB"/>
      <sheetName val="경비"/>
      <sheetName val="Sheet3"/>
      <sheetName val="cvr"/>
      <sheetName val="sum"/>
      <sheetName val="indirect"/>
      <sheetName val="bm"/>
      <sheetName val="bm (2)"/>
      <sheetName val="Sheet2"/>
      <sheetName val="Instrument"/>
      <sheetName val="Junction Box"/>
      <sheetName val="JB_Final checked"/>
      <sheetName val="Equipment"/>
      <sheetName val="F&amp;G System"/>
      <sheetName val="F&amp;G System (Detail)"/>
      <sheetName val="동결보온"/>
      <sheetName val="MOTOR"/>
      <sheetName val="금액내역서"/>
      <sheetName val=" 배관자재비-SKEC구매분"/>
      <sheetName val="BID"/>
      <sheetName val="공정율 기초 Data"/>
      <sheetName val="가격분석@1100(990104)"/>
      <sheetName val="Escalation"/>
      <sheetName val="abc"/>
      <sheetName val="제경비"/>
      <sheetName val="JCS"/>
      <sheetName val="Working"/>
      <sheetName val="Manpower"/>
      <sheetName val="Datas"/>
      <sheetName val="Int. Pr.-Shell"/>
      <sheetName val="Ext. Pr.-Shell"/>
      <sheetName val="Int. Pr.-D'End"/>
      <sheetName val="Ext. Pr.-D'End"/>
      <sheetName val="Reinforcement Pad"/>
      <sheetName val="Nozzles"/>
      <sheetName val="Painting"/>
      <sheetName val="EQT-ESTN"/>
      <sheetName val="108"/>
      <sheetName val="TTL"/>
      <sheetName val="DATA"/>
      <sheetName val="fitting"/>
      <sheetName val="정부노임단가"/>
      <sheetName val="HVAC"/>
      <sheetName val="할증 "/>
      <sheetName val="품셈"/>
      <sheetName val="수입"/>
      <sheetName val="DB@Acess"/>
      <sheetName val="Civil"/>
      <sheetName val="Erection"/>
      <sheetName val="명세서"/>
      <sheetName val="Sheet1"/>
      <sheetName val="작성방법"/>
      <sheetName val="자격 땡겨오기"/>
      <sheetName val="4300 UTILITY BLDG (2)"/>
      <sheetName val="연돌일위집계"/>
      <sheetName val="Proposal"/>
      <sheetName val="WORK-VOL"/>
      <sheetName val="FAB_I"/>
      <sheetName val="12CGOU"/>
      <sheetName val="공사비 내역 (가)"/>
      <sheetName val="PUMP"/>
      <sheetName val="Main"/>
      <sheetName val="적용환율"/>
      <sheetName val="기성내역"/>
      <sheetName val="General Data"/>
      <sheetName val="직원동원SCH"/>
      <sheetName val="입찰안"/>
      <sheetName val="EQUIP"/>
      <sheetName val="예가표"/>
      <sheetName val="산근"/>
      <sheetName val="PIPING"/>
      <sheetName val="wall"/>
      <sheetName val="주요기준"/>
      <sheetName val="COVER"/>
      <sheetName val="분뇨"/>
      <sheetName val="001"/>
      <sheetName val="공문"/>
      <sheetName val="B"/>
      <sheetName val="bm_(2)"/>
      <sheetName val="Junction_Box"/>
      <sheetName val="JB_Final_checked"/>
      <sheetName val="F&amp;G_System"/>
      <sheetName val="F&amp;G_System_(Detail)"/>
      <sheetName val="_배관자재비-SKEC구매분"/>
      <sheetName val="조도계산서 (도서)"/>
      <sheetName val="현장지지물물량"/>
      <sheetName val="ITEM"/>
      <sheetName val="BQ"/>
      <sheetName val="Sheet6"/>
      <sheetName val="PBS"/>
      <sheetName val="D-3109"/>
      <sheetName val="TOEC"/>
      <sheetName val="TDC COA Sumry"/>
      <sheetName val="COA Sumry by Area"/>
      <sheetName val="COA Sumry by Contr"/>
      <sheetName val="COA Sumry by RG"/>
      <sheetName val="TDC COA Grp Sumry"/>
      <sheetName val="TDC Item Dets-Full"/>
      <sheetName val="TDC Item Dets-IPM-Full"/>
      <sheetName val="TDC Item Dets"/>
      <sheetName val="TDC Item Sumry"/>
      <sheetName val="TDC Key Qty Sumry"/>
      <sheetName val="List - Components"/>
      <sheetName val="List - Equipment"/>
      <sheetName val="Project Metrics"/>
      <sheetName val="COA Sumry - Std Imp"/>
      <sheetName val="Contr TDC - Std Imp"/>
      <sheetName val="Item Sumry - Std Imp"/>
      <sheetName val="Proj TIC - Std Imp"/>
      <sheetName val="Unit Costs - Std Imp"/>
      <sheetName val="Unit MH - Std Imp"/>
      <sheetName val="일위대가목차"/>
      <sheetName val="#REF"/>
      <sheetName val="도급양식"/>
      <sheetName val="DB_ET200(R. A)"/>
      <sheetName val="PIPE"/>
      <sheetName val="FLANGE"/>
      <sheetName val="VALVE"/>
      <sheetName val="Final Summary"/>
      <sheetName val="LinerWt"/>
      <sheetName val="inter"/>
      <sheetName val="BQMPALOC"/>
      <sheetName val="결재판(삭제하지말아주세요)"/>
      <sheetName val="Sch.1"/>
      <sheetName val="SPT vs PHI"/>
      <sheetName val="광통신 견적내역서1"/>
      <sheetName val="DRUM"/>
      <sheetName val="Requirement(Work Crew)"/>
      <sheetName val="MODELING"/>
      <sheetName val="INPUT"/>
      <sheetName val="포장공"/>
      <sheetName val="운반"/>
      <sheetName val="단중"/>
      <sheetName val="품셈표"/>
      <sheetName val="Onerous Terms"/>
      <sheetName val="INVOICE_CERT EIV'S"/>
      <sheetName val="Factor"/>
      <sheetName val="공통비"/>
      <sheetName val="SM1-09"/>
      <sheetName val="SM2-09"/>
      <sheetName val="BD-09"/>
      <sheetName val="MT-09"/>
      <sheetName val="1_RA_Master_절감후"/>
      <sheetName val="공사내역"/>
      <sheetName val="extensions lookup"/>
      <sheetName val="3. Piping"/>
      <sheetName val="1. Stationary"/>
      <sheetName val="COST SUMMARY"/>
      <sheetName val="Total"/>
      <sheetName val="산#2-1 (2)"/>
      <sheetName val="API Units"/>
      <sheetName val="15100"/>
      <sheetName val="#2_일위대가목록"/>
      <sheetName val="공통부대비"/>
      <sheetName val="Coversheet "/>
      <sheetName val="6BPRO"/>
      <sheetName val="COS_REP.XLS"/>
      <sheetName val="01"/>
      <sheetName val="계측 내역서"/>
      <sheetName val="결과조달"/>
      <sheetName val="hitlin"/>
      <sheetName val="PER"/>
      <sheetName val="PIR(석유화학)"/>
      <sheetName val="silica"/>
      <sheetName val="rw"/>
      <sheetName val="gw"/>
      <sheetName val="우레탄"/>
      <sheetName val="fg"/>
      <sheetName val="iig silica(캐나다)"/>
      <sheetName val="견적대비표"/>
      <sheetName val="변수 정의"/>
      <sheetName val="BSD (2)"/>
      <sheetName val="POWER"/>
      <sheetName val="내역"/>
      <sheetName val="TYPE-B 평균H"/>
      <sheetName val="RING WALL"/>
      <sheetName val="AC포장수량"/>
      <sheetName val="설산1.나"/>
      <sheetName val="본사S"/>
      <sheetName val="PRO_DCI"/>
      <sheetName val="INST_DCI"/>
      <sheetName val="HVAC_DCI"/>
      <sheetName val="PIPE_DCI"/>
      <sheetName val="SHL"/>
      <sheetName val="jobhist"/>
      <sheetName val="간접비내역-1"/>
      <sheetName val="WORK"/>
      <sheetName val="Sheet4"/>
      <sheetName val="CPM챠트"/>
      <sheetName val="Eq. Mobilization"/>
      <sheetName val="대비표"/>
      <sheetName val="잡비"/>
      <sheetName val="영업2"/>
      <sheetName val="Precios"/>
      <sheetName val="WEIGHT LIST"/>
      <sheetName val="POL6차-PIPING"/>
      <sheetName val="산#3-1"/>
      <sheetName val="견적정보"/>
      <sheetName val="국내"/>
      <sheetName val="SOHAR(2nd)"/>
      <sheetName val="건축내역"/>
      <sheetName val="작성기준"/>
      <sheetName val="LEGEND"/>
      <sheetName val="AILC004"/>
      <sheetName val="SG"/>
      <sheetName val="Units Def'n"/>
      <sheetName val="FAB별"/>
      <sheetName val="조명율표"/>
      <sheetName val="갑지"/>
      <sheetName val="간접인원 급료산출"/>
      <sheetName val="95삼성급(본사)"/>
      <sheetName val="입찰내역 발주처 양식"/>
      <sheetName val="견적의뢰"/>
      <sheetName val="15 문제점"/>
      <sheetName val="costing_CV"/>
      <sheetName val="Spec1"/>
      <sheetName val="설계명세서"/>
      <sheetName val="일위대가"/>
      <sheetName val="방배동내역(리라)"/>
      <sheetName val="현장경비"/>
      <sheetName val="건축공사집계표"/>
      <sheetName val="방배동내역 (총괄)"/>
      <sheetName val="부대공사총괄"/>
      <sheetName val="Rate Analysis"/>
      <sheetName val="INSTR"/>
      <sheetName val="---FAB#1업무일지---"/>
      <sheetName val="Steam-Sys"/>
      <sheetName val="bm_(2)1"/>
      <sheetName val="Junction_Box1"/>
      <sheetName val="JB_Final_checked1"/>
      <sheetName val="F&amp;G_System1"/>
      <sheetName val="F&amp;G_System_(Detail)1"/>
      <sheetName val="_배관자재비-SKEC구매분1"/>
      <sheetName val="Int__Pr_-Shell"/>
      <sheetName val="Ext__Pr_-Shell"/>
      <sheetName val="Int__Pr_-D'End"/>
      <sheetName val="Ext__Pr_-D'End"/>
      <sheetName val="Reinforcement_Pad"/>
      <sheetName val="할증_"/>
      <sheetName val="공사비_내역_(가)"/>
      <sheetName val="General_Data"/>
      <sheetName val="XZLC003_PART1"/>
      <sheetName val="XZLC004_PART2"/>
      <sheetName val="현장관리비"/>
      <sheetName val="Inst_"/>
      <sheetName val="Piping_Design_Data"/>
      <sheetName val="실행내역"/>
      <sheetName val="CAL"/>
      <sheetName val="Piping Design Data"/>
      <sheetName val="견적을지"/>
      <sheetName val="PRICES"/>
      <sheetName val="노임9월"/>
      <sheetName val=" 갑지"/>
      <sheetName val="Cash2"/>
      <sheetName val="Z"/>
      <sheetName val="BEND LOSS"/>
      <sheetName val="A"/>
      <sheetName val="계정과목 (2)"/>
      <sheetName val="계정과목"/>
      <sheetName val="EQ_E1"/>
      <sheetName val="환율"/>
      <sheetName val="산출근거#2-3"/>
      <sheetName val="#3E1_GCR"/>
      <sheetName val="cp-e1"/>
      <sheetName val="일보"/>
      <sheetName val="rate"/>
      <sheetName val="배수내역"/>
      <sheetName val="자재단가"/>
      <sheetName val="NYS"/>
      <sheetName val="10현장조직"/>
      <sheetName val="기계공사비집계(원안)"/>
      <sheetName val="기계내역서"/>
      <sheetName val="공사설계서"/>
      <sheetName val="소일위대가코드표"/>
      <sheetName val="실행(1)"/>
      <sheetName val="out_prog"/>
      <sheetName val="선적schedule (2)"/>
      <sheetName val="9509"/>
      <sheetName val="SORCE1"/>
      <sheetName val="내역(전)"/>
      <sheetName val="slipsumpR"/>
      <sheetName val="costing_ESDV"/>
      <sheetName val="costing_Misc"/>
      <sheetName val="costing_MOV"/>
      <sheetName val="가로등내역서"/>
      <sheetName val="항목별진도율"/>
      <sheetName val="C3"/>
      <sheetName val="mech"/>
      <sheetName val="w't table"/>
      <sheetName val="IT-BAT"/>
      <sheetName val="임율 Data"/>
      <sheetName val="HANJUNG EQUIPMENT"/>
      <sheetName val="SPARE PART"/>
      <sheetName val="97 사업추정(WEKI)"/>
      <sheetName val="2. 집계표"/>
      <sheetName val="LP산출"/>
      <sheetName val="45,46"/>
      <sheetName val="CF Rev.0"/>
      <sheetName val="견적"/>
      <sheetName val="실행예산SHEET도장재검토"/>
      <sheetName val="TNK12"/>
      <sheetName val="사업추진 조직도"/>
      <sheetName val="VUOTO"/>
      <sheetName val="Labor"/>
      <sheetName val="kode rekening"/>
      <sheetName val="name"/>
      <sheetName val="NAMES"/>
      <sheetName val="SUM_Steel-Strc"/>
      <sheetName val="COST-SUM"/>
      <sheetName val="산3_4"/>
      <sheetName val="환율change"/>
      <sheetName val="Onerous_Terms"/>
      <sheetName val="조도계산서_(도서)"/>
      <sheetName val="INVOICE_CERT_EIV'S"/>
      <sheetName val="COST_SUMMARY"/>
      <sheetName val="extensions_lookup"/>
      <sheetName val="3__Piping"/>
      <sheetName val="자격_땡겨오기"/>
      <sheetName val="4300_UTILITY_BLDG_(2)"/>
      <sheetName val="공정율_기초_Data"/>
      <sheetName val="Rate_Analysis"/>
      <sheetName val="광통신_견적내역서1"/>
      <sheetName val="산#2-1_(2)"/>
      <sheetName val="API_Units"/>
      <sheetName val="TDC_COA_Sumry"/>
      <sheetName val="COA_Sumry_by_Area"/>
      <sheetName val="COA_Sumry_by_Contr"/>
      <sheetName val="COA_Sumry_by_RG"/>
      <sheetName val="TDC_COA_Grp_Sumry"/>
      <sheetName val="TDC_Item_Dets-Full"/>
      <sheetName val="TDC_Item_Dets-IPM-Full"/>
      <sheetName val="TDC_Item_Dets"/>
      <sheetName val="TDC_Item_Sumry"/>
      <sheetName val="TDC_Key_Qty_Sumry"/>
      <sheetName val="List_-_Components"/>
      <sheetName val="List_-_Equipment"/>
      <sheetName val="Project_Metrics"/>
      <sheetName val="COA_Sumry_-_Std_Imp"/>
      <sheetName val="Contr_TDC_-_Std_Imp"/>
      <sheetName val="Item_Sumry_-_Std_Imp"/>
      <sheetName val="Proj_TIC_-_Std_Imp"/>
      <sheetName val="Unit_Costs_-_Std_Imp"/>
      <sheetName val="Unit_MH_-_Std_Imp"/>
      <sheetName val="Sch_1"/>
      <sheetName val="Coversheet_"/>
      <sheetName val="1__Stationary"/>
      <sheetName val="Requirement(Work_Crew)"/>
      <sheetName val="계측_내역서"/>
      <sheetName val="iig_silica(캐나다)"/>
      <sheetName val="변수_정의"/>
      <sheetName val="BSD_(2)"/>
      <sheetName val="SPT_vs_PHI"/>
      <sheetName val="COS_REP_XLS"/>
      <sheetName val="_갑지"/>
      <sheetName val="Form 0"/>
      <sheetName val="Detail Breakdown Work"/>
      <sheetName val="assy"/>
      <sheetName val="일반공사"/>
      <sheetName val="표지"/>
      <sheetName val="DTmpData"/>
      <sheetName val="건장설비"/>
      <sheetName val="ORIGINAL"/>
      <sheetName val="직재"/>
      <sheetName val="IBASE"/>
      <sheetName val="laroux"/>
      <sheetName val="자재집계"/>
      <sheetName val="N賃率-職"/>
      <sheetName val="Proj Cost Sum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가표"/>
      <sheetName val="수암종건"/>
      <sheetName val="수암개발"/>
      <sheetName val="단성전력"/>
      <sheetName val="Sheet1"/>
      <sheetName val="Sheet2"/>
      <sheetName val="Sheet3"/>
      <sheetName val="unit 4"/>
      <sheetName val="제출내역 (2)"/>
      <sheetName val="사용방법"/>
      <sheetName val="최저투찰(입력)"/>
      <sheetName val="최저투찰(만점시)"/>
      <sheetName val="복수예가선정"/>
      <sheetName val="예가표(복수예가)"/>
      <sheetName val="오늘의예가"/>
      <sheetName val="용어정의"/>
      <sheetName val="조달031227"/>
      <sheetName val="지자체040206"/>
      <sheetName val="도로031229"/>
      <sheetName val="수자원040116"/>
      <sheetName val="적점"/>
      <sheetName val="가격조사서"/>
      <sheetName val="물가대비표"/>
      <sheetName val="내역표지"/>
      <sheetName val="공문"/>
      <sheetName val="B.O.M"/>
      <sheetName val="변경집계표"/>
      <sheetName val="#REF"/>
      <sheetName val="부대내역"/>
      <sheetName val="일위"/>
      <sheetName val="실행내역"/>
      <sheetName val="trf(36%)"/>
      <sheetName val="개소당수량"/>
      <sheetName val="Macro1"/>
      <sheetName val="자동제어"/>
      <sheetName val="일위대가(가설)"/>
      <sheetName val="단가"/>
      <sheetName val="원가계산서(남측)"/>
      <sheetName val="단가표"/>
      <sheetName val="토목주소"/>
      <sheetName val="프랜트면허"/>
      <sheetName val="SG"/>
      <sheetName val="건축-물가변동"/>
      <sheetName val="기계설비-물가변동"/>
      <sheetName val="공사개요"/>
      <sheetName val="부대tu"/>
      <sheetName val="공사비증감"/>
      <sheetName val="신표지1"/>
      <sheetName val="연결임시"/>
      <sheetName val="D-3109"/>
      <sheetName val="내역서"/>
      <sheetName val="일위대가(계측기설치)"/>
      <sheetName val="현장경비"/>
      <sheetName val="전계가"/>
      <sheetName val="내역"/>
      <sheetName val="대전-교대(A1-A2)"/>
      <sheetName val="재료비"/>
      <sheetName val="갑지"/>
      <sheetName val="집계표"/>
      <sheetName val="전차선로 물량표"/>
      <sheetName val="전기혼잡제경비(45)"/>
      <sheetName val="덕소내역"/>
      <sheetName val="Cash2"/>
      <sheetName val="Z"/>
      <sheetName val="웅진교-S2"/>
      <sheetName val="입찰안"/>
      <sheetName val="제잡비"/>
      <sheetName val="코드표"/>
      <sheetName val="파일의이용"/>
      <sheetName val="공종목록표"/>
      <sheetName val="poolupdate"/>
      <sheetName val="BID"/>
      <sheetName val="노임단가"/>
      <sheetName val="MixBed"/>
      <sheetName val="CondPol"/>
      <sheetName val="SPT vs PHI"/>
      <sheetName val=" FURNACE현설"/>
      <sheetName val="갈현동"/>
      <sheetName val="철콘공사"/>
      <sheetName val="direct"/>
      <sheetName val="wage"/>
      <sheetName val="CONCRETE"/>
      <sheetName val="총괄-1"/>
      <sheetName val="차액보증"/>
      <sheetName val="부안일위"/>
      <sheetName val="공사비예산서(토목분)"/>
      <sheetName val="당초"/>
      <sheetName val="계측 내역서"/>
      <sheetName val="전기공사"/>
      <sheetName val="ITEM"/>
      <sheetName val="환산표"/>
      <sheetName val="정부노임단가"/>
      <sheetName val="DATA"/>
      <sheetName val="여과지동"/>
      <sheetName val="기초자료"/>
      <sheetName val="일위대가"/>
      <sheetName val="포장수량"/>
      <sheetName val="결과조달"/>
      <sheetName val="A-4"/>
      <sheetName val="배수관산출"/>
      <sheetName val="경상비"/>
      <sheetName val="일위_파일"/>
      <sheetName val="TARGET"/>
      <sheetName val="노임이"/>
      <sheetName val="FAX"/>
      <sheetName val="노임"/>
      <sheetName val="9GNG운반"/>
      <sheetName val="Data&amp;Result"/>
      <sheetName val="전선 및 전선관"/>
      <sheetName val="수목표준대가"/>
      <sheetName val="견"/>
      <sheetName val="내2"/>
      <sheetName val="06년 학회협찬실적"/>
      <sheetName val="일위대가표"/>
      <sheetName val="부대공Ⅱ"/>
      <sheetName val="적용률"/>
      <sheetName val="산출내역서"/>
      <sheetName val="3.하중산정4.지지력"/>
      <sheetName val="아파트 "/>
      <sheetName val="금융비용"/>
      <sheetName val="약품설비"/>
      <sheetName val="1단계"/>
      <sheetName val="본선 토공 분배표"/>
      <sheetName val="4.인력운영계획(업무별)"/>
      <sheetName val="현장관리비 산출내역"/>
      <sheetName val="Cash"/>
      <sheetName val="일위대가-목록"/>
      <sheetName val="밸브설치"/>
      <sheetName val="조도계산서 (도서)"/>
      <sheetName val="SCHE"/>
      <sheetName val="UPRI"/>
      <sheetName val="1,2공구원가계산서"/>
      <sheetName val="2공구산출내역"/>
      <sheetName val="1공구산출내역서"/>
      <sheetName val="archi(본사)"/>
      <sheetName val="갑지(추정)"/>
      <sheetName val="인덕원내역"/>
      <sheetName val="코오롱.테크노밸리"/>
      <sheetName val="코오롱.영동고속도로"/>
      <sheetName val="CTEMCOST"/>
      <sheetName val="SULKEA"/>
      <sheetName val="잔수량(작성)"/>
      <sheetName val="잡비"/>
      <sheetName val="전력"/>
      <sheetName val="FCM"/>
      <sheetName val="금액"/>
      <sheetName val="목표세부명세"/>
      <sheetName val="건축"/>
      <sheetName val="가도공"/>
      <sheetName val="평가데이터"/>
      <sheetName val="총괄표"/>
      <sheetName val="을"/>
      <sheetName val="코드"/>
      <sheetName val="TRE TABLE"/>
      <sheetName val="실행철강하도"/>
      <sheetName val="구조물공"/>
      <sheetName val="부대공"/>
      <sheetName val="배수공"/>
      <sheetName val="토공"/>
      <sheetName val="포장공"/>
      <sheetName val="단가산출서"/>
      <sheetName val="퇴직금(울산천상)"/>
      <sheetName val="내역(가지)"/>
      <sheetName val="변경내역대비표(2)"/>
      <sheetName val="토 적 표"/>
      <sheetName val="6PILE  (돌출)"/>
      <sheetName val="DHEQSUPT"/>
      <sheetName val="LG제품"/>
      <sheetName val="2.교량(신설)"/>
      <sheetName val="SIL98"/>
      <sheetName val="설계"/>
      <sheetName val="Indirect Cost"/>
      <sheetName val="충주"/>
      <sheetName val="cable-data"/>
      <sheetName val="출자한도"/>
      <sheetName val="경비"/>
      <sheetName val="골조시행"/>
      <sheetName val="청산공사"/>
      <sheetName val="금액내역서"/>
      <sheetName val="csdim"/>
      <sheetName val="cdsload"/>
      <sheetName val="chsload"/>
      <sheetName val="CLAMP"/>
      <sheetName val="cvsload"/>
      <sheetName val="pipe"/>
      <sheetName val="에너지동"/>
      <sheetName val="D"/>
      <sheetName val="AS포장복구 "/>
      <sheetName val="실행내역서"/>
      <sheetName val="HANDHOLE(2)"/>
      <sheetName val="PAD TR보호대기초"/>
      <sheetName val="가로등기초"/>
      <sheetName val="유림골조"/>
      <sheetName val="01"/>
      <sheetName val="A"/>
      <sheetName val="Sheet17"/>
      <sheetName val="자재단가"/>
      <sheetName val="직재"/>
      <sheetName val="CAT_5"/>
      <sheetName val="부표총괄"/>
      <sheetName val="금융"/>
      <sheetName val="일위대가목차"/>
      <sheetName val="Y-WORK"/>
      <sheetName val="입찰보고"/>
      <sheetName val="기초일위대가"/>
      <sheetName val="식재일위대가"/>
      <sheetName val="단가대비표"/>
      <sheetName val="기기리스트"/>
      <sheetName val="대비"/>
      <sheetName val="ELECTRIC"/>
      <sheetName val="SCHEDULE"/>
      <sheetName val="기성2"/>
      <sheetName val="S0"/>
      <sheetName val="남양주부대"/>
      <sheetName val="U-TYPE(1)"/>
      <sheetName val="Total"/>
      <sheetName val="파주 운정지구 A8블럭"/>
      <sheetName val="대구수성3가"/>
      <sheetName val="매립"/>
      <sheetName val="배열수식"/>
      <sheetName val="상촌2교-일반수량집계"/>
      <sheetName val="노무비"/>
      <sheetName val="이토변실(A3-LINE)"/>
      <sheetName val="계장 공내역서"/>
      <sheetName val="경영상태"/>
      <sheetName val="세목전체"/>
      <sheetName val="ABUT수량-A1"/>
      <sheetName val="견적조건"/>
      <sheetName val="일위대가 "/>
      <sheetName val="관람석제출"/>
      <sheetName val="뜃맟뭁돽띿맟?-BLDG"/>
      <sheetName val="건축집계"/>
      <sheetName val="단위단가"/>
      <sheetName val="상행-교대(A1)"/>
      <sheetName val="장비손료"/>
      <sheetName val="공틀공사"/>
      <sheetName val="제경비율"/>
      <sheetName val="96보완계획7.12"/>
      <sheetName val="제조노임"/>
      <sheetName val="약품공급2"/>
      <sheetName val="DATE"/>
      <sheetName val="인공산출(도급)"/>
      <sheetName val="명단원자료(이전)"/>
      <sheetName val="날개벽(시점좌측)"/>
      <sheetName val="특수기호강도거푸집"/>
      <sheetName val="종배수관면벽신"/>
      <sheetName val="종배수관(신)"/>
      <sheetName val="1호맨홀토공"/>
      <sheetName val="방배동내역(리라)"/>
      <sheetName val="부대공사총괄"/>
      <sheetName val="건축공사집계표"/>
      <sheetName val="견적"/>
      <sheetName val="염화물시험"/>
      <sheetName val="일(4)"/>
      <sheetName val="EJ"/>
      <sheetName val="내역서2안"/>
      <sheetName val="페인트"/>
      <sheetName val="산수배수"/>
      <sheetName val="토목"/>
      <sheetName val="DCS"/>
      <sheetName val="ANALYSER"/>
      <sheetName val="준공평가"/>
      <sheetName val="데이타"/>
      <sheetName val="손익현황(1PJ)"/>
      <sheetName val="예정(3)"/>
      <sheetName val="재료"/>
      <sheetName val="전신환매도율"/>
      <sheetName val="장기차입금"/>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환산표"/>
      <sheetName val="당초"/>
      <sheetName val="Qo-1585"/>
      <sheetName val="BLR 1"/>
      <sheetName val="GEN"/>
      <sheetName val="GAS"/>
      <sheetName val="DEAE"/>
      <sheetName val="BLR2"/>
      <sheetName val="BLR3"/>
      <sheetName val="BLR4"/>
      <sheetName val="BLR5"/>
      <sheetName val="DEM"/>
      <sheetName val="SAM"/>
      <sheetName val="CHEM"/>
      <sheetName val="COP"/>
      <sheetName val="eq_data"/>
      <sheetName val="八幡"/>
      <sheetName val="TTL"/>
      <sheetName val="MixBed"/>
      <sheetName val="CondPol"/>
      <sheetName val="해외 연수비용 계산-삭제"/>
      <sheetName val="해외 기술훈련비 (합계)"/>
      <sheetName val="Utility and Fire flange"/>
      <sheetName val="jobhist"/>
      <sheetName val="현장관리비"/>
      <sheetName val="실행내역"/>
      <sheetName val="Activity(new)"/>
      <sheetName val="EQUIP"/>
      <sheetName val="CAT_5"/>
      <sheetName val="노임단가"/>
      <sheetName val="sheet1"/>
      <sheetName val="자재단가"/>
      <sheetName val="36신설수량"/>
      <sheetName val="물가대비표"/>
      <sheetName val="Sheet6"/>
      <sheetName val="갑지1"/>
      <sheetName val="갑지"/>
      <sheetName val="운반"/>
      <sheetName val="h-013211-2"/>
      <sheetName val="대비표"/>
      <sheetName val="공문"/>
      <sheetName val="BLR_1"/>
      <sheetName val="Utility_and_Fire_flange"/>
      <sheetName val="해외_연수비용_계산-삭제"/>
      <sheetName val="해외_기술훈련비_(합계)"/>
      <sheetName val="BLR_11"/>
      <sheetName val="Utility_and_Fire_flange1"/>
      <sheetName val="해외_연수비용_계산-삭제1"/>
      <sheetName val="해외_기술훈련비_(합계)1"/>
      <sheetName val="inter"/>
      <sheetName val="설산1.나"/>
      <sheetName val="본사S"/>
      <sheetName val="예가표"/>
      <sheetName val="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Sheet2"/>
      <sheetName val="Sheet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단가(자재)"/>
      <sheetName val="단가(노임)"/>
      <sheetName val="기초목록"/>
      <sheetName val="당초"/>
      <sheetName val="???"/>
      <sheetName val="노임단가"/>
      <sheetName val="VC2 10.99"/>
      <sheetName val="예산"/>
      <sheetName val="inter"/>
      <sheetName val="Sheet1"/>
      <sheetName val="KP1590_E"/>
      <sheetName val="영업2"/>
      <sheetName val="ERECIN"/>
      <sheetName val="INPUT DATA"/>
      <sheetName val="BQMPALOC"/>
      <sheetName val="1월"/>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COVER"/>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General Data"/>
      <sheetName val="__"/>
      <sheetName val="DRUM"/>
      <sheetName val="eq_data"/>
      <sheetName val="SANDAN"/>
      <sheetName val="LABOR &amp; 자재"/>
      <sheetName val="제작도"/>
      <sheetName val="INPUT_DATA"/>
      <sheetName val="General_Data"/>
      <sheetName val="집계표_(25,26ဩ"/>
      <sheetName val="Form_0"/>
      <sheetName val="입출재고현황 (2)"/>
      <sheetName val="뜃맟뭁돽띿맟?-BLDG"/>
      <sheetName val="DHEQSUPT"/>
      <sheetName val="SALA-002"/>
      <sheetName val="CB"/>
      <sheetName val="ESCON"/>
      <sheetName val="3.공통공사대비"/>
      <sheetName val="M-EQPT-Z"/>
      <sheetName val="TTL"/>
      <sheetName val="주간기성"/>
      <sheetName val="기성내역"/>
      <sheetName val="뜃맟뭁돽띿맟_-BLDG"/>
      <sheetName val="B"/>
      <sheetName val="간접비 총괄"/>
      <sheetName val="내역ࠜĀ_x0000_M4)"/>
      <sheetName val="노임단가표"/>
      <sheetName val="POWER"/>
      <sheetName val="h-013211-2"/>
      <sheetName val="표지"/>
      <sheetName val="???(OPTION)"/>
      <sheetName val="IN"/>
      <sheetName val="Price Schedule"/>
      <sheetName val="간접비내역-1"/>
      <sheetName val="Lup2"/>
      <sheetName val="당진1,2호기전선관설치및접지4차공사내역서-을지"/>
      <sheetName val="合成単価作成表-BLDG"/>
      <sheetName val="BOROUGE2"/>
      <sheetName val="PRICES"/>
      <sheetName val="INSTR"/>
      <sheetName val="Rate Analysis"/>
      <sheetName val="내역서 耰&quot;_x0000__x0000_"/>
      <sheetName val="_x0008_"/>
      <sheetName val="비교검토"/>
      <sheetName val="F4-F7"/>
      <sheetName val="내역서 耰&quot;??"/>
      <sheetName val="24V"/>
      <sheetName val="EQUIPMENT -2"/>
      <sheetName val="Q&amp;pl-V"/>
      <sheetName val="Cash2"/>
      <sheetName val="Z"/>
      <sheetName val="WE'T"/>
      <sheetName val="내역"/>
      <sheetName val="EQT-ESTN"/>
      <sheetName val="CAL."/>
      <sheetName val="???¡§????"/>
      <sheetName val="????¢ç¢®¡¿????"/>
      <sheetName val="??????????¢ç??????"/>
      <sheetName val="???????¢ç¢®¢¯????"/>
      <sheetName val="???????®¡¿????"/>
      <sheetName val="??????????????????"/>
      <sheetName val="CTEMCOST"/>
      <sheetName val="A"/>
      <sheetName val="찍기"/>
      <sheetName val="실행"/>
      <sheetName val="공사비 내역 (가)"/>
      <sheetName val="물량"/>
      <sheetName val="WEIGHT LIST"/>
      <sheetName val="산#2-1 (2)"/>
      <sheetName val="POL6차-PIPING"/>
      <sheetName val="산#3-1"/>
      <sheetName val="BEND LOSS"/>
      <sheetName val="EQUIP"/>
      <sheetName val="단면 (2)"/>
      <sheetName val="6PILE  (돌출)"/>
      <sheetName val="Static Equip"/>
      <sheetName val="CAT_5"/>
      <sheetName val="Form A "/>
      <sheetName val="LEGEND"/>
      <sheetName val="내역ࠜĀ_x005f_x0000_M4)"/>
      <sheetName val="PROCURE"/>
      <sheetName val="jobhist"/>
      <sheetName val="당초내역서"/>
      <sheetName val="내역ࠜĀ"/>
      <sheetName val="내역서 耰&quot;_x005f_x0000__x005f_x0000_"/>
      <sheetName val="_x005f_x0008_"/>
      <sheetName val="SOURCE"/>
      <sheetName val="___(OPTION)"/>
      <sheetName val="___¡§____"/>
      <sheetName val="____¢ç¢®¡¿____"/>
      <sheetName val="__________¢ç______"/>
      <sheetName val="_______¢ç¢®¢¯____"/>
      <sheetName val="_______®¡¿____"/>
      <sheetName val="__________________"/>
      <sheetName val="Sheet6"/>
      <sheetName val="갑지(추정)"/>
      <sheetName val="ELEC_DCI"/>
      <sheetName val="INST_DCI"/>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01"/>
      <sheetName val="General_Data1"/>
      <sheetName val="Form_D-1"/>
      <sheetName val="Form_B-1"/>
      <sheetName val="Form_F-1"/>
      <sheetName val="Form_A"/>
      <sheetName val="LABOR_&amp;_자재"/>
      <sheetName val="입출재고현황_(2)"/>
      <sheetName val="3_공통공사대비"/>
      <sheetName val="Compare"/>
      <sheetName val="3.Breakdown Direct Paint"/>
      <sheetName val="Spl"/>
      <sheetName val="BID"/>
      <sheetName val="Quantity"/>
      <sheetName val="내역서 耰&quot;__"/>
      <sheetName val="Summary Sheets"/>
      <sheetName val="DATA"/>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국내"/>
      <sheetName val="간접비_총괄"/>
      <sheetName val="Price_Schedule"/>
      <sheetName val="내역서_耰&quot;"/>
      <sheetName val=""/>
      <sheetName val="EQUIPMENT_-2"/>
      <sheetName val="CAL_"/>
      <sheetName val="Rate_Analysis"/>
      <sheetName val="내역서_耰&quot;??"/>
      <sheetName val="PBS"/>
      <sheetName val="내역ࠜĀ?M4)"/>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견적"/>
      <sheetName val="9906"/>
      <sheetName val="경영혁신본뷀"/>
      <sheetName val="electrical"/>
      <sheetName val="갑지1"/>
      <sheetName val="2.2 STAFF Scedule"/>
      <sheetName val="내역ࠜĀ_x005f_x005f_x005f_x0000_M4)"/>
      <sheetName val="내역서 耰&quot;_x005f_x005f_x005f_x0000__x005f_x005f_x0000"/>
      <sheetName val="_x005f_x005f_x005f_x0008_"/>
      <sheetName val="내역ࠜĀ_M4)"/>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CIVIL"/>
      <sheetName val="ERECT"/>
      <sheetName val="PROSUM"/>
      <sheetName val="EQUIPOS"/>
      <sheetName val="기계내역서"/>
      <sheetName val="입력시트"/>
      <sheetName val="고압수량(철거)"/>
      <sheetName val="Sheet1 (2)"/>
      <sheetName val="수로보호공"/>
      <sheetName val="데이타"/>
      <sheetName val="식재인부"/>
      <sheetName val="계측 내역서"/>
      <sheetName val="7. 월별투입내역서"/>
      <sheetName val="내역서_耰&quot;__"/>
      <sheetName val="내역ࠜĀ_x005f_x005f_x005f_x005f_x005f_x005f_x005f_x0000_M4"/>
      <sheetName val="내역서 耰&quot;_x005f_x005f_x005f_x005f_x005f_x005f_x005f_x0000_"/>
      <sheetName val="_x005f_x005f_x005f_x005f_x005f_x005f_x005f_x0008_"/>
      <sheetName val="Insts"/>
      <sheetName val="Vind - BtB"/>
      <sheetName val="직재"/>
      <sheetName val="I一般比"/>
      <sheetName val="LV induction motors"/>
      <sheetName val="인원계획"/>
      <sheetName val="BSD (2)"/>
      <sheetName val="BCPAB"/>
      <sheetName val="BM DATA SHEET"/>
      <sheetName val="입찰품의서"/>
      <sheetName val="Administrative Prices"/>
      <sheetName val="Calc"/>
      <sheetName val="WBS 44"/>
      <sheetName val="WBS 41"/>
      <sheetName val="Precios por Administración"/>
      <sheetName val="Resumen"/>
      <sheetName val="Precios Unitarios"/>
      <sheetName val="Subcon A"/>
      <sheetName val="AILC004"/>
      <sheetName val="인부신상자료"/>
      <sheetName val="PI"/>
      <sheetName val="EQUIP LIST"/>
      <sheetName val="SummaryC"/>
      <sheetName val="Detail"/>
      <sheetName val="BATCH"/>
      <sheetName val="MP MOB"/>
      <sheetName val="수주추정"/>
      <sheetName val="Z- GENERAL PRICE SUMMARY"/>
      <sheetName val=" Estimate  "/>
      <sheetName val="cable-data"/>
      <sheetName val="T 3"/>
      <sheetName val="HORI. VESSEL"/>
      <sheetName val="DCS"/>
      <sheetName val="FWBS7000,8000"/>
      <sheetName val="ANALYSER"/>
      <sheetName val="Eq. Mobilization"/>
      <sheetName val="출금실적"/>
      <sheetName val="97 사업추정(WEKI)"/>
      <sheetName val="경영현황"/>
      <sheetName val="Sheet4"/>
      <sheetName val="내역서 耰&quot;"/>
      <sheetName val="내역ࠜĀ_x005f_x005f_x005f_x005f_x005f_x005f_x005f_x005f_x0"/>
      <sheetName val="내역서 耰&quot;_x005f_x005f_x005f_x005f_x005f_x005f_x005f_x005f_"/>
      <sheetName val="_x005f_x005f_x005f_x005f_x005f_x005f_x005f_x005f_x005f_x005f_"/>
      <sheetName val="일일총괄"/>
      <sheetName val="cable"/>
      <sheetName val="배관내역"/>
      <sheetName val="Form B"/>
      <sheetName val="내역서"/>
      <sheetName val="_x0002__x0000_뻘N_x0000__x0000__x0001_ࠀ역서"/>
      <sheetName val="Q-7100-001"/>
      <sheetName val="집계표"/>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HP-Steamdrum"/>
      <sheetName val="All_2"/>
      <sheetName val="sum"/>
      <sheetName val="Summary"/>
      <sheetName val="trf(36%)"/>
      <sheetName val="[SANDAN.XLS??"/>
      <sheetName val="Lstsub"/>
      <sheetName val="변경집계표"/>
      <sheetName val="Direct"/>
      <sheetName val="FORM-12"/>
      <sheetName val="M_DB"/>
      <sheetName val="DB@Acess"/>
      <sheetName val="Monthly Load"/>
      <sheetName val="Weekly Load"/>
      <sheetName val="총괄표"/>
      <sheetName val="Material Selections"/>
      <sheetName val="RFP002"/>
      <sheetName val="VC2_10_993"/>
      <sheetName val="Hot"/>
      <sheetName val="실행집계"/>
      <sheetName val="breakdown of wage rate"/>
      <sheetName val="Indirect Cost"/>
      <sheetName val="Unit"/>
      <sheetName val="COVER-P"/>
      <sheetName val="criteria"/>
      <sheetName val="품셈"/>
      <sheetName val="목표세부명세"/>
      <sheetName val="중기일위대가"/>
      <sheetName val="수량집계"/>
      <sheetName val="총괄집계표"/>
      <sheetName val="내역서 (∮ἀ嘆ɶ_x0000_᠀㬁_x0000_"/>
      <sheetName val="당초_xd8b4_∸ἀ"/>
      <sheetName val="Cal"/>
      <sheetName val="중기"/>
      <sheetName val="BREAKDOWN(철거설치)"/>
      <sheetName val="BREAKDOWN(신규설치)"/>
      <sheetName val="SS2"/>
      <sheetName val="TDTKP"/>
      <sheetName val="DK-KH"/>
      <sheetName val="결과조달"/>
      <sheetName val="Basic_Rate"/>
      <sheetName val="appendix_2_5_final_accounts"/>
      <sheetName val="Format"/>
      <sheetName val="Labour"/>
      <sheetName val="Material"/>
      <sheetName val="Sheet1_(2)"/>
      <sheetName val="금융"/>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Piping BQ for one turbine"/>
      <sheetName val="내역ࠜĀM4)"/>
      <sheetName val="General"/>
      <sheetName val="Menus"/>
      <sheetName val="_x0004__x0000__x000d__x0000__x0003__x0000__x0004__x0000__x0016__x0000__x000d__x0000__x0004_"/>
      <sheetName val="_x000a__x0000__x001b__x0000__x0006__x0000__x0006__x0000__x0008__x0000__x000a__x0000__x0000_"/>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Resource table"/>
      <sheetName val="D-623D"/>
      <sheetName val="1350-A"/>
      <sheetName val="도"/>
      <sheetName val="w't table"/>
      <sheetName val="Heavy Equipments"/>
      <sheetName val="TOTAL"/>
      <sheetName val="원가"/>
      <sheetName val="BM-Elec"/>
      <sheetName val="BM-Inst"/>
      <sheetName val="97"/>
      <sheetName val="MANP"/>
      <sheetName val="C"/>
      <sheetName val="Equipment List"/>
      <sheetName val="info"/>
      <sheetName val="TP"/>
      <sheetName val="Form1.SQP"/>
      <sheetName val="Resource"/>
      <sheetName val="공정계획(내부계획25%,내부w.f)"/>
      <sheetName val="_x0002_?뻘N??_x0001_ࠀ역서"/>
      <sheetName val="Utility and Fire flange"/>
      <sheetName val="AG Pipe Qty Analysis"/>
      <sheetName val="Proposal"/>
      <sheetName val="단가 (2)"/>
      <sheetName val="4-3LEVEL-5 epic.4"/>
      <sheetName val="부대비율"/>
      <sheetName val="SFN ORIG"/>
      <sheetName val="SFN"/>
      <sheetName val="R2564AHDTS"/>
      <sheetName val="CPS"/>
      <sheetName val="_SANDAN.XLS__"/>
      <sheetName val="_x0002_"/>
      <sheetName val="7422CW00"/>
      <sheetName val="입찰내역 발주처 양식"/>
      <sheetName val="BOQ-B.DOWN"/>
      <sheetName val="한강운반비"/>
      <sheetName val="강재"/>
      <sheetName val="배수내역"/>
      <sheetName val="판가반영"/>
      <sheetName val="실행예산 MM"/>
      <sheetName val="OD5000"/>
      <sheetName val="SCHEDD TAMBAHAN"/>
      <sheetName val="상반기손익차2총괄"/>
      <sheetName val="breakdown_of_wage_rate"/>
      <sheetName val="Indirect_Cost"/>
      <sheetName val="생산계획"/>
      <sheetName val="VLOOKUP"/>
      <sheetName val="cal-foamglass"/>
      <sheetName val="연습"/>
      <sheetName val="운반"/>
      <sheetName val="공사내역"/>
      <sheetName val="LOB"/>
      <sheetName val="Preliminaries"/>
      <sheetName val="piping"/>
      <sheetName val="Mech"/>
      <sheetName val="Fire Protection"/>
      <sheetName val="Buildings"/>
      <sheetName val="Instrument"/>
      <sheetName val="Dir Manpower Other Exp."/>
      <sheetName val="사급자재집계표"/>
      <sheetName val="HVAC(사급자재)"/>
      <sheetName val="U-W"/>
      <sheetName val="수량산출서"/>
      <sheetName val="mto-rev0B"/>
      <sheetName val="실행내역"/>
      <sheetName val="FWBS 1530"/>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03"/>
      <sheetName val="Form_D-12"/>
      <sheetName val="Form_B-12"/>
      <sheetName val="Form_F-12"/>
      <sheetName val="Form_A2"/>
      <sheetName val="General_Data3"/>
      <sheetName val="LABOR_&amp;_자재2"/>
      <sheetName val="입출재고현황_(2)2"/>
      <sheetName val="3_공통공사대비2"/>
      <sheetName val="간접비_총괄2"/>
      <sheetName val="Price_Schedule2"/>
      <sheetName val="CAL_2"/>
      <sheetName val="Rate_Analysis2"/>
      <sheetName val="EQUIPMENT_-22"/>
      <sheetName val="공사비_내역_(가)1"/>
      <sheetName val="WEIGHT_LIST1"/>
      <sheetName val="산#2-1_(2)1"/>
      <sheetName val="BEND_LOSS1"/>
      <sheetName val="내역서_耰&quot;??2"/>
      <sheetName val="단면_(2)1"/>
      <sheetName val="6PILE__(돌출)1"/>
      <sheetName val="Static_Equip1"/>
      <sheetName val="Form_A_1"/>
      <sheetName val="내역서_耰&quot;_x005f_x0000__x005f_x0000_1"/>
      <sheetName val="3_Breakdown_Direct_Paint1"/>
      <sheetName val="내역서_耰&quot;__2"/>
      <sheetName val="Summary_Sheets1"/>
      <sheetName val="Civil_11"/>
      <sheetName val="Civil_21"/>
      <sheetName val="Civil_31"/>
      <sheetName val="Site_11"/>
      <sheetName val="Site_21"/>
      <sheetName val="Site_31"/>
      <sheetName val="Site_Faci1"/>
      <sheetName val="Man_Hole"/>
      <sheetName val="7__월별투입내역서"/>
      <sheetName val="Sheet1_(2)1"/>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내역서_耰&quot;_x005f_x005f_x005f_x0000__x005f_x005f_x0000"/>
      <sheetName val="2_2_STAFF_Scedule"/>
      <sheetName val="내역서_耰&quot;_x005f_x005f_x005f_x005f_x005f_x005f_x005f_x0000_"/>
      <sheetName val="계측_내역서"/>
      <sheetName val="EQUIP_LIST"/>
      <sheetName val="Z-_GENERAL_PRICE_SUMMARY"/>
      <sheetName val="_Estimate__"/>
      <sheetName val="T_3"/>
      <sheetName val="HORI__VESSEL"/>
      <sheetName val="MP_MOB"/>
      <sheetName val="Form_B"/>
      <sheetName val="Precios_Unitarios"/>
      <sheetName val="Vind_-_BtB"/>
      <sheetName val="LV_induction_motors"/>
      <sheetName val="BSD_(2)"/>
      <sheetName val="Administrative_Prices"/>
      <sheetName val="WBS_44"/>
      <sheetName val="WBS_41"/>
      <sheetName val="Precios_por_Administración"/>
      <sheetName val="Subcon_A"/>
      <sheetName val="뻘Nࠀ역서"/>
      <sheetName val="BM_DATA_SHEET1"/>
      <sheetName val="내역서_耰&quot;_x005f_x005f_x005f_x005f_x005f_x005f_x005f_x005f_"/>
      <sheetName val="Monthly_Load"/>
      <sheetName val="Weekly_Load"/>
      <sheetName val="97_사업추정(WEKI)"/>
      <sheetName val="내역서_(∮ἀ嘆ɶ᠀㬁"/>
      <sheetName val="Eq__Mobilization"/>
      <sheetName val="[SANDAN_XLS??"/>
      <sheetName val="Piping_BQ_for_one_turbine"/>
      <sheetName val="Material_Selections"/>
      <sheetName val="Resource_table"/>
      <sheetName val="Utility_and_Fire_flange"/>
      <sheetName val="_x000a__x000a_"/>
      <sheetName val="Equipment_List"/>
      <sheetName val="Form1_SQP"/>
      <sheetName val="AG_Pipe_Qty_Analysis"/>
      <sheetName val="공정계획(내부계획25%,내부w_f)"/>
      <sheetName val="Heavy_Equipments"/>
      <sheetName val="분전반계산서(석관)"/>
      <sheetName val="이자율"/>
      <sheetName val="MODULE CONFIRM"/>
      <sheetName val="내역서 (∮ἀ嘆ɶ"/>
      <sheetName val="VIZ4"/>
      <sheetName val="VIZ7"/>
      <sheetName val="UZ"/>
      <sheetName val="K_SURFACES"/>
      <sheetName val="ITB COST"/>
      <sheetName val="내역서_耰&quot;1"/>
      <sheetName val="SFN_ORIG"/>
      <sheetName val="?뻘N??ࠀ역서"/>
      <sheetName val="_SANDAN_XLS__"/>
      <sheetName val="Costo-MO"/>
      <sheetName val="WIND"/>
      <sheetName val="SCHEDD_TAMBAHAN"/>
      <sheetName val="Dir_Manpower_Other_Exp_"/>
      <sheetName val="w't_table"/>
      <sheetName val="Fire_Protection"/>
      <sheetName val="입찰내역_발주처_양식"/>
      <sheetName val="CÓDIGOS"/>
      <sheetName val="CHANNEL"/>
      <sheetName val="PROTECTION "/>
      <sheetName val="CIBATU5OO"/>
      <sheetName val="MTP"/>
      <sheetName val="PROGRESS"/>
      <sheetName val="Cash In-Cash Out Actual"/>
      <sheetName val="Database"/>
      <sheetName val="INPUT"/>
      <sheetName val="노임9월"/>
      <sheetName val="설계명세1-1"/>
      <sheetName val="SILICATE"/>
      <sheetName val="_x0004_"/>
      <sheetName val="_x000a_"/>
      <sheetName val="CUADRO DE PRECIOS"/>
      <sheetName val="FWBS"/>
      <sheetName val="Checklist-Parameters"/>
      <sheetName val="Fillermetal"/>
      <sheetName val="Updating Form-Oct 2011"/>
      <sheetName val="Weld Consumable"/>
      <sheetName val="WQT"/>
      <sheetName val="NDE Cost-Summary"/>
      <sheetName val="9July Above Ground Pipe"/>
      <sheetName val="M 11"/>
      <sheetName val="Process Data 1"/>
      <sheetName val="내역서1999.8최종"/>
      <sheetName val="실행(ALT1)"/>
      <sheetName val="실행철강하도"/>
      <sheetName val="전기"/>
      <sheetName val="dc1"/>
      <sheetName val="REDUCER"/>
      <sheetName val="plan&amp;section of foundation"/>
      <sheetName val="DESIGN CRITERIA"/>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ESIGN"/>
      <sheetName val="견적대비표"/>
      <sheetName val="일위대가(계측기설치)"/>
      <sheetName val="EP0618"/>
      <sheetName val="Labor"/>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Unit Price "/>
      <sheetName val="master"/>
      <sheetName val="MTO"/>
      <sheetName val="Elect_BOM"/>
      <sheetName val="Elect"/>
      <sheetName val="BQ"/>
      <sheetName val="aa_piping"/>
      <sheetName val="CABLE_DATA"/>
      <sheetName val="CIVIL_UP"/>
      <sheetName val="ETUDE_de_Prix__(2)"/>
      <sheetName val="選單"/>
      <sheetName val="Hoja2"/>
      <sheetName val="경제지표"/>
      <sheetName val="1100-1200-1300-1910-2140-LEV 2"/>
      <sheetName val="SEX"/>
      <sheetName val="Currency Rate"/>
      <sheetName val="Personnel"/>
      <sheetName val="ANALISA"/>
      <sheetName val="PNT"/>
      <sheetName val="D7(1)"/>
      <sheetName val="BOQ"/>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첨부1-집행내역(요약)"/>
      <sheetName val="Closeout Control"/>
      <sheetName val="Site Findings Status Sheet"/>
      <sheetName val="Engineering&amp;Management"/>
      <sheetName val="Tools &amp; Settings"/>
      <sheetName val="Data Summary"/>
      <sheetName val="Resources"/>
      <sheetName val="FFA"/>
      <sheetName val="Currencies"/>
      <sheetName val="Crew Costs"/>
      <sheetName val="Spread Costs"/>
      <sheetName val="Unique List_Misc"/>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In-House Summary"/>
      <sheetName val="CONFIG"/>
      <sheetName val="Datos"/>
      <sheetName val="7422CW_x0013__x0000_"/>
      <sheetName val=" _x0000__x001b__x0000__x0006__x0000__x0006__x0000__x0008__x0000_ _x0000__x0000_"/>
      <sheetName val="할증 "/>
      <sheetName val="Pengesahan "/>
      <sheetName val="RAB AR&amp;STR"/>
      <sheetName val="I-KAMAR"/>
      <sheetName val="BILL"/>
      <sheetName val="영업소실적"/>
      <sheetName val="PROJECT BRIEF"/>
      <sheetName val="tggwan(mac)"/>
      <sheetName val="Sum (Case-3)"/>
      <sheetName val="예산-내부"/>
      <sheetName val="Library"/>
      <sheetName val="_x0002__x0000_뻘N_x0000__x0000__"/>
      <sheetName val="_x0004__x0000__x000d__x0000__x0"/>
      <sheetName val="_x000a__x0000__x001b__x0000__x0"/>
      <sheetName val="_x0002__뻘N___x0001_ࠀ역서"/>
      <sheetName val="내역서_耰&quot;_x005f_x0000__x0000"/>
      <sheetName val="DB"/>
      <sheetName val="99. FWBS(Ref)"/>
      <sheetName val="99. Change Rate"/>
      <sheetName val="Weekl_x0004__x0000__x0016__x0000__x000d__x0000_"/>
      <sheetName val="_x0000__x000e__x0000__x0005_"/>
      <sheetName val="내역서_(N _x000e__x000e__x000e_  _x0012__x0010__x000a_"/>
      <sheetName val="ഀࠀကЀЀԀЀԀ̀ᤀഀ؀Ѐༀ"/>
      <sheetName val="골조시행"/>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Form_07"/>
      <sheetName val="Form_D-16"/>
      <sheetName val="Form_B-16"/>
      <sheetName val="Form_F-16"/>
      <sheetName val="Form_A6"/>
      <sheetName val="입출재고현황_(2)6"/>
      <sheetName val="General_Data7"/>
      <sheetName val="LABOR_&amp;_자재6"/>
      <sheetName val="간접비_총괄6"/>
      <sheetName val="Price_Schedule6"/>
      <sheetName val="3_공통공사대비6"/>
      <sheetName val="CAL_6"/>
      <sheetName val="Rate_Analysis6"/>
      <sheetName val="내역서_耰&quot;??6"/>
      <sheetName val="EQUIPMENT_-26"/>
      <sheetName val="6PILE__(돌출)5"/>
      <sheetName val="WEIGHT_LIST5"/>
      <sheetName val="산#2-1_(2)5"/>
      <sheetName val="BEND_LOSS5"/>
      <sheetName val="공사비_내역_(가)5"/>
      <sheetName val="3_Breakdown_Direct_Paint5"/>
      <sheetName val="Static_Equip5"/>
      <sheetName val="단면_(2)5"/>
      <sheetName val="Form_A_5"/>
      <sheetName val="내역서_耰&quot;_x005f_x0000__x005f_x0000_5"/>
      <sheetName val="내역서_耰&quot;__6"/>
      <sheetName val="Summary_Sheets5"/>
      <sheetName val="Civil_15"/>
      <sheetName val="Civil_25"/>
      <sheetName val="Civil_35"/>
      <sheetName val="Site_15"/>
      <sheetName val="Site_25"/>
      <sheetName val="Site_35"/>
      <sheetName val="Site_Faci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2_2_STAFF_Scedule4"/>
      <sheetName val="EQUIP_LIST4"/>
      <sheetName val="BM_DATA_SHEET5"/>
      <sheetName val="Man_Hole4"/>
      <sheetName val="내역서_耰&quot;_x005f_x005f_x005f_x0000__x005f_x005f_x0004"/>
      <sheetName val="7__월별투입내역서4"/>
      <sheetName val="계측_내역서4"/>
      <sheetName val="내역서_耰&quot;_x005f_x005f_x005f_x005f_x005f_x005f_x00004"/>
      <sheetName val="Vind_-_BtB4"/>
      <sheetName val="LV_induction_motors4"/>
      <sheetName val="BSD_(2)4"/>
      <sheetName val="Sheet1_(2)5"/>
      <sheetName val="Z-_GENERAL_PRICE_SUMMARY4"/>
      <sheetName val="_Estimate__4"/>
      <sheetName val="T_34"/>
      <sheetName val="HORI__VESSEL4"/>
      <sheetName val="Precios_Unitarios4"/>
      <sheetName val="Administrative_Prices4"/>
      <sheetName val="WBS_444"/>
      <sheetName val="WBS_414"/>
      <sheetName val="Precios_por_Administración4"/>
      <sheetName val="Subcon_A4"/>
      <sheetName val="내역서_耰&quot;_x005f_x005f_x005f_x005f_x005f_x005f_x005f4"/>
      <sheetName val="MP_MOB4"/>
      <sheetName val="Form_B4"/>
      <sheetName val="내역서_耰&quot;5"/>
      <sheetName val="[SANDAN_XLS??4"/>
      <sheetName val="Piping_BQ_for_one_turbine4"/>
      <sheetName val="Monthly_Load4"/>
      <sheetName val="Weekly_Load4"/>
      <sheetName val="Material_Selections4"/>
      <sheetName val="Utility_and_Fire_flange4"/>
      <sheetName val="_SANDAN_XLS__4"/>
      <sheetName val="97_사업추정(WEKI)4"/>
      <sheetName val="Eq__Mobilization4"/>
      <sheetName val="breakdown_of_wage_rate4"/>
      <sheetName val="Indirect_Cost4"/>
      <sheetName val="Resource_table4"/>
      <sheetName val="Heavy_Equipments2"/>
      <sheetName val="AG_Pipe_Qty_Analysis2"/>
      <sheetName val="입찰내역_발주처_양식1"/>
      <sheetName val="Equipment_List2"/>
      <sheetName val="Form1_SQP2"/>
      <sheetName val="공정계획(내부계획25%,내부w_f)2"/>
      <sheetName val="FWBS_15301"/>
      <sheetName val="Fire_Protection1"/>
      <sheetName val="SFN_ORIG2"/>
      <sheetName val="내역서_(∮ἀ嘆ɶ1"/>
      <sheetName val="Dir_Manpower_Other_Exp_1"/>
      <sheetName val="SCHEDD_TAMBAHAN1"/>
      <sheetName val="w't_table1"/>
      <sheetName val="실행예산_MM1"/>
      <sheetName val="BOQ-B_DOWN1"/>
      <sheetName val="단가_(2)1"/>
      <sheetName val="4-3LEVEL-5_epic_41"/>
      <sheetName val="ITB_COST2"/>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Form_06"/>
      <sheetName val="Form_D-15"/>
      <sheetName val="Form_B-15"/>
      <sheetName val="Form_F-15"/>
      <sheetName val="Form_A5"/>
      <sheetName val="입출재고현황_(2)5"/>
      <sheetName val="General_Data6"/>
      <sheetName val="LABOR_&amp;_자재5"/>
      <sheetName val="간접비_총괄5"/>
      <sheetName val="Price_Schedule5"/>
      <sheetName val="3_공통공사대비5"/>
      <sheetName val="CAL_5"/>
      <sheetName val="Rate_Analysis5"/>
      <sheetName val="내역서_耰&quot;??5"/>
      <sheetName val="EQUIPMENT_-25"/>
      <sheetName val="6PILE__(돌출)4"/>
      <sheetName val="WEIGHT_LIST4"/>
      <sheetName val="산#2-1_(2)4"/>
      <sheetName val="BEND_LOSS4"/>
      <sheetName val="공사비_내역_(가)4"/>
      <sheetName val="3_Breakdown_Direct_Paint4"/>
      <sheetName val="Static_Equip4"/>
      <sheetName val="단면_(2)4"/>
      <sheetName val="Form_A_4"/>
      <sheetName val="내역서_耰&quot;_x005f_x0000__x005f_x0000_4"/>
      <sheetName val="내역서_耰&quot;__5"/>
      <sheetName val="Summary_Sheets4"/>
      <sheetName val="Civil_14"/>
      <sheetName val="Civil_24"/>
      <sheetName val="Civil_34"/>
      <sheetName val="Site_14"/>
      <sheetName val="Site_24"/>
      <sheetName val="Site_34"/>
      <sheetName val="Site_Faci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2_2_STAFF_Scedule3"/>
      <sheetName val="EQUIP_LIST3"/>
      <sheetName val="BM_DATA_SHEET4"/>
      <sheetName val="Man_Hole3"/>
      <sheetName val="내역서_耰&quot;_x005f_x005f_x005f_x0000__x005f_x005f_x0003"/>
      <sheetName val="7__월별투입내역서3"/>
      <sheetName val="계측_내역서3"/>
      <sheetName val="내역서_耰&quot;_x005f_x005f_x005f_x005f_x005f_x005f_x00003"/>
      <sheetName val="Vind_-_BtB3"/>
      <sheetName val="LV_induction_motors3"/>
      <sheetName val="BSD_(2)3"/>
      <sheetName val="Sheet1_(2)4"/>
      <sheetName val="Z-_GENERAL_PRICE_SUMMARY3"/>
      <sheetName val="_Estimate__3"/>
      <sheetName val="T_33"/>
      <sheetName val="HORI__VESSEL3"/>
      <sheetName val="Precios_Unitarios3"/>
      <sheetName val="Administrative_Prices3"/>
      <sheetName val="WBS_443"/>
      <sheetName val="WBS_413"/>
      <sheetName val="Precios_por_Administración3"/>
      <sheetName val="Subcon_A3"/>
      <sheetName val="내역서_耰&quot;_x005f_x005f_x005f_x005f_x005f_x005f_x005f3"/>
      <sheetName val="MP_MOB3"/>
      <sheetName val="Form_B3"/>
      <sheetName val="내역서_耰&quot;4"/>
      <sheetName val="[SANDAN_XLS??3"/>
      <sheetName val="Piping_BQ_for_one_turbine3"/>
      <sheetName val="Monthly_Load3"/>
      <sheetName val="Weekly_Load3"/>
      <sheetName val="Material_Selections3"/>
      <sheetName val="Utility_and_Fire_flange3"/>
      <sheetName val="_SANDAN_XLS__3"/>
      <sheetName val="97_사업추정(WEKI)3"/>
      <sheetName val="Eq__Mobilization3"/>
      <sheetName val="breakdown_of_wage_rate3"/>
      <sheetName val="Indirect_Cost3"/>
      <sheetName val="Resource_table3"/>
      <sheetName val="Heavy_Equipments1"/>
      <sheetName val="AG_Pipe_Qty_Analysis1"/>
      <sheetName val="Equipment_List1"/>
      <sheetName val="Form1_SQP1"/>
      <sheetName val="공정계획(내부계획25%,내부w_f)1"/>
      <sheetName val="SFN_ORIG1"/>
      <sheetName val="내역서_(∮ἀ嘆ɶ"/>
      <sheetName val="ITB_COST1"/>
      <sheetName val="HVAC"/>
      <sheetName val="7422CW_x0013_"/>
      <sheetName val=" "/>
      <sheetName val="Weekl_x0004_"/>
      <sheetName val="_x0004__x000d__x0003__x0004__x0016__x000d__x0004_"/>
      <sheetName val="_x000a__x001b__x0006__x0006__x0008__x000a_"/>
      <sheetName val=" _x001b__x0006__x0006__x0008_ "/>
      <sheetName val="_x0004__x000d__x0"/>
      <sheetName val="_x000a__x001b__x0"/>
      <sheetName val="Weekl_x0004__x0016__x000d_"/>
      <sheetName val="_x000e__x0005_"/>
      <sheetName val="drg"/>
      <sheetName val="C1C2"/>
      <sheetName val="LIFE &amp; REP PROVN"/>
      <sheetName val="O&amp;M CREW"/>
      <sheetName val="ANX3A11"/>
      <sheetName val="5.) Time Delays"/>
      <sheetName val="KP_List"/>
      <sheetName val="경비실"/>
      <sheetName val="Ocean Transporation Charge"/>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2.Overall Summary "/>
      <sheetName val="Discounted Cash Flow"/>
      <sheetName val="경상"/>
      <sheetName val="??-BLDG"/>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예가표"/>
      <sheetName val="Cash Flow bulanan"/>
      <sheetName val="schalt"/>
      <sheetName val="schtng"/>
      <sheetName val="schbhn"/>
      <sheetName val="H.Satuan"/>
      <sheetName val="I_KAMAR"/>
      <sheetName val="Unt rate"/>
      <sheetName val="노임이"/>
      <sheetName val="Item code"/>
      <sheetName val="업체코드"/>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Codes.Pers"/>
      <sheetName val="SCH"/>
      <sheetName val="UP MINOR"/>
      <sheetName val="Bill rekap"/>
      <sheetName val="Harga Satuan"/>
      <sheetName val="LISTRIK"/>
      <sheetName val="F ALARM"/>
      <sheetName val="Direct PMS"/>
      <sheetName val="OPT_x0012__x0000__x0010__x0000__x000a__x0000_"/>
      <sheetName val="_x0000__x0013__x0000__x0014_"/>
      <sheetName val="검측서"/>
      <sheetName val="배수공"/>
      <sheetName val="장산"/>
      <sheetName val="시행분석"/>
      <sheetName val="AUX"/>
      <sheetName val="Aux."/>
      <sheetName val="PROTECTION_"/>
      <sheetName val="CUADRO_DE_PRECIOS"/>
      <sheetName val="Cash_In-Cash_Out_Actual"/>
      <sheetName val="w't_table2"/>
      <sheetName val="SCHEDD_TAMBAHAN2"/>
      <sheetName val="Fire_Protection2"/>
      <sheetName val="입찰내역_발주처_양식2"/>
      <sheetName val="Dir_Manpower_Other_Exp_2"/>
      <sheetName val="MODULE_CONFIRM1"/>
      <sheetName val="PROTECTION_1"/>
      <sheetName val="CUADRO_DE_PRECIOS1"/>
      <sheetName val="Cash_In-Cash_Out_Actual1"/>
      <sheetName val="Equipment_List3"/>
      <sheetName val="Form1_SQP3"/>
      <sheetName val="공정계획(내부계획25%,내부w_f)3"/>
      <sheetName val="Heavy_Equipments3"/>
      <sheetName val="AG_Pipe_Qty_Analysis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Equipment_List4"/>
      <sheetName val="Form1_SQP4"/>
      <sheetName val="공정계획(내부계획25%,내부w_f)4"/>
      <sheetName val="Heavy_Equipments4"/>
      <sheetName val="AG_Pipe_Qty_Analysis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  "/>
      <sheetName val="breakdown of wage ra`f"/>
      <sheetName val="breakdown of wage ra"/>
      <sheetName val="breakdown of wage rað-"/>
      <sheetName val="OCT.FDN"/>
      <sheetName val="D-3109"/>
      <sheetName val="Chart_Cable"/>
      <sheetName val="Exchange Rate"/>
      <sheetName val="예산실적전체당월"/>
      <sheetName val="00-Summary Information-ABB"/>
      <sheetName val="BD"/>
      <sheetName val="내역서_耰&quot;_x005f_x005f_x005f_x0000_"/>
      <sheetName val="내역서_耰&quot;_x005f_x005f_x005f_x005f_"/>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Raw data"/>
      <sheetName val="수량산출"/>
      <sheetName val="2. 현장 자금투입 집계표"/>
      <sheetName val="PWA"/>
      <sheetName val="9_1차이내역"/>
      <sheetName val="pipeline-1"/>
      <sheetName val="General Notes"/>
      <sheetName val="도면자료제출일정"/>
      <sheetName val="DROP DOWN"/>
      <sheetName val="Material code"/>
      <sheetName val="Action Item"/>
      <sheetName val="Rating"/>
      <sheetName val="유림골조"/>
      <sheetName val="ID.CD"/>
      <sheetName val="개시대사 (2)"/>
      <sheetName val="Sheet5"/>
      <sheetName val="Distribution Table"/>
      <sheetName val="BA1047集約"/>
      <sheetName val="손익차9월2"/>
      <sheetName val="_도면 및 도서 제출목록 및 일정_170202.xlsx"/>
      <sheetName val="TYPE"/>
      <sheetName val="Rates &amp; Legend"/>
      <sheetName val="EE-PROP"/>
      <sheetName val="DATA MENTAH"/>
      <sheetName val="차트 (2)"/>
      <sheetName val="BM"/>
      <sheetName val="CAL1"/>
      <sheetName val="물량표"/>
      <sheetName val="PABS,Site info"/>
      <sheetName val="0. Resource　Code"/>
      <sheetName val="Process Data (2)"/>
      <sheetName val="TJ1Q47"/>
      <sheetName val="Particular Sch"/>
      <sheetName val="{}"/>
      <sheetName val="_뻘N__ࠀ역서"/>
      <sheetName val=" _x0000__x001b__x0000__x0006__x"/>
      <sheetName val="Weekl_x0004__x0000__x0016__x000"/>
      <sheetName val="내역서_(N _x000e__x000e__x00"/>
      <sheetName val="내역서_(N _x000e__x000e__x000e_  _"/>
      <sheetName val="__-BLDG"/>
      <sheetName val="BQ_IMPORT"/>
      <sheetName val="Others"/>
      <sheetName val="내역서1999_8최종"/>
      <sheetName val="plan&amp;section_of_foundation1"/>
      <sheetName val="working_load_at_the_btm_ft_1"/>
      <sheetName val="stability_check1"/>
      <sheetName val="design_load1"/>
      <sheetName val="Updating_Form-Oct_2011"/>
      <sheetName val="Weld_Consumable"/>
      <sheetName val="NDE_Cost-Summary"/>
      <sheetName val="9July_Above_Ground_Pipe"/>
      <sheetName val="M_11"/>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PROJECT_BRIEF"/>
      <sheetName val="Unit_Price_"/>
      <sheetName val="Site_Findings_Status_Sheet"/>
      <sheetName val="Direct_PMS"/>
      <sheetName val="Sum_(Case-3)"/>
      <sheetName val="Man_Power_&amp;_Comp"/>
      <sheetName val="Data_List"/>
      <sheetName val="4-Basic_Price"/>
      <sheetName val="Evaluasi_Penw"/>
      <sheetName val="Currency_Rate"/>
      <sheetName val="1100-1200-1300-1910-2140-LEV_2"/>
      <sheetName val="Material_Price"/>
      <sheetName val="7422CW"/>
      <sheetName val="5_)_Time_Delays"/>
      <sheetName val="Tools_&amp;_Settings"/>
      <sheetName val="Data_Summary"/>
      <sheetName val="Crew_Costs"/>
      <sheetName val="Spread_Costs"/>
      <sheetName val="Unique_List_Misc"/>
      <sheetName val="In-House_Summary"/>
      <sheetName val="OPT_x000a_"/>
      <sheetName val="Weekl_x000a_"/>
      <sheetName val="Aux_"/>
      <sheetName val="breakdown of wage rap"/>
      <sheetName val="breakdown of wage ra"/>
      <sheetName val="HO_Site Rates-2011"/>
      <sheetName val="LEGENDA"/>
      <sheetName val="Process_Data_(2)"/>
      <sheetName val="실행집_x0005_"/>
      <sheetName val="실행집聈"/>
      <sheetName val="Codes_Pers"/>
      <sheetName val="대운산출"/>
      <sheetName val="design_criteria1"/>
      <sheetName val="11.자재단가"/>
      <sheetName val="2003상반기노임기준"/>
      <sheetName val="BQMP"/>
      <sheetName val="Equipment Spec List"/>
      <sheetName val="용접품"/>
      <sheetName val="절단품"/>
      <sheetName val="Header"/>
      <sheetName val="__x0000__x001b__x0000__x0006__x"/>
      <sheetName val="_"/>
      <sheetName val="MD"/>
      <sheetName val="Pipe-Hot"/>
      <sheetName val="DISCIPLINE"/>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00__x0000_6"/>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Al Taweelah"/>
      <sheetName val="Air Cooler-E"/>
      <sheetName val="SPEC LIST(EQUP, SYS)"/>
      <sheetName val="당초?∸ἀ"/>
      <sheetName val="Analysis"/>
      <sheetName val="EVA-004-MEC"/>
      <sheetName val="USDKRW"/>
      <sheetName val="Inquiry"/>
      <sheetName val="품셈TABLE"/>
      <sheetName val="定额"/>
      <sheetName val="BO䁑-B_䁄OWN"/>
      <sheetName val="UP_MINOR"/>
      <sheetName val="RAB_AR&amp;STR"/>
      <sheetName val="Cash_Flow_bulanan"/>
      <sheetName val="H_Satuan"/>
      <sheetName val="Bill_rekap"/>
      <sheetName val="99__FWBS(Ref)"/>
      <sheetName val="99__Change_Rate"/>
      <sheetName val="Harga_Satuan"/>
      <sheetName val="F_ALARM"/>
      <sheetName val="내역서_耰&quot;_x005f_x0000__x00001"/>
      <sheetName val="할증_"/>
      <sheetName val="내역서_(N____x000a_"/>
      <sheetName val="내역서_(N   _x000a_"/>
      <sheetName val="Discounted_Cash_Flow"/>
      <sheetName val="Ocean_Transporation_Charge"/>
      <sheetName val="차트_(2)"/>
      <sheetName val="Pengesahan_"/>
      <sheetName val="Exchange_Rate"/>
      <sheetName val="뻘N_"/>
      <sheetName val="_x000a__x0"/>
      <sheetName val="Unt_rate"/>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기기리스트"/>
      <sheetName val="내역서_(N _x000e__x000e__x000e_  _x0012__x0010_ "/>
      <sheetName val="Linelist LNGC Process"/>
      <sheetName val="2_Overall_Summary_"/>
      <sheetName val="내역서_(N_x0009__x000e__x000e__x000e__x0009__x0009__x0012__x0010__x000a_"/>
      <sheetName val="내역서_(N_x0009__x000e__x000e__x00"/>
      <sheetName val="208"/>
      <sheetName val="SUM "/>
      <sheetName val="Multi-currency"/>
      <sheetName val="구분"/>
      <sheetName val="TQ Format"/>
      <sheetName val="breakdown of wage raÐ¾"/>
      <sheetName val="Additional data"/>
      <sheetName val="공사비SUM"/>
      <sheetName val="백분율"/>
      <sheetName val="33628-Rev. A"/>
      <sheetName val="내역(한신APT)"/>
      <sheetName val="EQUIPMENT_-_x0000_"/>
      <sheetName val="손익차총괄2"/>
      <sheetName val="热力"/>
      <sheetName val="PHSB"/>
      <sheetName val="AN"/>
      <sheetName val="환율"/>
      <sheetName val="Attach 4-18"/>
      <sheetName val="Basic"/>
      <sheetName val="B_Down"/>
      <sheetName val="Scheme Area Details_Block__ C2"/>
      <sheetName val="바닥판_x0000_⽷_x0000_"/>
      <sheetName val="Values"/>
      <sheetName val="Orçamento"/>
      <sheetName val="Cashflow Analysis"/>
      <sheetName val="Codes"/>
      <sheetName val="Drop-Downs"/>
      <sheetName val="EXPAN-1"/>
      <sheetName val="공사비집계"/>
      <sheetName val="Pulldown"/>
      <sheetName val="14-Eng rate"/>
      <sheetName val="Grafico"/>
      <sheetName val="C-301E~305E"/>
      <sheetName val="Finansal tamamlanma Eğrisi"/>
      <sheetName val="SIVA"/>
      <sheetName val="인산"/>
      <sheetName val="Données"/>
      <sheetName val="GraphData"/>
      <sheetName val="내역서 (∮ἀ嘆ɶ?᠀㬁?"/>
      <sheetName val="당초_xd8b4_➴ȭ"/>
      <sheetName val="Demand"/>
      <sheetName val="Occ"/>
      <sheetName val="SPT vs PHI"/>
      <sheetName val="Master List"/>
      <sheetName val="ABUT수량-A1"/>
      <sheetName val="CONST"/>
      <sheetName val="BHANDUP"/>
      <sheetName val="Register"/>
      <sheetName val="INPUT DATA OF SCHEDULE"/>
      <sheetName val="Benchmark"/>
      <sheetName val="BSD ᯷㧓_x0001_"/>
      <sheetName val="서부산시설"/>
      <sheetName val="SUPTMTO"/>
      <sheetName val="Tender data"/>
      <sheetName val="Precios Unitariԯ_x0000_"/>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REF"/>
      <sheetName val="WIP"/>
      <sheetName val="내역서 ᢐ_x001f__x0000__x0000_"/>
      <sheetName val="Admin Manu 2-Equipment Type ID"/>
      <sheetName val="KUWATI(Total)_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OPTION_210"/>
      <sheetName val="OPTION_310"/>
      <sheetName val="2002년_현장공사비_국내_실적10"/>
      <sheetName val="2003년국내현장공사비_실적10"/>
      <sheetName val="VC2_10_9910"/>
      <sheetName val="INPUT_DATA9"/>
      <sheetName val="General_Data9"/>
      <sheetName val="집계표_(25,26ဩ9"/>
      <sheetName val="Form_09"/>
      <sheetName val="Form_D-18"/>
      <sheetName val="Form_B-18"/>
      <sheetName val="Form_F-18"/>
      <sheetName val="Form_A8"/>
      <sheetName val="LABOR_&amp;_자재8"/>
      <sheetName val="입출재고현황_(2)8"/>
      <sheetName val="3_공통공사대비8"/>
      <sheetName val="간접비_총괄8"/>
      <sheetName val="Price_Schedule8"/>
      <sheetName val="CAL_8"/>
      <sheetName val="Rate_Analysis8"/>
      <sheetName val="WEIGHT_LIST7"/>
      <sheetName val="산#2-1_(2)7"/>
      <sheetName val="BEND_LOSS7"/>
      <sheetName val="공사비_내역_(가)7"/>
      <sheetName val="EQUIPMENT_-28"/>
      <sheetName val="6PILE__(돌출)7"/>
      <sheetName val="내역서_耰&quot;??8"/>
      <sheetName val="Static_Equip7"/>
      <sheetName val="단면_(2)7"/>
      <sheetName val="Form_A_7"/>
      <sheetName val="Man_Hole6"/>
      <sheetName val="3_Breakdown_Direct_Paint7"/>
      <sheetName val="내역서_耰&quot;_x005f_x0000__x005f_x0000_7"/>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내역서_耰&quot;__8"/>
      <sheetName val="Summary_Sheets7"/>
      <sheetName val="Civil_17"/>
      <sheetName val="Civil_27"/>
      <sheetName val="Civil_37"/>
      <sheetName val="Site_17"/>
      <sheetName val="Site_27"/>
      <sheetName val="Site_37"/>
      <sheetName val="Site_Faci7"/>
      <sheetName val="Monthly_Load6"/>
      <sheetName val="Weekly_Load6"/>
      <sheetName val="내역서_耰&quot;_x005f_x005f_x005f_x0000__x005f_x005f_x0006"/>
      <sheetName val="Precios_Unitarios6"/>
      <sheetName val="2_2_STAFF_Scedule6"/>
      <sheetName val="내역서_耰&quot;_x005f_x005f_x005f_x005f_x005f_x005f_x00006"/>
      <sheetName val="Administrative_Prices6"/>
      <sheetName val="WBS_446"/>
      <sheetName val="WBS_416"/>
      <sheetName val="Precios_por_Administración6"/>
      <sheetName val="Subcon_A6"/>
      <sheetName val="내역서_耰&quot;_x005f_x005f_x005f_x005f_x005f_x005f_x005f6"/>
      <sheetName val="Sheet1_(2)7"/>
      <sheetName val="7__월별투입내역서6"/>
      <sheetName val="계측_내역서6"/>
      <sheetName val="Z-_GENERAL_PRICE_SUMMARY6"/>
      <sheetName val="_Estimate__6"/>
      <sheetName val="T_36"/>
      <sheetName val="HORI__VESSEL6"/>
      <sheetName val="EQUIP_LIST6"/>
      <sheetName val="Form_B6"/>
      <sheetName val="Vind_-_BtB6"/>
      <sheetName val="LV_induction_motors6"/>
      <sheetName val="BSD_(2)6"/>
      <sheetName val="MP_MOB6"/>
      <sheetName val="BM_DATA_SHEET7"/>
      <sheetName val="[SANDAN_XLS??6"/>
      <sheetName val="Piping_BQ_for_one_turbine6"/>
      <sheetName val="97_사업추정(WEKI)6"/>
      <sheetName val="breakdown_of_wage_rate6"/>
      <sheetName val="Indirect_Cost6"/>
      <sheetName val="Material_Selections6"/>
      <sheetName val="Eq__Mobilization6"/>
      <sheetName val="SFN_ORIG6"/>
      <sheetName val="Resource_table6"/>
      <sheetName val="AG_Pipe_Qty_Analysis6"/>
      <sheetName val="Utility_and_Fire_flange6"/>
      <sheetName val="Equipment_List6"/>
      <sheetName val="Form1_SQP6"/>
      <sheetName val="공정계획(내부계획25%,내부w_f)6"/>
      <sheetName val="_SANDAN_XLS__6"/>
      <sheetName val="Heavy_Equipments6"/>
      <sheetName val="입찰내역_발주처_양식6"/>
      <sheetName val="BOQ-B_DOWN5"/>
      <sheetName val="w't_table6"/>
      <sheetName val="실행예산_MM5"/>
      <sheetName val="Dir_Manpower_Other_Exp_6"/>
      <sheetName val="SCHEDD_TAMBAHAN6"/>
      <sheetName val="Fire_Protection6"/>
      <sheetName val="단가_(2)5"/>
      <sheetName val="4-3LEVEL-5_epic_45"/>
      <sheetName val="FWBS_15305"/>
      <sheetName val="MODULE_CONFIRM5"/>
      <sheetName val="내역서_(∮ἀ嘆ɶ5"/>
      <sheetName val="ITB_COST6"/>
      <sheetName val="PROTECTION_5"/>
      <sheetName val="Cash_In-Cash_Out_Actual5"/>
      <sheetName val="CUADRO_DE_PRECIOS5"/>
      <sheetName val="Updating_Form-Oct_20111"/>
      <sheetName val="Weld_Consumable1"/>
      <sheetName val="NDE_Cost-Summary1"/>
      <sheetName val="9July_Above_Ground_Pipe1"/>
      <sheetName val="M_111"/>
      <sheetName val="Process_Data_11"/>
      <sheetName val="내역서1999_8최종1"/>
      <sheetName val="plan&amp;section_of_foundation2"/>
      <sheetName val="working_load_at_the_btm_ft_2"/>
      <sheetName val="stability_check2"/>
      <sheetName val="design_load2"/>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1100-1200-1300-1910-2140-LEV_21"/>
      <sheetName val="Currency_Rate1"/>
      <sheetName val="4-Basic_Price1"/>
      <sheetName val="Evaluasi_Penw1"/>
      <sheetName val="Man_Power_&amp;_Comp1"/>
      <sheetName val="Data_List1"/>
      <sheetName val="Material_Price1"/>
      <sheetName val="Closeout_Control1"/>
      <sheetName val="Site_Findings_Status_Sheet1"/>
      <sheetName val="Tools_&amp;_Settings1"/>
      <sheetName val="Data_Summary1"/>
      <sheetName val="Crew_Costs1"/>
      <sheetName val="Spread_Costs1"/>
      <sheetName val="Unique_List_Misc1"/>
      <sheetName val="Sum_(Case-3)1"/>
      <sheetName val="In-House_Summary1"/>
      <sheetName val="PROJECT_BRIEF1"/>
      <sheetName val="Direct_PMS1"/>
      <sheetName val="내역서_耰&quot;_x005f_x005f_x005f_x0000_1"/>
      <sheetName val="내역서_耰&quot;_x005f_x005f_x005f_x005f_1"/>
      <sheetName val="5_)_Time_Delays1"/>
      <sheetName val="Aux_1"/>
      <sheetName val="Codes_Pers1"/>
      <sheetName val="00-Summary_Information-ABB"/>
      <sheetName val="PABS,Site_info"/>
      <sheetName val="0__Resource　Code"/>
      <sheetName val="__1"/>
      <sheetName val="_1"/>
      <sheetName val="breakdown_of_wage_ra`f"/>
      <sheetName val="breakdown_of_wage_ra"/>
      <sheetName val="breakdown_of_wage_rað-"/>
      <sheetName val="Material_code"/>
      <sheetName val="__x"/>
      <sheetName val="E-160"/>
      <sheetName val="CASH"/>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Unt_rate1"/>
      <sheetName val="2__현장_자금투입_집계표1"/>
      <sheetName val="_도면_및_도서_제출목록_및_일정_170202_xlsx1"/>
      <sheetName val="Rates_&amp;_Legend1"/>
      <sheetName val="Cash_Flow_bulanan1"/>
      <sheetName val="H_Satuan1"/>
      <sheetName val="Discounted_Cash_Flow1"/>
      <sheetName val="Ocean_Transporation_Charge1"/>
      <sheetName val="Pengesahan_1"/>
      <sheetName val="OCT_FDN1"/>
      <sheetName val="General_Notes1"/>
      <sheetName val="BO䁑-B_䁄OWN1"/>
      <sheetName val="Exchange_Rate1"/>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Distribution_Table"/>
      <sheetName val="HO_Site_Rates-2011"/>
      <sheetName val="내역서_(N____"/>
      <sheetName val="TABLAS"/>
      <sheetName val="design_criteria2"/>
      <sheetName val="내역서_耰&quot;_x005f_x0000_1"/>
      <sheetName val="내역서_耰&quot;_x005f_x005f_1"/>
      <sheetName val="OPT"/>
      <sheetName val="내역서_耰&quot;_"/>
      <sheetName val="리스크 분류체계"/>
      <sheetName val="Risk"/>
      <sheetName val="광통신 견적내역서1"/>
      <sheetName val="Cash Flow"/>
      <sheetName val="Yield"/>
      <sheetName val="날개벽"/>
      <sheetName val="Basis(site)"/>
      <sheetName val="Leyenda"/>
      <sheetName val="Itembalance Report (18-sep-18)"/>
      <sheetName val="BUDGET SUMMARY "/>
      <sheetName val="Activity Form"/>
      <sheetName val="Fig 4-14"/>
      <sheetName val="TABELE"/>
      <sheetName val="GM 000"/>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Perm. Test"/>
      <sheetName val="SECL 리스크 분류체계 (2)"/>
      <sheetName val="Drop"/>
      <sheetName val="1.설계기준"/>
      <sheetName val="FORM-0"/>
      <sheetName val="5. 월별투입내역서"/>
      <sheetName val="95TOTREV"/>
      <sheetName val="REF for VV"/>
      <sheetName val="REF"/>
      <sheetName val="일위대가 "/>
      <sheetName val="98수문일위"/>
      <sheetName val="조명시설"/>
      <sheetName val="설산1.나"/>
      <sheetName val="본사S"/>
      <sheetName val="건축내역"/>
      <sheetName val="인사자료총집계"/>
      <sheetName val="配管単価"/>
      <sheetName val="Mat"/>
      <sheetName val="제출계산서"/>
      <sheetName val="2857Q&amp;PL"/>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SUM_"/>
      <sheetName val="Equipment_Spec_List"/>
      <sheetName val="SPEC_LIST(EQUP,_SYS)"/>
      <sheetName val="Direct Histogram Rev. A (f)"/>
      <sheetName val="Folha1"/>
      <sheetName val="Tables 3.1 to 3.5 EXH G"/>
      <sheetName val="Depreciation"/>
      <sheetName val="Validation"/>
      <sheetName val="ADMON"/>
      <sheetName val="EQUIPOS DE SEGURIDAD"/>
      <sheetName val="MATERIALES CONSUMIBLES"/>
      <sheetName val="PERSONAL INDIRECTO "/>
      <sheetName val="터파기및재료"/>
      <sheetName val="Rate"/>
      <sheetName val="단가대비표"/>
      <sheetName val="16"/>
      <sheetName val="50"/>
      <sheetName val="단가"/>
      <sheetName val="간접비"/>
      <sheetName val="Dropdown"/>
      <sheetName val="MC-1"/>
      <sheetName val="Att-1 CTCI MH rate"/>
      <sheetName val="목록"/>
      <sheetName val="Cost Code"/>
      <sheetName val="Data Ref"/>
      <sheetName val="Interdept Rate"/>
      <sheetName val="내역서_耰&quot;6"/>
      <sheetName val="내역서_耰&quot;_x0000__x0000_"/>
      <sheetName val="내역서_耰&quot;_x0000__x0000_1"/>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Normalisasi"/>
      <sheetName val="Tgh JGC-Inv I clp"/>
      <sheetName val="PCS "/>
      <sheetName val="Progress Statement-SI"/>
      <sheetName val="Progress Payment-3110"/>
      <sheetName val="인원聈2"/>
      <sheetName val="견적서"/>
      <sheetName val="간접노무비"/>
      <sheetName val="BM #1"/>
      <sheetName val="달력"/>
      <sheetName val=" _x0000__x001b__x0000__x0"/>
      <sheetName val="OPT_x0012__x0000__x0010__x0000_ _x0000_"/>
      <sheetName val="Weekl "/>
      <sheetName val="내역서_(N___ "/>
      <sheetName val="내역서_(N    "/>
      <sheetName val=" _x0"/>
      <sheetName val="OPT "/>
      <sheetName val="급여"/>
      <sheetName val="공사"/>
      <sheetName val="총괄"/>
      <sheetName val="입찰안"/>
      <sheetName val="전표분개장(공종별)"/>
      <sheetName val="노무비집계"/>
      <sheetName val="공통가설"/>
      <sheetName val="자재비"/>
      <sheetName val="감모비"/>
      <sheetName val="Land Dev't. Ph-1"/>
      <sheetName val="4300 UTILITY BLDG (2)"/>
      <sheetName val="0000"/>
      <sheetName val="P-Ins &amp; Bonds"/>
      <sheetName val="INSTLIST 1"/>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1"/>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Galian 1"/>
      <sheetName val="Analisa-Harga"/>
      <sheetName val="Analisa Lump sum"/>
      <sheetName val="data-pendukung"/>
      <sheetName val="CH-RANC"/>
      <sheetName val="351BQMCN"/>
      <sheetName val="rap"/>
      <sheetName val="As"/>
      <sheetName val="Sec I ML"/>
      <sheetName val="Har_mat"/>
      <sheetName val="chitimc"/>
      <sheetName val="dongia (2)"/>
      <sheetName val="LKVL-CK-HT-GD1"/>
      <sheetName val="本体取纏"/>
      <sheetName val="鉄骨纏め"/>
      <sheetName val="34"/>
      <sheetName val="35"/>
      <sheetName val="LOADDAT"/>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List register"/>
      <sheetName val="Wellhrs"/>
      <sheetName val="37"/>
      <sheetName val="64.4"/>
      <sheetName val="64.5"/>
      <sheetName val="22"/>
      <sheetName val="36.2"/>
      <sheetName val="36.1"/>
      <sheetName val="NP"/>
      <sheetName val="Index"/>
      <sheetName val="Graph"/>
      <sheetName val="CCL"/>
      <sheetName val="tifico"/>
      <sheetName val="合成単価作成表_BLDG"/>
      <sheetName val="회사99"/>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7-2"/>
      <sheetName val="최종(1)사용"/>
      <sheetName val="SoW"/>
      <sheetName val="Lookup"/>
      <sheetName val="SPEC(RECEPTACLE)"/>
      <sheetName val="SPEC(CABLE &amp; WIRE)"/>
      <sheetName val="Enron Form"/>
      <sheetName val="表三甲"/>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TESİSAT"/>
      <sheetName val="1.11.b"/>
      <sheetName val="품의서(지출)"/>
      <sheetName val="손익합산"/>
      <sheetName val="5. Work load(현재원기준)"/>
      <sheetName val="05. Curva S"/>
      <sheetName val="Offer"/>
      <sheetName val="TR Rev vs Commit"/>
      <sheetName val="TR +MMHE PL report"/>
      <sheetName val="P23P2724 _ Commitment "/>
      <sheetName val="Up"/>
      <sheetName val="부재치수입력"/>
      <sheetName val="OPT_x0012__x0000__x0010__x0000_"/>
      <sheetName val="PI-18031-M3-BOQ"/>
      <sheetName val="Void"/>
      <sheetName val="F&amp;C"/>
      <sheetName val="Settings"/>
      <sheetName val="6.공정표"/>
      <sheetName val="주차구획선수량"/>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금융비용"/>
      <sheetName val="을지"/>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_x005f_x005f_x005f_x005f_x005f_x005f_x00ည톐ឮ"/>
      <sheetName val="eqpmad2"/>
      <sheetName val="BazaEL"/>
      <sheetName val="광통신_견적내역서1"/>
      <sheetName val="내역서_(N__x001"/>
      <sheetName val="KUWATI(Total)_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OPTION_212"/>
      <sheetName val="OPTION_3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내역서_耰&quot;??10"/>
      <sheetName val="EQUIPMENT_-210"/>
      <sheetName val="CAL_10"/>
      <sheetName val="공사비_내역_(가)9"/>
      <sheetName val="WEIGHT_LIST9"/>
      <sheetName val="산#2-1_(2)9"/>
      <sheetName val="BEND_LOSS9"/>
      <sheetName val="단면_(2)9"/>
      <sheetName val="6PILE__(돌출)9"/>
      <sheetName val="Static_Equip9"/>
      <sheetName val="Form_A_9"/>
      <sheetName val="내역서_耰&quot;_x005f_x0000__x005f_x0000_9"/>
      <sheetName val="3_Breakdown_Direct_Paint9"/>
      <sheetName val="내역서_耰&quot;__10"/>
      <sheetName val="Summary_Sheets9"/>
      <sheetName val="Civil_19"/>
      <sheetName val="Civil_29"/>
      <sheetName val="Civil_39"/>
      <sheetName val="Site_19"/>
      <sheetName val="Site_29"/>
      <sheetName val="Site_39"/>
      <sheetName val="Site_Faci9"/>
      <sheetName val="Administrative_Prices8"/>
      <sheetName val="WBS_448"/>
      <sheetName val="WBS_418"/>
      <sheetName val="Precios_por_Administración8"/>
      <sheetName val="Precios_Unitarios8"/>
      <sheetName val="Subcon_A8"/>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Man_Hole8"/>
      <sheetName val="2_2_STAFF_Scedule8"/>
      <sheetName val="내역서_耰&quot;_x005f_x005f_x005f_x0000__x005f_x005f_x0008"/>
      <sheetName val="내역서_耰&quot;_x005f_x005f_x005f_x005f_x005f_x005f_x00008"/>
      <sheetName val="Z-_GENERAL_PRICE_SUMMARY8"/>
      <sheetName val="_Estimate__8"/>
      <sheetName val="내역서_耰&quot;_x005f_x005f_x005f_x005f_x005f_x005f_x005f8"/>
      <sheetName val="7__월별투입내역서8"/>
      <sheetName val="계측_내역서8"/>
      <sheetName val="Vind_-_BtB8"/>
      <sheetName val="LV_induction_motors8"/>
      <sheetName val="BSD_(2)8"/>
      <sheetName val="BM_DATA_SHEET9"/>
      <sheetName val="Sheet1_(2)9"/>
      <sheetName val="T_38"/>
      <sheetName val="HORI__VESSEL8"/>
      <sheetName val="EQUIP_LIST8"/>
      <sheetName val="MP_MOB8"/>
      <sheetName val="Form_B8"/>
      <sheetName val="97_사업추정(WEKI)8"/>
      <sheetName val="breakdown_of_wage_rate8"/>
      <sheetName val="Monthly_Load8"/>
      <sheetName val="Material_Selections8"/>
      <sheetName val="Weekly_Load8"/>
      <sheetName val="[SANDAN_XLS??8"/>
      <sheetName val="Piping_BQ_for_one_turbine8"/>
      <sheetName val="Eq__Mobilization8"/>
      <sheetName val="Indirect_Cost8"/>
      <sheetName val="Heavy_Equipments8"/>
      <sheetName val="AG_Pipe_Qty_Analysis8"/>
      <sheetName val="Utility_and_Fire_flange8"/>
      <sheetName val="_SANDAN_XLS__8"/>
      <sheetName val="입찰내역_발주처_양식8"/>
      <sheetName val="Resource_table8"/>
      <sheetName val="SFN_ORIG8"/>
      <sheetName val="Equipment_List8"/>
      <sheetName val="Form1_SQP8"/>
      <sheetName val="공정계획(내부계획25%,내부w_f)8"/>
      <sheetName val="w't_table8"/>
      <sheetName val="SCHEDD_TAMBAHAN8"/>
      <sheetName val="Fire_Protection8"/>
      <sheetName val="Dir_Manpower_Other_Exp_8"/>
      <sheetName val="FWBS_15307"/>
      <sheetName val="내역서_(∮ἀ嘆ɶ7"/>
      <sheetName val="4-3LEVEL-5_epic_47"/>
      <sheetName val="단가_(2)7"/>
      <sheetName val="실행예산_MM7"/>
      <sheetName val="ITB_COST8"/>
      <sheetName val="MODULE_CONFIRM7"/>
      <sheetName val="BOQ-B_DOWN7"/>
      <sheetName val="PROTECTION_7"/>
      <sheetName val="plan&amp;section_of_foundation4"/>
      <sheetName val="Unit_Price_3"/>
      <sheetName val="Cash_In-Cash_Out_Actual7"/>
      <sheetName val="내역서1999_8최종3"/>
      <sheetName val="CUADRO_DE_PRECIOS7"/>
      <sheetName val="working_load_at_the_btm_ft_4"/>
      <sheetName val="stability_check4"/>
      <sheetName val="design_load4"/>
      <sheetName val="1100-1200-1300-1910-2140-LEV_23"/>
      <sheetName val="Updating_Form-Oct_20113"/>
      <sheetName val="Weld_Consumable3"/>
      <sheetName val="NDE_Cost-Summary3"/>
      <sheetName val="9July_Above_Ground_Pipe3"/>
      <sheetName val="M_113"/>
      <sheetName val="Process_Data_13"/>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Closeout_Control3"/>
      <sheetName val="Site_Findings_Status_Sheet3"/>
      <sheetName val="내역서_耰&quot;_x005f_x005f_x005f_x0000_3"/>
      <sheetName val="내역서_耰&quot;_x005f_x005f_x005f_x005f_3"/>
      <sheetName val="Currency_Rate3"/>
      <sheetName val="4-Basic_Price3"/>
      <sheetName val="Evaluasi_Penw3"/>
      <sheetName val="Man_Power_&amp;_Comp3"/>
      <sheetName val="Data_List3"/>
      <sheetName val="Material_Price3"/>
      <sheetName val="Codes_Pers3"/>
      <sheetName val="Sum_(Case-3)3"/>
      <sheetName val="PROJECT_BRIEF3"/>
      <sheetName val="Tools_&amp;_Settings3"/>
      <sheetName val="Data_Summary3"/>
      <sheetName val="Crew_Costs3"/>
      <sheetName val="Spread_Costs3"/>
      <sheetName val="Unique_List_Misc3"/>
      <sheetName val="In-House_Summary3"/>
      <sheetName val="Direct_PMS3"/>
      <sheetName val="5_)_Time_Delays3"/>
      <sheetName val="Aux_3"/>
      <sheetName val="Process_Data_(2)3"/>
      <sheetName val="Material_code2"/>
      <sheetName val="__3"/>
      <sheetName val="_3"/>
      <sheetName val="breakdown_of_wage_ra`f2"/>
      <sheetName val="breakdown_of_wage_ra2"/>
      <sheetName val="breakdown_of_wage_rað-2"/>
      <sheetName val="00-Summary_Information-ABB2"/>
      <sheetName val="내역서_耰&quot;_x005f_x0000_3"/>
      <sheetName val="내역서_耰&quot;_x005f_x005f_3"/>
      <sheetName val="2_Overall_Summary_2"/>
      <sheetName val="0__Resource　Code2"/>
      <sheetName val="breakdown_of_wage_rap2"/>
      <sheetName val="breakdown_of_wage_ra2"/>
      <sheetName val="Finansal_tamamlanma_Eğrisi1"/>
      <sheetName val="내역서_耰&quot;8"/>
      <sheetName val="내역서_耰&quot;_2"/>
      <sheetName val="PABS,Site_info2"/>
      <sheetName val="Distribution_Table2"/>
      <sheetName val="Raw_data2"/>
      <sheetName val="Action_Item2"/>
      <sheetName val="Cashflow_Analysis1"/>
      <sheetName val="Attach_4-181"/>
      <sheetName val="SUM_1"/>
      <sheetName val="내역서_(∮ἀ嘆ɶ?᠀㬁?1"/>
      <sheetName val="광통신_견적내역서11"/>
      <sheetName val="리스크_분류체계1"/>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11_자재단가1"/>
      <sheetName val="LIFE_&amp;_REP_PROVN1"/>
      <sheetName val="O&amp;M_CREW1"/>
      <sheetName val="Option"/>
      <sheetName val="Kodlamalar"/>
      <sheetName val="Kod_Location"/>
      <sheetName val="5.Cennik"/>
      <sheetName val="5_Cennik"/>
      <sheetName val="Powierzchnie"/>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fG"/>
      <sheetName val="IRR sponsor"/>
      <sheetName val="4-Lane bridge"/>
      <sheetName val="Insulation_Utl_Off"/>
      <sheetName val="Note_Piping"/>
      <sheetName val="List Equip"/>
      <sheetName val="MatCost"/>
      <sheetName val="Concrete"/>
      <sheetName val="Process C (1-166)"/>
      <sheetName val="TRUCK HAUL CYCLE-waste"/>
      <sheetName val="Existing PC Pavement"/>
      <sheetName val="Subgrade"/>
      <sheetName val="GAE8'97"/>
      <sheetName val="LLEGADA"/>
      <sheetName val="Sch.6"/>
      <sheetName val="DESBASTE"/>
      <sheetName val="Cash-Flow"/>
      <sheetName val="Master Data"/>
      <sheetName val="ind'l cp"/>
      <sheetName val="coutprod"/>
      <sheetName val="LAST UPDATE"/>
      <sheetName val="author_spending"/>
      <sheetName val="0.품의서(전체)"/>
      <sheetName val="3.부제O호표"/>
      <sheetName val="5.소모재료비"/>
      <sheetName val="8.시멘트제원표"/>
      <sheetName val="2.품제O호표"/>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내역서_(N___ 1"/>
      <sheetName val="공통부대비"/>
      <sheetName val="재공품기초자료"/>
      <sheetName val="하치장수불부"/>
      <sheetName val="산수배수"/>
      <sheetName val="PROGRAM"/>
      <sheetName val="CASHFLOW"/>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CodeSheet"/>
      <sheetName val="CodeSheet(신2)"/>
      <sheetName val="내역서(실행)"/>
      <sheetName val="Equipt Rental"/>
      <sheetName val="CFA"/>
      <sheetName val="EQ"/>
      <sheetName val="EQ USED (CORRECTED)"/>
      <sheetName val="6BPRO"/>
      <sheetName val="2013电气概算 价目表 (营改增调整)"/>
      <sheetName val="06定额"/>
      <sheetName val="CERTIFICATE"/>
      <sheetName val="Rebar Constant"/>
      <sheetName val="Map"/>
      <sheetName val="CONCRETE TYPE"/>
      <sheetName val="실행대비"/>
      <sheetName val="Sheet"/>
      <sheetName val="Statprod gab"/>
      <sheetName val="L 1"/>
      <sheetName val="External Issues"/>
      <sheetName val="BSD_᯷㧓"/>
      <sheetName val="Tender_data"/>
      <sheetName val="Scheme_Area_Details_Block___C2"/>
      <sheetName val="Cash_Flow"/>
      <sheetName val="5__월별투입내역서"/>
      <sheetName val="GM_000"/>
      <sheetName val="1_설계기준"/>
      <sheetName val="일위대가_"/>
      <sheetName val="MOD-MOI-DOT"/>
      <sheetName val="EQUI-CONS"/>
      <sheetName val="기준표"/>
      <sheetName val="Equip_Mstr"/>
      <sheetName val="Costing"/>
      <sheetName val="Equip_Mstr FOR 3A1"/>
      <sheetName val="Welder"/>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내역서_耰&quot;_x0000__x0006"/>
      <sheetName val="내역서_耰&quot;_x00006"/>
      <sheetName val="내역서_耰&quot;_x005f6"/>
      <sheetName val="name"/>
      <sheetName val="tblg denda"/>
      <sheetName val="304-06"/>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 토목 처리장도급내역서 "/>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FAB별"/>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Budget"/>
      <sheetName val="Vehicle Log"/>
      <sheetName val="Garph Work-Cost"/>
      <sheetName val="견적의뢰"/>
      <sheetName val="InsertListDrawing 1 "/>
      <sheetName val="InD Mpower"/>
      <sheetName val="ANAL"/>
      <sheetName val="내역서 ᢐ_x001f_"/>
      <sheetName val="EQUIPMENT_-"/>
      <sheetName val="내역서_耰&quot;7"/>
      <sheetName val="내역서_耰&quot;_x0000"/>
      <sheetName val="내역서_耰&quot;_x0000__x0000_2"/>
      <sheetName val="내역서_耰&quot;_x0000__x0000_3"/>
      <sheetName val="내역서_耰&quot;_x0000__x0000_4"/>
      <sheetName val="내역서_耰&quot;_x0000__x0000_5"/>
      <sheetName val="내역서 耰&quot;_x0000_"/>
      <sheetName val="내역서_耰&quot;_x0000_"/>
      <sheetName val="내역ࠜĀM4"/>
      <sheetName val="내역서_耰&quot;_x0001"/>
      <sheetName val="내역서_耰&quot;_x0002"/>
      <sheetName val="Precios Unitariԯ"/>
      <sheetName val="내역서_耰&quot;_x0000__x00001"/>
      <sheetName val="_x0000__x0004_"/>
      <sheetName val="영동(D)"/>
      <sheetName val="동상부 Tact 기준 반입일정 및 수량_0217"/>
      <sheetName val="Data Ref."/>
      <sheetName val="KKS System Codes"/>
      <sheetName val="Price Schedule Code"/>
      <sheetName val="VAT TU DIEN"/>
      <sheetName val="bldg list"/>
      <sheetName val="Instrumentation&amp;Automation"/>
      <sheetName val="MFG &amp; DEL"/>
      <sheetName val="05__Curva_S"/>
      <sheetName val="구매DWG-정산용"/>
      <sheetName val="Tubing"/>
      <sheetName val="F1.4"/>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내역서_耰&quot;_x005f_x0000__x0007"/>
      <sheetName val="내역서_耰&quot;_x005f_x005f_x00007"/>
      <sheetName val="내역서_耰&quot;_x005f_x005f_x005f7"/>
      <sheetName val="당초_∸ἀ"/>
      <sheetName val="내역서 (∮ἀ嘆ɶ_᠀㬁_"/>
      <sheetName val="내역서_(∮ἀ嘆ɶ_᠀㬁_"/>
      <sheetName val="M&amp;E Summary"/>
      <sheetName val="rev summary"/>
      <sheetName val="M&amp;E Prelims"/>
      <sheetName val="A-ELECT&amp;ELV"/>
      <sheetName val="B-FP (2)"/>
      <sheetName val="C-ACMV"/>
      <sheetName val="D-P&amp;S"/>
      <sheetName val="equiplist"/>
      <sheetName val="Sch.1"/>
      <sheetName val="Other data"/>
      <sheetName val="Manpower Categories"/>
      <sheetName val="SD_Trains_2019"/>
      <sheetName val="Analisa_Fave"/>
      <sheetName val="Harsat_Bahan"/>
      <sheetName val="Harsat_Subkon"/>
      <sheetName val="Harsat_Upah"/>
      <sheetName val="Agregat_Halus_&amp;_Kasar"/>
      <sheetName val="Master_1_0"/>
      <sheetName val="HARGA_MATERIAL"/>
      <sheetName val="Harga_Sat_APP"/>
      <sheetName val="Rekap Biaya"/>
      <sheetName val="Kuantitas &amp; Harga"/>
      <sheetName val="Nopember (2)"/>
      <sheetName val="Nopember"/>
      <sheetName val="Units"/>
      <sheetName val="Chap 2- Page 4 "/>
      <sheetName val="Eng_Hrs (HO)"/>
      <sheetName val="RAB_AR&amp;STR3"/>
      <sheetName val="할증_3"/>
      <sheetName val="BO䁑-B_䁄OWN3"/>
      <sheetName val="내역서_耰&quot;_x005f_x0000__x00004"/>
      <sheetName val="Ocean_Transporation_Charge3"/>
      <sheetName val="Exchange_Rate3"/>
      <sheetName val="99__FWBS(Ref)3"/>
      <sheetName val="99__Change_Rate3"/>
      <sheetName val="UP_MINOR3"/>
      <sheetName val="Cash_Flow_bulanan3"/>
      <sheetName val="H_Satuan3"/>
      <sheetName val="Bill_rekap3"/>
      <sheetName val="2__현장_자금투입_집계표3"/>
      <sheetName val="Item_code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Unt_rat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General_Notes3"/>
      <sheetName val="_도면_및_도서_제출목록_및_일정_170202_xlsx3"/>
      <sheetName val="Rates_&amp;_Legend3"/>
      <sheetName val="Discounted_Cash_Flow3"/>
      <sheetName val="OCT_FDN3"/>
      <sheetName val="Pengesahan_3"/>
      <sheetName val="Air_Cooler-E2"/>
      <sheetName val="DROP_DOWN2"/>
      <sheetName val="차트_(2)3"/>
      <sheetName val="Harga_Satuan3"/>
      <sheetName val="F_ALARM3"/>
      <sheetName val="DATA_MENTAH2"/>
      <sheetName val="HO_Site_Rates-20112"/>
      <sheetName val="Particular_Sch2"/>
      <sheetName val="Al_Taweelah2"/>
      <sheetName val="ID_CD2"/>
      <sheetName val="Equipment_Spec_List2"/>
      <sheetName val="개시대사_(2)2"/>
      <sheetName val="SPEC_LIST(EQUP,_SYS)2"/>
      <sheetName val="내역서_(N____x000a_3"/>
      <sheetName val="TQ_Format2"/>
      <sheetName val="breakdown_of_wage_raÐ¾2"/>
      <sheetName val="Additional_data2"/>
      <sheetName val="Linelist_LNGC_Process2"/>
      <sheetName val="33628-Rev__A1"/>
      <sheetName val="INPUT_DATA_OF_SCHEDULE1"/>
      <sheetName val="14-Eng_rate1"/>
      <sheetName val="Master_List1"/>
      <sheetName val="Admin_Manu_2-Equipment_Type_ID1"/>
      <sheetName val="Fig_4-14"/>
      <sheetName val="설산1_나"/>
      <sheetName val="BM_#1"/>
      <sheetName val="Itembalance_Report_(18-sep-18)1"/>
      <sheetName val="BUDGET_SUMMARY_1"/>
      <sheetName val="REF_for_VV"/>
      <sheetName val="__x0"/>
      <sheetName val="SECL_리스크_분류체계_(2)"/>
      <sheetName val="Cost_Code"/>
      <sheetName val="Data_Ref"/>
      <sheetName val="Interdept_Rate"/>
      <sheetName val="Tgh_JGC-Inv_I_clp"/>
      <sheetName val="PCS_"/>
      <sheetName val="Progress_Statement-SI"/>
      <sheetName val="Progress_Payment-3110"/>
      <sheetName val="Direct_Histogram_Rev__A_(f)"/>
      <sheetName val="Weekl_1"/>
      <sheetName val="내역서_(N____2"/>
      <sheetName val="내역서_(N____3"/>
      <sheetName val="OPT_1"/>
      <sheetName val="6_공정표"/>
      <sheetName val="Activity_Form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Tables_3_1_to_3_5_EXH_G"/>
      <sheetName val="Perm__Test"/>
      <sheetName val="Galian_1"/>
      <sheetName val="Analisa_Lump_sum"/>
      <sheetName val="Sec_I_ML"/>
      <sheetName val="EQUIPOS_DE_SEGURIDAD"/>
      <sheetName val="MATERIALES_CONSUMIBLES"/>
      <sheetName val="PERSONAL_INDIRECTO_"/>
      <sheetName val="Land_Dev't__Ph-1"/>
      <sheetName val="4300_UTILITY_BLDG_(2)"/>
      <sheetName val="P-Ins_&amp;_Bonds"/>
      <sheetName val="INSTLIST_1"/>
      <sheetName val="List_register"/>
      <sheetName val="Att-1_CTCI_MH_rate"/>
      <sheetName val="64_4"/>
      <sheetName val="64_5"/>
      <sheetName val="36_2"/>
      <sheetName val="36_1"/>
      <sheetName val="SPEC(CABLE_&amp;_WIRE)"/>
      <sheetName val="dongia_(2)"/>
      <sheetName val="Enron_Form"/>
      <sheetName val="SUMMARY_MTO_02_2_35"/>
      <sheetName val="N_G_METERING_CALC_"/>
      <sheetName val="N_G_METERING"/>
      <sheetName val="N_G_METERING_(2)"/>
      <sheetName val="CUMENE_METERING"/>
      <sheetName val="N2_METERING_"/>
      <sheetName val="H2_METERING__"/>
      <sheetName val="CO_METERING"/>
      <sheetName val="SPT_vs_PHI"/>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TR_Rev_vs_Commit"/>
      <sheetName val="TR_+MMHE_PL_report"/>
      <sheetName val="P23P2724___Commitment_"/>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1_11_b"/>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0_품의서(전체)"/>
      <sheetName val="LAST_UPDATE"/>
      <sheetName val="External_Issues"/>
      <sheetName val="G_R300경비"/>
      <sheetName val="AS포장복구_"/>
      <sheetName val="중기조종사_단위단가"/>
      <sheetName val="설_계"/>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내역서(전체)"/>
      <sheetName val="ENE-CAL"/>
      <sheetName val="원가조정 내역"/>
      <sheetName val="대비"/>
      <sheetName val="경영상태"/>
      <sheetName val="MOTORDATA"/>
      <sheetName val="P2-Project Data"/>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공통비총괄표"/>
      <sheetName val="Appendix A"/>
      <sheetName val="P Staff fac"/>
      <sheetName val="beam-reinft-IIInd floor"/>
      <sheetName val="P-Site fac"/>
      <sheetName val="P-Clients fac"/>
      <sheetName val="EXR"/>
      <sheetName val="Scaffolding Volume"/>
      <sheetName val="7.공정표"/>
      <sheetName val="Urai _Resap pengikat"/>
      <sheetName val="DAF.HRG"/>
      <sheetName val="Kolom UT"/>
      <sheetName val="HB "/>
      <sheetName val="Statprod_gab"/>
      <sheetName val="L_1"/>
      <sheetName val="design_criteria3"/>
      <sheetName val="64_41"/>
      <sheetName val="64_51"/>
      <sheetName val="36_21"/>
      <sheetName val="36_11"/>
      <sheetName val="Statprod_gab1"/>
      <sheetName val="L_11"/>
      <sheetName val="Riser-1"/>
      <sheetName val="당초�ἀ"/>
      <sheetName val="빙장비사양"/>
      <sheetName val="장비사양"/>
      <sheetName val="철거산출근거"/>
      <sheetName val="배합비(99-05-25)"/>
      <sheetName val="Mobilisasi"/>
      <sheetName val="Default"/>
      <sheetName val="harga"/>
      <sheetName val="upah"/>
      <sheetName val="4-MVAC"/>
      <sheetName val="G_SUMMARY"/>
      <sheetName val="Memb Schd"/>
      <sheetName val="PPC"/>
      <sheetName val="Tableau"/>
      <sheetName val="Coef et données"/>
      <sheetName val="SAP"/>
      <sheetName val="Pag_hal"/>
      <sheetName val="SAT-BHN"/>
      <sheetName val="PCV"/>
      <sheetName val="Site_x0000__x0000_"/>
      <sheetName val="MRS"/>
      <sheetName val="P&amp;L"/>
      <sheetName val="Monthly S Curve SPK"/>
      <sheetName val="Load"/>
      <sheetName val="Data_ST"/>
      <sheetName val="VV_Ped"/>
      <sheetName val="SKEDULmaterial"/>
      <sheetName val="lab_eng"/>
      <sheetName val="eqp"/>
      <sheetName val="lab"/>
      <sheetName val="pricelist"/>
      <sheetName val="HAL-1"/>
      <sheetName val="a.h ars sum"/>
      <sheetName val="a.h ars"/>
      <sheetName val="3"/>
      <sheetName val="UPAH &amp; BHN ARS"/>
      <sheetName val="AHS ARS"/>
      <sheetName val="Analisa HSP"/>
      <sheetName val="입찰내역 발주처 양卤"/>
      <sheetName val="Analisa Neraca"/>
      <sheetName val="Peralatan"/>
      <sheetName val="COST BD"/>
      <sheetName val="내역서_(N   _"/>
      <sheetName val="Dsr Hitung"/>
      <sheetName val="Mat Tower"/>
      <sheetName val="RT13526 CPI"/>
      <sheetName val="RT15918"/>
      <sheetName val="DPKlah"/>
      <sheetName val="HARVEST02"/>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MSP-Operator Building-Area C"/>
      <sheetName val="Condition"/>
      <sheetName val="HSATUAN"/>
      <sheetName val="Terbilang"/>
      <sheetName val="Harga Mat "/>
      <sheetName val="har-sat"/>
      <sheetName val="Ana. PU"/>
      <sheetName val="tr-28202"/>
      <sheetName val="내역서_耰&quot;9"/>
      <sheetName val="design_criteria4"/>
      <sheetName val="64_42"/>
      <sheetName val="64_52"/>
      <sheetName val="36_22"/>
      <sheetName val="36_12"/>
      <sheetName val="Statprod_gab2"/>
      <sheetName val="L_12"/>
      <sheetName val="Analisa_(ok_punya)"/>
      <sheetName val="SWALE (구산)"/>
      <sheetName val="1234"/>
      <sheetName val="05__Curva_S1"/>
      <sheetName val="RESUMEN_CD"/>
      <sheetName val="BOQ_REV6"/>
      <sheetName val="Maliyet_Ozet"/>
      <sheetName val="1_1-1_2"/>
      <sheetName val="1_3-_1_4"/>
      <sheetName val="3_1"/>
      <sheetName val="3_2"/>
      <sheetName val="4_1(a)"/>
      <sheetName val="4_1(b)"/>
      <sheetName val="4_1_(c)"/>
      <sheetName val="5_1"/>
      <sheetName val="Other_data"/>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Tabla"/>
      <sheetName val="Addition-ProtectionSummary"/>
      <sheetName val="Project D"/>
      <sheetName val="ARCH"/>
      <sheetName val="Tender Summary"/>
      <sheetName val="PERSONNELIST"/>
      <sheetName val="매립"/>
      <sheetName val="자금신청서"/>
      <sheetName val="Setup"/>
      <sheetName val="@"/>
      <sheetName val="09월"/>
      <sheetName val="10월"/>
      <sheetName val="Drop-Down"/>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WEIGHT_LIST10"/>
      <sheetName val="산#2-1_(2)10"/>
      <sheetName val="BEND_LOSS10"/>
      <sheetName val="INPUT_DATA12"/>
      <sheetName val="집계표_(25,26ဩ12"/>
      <sheetName val="Form_012"/>
      <sheetName val="General_Data12"/>
      <sheetName val="LABOR_&amp;_자재11"/>
      <sheetName val="입출재고현황_(2)11"/>
      <sheetName val="Form_D-111"/>
      <sheetName val="Form_B-111"/>
      <sheetName val="Form_F-111"/>
      <sheetName val="Form_A11"/>
      <sheetName val="3_공통공사대비11"/>
      <sheetName val="간접비_총괄11"/>
      <sheetName val="Price_Schedule11"/>
      <sheetName val="CAL_11"/>
      <sheetName val="Rate_Analysis11"/>
      <sheetName val="단면_(2)10"/>
      <sheetName val="EQUIPMENT_-211"/>
      <sheetName val="공사비_내역_(가)10"/>
      <sheetName val="내역서_耰&quot;??11"/>
      <sheetName val="내역서_耰&quot;_x005f_x0000__x005f_x0000_10"/>
      <sheetName val="6PILE__(돌출)10"/>
      <sheetName val="Static_Equip10"/>
      <sheetName val="Form_A_10"/>
      <sheetName val="3_Breakdown_Direct_Paint10"/>
      <sheetName val="내역서_耰&quot;__11"/>
      <sheetName val="Summary_Sheets10"/>
      <sheetName val="Civil_110"/>
      <sheetName val="Civil_210"/>
      <sheetName val="Civil_310"/>
      <sheetName val="Site_110"/>
      <sheetName val="Site_210"/>
      <sheetName val="Site_310"/>
      <sheetName val="Site_Faci10"/>
      <sheetName val="7__월별투입내역서9"/>
      <sheetName val="Man_Hole9"/>
      <sheetName val="Sheet1_(2)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계측_내역서9"/>
      <sheetName val="내역서_耰&quot;_x005f_x005f_x005f_x0000__x005f_x005f_x0009"/>
      <sheetName val="2_2_STAFF_Scedule9"/>
      <sheetName val="내역서_耰&quot;_x005f_x005f_x005f_x005f_x005f_x005f_x00009"/>
      <sheetName val="Z-_GENERAL_PRICE_SUMMARY9"/>
      <sheetName val="_Estimate__9"/>
      <sheetName val="T_39"/>
      <sheetName val="HORI__VESSEL9"/>
      <sheetName val="MP_MOB9"/>
      <sheetName val="BM_DATA_SHEET10"/>
      <sheetName val="w't_table9"/>
      <sheetName val="Administrative_Prices9"/>
      <sheetName val="WBS_449"/>
      <sheetName val="WBS_419"/>
      <sheetName val="Precios_por_Administración9"/>
      <sheetName val="Precios_Unitarios9"/>
      <sheetName val="Subcon_A9"/>
      <sheetName val="EQUIP_LIST9"/>
      <sheetName val="Vind_-_BtB9"/>
      <sheetName val="LV_induction_motors9"/>
      <sheetName val="BSD_(2)9"/>
      <sheetName val="Form_B9"/>
      <sheetName val="내역서_耰&quot;_x005f_x005f_x005f_x005f_x005f_x005f_x005f9"/>
      <sheetName val="97_사업추정(WEKI)9"/>
      <sheetName val="[SANDAN_XLS??9"/>
      <sheetName val="Eq__Mobilization9"/>
      <sheetName val="Monthly_Load9"/>
      <sheetName val="Weekly_Load9"/>
      <sheetName val="breakdown_of_wage_rate9"/>
      <sheetName val="Indirect_Cost9"/>
      <sheetName val="Material_Selections9"/>
      <sheetName val="Piping_BQ_for_one_turbine9"/>
      <sheetName val="Item_code4"/>
      <sheetName val="공정계획(내부계획25%,내부w_f)9"/>
      <sheetName val="Utility_and_Fire_flange9"/>
      <sheetName val="SFN_ORIG9"/>
      <sheetName val="Resource_table9"/>
      <sheetName val="AG_Pipe_Qty_Analysis9"/>
      <sheetName val="Equipment_List9"/>
      <sheetName val="Form1_SQP9"/>
      <sheetName val="_SANDAN_XLS__9"/>
      <sheetName val="Heavy_Equipments9"/>
      <sheetName val="입찰내역_발주처_양식9"/>
      <sheetName val="BOQ-B_DOWN8"/>
      <sheetName val="실행예산_MM8"/>
      <sheetName val="Dir_Manpower_Other_Exp_9"/>
      <sheetName val="SCHEDD_TAMBAHAN9"/>
      <sheetName val="Fire_Protection9"/>
      <sheetName val="단가_(2)8"/>
      <sheetName val="4-3LEVEL-5_epic_48"/>
      <sheetName val="FWBS_15308"/>
      <sheetName val="MODULE_CONFIRM8"/>
      <sheetName val="내역서_(∮ἀ嘆ɶ8"/>
      <sheetName val="ITB_COST9"/>
      <sheetName val="PROTECTION_8"/>
      <sheetName val="Cash_In-Cash_Out_Actual8"/>
      <sheetName val="5_)_Time_Delays4"/>
      <sheetName val="Site_Findings_Status_Sheet4"/>
      <sheetName val="CUADRO_DE_PRECIOS8"/>
      <sheetName val="plan&amp;section_of_foundation5"/>
      <sheetName val="working_load_at_the_btm_ft_5"/>
      <sheetName val="stability_check5"/>
      <sheetName val="design_load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내역서1999_8최종4"/>
      <sheetName val="Closeout_Control4"/>
      <sheetName val="Currency_Rate4"/>
      <sheetName val="Unit_Price_4"/>
      <sheetName val="4-Basic_Price4"/>
      <sheetName val="Evaluasi_Penw4"/>
      <sheetName val="Man_Power_&amp;_Comp4"/>
      <sheetName val="Data_List4"/>
      <sheetName val="RAB_AR&amp;STR4"/>
      <sheetName val="PROJECT_BRIEF4"/>
      <sheetName val="내역서_耰&quot;_x005f_x005f_x005f_x0000_4"/>
      <sheetName val="내역서_耰&quot;_x005f_x005f_x005f_x005f_4"/>
      <sheetName val="내역서_耰&quot;_x005f_x0000__x00005"/>
      <sheetName val="Updating_Form-Oct_20114"/>
      <sheetName val="Weld_Consumable4"/>
      <sheetName val="NDE_Cost-Summary4"/>
      <sheetName val="9July_Above_Ground_Pipe4"/>
      <sheetName val="M_114"/>
      <sheetName val="Process_Data_14"/>
      <sheetName val="Sum_(Case-3)4"/>
      <sheetName val="할증_4"/>
      <sheetName val="Air_Cooler-E3"/>
      <sheetName val="2__현장_자금투입_집계표4"/>
      <sheetName val="Tools_&amp;_Settings4"/>
      <sheetName val="Data_Summary4"/>
      <sheetName val="Crew_Costs4"/>
      <sheetName val="Spread_Costs4"/>
      <sheetName val="Unique_List_Misc4"/>
      <sheetName val="UP_MINOR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99__FWBS(Ref)4"/>
      <sheetName val="99__Change_Rate4"/>
      <sheetName val="In-House_Summary4"/>
      <sheetName val="Unt_rat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Discounted_Cash_Flow4"/>
      <sheetName val="Ocean_Transporation_Charge4"/>
      <sheetName val="Cash_Flow_bulanan4"/>
      <sheetName val="H_Satuan4"/>
      <sheetName val="OCT_FDN4"/>
      <sheetName val="Codes_Pers4"/>
      <sheetName val="General_Notes4"/>
      <sheetName val="BO䁑-B_䁄OWN4"/>
      <sheetName val="_도면_및_도서_제출목록_및_일정_170202_xlsx4"/>
      <sheetName val="Direct_PMS4"/>
      <sheetName val="Aux_4"/>
      <sheetName val="Rates_&amp;_Legend4"/>
      <sheetName val="Pengesahan_4"/>
      <sheetName val="00-Summary_Information-ABB3"/>
      <sheetName val="Harga_Satuan4"/>
      <sheetName val="F_ALARM4"/>
      <sheetName val="Distribution_Table3"/>
      <sheetName val="2_Overall_Summary_3"/>
      <sheetName val="__4"/>
      <sheetName val="_4"/>
      <sheetName val="breakdown_of_wage_ra`f3"/>
      <sheetName val="breakdown_of_wage_ra3"/>
      <sheetName val="breakdown_of_wage_rað-3"/>
      <sheetName val="Raw_data3"/>
      <sheetName val="Exchange_Rate4"/>
      <sheetName val="Bill_rekap4"/>
      <sheetName val="차트_(2)4"/>
      <sheetName val="Action_Item3"/>
      <sheetName val="PABS,Site_info3"/>
      <sheetName val="0__Resource　Code3"/>
      <sheetName val="Material_code3"/>
      <sheetName val="DATA_MENTAH3"/>
      <sheetName val="breakdown_of_wage_rap3"/>
      <sheetName val="내역서_耰&quot;_x005f_x0000_4"/>
      <sheetName val="내역서_耰&quot;_x005f_x005f_4"/>
      <sheetName val="Process_Data_(2)4"/>
      <sheetName val="Equipment_Spec_List3"/>
      <sheetName val="SPEC_LIST(EQUP,_SYS)3"/>
      <sheetName val="DROP_DOWN3"/>
      <sheetName val="ID_CD3"/>
      <sheetName val="개시대사_(2)3"/>
      <sheetName val="SUM_2"/>
      <sheetName val="내역서_(N____x000a_4"/>
      <sheetName val="HO_Site_Rates-20113"/>
      <sheetName val="Al_Taweelah3"/>
      <sheetName val="Particular_Sch3"/>
      <sheetName val="내역서_耰&quot;_3"/>
      <sheetName val="1_설계기준1"/>
      <sheetName val="5__Work_load(현재원기준)1"/>
      <sheetName val="Linelist_LNGC_Process3"/>
      <sheetName val="Direct_Histogram_Rev__A_(f)1"/>
      <sheetName val="Tender_data1"/>
      <sheetName val="Scheme_Area_Details_Block___C21"/>
      <sheetName val="Cash_Flow1"/>
      <sheetName val="5__월별투입내역서1"/>
      <sheetName val="Fig_4-141"/>
      <sheetName val="GM_0001"/>
      <sheetName val="설산1_나1"/>
      <sheetName val="Tables_3_1_to_3_5_EXH_G1"/>
      <sheetName val="EQUIPOS_DE_SEGURIDAD1"/>
      <sheetName val="MATERIALES_CONSUMIBLES1"/>
      <sheetName val="PERSONAL_INDIRECTO_1"/>
      <sheetName val="일위대가_1"/>
      <sheetName val="BM_#11"/>
      <sheetName val="SECL_리스크_분류체계_(2)1"/>
      <sheetName val="Cost_Code1"/>
      <sheetName val="Data_Ref1"/>
      <sheetName val="Interdept_Rate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REF_for_VV1"/>
      <sheetName val="Weekl_2"/>
      <sheetName val="내역서_(N____4"/>
      <sheetName val="__x01"/>
      <sheetName val="OPT_2"/>
      <sheetName val="INSTLIST_11"/>
      <sheetName val="Land_Dev't__Ph-11"/>
      <sheetName val="4300_UTILITY_BLDG_(2)1"/>
      <sheetName val="P-Ins_&amp;_Bonds1"/>
      <sheetName val="Perm__Test1"/>
      <sheetName val="Galian_11"/>
      <sheetName val="Analisa_Lump_sum1"/>
      <sheetName val="Sec_I_ML1"/>
      <sheetName val="List_register1"/>
      <sheetName val="Att-1_CTCI_MH_rate1"/>
      <sheetName val="dongia_(2)1"/>
      <sheetName val="revenue"/>
      <sheetName val="sga"/>
      <sheetName val="engineering"/>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Cashflow_Analysis2"/>
      <sheetName val="INPUT_DATA_OF_SCHEDULE2"/>
      <sheetName val="Linelist_LNGC_Process4"/>
      <sheetName val="SUM_3"/>
      <sheetName val="11_자재단가2"/>
      <sheetName val="LIFE_&amp;_REP_PROVN2"/>
      <sheetName val="O&amp;M_CREW2"/>
      <sheetName val="Tender_data2"/>
      <sheetName val="TQ_Format3"/>
      <sheetName val="breakdown_of_wage_raÐ¾3"/>
      <sheetName val="Additional_data3"/>
      <sheetName val="Attach_4-182"/>
      <sheetName val="33628-Rev__A2"/>
      <sheetName val="Finansal_tamamlanma_Eğrisi2"/>
      <sheetName val="Master_List2"/>
      <sheetName val="내역서_(∮ἀ嘆ɶ?᠀㬁?2"/>
      <sheetName val="Cash_Flow2"/>
      <sheetName val="Scheme_Area_Details_Block___C22"/>
      <sheetName val="14-Eng_rate2"/>
      <sheetName val="리스크_분류체계2"/>
      <sheetName val="광통신_견적내역서12"/>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Fig_4-142"/>
      <sheetName val="GM_0002"/>
      <sheetName val="Itembalance_Report_(18-sep-18)2"/>
      <sheetName val="BUDGET_SUMMARY_2"/>
      <sheetName val="Activity_Form2"/>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5"/>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내역서_(N__x002"/>
      <sheetName val="5__Work_load(현재원기준)2"/>
      <sheetName val="FC04_2030"/>
      <sheetName val="FC04_203099"/>
      <sheetName val="REF.ONLY"/>
      <sheetName val="-0.5 TABLA PRESUPUESTOS"/>
      <sheetName val="Sithe-PPL"/>
      <sheetName val="ﾄﾞﾊﾞｲFUEL GAS追見"/>
      <sheetName val="見積書"/>
      <sheetName val="Precios_Unitariԯ1"/>
      <sheetName val="2013电气概算_价目表_(营改增调整)"/>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SI-1"/>
      <sheetName val="ENE-CAL 1"/>
      <sheetName val="파이프류"/>
      <sheetName val="변수"/>
      <sheetName val="CAP"/>
      <sheetName val="내역서_(N___ 2"/>
      <sheetName val="Assmpns"/>
      <sheetName val="MASTER_RATE ANALYSIS"/>
      <sheetName val="Intro"/>
      <sheetName val="CASHFLOWS"/>
      <sheetName val="MN T.B."/>
      <sheetName val="Headings"/>
      <sheetName val="INDIGINEOUS ITEMS "/>
      <sheetName val="Core Data"/>
      <sheetName val="final abstract"/>
      <sheetName val="Order_Summary"/>
      <sheetName val="Order_Summary_New"/>
      <sheetName val="phuluc1"/>
      <sheetName val="TONGKE1P"/>
      <sheetName val="TKThep"/>
      <sheetName val="Bang KL"/>
      <sheetName val="GAEYO"/>
      <sheetName val="CEQ_Master"/>
      <sheetName val="Man_Master"/>
      <sheetName val="여흥"/>
      <sheetName val="Diary"/>
      <sheetName val="RSC"/>
      <sheetName val="TTL_Qty"/>
      <sheetName val="QTY"/>
      <sheetName val="график финансирования"/>
      <sheetName val="SPT_vs_PHI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05__Curva_S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SPEC(CABLE_&amp;_WIRE)1"/>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XZLC003_PART1"/>
      <sheetName val="S1BOQ"/>
      <sheetName val="6.2 Floor Finishes"/>
      <sheetName val="C1 (calcolo)"/>
      <sheetName val="TABLO-3"/>
      <sheetName val="CC"/>
      <sheetName val="Insulation 150108"/>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PLSt 03  "/>
      <sheetName val="П 7 курс аванса"/>
      <sheetName val="IncStat 03-04"/>
      <sheetName val="IncStat 03  "/>
      <sheetName val="Авансы по СНГ"/>
      <sheetName val="INPUT_TABLE"/>
      <sheetName val="5.5FWBS CODE"/>
      <sheetName val="LDB"/>
      <sheetName val="Raw Ref"/>
      <sheetName val="Cost Codes"/>
      <sheetName val="Addendum No.1 BILL 2"/>
      <sheetName val="Code 07"/>
      <sheetName val="Expenses"/>
      <sheetName val="Week ending"/>
      <sheetName val="Planners Workload"/>
      <sheetName val="MAY 00-Bobbins"/>
      <sheetName val="BALAN1"/>
      <sheetName val="2.2 띠장의 설계"/>
      <sheetName val="(10) Other Costs5"/>
      <sheetName val="breakdown of FA113"/>
      <sheetName val="Sheet 14"/>
      <sheetName val="DivLabor_Report"/>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unit price"/>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galian saluran"/>
      <sheetName val="Perhit.Alat"/>
      <sheetName val="CF"/>
      <sheetName val="05 Analisa Teknik"/>
      <sheetName val="見管SＴ"/>
      <sheetName val="見管ＧＴ"/>
      <sheetName val="GRAND SUM"/>
      <sheetName val="VCC 11110-461"/>
      <sheetName val="7.6.3.J.Inline Instrument"/>
      <sheetName val="F-31"/>
      <sheetName val="BQ_E20_02_Rp_"/>
      <sheetName val="ANAL.BOW"/>
      <sheetName val="Isolasi Luar Dalam"/>
      <sheetName val="Isolasi Luar"/>
      <sheetName val="OE (KSB)"/>
      <sheetName val="TEST1"/>
      <sheetName val="Sew-Tahan"/>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JGSummit Package 2 (CTCI)"/>
      <sheetName val="변경내역대비표(2)"/>
      <sheetName val="Lists"/>
      <sheetName val="MSH51C"/>
      <sheetName val="Micro"/>
      <sheetName val="Macro"/>
      <sheetName val="6_2_Floor_Finishes"/>
      <sheetName val="Definitions"/>
      <sheetName val="_x005f_x005f_x00ည톐ឮ"/>
      <sheetName val="Integrated-S Curve"/>
      <sheetName val="JKT"/>
      <sheetName val="1195 B1"/>
      <sheetName val="page 6"/>
      <sheetName val="Capel KI"/>
      <sheetName val="Capel PK"/>
      <sheetName val="Summary HS Pipa CS"/>
      <sheetName val="AsumsiDasar"/>
      <sheetName val="Raw Data-Combined"/>
      <sheetName val="Rates"/>
      <sheetName val="Spread"/>
      <sheetName val="TRNS-C1"/>
      <sheetName val="plumbing"/>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lkalibrasi BENENAIN"/>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Accountingword"/>
      <sheetName val="Main Control"/>
      <sheetName val="upa"/>
      <sheetName val="Ra  stair"/>
      <sheetName val="일위"/>
      <sheetName val="Home Office"/>
      <sheetName val="전계가"/>
      <sheetName val="소화실적"/>
      <sheetName val="热工设备"/>
      <sheetName val="仪表设备"/>
      <sheetName val="Man Power"/>
      <sheetName val="grafik"/>
      <sheetName val="OP-DSU"/>
      <sheetName val="pro ra op"/>
      <sheetName val="analis standar(8m)"/>
      <sheetName val="Ex_Rate"/>
      <sheetName val="ShareCapital "/>
      <sheetName val="Inventories"/>
      <sheetName val="BAG_2"/>
      <sheetName val="HS"/>
      <sheetName val="BAHAN"/>
      <sheetName val="Koordinat"/>
      <sheetName val="3-DIV4"/>
      <sheetName val="PESANTREN"/>
      <sheetName val="G"/>
      <sheetName val="ANALIS"/>
      <sheetName val="_x005f_x0002__x005f_x0000_뻘N_x005f_x0000__x005f_x0000__"/>
      <sheetName val="내역서 (∮ἀ嘆ɶ_x005f_x0000_᠀㬁_x005f_x0000_"/>
      <sheetName val="당초_x005f_xd8b4_∸ἀ"/>
      <sheetName val="_x005f_x0002__뻘N___x005f_x0001_ࠀ역서"/>
      <sheetName val="_x005f_x0002_"/>
      <sheetName val="_x005f_x0004__x005f_x0000__x005f_x000d__x005f_x0000__x0"/>
      <sheetName val="_x005f_x000a__x005f_x0000__x005f_x001b__x005f_x0000__x0"/>
      <sheetName val="_x005f_x000a__x005f_x000a_"/>
      <sheetName val="_x005f_x0004_"/>
      <sheetName val="_x005f_x000a_"/>
      <sheetName val=" _x005f_x0000__x005f_x001b__x005f_x0000__x005f_x0006__x"/>
      <sheetName val="내역서 耰&quot;_x005f_x005f_x005f_x0000__x0000"/>
      <sheetName val="_x005f_x005f_x005f_x005f_x005f_x005f_x005f_x005f_"/>
      <sheetName val="Weekl_x005f_x0004__x005f_x0000__x005f_x0016__x000"/>
      <sheetName val="_x005f_x0000__x005f_x000e__x005f_x0000__x005f_x0005_"/>
      <sheetName val="내역서_(N_x005f_x0009__x005f_x000e__x005f_x000e__x00"/>
      <sheetName val="내역서_(N _x005f_x000e__x005f_x000e__x005f_x000e_  _"/>
      <sheetName val="내역서_耰&quot;_x005f_x005f_x005f_x0000__x0000"/>
      <sheetName val="7422CW_x005f_x0013__x005f_x0000_"/>
      <sheetName val="OPT_x005f_x0012__x005f_x0000__x005f_x0010__x005f_x0000_"/>
      <sheetName val="_x005f_x0000__x005f_x0013__x005f_x0000__x005f_x0014_"/>
      <sheetName val="Weekl_x005f_x0004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실행집_x005f_x0005_"/>
      <sheetName val="내역서_耰&quot;_x005f_x005f_x005f_x0000__x00001"/>
      <sheetName val="Weekl_x005f_x000a_"/>
      <sheetName val="내역서_(N____x005f_x000a_"/>
      <sheetName val="내역서_(N   _x005f_x000a_"/>
      <sheetName val="_x005f_x000a__x0"/>
      <sheetName val="OPT_x005f_x000a_"/>
      <sheetName val="9-1차이내역"/>
      <sheetName val="Bangunan Utama"/>
      <sheetName val="daf-3(OK)"/>
      <sheetName val="daf-7(OK)"/>
      <sheetName val="Hrg.Sat"/>
      <sheetName val="Step2 -&gt; Mat. Cost"/>
      <sheetName val="Section 1"/>
      <sheetName val=" hrg bhn"/>
      <sheetName val="Áý°èÇ¥_(TOTAN)5"/>
      <sheetName val="2_x0010__x0000__x000a__x0000__x0003__x0000__x000d__x0000__x0008__x0000__x0010__x0000__x0004__x0000__x0004__x0000__x0004_"/>
      <sheetName val="계수"/>
      <sheetName val="수주계획('22)"/>
      <sheetName val="수주계획(22)"/>
      <sheetName val="Monomers"/>
      <sheetName val="cost curve calc"/>
      <sheetName val="QPL"/>
      <sheetName val="EST_EQUIPOS"/>
      <sheetName val="P. control"/>
      <sheetName val="EVAL"/>
      <sheetName val="Costing Detailed"/>
      <sheetName val="ER10_Old"/>
      <sheetName val="Basic Data Inputs"/>
      <sheetName val="Elektrikal"/>
      <sheetName val="Page1"/>
      <sheetName val="hs-str"/>
      <sheetName val="hs_str"/>
      <sheetName val="Rekap Addendum"/>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Steel-Twr"/>
      <sheetName val="Alat"/>
      <sheetName val="CC8"/>
      <sheetName val="SOR"/>
      <sheetName val="FR"/>
      <sheetName val="AIRCOND"/>
      <sheetName val="EXTERNAL"/>
      <sheetName val="MDGAS"/>
      <sheetName val="BILL 1"/>
      <sheetName val="BLN_PKG"/>
      <sheetName val="TEMP PROFILE"/>
      <sheetName val="_선택 속성(잠금)"/>
      <sheetName val="Drop-down lists"/>
      <sheetName val="음료실행"/>
      <sheetName val="Team 3 S-Curve"/>
      <sheetName val="내역서_耰&quot;_x005f_x0000__x0008"/>
      <sheetName val="내역서_耰&quot;_x005f_x005f_x00008"/>
      <sheetName val="내역서_耰&quot;_x005f_x005f_x005f8"/>
      <sheetName val="내역서_耰&quot;_x00007"/>
      <sheetName val="내역서_耰&quot;_x005f7"/>
      <sheetName val="_x00ည톐ឮ"/>
      <sheetName val="내역서_耰&quot;_x0000__x0007"/>
      <sheetName val="9011 EXPAT_MANP"/>
      <sheetName val="2_x0010_"/>
      <sheetName val="PriceSummary"/>
      <sheetName val="App A Basis of Design"/>
      <sheetName val="단가표"/>
      <sheetName val="GKP"/>
      <sheetName val="renc mgn"/>
      <sheetName val="Rekap Analisa"/>
      <sheetName val="SchC"/>
      <sheetName val="SchA"/>
      <sheetName val="SewAlat"/>
      <sheetName val="ANALISA PEK.UMUM"/>
      <sheetName val="IN OUT"/>
      <sheetName val="7422CW_x005f_x0013_"/>
      <sheetName val="OPT_x005f_x0012_"/>
      <sheetName val="내역서 ᢐ_x005f_x001f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LIST ANHARSAT"/>
      <sheetName val="_______x005f_x005f_x005f_x0000__x005f_x005f_x00_2"/>
      <sheetName val="_____x005f_x005f_x005f_x005f_x005f_x005f_x005f_x0000__2"/>
      <sheetName val="_______x005f_x005f_x005f_x005f_x005f_x005f_x000_2"/>
      <sheetName val="REQDELTA"/>
      <sheetName val="기준"/>
      <sheetName val="IndirectSum"/>
      <sheetName val="2공구산출내역"/>
      <sheetName val="Process Piping"/>
      <sheetName val="BQ Summary"/>
      <sheetName val="FittingR1"/>
      <sheetName val="Gasket"/>
      <sheetName val="Bolt"/>
      <sheetName val="SCOPES"/>
      <sheetName val="5대총괄"/>
      <sheetName val="분양가표"/>
      <sheetName val="Mucluc"/>
      <sheetName val="Dinh muc CP KTCB khac"/>
      <sheetName val="TH May TC"/>
      <sheetName val="KLDT DIEN"/>
      <sheetName val="PTVT DIEN"/>
      <sheetName val="TH kinh phi"/>
      <sheetName val="Thong ke thiet bi"/>
      <sheetName val="TH vat tu"/>
      <sheetName val="Earthwork"/>
      <sheetName val="BREAKDOWN-PRICE"/>
      <sheetName val="A.SIS"/>
      <sheetName val="BQ-E20-02(Rp)"/>
      <sheetName val="gia vt"/>
      <sheetName val="1.BILL MOI THAU CAN THUONG"/>
      <sheetName val="PHAN NGAM"/>
      <sheetName val="SITE-E"/>
      <sheetName val="sch6-rm"/>
      <sheetName val="침하계"/>
      <sheetName val="原始数据"/>
      <sheetName val="经评"/>
      <sheetName val="G2TempSheet"/>
      <sheetName val="30万表三"/>
      <sheetName val="Z- GENERAL PRIC橿⿂_x0000__x0000_⒘_x0000__x0000__x0000_ࡈ"/>
      <sheetName val="Z- GENERAL PRIC鋘@俀~橿⿂_x0000__x0000_⍈"/>
      <sheetName val="Z- GENERAL PRIC_x0000__x0000__x0005__x0000_ẹ_x0000__x0000__x0000_"/>
      <sheetName val="TABLE-A"/>
      <sheetName val="tabel berat"/>
      <sheetName val="daf_3_OK_"/>
      <sheetName val="daf_7_OK_"/>
      <sheetName val="L_TIGA"/>
      <sheetName val="내역서_耰&quot;10"/>
      <sheetName val="SANDAN_XLS8"/>
      <sheetName val="내역서_(∮ἀ嘆ɶ᠀㬁1"/>
      <sheetName val="LV induction _x0000__x0000__x0005__x0000_묠"/>
      <sheetName val="satuan"/>
      <sheetName val="DHSD"/>
      <sheetName val="CBA"/>
      <sheetName val="MH and Unit Cost"/>
      <sheetName val="BOQ_PAINTING"/>
      <sheetName val="Material Cost(as per Nation)"/>
      <sheetName val="价格取值"/>
      <sheetName val="Daily Forwards"/>
      <sheetName val="报价说明 (3)"/>
      <sheetName val="报价说明 (4)"/>
      <sheetName val="2.履约阶段供应链管理计划"/>
      <sheetName val="XREF"/>
      <sheetName val="sis.xlm"/>
      <sheetName val="spot prices"/>
      <sheetName val="Forma E-17"/>
      <sheetName val="1999 BUDGET"/>
      <sheetName val="MAN-STD"/>
      <sheetName val="LV induction "/>
      <sheetName val="내역서(전기)"/>
      <sheetName val="본부소개"/>
      <sheetName val="NM2"/>
      <sheetName val="NW1"/>
      <sheetName val="NW2"/>
      <sheetName val="PW3"/>
      <sheetName val="PW4"/>
      <sheetName val="SC1"/>
      <sheetName val="DNW"/>
      <sheetName val="NE"/>
      <sheetName val="PM"/>
      <sheetName val="TR"/>
      <sheetName val="TQ_Format4"/>
      <sheetName val="breakdown_of_wage_raÐ¾4"/>
      <sheetName val="Additional_data4"/>
      <sheetName val="OIL_SEPARATOR3"/>
      <sheetName val="CATCH_BASIN3"/>
      <sheetName val="FW_Post_Indicator_Valve_24&quot;3"/>
      <sheetName val="FW_Post_Indicator_Valve_20&quot;3"/>
      <sheetName val="FW_Post_Indicator_Valve_6&quot;3"/>
      <sheetName val="Fire_Monitor_or_Hydrant_6&quot;_FDN3"/>
      <sheetName val="SUMP_VB3"/>
      <sheetName val="CLEANOUT_4&quot;3"/>
      <sheetName val="Not_reqd3"/>
      <sheetName val="호환성_보고서3"/>
      <sheetName val="Attach_4-183"/>
      <sheetName val="11_자재단가3"/>
      <sheetName val="리스크_분류체계3"/>
      <sheetName val="Cashflow_Analysis3"/>
      <sheetName val="INPUT_DATA_OF_SCHEDULE3"/>
      <sheetName val="LIFE_&amp;_REP_PROVN3"/>
      <sheetName val="O&amp;M_CREW3"/>
      <sheetName val="Activity_Form3"/>
      <sheetName val="Master_List3"/>
      <sheetName val="Finansal_tamamlanma_Eğrisi3"/>
      <sheetName val="33628-Rev__A3"/>
      <sheetName val="Admin_Manu_2-Equipment_Type_ID3"/>
      <sheetName val="내역서_(∮ἀ嘆ɶ?᠀㬁?3"/>
      <sheetName val="Schedule_3"/>
      <sheetName val="Loading_Struc3"/>
      <sheetName val="Loading_Pip3"/>
      <sheetName val="Loading_Overall_(BASE_Proposal3"/>
      <sheetName val="Steel_Structure3"/>
      <sheetName val="PIPING_AG-UG_NEW_UNITS3"/>
      <sheetName val="MEC_PIPING_PREFABR3"/>
      <sheetName val="Working_File-Pip3"/>
      <sheetName val="Equip_ISBL_&amp;_OSBL_3"/>
      <sheetName val="14-Eng_rate3"/>
      <sheetName val="내역서_(N____7"/>
      <sheetName val="Itembalance_Report_(18-sep-18)3"/>
      <sheetName val="BUDGET_SUMMARY_3"/>
      <sheetName val="SPEC(CABLE_&amp;_WIRE)2"/>
      <sheetName val="1_자금요약2"/>
      <sheetName val="2_실행비투입2"/>
      <sheetName val="3_본사집계2"/>
      <sheetName val="3-1_본사투입2"/>
      <sheetName val="4_지사집계2"/>
      <sheetName val="4-1_지사투입2"/>
      <sheetName val="5_현장총집계2"/>
      <sheetName val="5-1_현금집계2"/>
      <sheetName val="5-2_현금출납2"/>
      <sheetName val="5-3_외상집계2"/>
      <sheetName val="5-4_외상투입2"/>
      <sheetName val="6_미지급금2"/>
      <sheetName val="5-5_기타공제집계2"/>
      <sheetName val="5-6_기타공제2"/>
      <sheetName val="7_기성현황(실)2"/>
      <sheetName val="8_한국인수당2"/>
      <sheetName val="8_한국인수당_(Master_file)2"/>
      <sheetName val="9_기타수입2"/>
      <sheetName val="10_투입집계2"/>
      <sheetName val="5-4_외상투입_(2)2"/>
      <sheetName val="16_기성현황(예)2"/>
      <sheetName val="17_자금요약22"/>
      <sheetName val="18_실행대비투입22"/>
      <sheetName val="SPT_vs_PHI2"/>
      <sheetName val="1_11_b2"/>
      <sheetName val="내역서_(N__x003"/>
      <sheetName val="SUMMARY_MTO_02_2_352"/>
      <sheetName val="N_G_METERING_CALC_2"/>
      <sheetName val="N_G_METERING2"/>
      <sheetName val="N_G_METERING_(2)2"/>
      <sheetName val="CUMENE_METERING2"/>
      <sheetName val="N2_METERING_2"/>
      <sheetName val="H2_METERING__2"/>
      <sheetName val="CO_METERING2"/>
      <sheetName val="G_R300경비2"/>
      <sheetName val="AS포장복구_2"/>
      <sheetName val="중기조종사_단위단가2"/>
      <sheetName val="설_계2"/>
      <sheetName val="Enron_Form2"/>
      <sheetName val="6_공정표2"/>
      <sheetName val="Payment_Certificate-12"/>
      <sheetName val="Floor_wet2"/>
      <sheetName val="Floor_Balcony2"/>
      <sheetName val="Hard_scape_Floor2"/>
      <sheetName val="P03_Skirting2"/>
      <sheetName val="GF_wall2"/>
      <sheetName val="Kitchen_Wall_wet_LIN-7012"/>
      <sheetName val="Wall_wet_LIN-601_2"/>
      <sheetName val="BOQ_(2)2"/>
      <sheetName val="VO_Schedule-12"/>
      <sheetName val="HOLD_AMOUNT2"/>
      <sheetName val="Back_Charge_(2)2"/>
      <sheetName val="Temporary_Deductions-1_2"/>
      <sheetName val="Contracharges_Check_list-1_2"/>
      <sheetName val="PC_032"/>
      <sheetName val="Measurement_sheet2"/>
      <sheetName val="Material_Only2"/>
      <sheetName val="Man_power_supply2"/>
      <sheetName val="Camp_Deduction2"/>
      <sheetName val="Consortium_VP2"/>
      <sheetName val="Summary_MONTH2"/>
      <sheetName val="DESICON_SUM2"/>
      <sheetName val="DES_TCF_Rental2"/>
      <sheetName val="DES_TCF_Maints_pers2"/>
      <sheetName val="DES_TCF_Heavy_Equipment2"/>
      <sheetName val="BANK_BOND2"/>
      <sheetName val="PHC_WAREHOUSE_-_INFOONLY2"/>
      <sheetName val="CATERING_CONTROL2"/>
      <sheetName val="SUB_CONTRACT2"/>
      <sheetName val="SPDC_-_INFONLY2"/>
      <sheetName val="VENDOR_SCHEDUL2"/>
      <sheetName val="VENDOR_PRESENCE_-_COMM2"/>
      <sheetName val="VENDOR_PRESENCE_-_RECH2"/>
      <sheetName val="VENDOR_PRESENCE_-_COMM_2"/>
      <sheetName val="CONTRACT_RATES2"/>
      <sheetName val="0_품의서(전체)2"/>
      <sheetName val="LAST_UPDATE2"/>
      <sheetName val="External_Issues2"/>
      <sheetName val="TR_Rev_vs_Commit2"/>
      <sheetName val="TR_+MMHE_PL_report2"/>
      <sheetName val="P23P2724___Commitment_2"/>
      <sheetName val="CONCRETE_TYPE1"/>
      <sheetName val="내역서_(N____12"/>
      <sheetName val="A__ENGINEERING2"/>
      <sheetName val="B-1__배관자재2"/>
      <sheetName val="B-2__전기자재2"/>
      <sheetName val="B-3__계장자재2"/>
      <sheetName val="B-4__기계자재2"/>
      <sheetName val="C-1__공통가설2"/>
      <sheetName val="C-2__토목2"/>
      <sheetName val="C-4__철골2"/>
      <sheetName val="C-5__기계2"/>
      <sheetName val="C-6__배관2"/>
      <sheetName val="C-7__전기2"/>
      <sheetName val="C-8__계장2"/>
      <sheetName val="C-9__중장비2"/>
      <sheetName val="C-10__소방설비2"/>
      <sheetName val="C-11__보온2"/>
      <sheetName val="C-12__CMS2"/>
      <sheetName val="IRR_sponsor1"/>
      <sheetName val="List_Equip1"/>
      <sheetName val="Process_C_(1-166)1"/>
      <sheetName val="TRUCK_HAUL_CYCLE-waste1"/>
      <sheetName val="Existing_PC_Pavement1"/>
      <sheetName val="Sch_61"/>
      <sheetName val="Master_Data1"/>
      <sheetName val="ind'l_cp1"/>
      <sheetName val="본부_SHOP1"/>
      <sheetName val="#6_MDU_일반1"/>
      <sheetName val="#6_MDU엄반장1"/>
      <sheetName val="#6MDU_기계1"/>
      <sheetName val="HOU_COMP`1"/>
      <sheetName val="FCC_OBL-SHOP1"/>
      <sheetName val="NEW_FCC_OBL1"/>
      <sheetName val="#4_MDU1"/>
      <sheetName val="#6_SHOP1"/>
      <sheetName val="NRC_OBL-조연식1"/>
      <sheetName val="광양-조연식_반장1"/>
      <sheetName val="#5MDU_REV1"/>
      <sheetName val="LBO_PROJECT1"/>
      <sheetName val="VENDOR_LIST1"/>
      <sheetName val="BOP_LINE_LIST1"/>
      <sheetName val="3_부제O호표1"/>
      <sheetName val="5_소모재료비1"/>
      <sheetName val="8_시멘트제원표1"/>
      <sheetName val="2_품제O호표1"/>
      <sheetName val="동상부_Tact_기준_반입일정_및_수량_02171"/>
      <sheetName val="tblg_denda2"/>
      <sheetName val="5_Cennik2"/>
      <sheetName val="_토목_처리장도급내역서_1"/>
      <sheetName val="Equip_Mstr_FOR_3A11"/>
      <sheetName val="สรุปยอดเหล็กตาม_Cost_Record_VY1"/>
      <sheetName val="แนบ_PR1"/>
      <sheetName val="OR21_Final_Forecast_Rev_21"/>
      <sheetName val="Summary_Forecast_Budget_1&amp;21"/>
      <sheetName val="Summary_Forecast_Budget_Rev_21"/>
      <sheetName val="Backup_OR21_1"/>
      <sheetName val="Budget_for_ENT1"/>
      <sheetName val="ADJ__D-Wall&amp;BR_Ent__Rev_2_11"/>
      <sheetName val="Rebar+Conพื้น_Waste10%1"/>
      <sheetName val="Backup_D-Wall_Ent__13_07_191"/>
      <sheetName val="Backup_BR_ENT__13_07_191"/>
      <sheetName val="Final_Forecast_721111"/>
      <sheetName val="IMP_OR21_2019_07_111"/>
      <sheetName val="Concrete_721121"/>
      <sheetName val="หินเกล็ด_1"/>
      <sheetName val="เปรียบเทียบBudget_BR_1"/>
      <sheetName val="ADJ__BR_Ent__Rev_2_1_(2)1"/>
      <sheetName val="แผนงานBarrette_Pile1"/>
      <sheetName val="BOQ__VI_03_09_19_1"/>
      <sheetName val="Backup_BR_BMA1"/>
      <sheetName val="Sum_Budget&amp;Rev_11"/>
      <sheetName val="Sum_Budget_Rev_11"/>
      <sheetName val="Sum_Budget&amp;Rev_1_Rebar1"/>
      <sheetName val="Sum_Budget_Rev_2_Rebar1"/>
      <sheetName val="Rebar+Conพื้น_Waste10%_Rev_001"/>
      <sheetName val="Rebar+Conพื้น_Waste10%_Rev_01_1"/>
      <sheetName val="Equip_Rev_00_Budget1"/>
      <sheetName val="Budget_Waterpoofing1"/>
      <sheetName val="2013电气概算_价目表_(营改增调整)1"/>
      <sheetName val="ABB_Summary1"/>
      <sheetName val="Man_power_rate1"/>
      <sheetName val="Const_equip_rate1"/>
      <sheetName val="01-Gang_Rate_&amp;_Info1"/>
      <sheetName val="05-Sum_Cost1"/>
      <sheetName val="06-Indirect_Loading1"/>
      <sheetName val="07-Heavy_Equipment1"/>
      <sheetName val="08-RR_Check_List1"/>
      <sheetName val="1)_Risk_and_Opportunities1"/>
      <sheetName val="2)_Full_Cost_Calculation1"/>
      <sheetName val="내역서_(∮ἀ嘆ɶ_᠀㬁_2"/>
      <sheetName val="M&amp;E_Summary1"/>
      <sheetName val="rev_summary1"/>
      <sheetName val="M&amp;E_Prelims1"/>
      <sheetName val="B-FP_(2)1"/>
      <sheetName val="Sch_11"/>
      <sheetName val="Rekap_Biaya1"/>
      <sheetName val="Kuantitas_&amp;_Harga1"/>
      <sheetName val="Nopember_(2)1"/>
      <sheetName val="GRAND_REKAP1"/>
      <sheetName val="analisa_(2)1"/>
      <sheetName val="Analisa_21"/>
      <sheetName val="F1_41"/>
      <sheetName val="LRK_1"/>
      <sheetName val="Equipt_Rental1"/>
      <sheetName val="EQ_USED_(CORRECTED)1"/>
      <sheetName val="Rebar_Constant1"/>
      <sheetName val="Eng_Hrs_(HO)1"/>
      <sheetName val="Up_&amp;_bhn1"/>
      <sheetName val="HRG_BHN1"/>
      <sheetName val="Analisa_(ok_punya)1"/>
      <sheetName val="Alat_(2)1"/>
      <sheetName val="ENE-CAL_11"/>
      <sheetName val="원가조정_내역1"/>
      <sheetName val="Vehicle_Log1"/>
      <sheetName val="G_R300경비1"/>
      <sheetName val="AS포장복구_1"/>
      <sheetName val="중기조종사_단위단가1"/>
      <sheetName val="설_계1"/>
      <sheetName val="0_품의서(전체)1"/>
      <sheetName val="LAST_UPDATE1"/>
      <sheetName val="External_Issues1"/>
      <sheetName val="TR_Rev_vs_Commit1"/>
      <sheetName val="TR_+MMHE_PL_report1"/>
      <sheetName val="P23P2724___Commitment_1"/>
      <sheetName val="A__ENGINEERING1"/>
      <sheetName val="B-1__배관자재1"/>
      <sheetName val="B-2__전기자재1"/>
      <sheetName val="B-3__계장자재1"/>
      <sheetName val="B-4__기계자재1"/>
      <sheetName val="C-1__공통가설1"/>
      <sheetName val="C-2__토목1"/>
      <sheetName val="C-4__철골1"/>
      <sheetName val="C-5__기계1"/>
      <sheetName val="C-6__배관1"/>
      <sheetName val="C-7__전기1"/>
      <sheetName val="C-8__계장1"/>
      <sheetName val="C-9__중장비1"/>
      <sheetName val="C-10__소방설비1"/>
      <sheetName val="C-11__보온1"/>
      <sheetName val="C-12__CMS1"/>
      <sheetName val="동상부_Tact_기준_반입일정_및_수량_0217"/>
      <sheetName val="_토목_처리장도급내역서_"/>
      <sheetName val="Equip_Mstr_FOR_3A1"/>
      <sheetName val="Rekap_Biaya"/>
      <sheetName val="Kuantitas_&amp;_Harga"/>
      <sheetName val="Nopember_(2)"/>
      <sheetName val="GRAND_REKAP"/>
      <sheetName val="analisa_(2)"/>
      <sheetName val="Analisa_2"/>
      <sheetName val="Eng_Hrs_(HO)"/>
      <sheetName val="Up_&amp;_bhn"/>
      <sheetName val="HRG_BHN"/>
      <sheetName val="Alat_(2)"/>
      <sheetName val="ENE-CAL_1"/>
      <sheetName val="원가조정_내역"/>
      <sheetName val="uraian analisa"/>
      <sheetName val="8LT 12"/>
      <sheetName val="Basic Price"/>
      <sheetName val="내역서_耰&quot;11"/>
      <sheetName val="SANDAN_XLS9"/>
      <sheetName val="내역서_(∮ἀ嘆ɶ᠀㬁2"/>
      <sheetName val="적용단가"/>
      <sheetName val="현금흐름표"/>
      <sheetName val="VS P-Q"/>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sheetData sheetId="815" refreshError="1"/>
      <sheetData sheetId="816"/>
      <sheetData sheetId="817" refreshError="1"/>
      <sheetData sheetId="818"/>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refreshError="1"/>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sheetData sheetId="1654" refreshError="1"/>
      <sheetData sheetId="1655" refreshError="1"/>
      <sheetData sheetId="1656" refreshError="1"/>
      <sheetData sheetId="1657" refreshError="1"/>
      <sheetData sheetId="1658" refreshError="1"/>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refreshError="1"/>
      <sheetData sheetId="1885" refreshError="1"/>
      <sheetData sheetId="1886"/>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sheetData sheetId="1979"/>
      <sheetData sheetId="1980"/>
      <sheetData sheetId="1981" refreshError="1"/>
      <sheetData sheetId="1982" refreshError="1"/>
      <sheetData sheetId="1983" refreshError="1"/>
      <sheetData sheetId="1984" refreshError="1"/>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refreshError="1"/>
      <sheetData sheetId="2151" refreshError="1"/>
      <sheetData sheetId="2152" refreshError="1"/>
      <sheetData sheetId="2153"/>
      <sheetData sheetId="2154" refreshError="1"/>
      <sheetData sheetId="2155" refreshError="1"/>
      <sheetData sheetId="2156"/>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sheetData sheetId="2229" refreshError="1"/>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refreshError="1"/>
      <sheetData sheetId="2571"/>
      <sheetData sheetId="2572">
        <row r="4">
          <cell r="I4">
            <v>0</v>
          </cell>
        </row>
      </sheetData>
      <sheetData sheetId="2573">
        <row r="4">
          <cell r="I4">
            <v>0</v>
          </cell>
        </row>
      </sheetData>
      <sheetData sheetId="2574">
        <row r="4">
          <cell r="I4">
            <v>0</v>
          </cell>
        </row>
      </sheetData>
      <sheetData sheetId="2575">
        <row r="4">
          <cell r="I4">
            <v>0</v>
          </cell>
        </row>
      </sheetData>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ow r="4">
          <cell r="I4">
            <v>0</v>
          </cell>
        </row>
      </sheetData>
      <sheetData sheetId="2604"/>
      <sheetData sheetId="2605">
        <row r="4">
          <cell r="I4">
            <v>0</v>
          </cell>
        </row>
      </sheetData>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4">
          <cell r="I4">
            <v>0</v>
          </cell>
        </row>
      </sheetData>
      <sheetData sheetId="2627">
        <row r="4">
          <cell r="I4">
            <v>0</v>
          </cell>
        </row>
      </sheetData>
      <sheetData sheetId="2628"/>
      <sheetData sheetId="2629"/>
      <sheetData sheetId="2630"/>
      <sheetData sheetId="2631"/>
      <sheetData sheetId="2632"/>
      <sheetData sheetId="2633"/>
      <sheetData sheetId="2634">
        <row r="4">
          <cell r="I4">
            <v>0</v>
          </cell>
        </row>
      </sheetData>
      <sheetData sheetId="2635">
        <row r="4">
          <cell r="I4">
            <v>0</v>
          </cell>
        </row>
      </sheetData>
      <sheetData sheetId="2636">
        <row r="4">
          <cell r="I4">
            <v>0</v>
          </cell>
        </row>
      </sheetData>
      <sheetData sheetId="2637">
        <row r="4">
          <cell r="I4">
            <v>0</v>
          </cell>
        </row>
      </sheetData>
      <sheetData sheetId="2638"/>
      <sheetData sheetId="2639"/>
      <sheetData sheetId="2640"/>
      <sheetData sheetId="2641">
        <row r="4">
          <cell r="I4">
            <v>0</v>
          </cell>
        </row>
      </sheetData>
      <sheetData sheetId="2642"/>
      <sheetData sheetId="2643">
        <row r="4">
          <cell r="I4">
            <v>0</v>
          </cell>
        </row>
      </sheetData>
      <sheetData sheetId="2644"/>
      <sheetData sheetId="2645"/>
      <sheetData sheetId="2646"/>
      <sheetData sheetId="2647"/>
      <sheetData sheetId="2648"/>
      <sheetData sheetId="2649">
        <row r="4">
          <cell r="I4">
            <v>0</v>
          </cell>
        </row>
      </sheetData>
      <sheetData sheetId="2650" refreshError="1"/>
      <sheetData sheetId="2651">
        <row r="4">
          <cell r="I4">
            <v>0</v>
          </cell>
        </row>
      </sheetData>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sheetData sheetId="2677" refreshError="1"/>
      <sheetData sheetId="2678" refreshError="1"/>
      <sheetData sheetId="2679"/>
      <sheetData sheetId="2680"/>
      <sheetData sheetId="2681"/>
      <sheetData sheetId="2682"/>
      <sheetData sheetId="2683"/>
      <sheetData sheetId="2684"/>
      <sheetData sheetId="2685">
        <row r="4">
          <cell r="I4">
            <v>0</v>
          </cell>
        </row>
      </sheetData>
      <sheetData sheetId="2686">
        <row r="4">
          <cell r="I4">
            <v>0</v>
          </cell>
        </row>
      </sheetData>
      <sheetData sheetId="2687">
        <row r="4">
          <cell r="I4">
            <v>0</v>
          </cell>
        </row>
      </sheetData>
      <sheetData sheetId="2688">
        <row r="4">
          <cell r="I4">
            <v>0</v>
          </cell>
        </row>
      </sheetData>
      <sheetData sheetId="2689">
        <row r="4">
          <cell r="I4">
            <v>0</v>
          </cell>
        </row>
      </sheetData>
      <sheetData sheetId="2690">
        <row r="4">
          <cell r="I4">
            <v>0</v>
          </cell>
        </row>
      </sheetData>
      <sheetData sheetId="2691"/>
      <sheetData sheetId="2692"/>
      <sheetData sheetId="2693">
        <row r="4">
          <cell r="I4">
            <v>0</v>
          </cell>
        </row>
      </sheetData>
      <sheetData sheetId="2694">
        <row r="4">
          <cell r="I4">
            <v>0</v>
          </cell>
        </row>
      </sheetData>
      <sheetData sheetId="2695">
        <row r="4">
          <cell r="I4">
            <v>0</v>
          </cell>
        </row>
      </sheetData>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sheetData sheetId="2724"/>
      <sheetData sheetId="2725"/>
      <sheetData sheetId="2726"/>
      <sheetData sheetId="2727" refreshError="1"/>
      <sheetData sheetId="2728"/>
      <sheetData sheetId="2729"/>
      <sheetData sheetId="2730"/>
      <sheetData sheetId="2731"/>
      <sheetData sheetId="2732"/>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ow r="4">
          <cell r="I4">
            <v>0</v>
          </cell>
        </row>
      </sheetData>
      <sheetData sheetId="2754">
        <row r="4">
          <cell r="I4">
            <v>0</v>
          </cell>
        </row>
      </sheetData>
      <sheetData sheetId="2755">
        <row r="4">
          <cell r="I4">
            <v>0</v>
          </cell>
        </row>
      </sheetData>
      <sheetData sheetId="2756">
        <row r="4">
          <cell r="I4">
            <v>0</v>
          </cell>
        </row>
      </sheetData>
      <sheetData sheetId="2757">
        <row r="4">
          <cell r="I4">
            <v>0</v>
          </cell>
        </row>
      </sheetData>
      <sheetData sheetId="2758">
        <row r="4">
          <cell r="I4">
            <v>0</v>
          </cell>
        </row>
      </sheetData>
      <sheetData sheetId="2759">
        <row r="4">
          <cell r="I4">
            <v>0</v>
          </cell>
        </row>
      </sheetData>
      <sheetData sheetId="2760">
        <row r="4">
          <cell r="I4">
            <v>0</v>
          </cell>
        </row>
      </sheetData>
      <sheetData sheetId="2761">
        <row r="4">
          <cell r="I4">
            <v>0</v>
          </cell>
        </row>
      </sheetData>
      <sheetData sheetId="2762">
        <row r="4">
          <cell r="I4">
            <v>0</v>
          </cell>
        </row>
      </sheetData>
      <sheetData sheetId="2763">
        <row r="4">
          <cell r="I4">
            <v>0</v>
          </cell>
        </row>
      </sheetData>
      <sheetData sheetId="2764">
        <row r="4">
          <cell r="I4">
            <v>0</v>
          </cell>
        </row>
      </sheetData>
      <sheetData sheetId="2765">
        <row r="4">
          <cell r="I4">
            <v>0</v>
          </cell>
        </row>
      </sheetData>
      <sheetData sheetId="2766">
        <row r="4">
          <cell r="I4">
            <v>0</v>
          </cell>
        </row>
      </sheetData>
      <sheetData sheetId="2767">
        <row r="4">
          <cell r="I4">
            <v>0</v>
          </cell>
        </row>
      </sheetData>
      <sheetData sheetId="2768">
        <row r="4">
          <cell r="I4">
            <v>0</v>
          </cell>
        </row>
      </sheetData>
      <sheetData sheetId="2769">
        <row r="4">
          <cell r="I4">
            <v>0</v>
          </cell>
        </row>
      </sheetData>
      <sheetData sheetId="2770">
        <row r="4">
          <cell r="I4">
            <v>0</v>
          </cell>
        </row>
      </sheetData>
      <sheetData sheetId="2771">
        <row r="4">
          <cell r="I4">
            <v>0</v>
          </cell>
        </row>
      </sheetData>
      <sheetData sheetId="2772">
        <row r="4">
          <cell r="I4">
            <v>0</v>
          </cell>
        </row>
      </sheetData>
      <sheetData sheetId="2773">
        <row r="4">
          <cell r="I4">
            <v>0</v>
          </cell>
        </row>
      </sheetData>
      <sheetData sheetId="2774">
        <row r="4">
          <cell r="I4">
            <v>0</v>
          </cell>
        </row>
      </sheetData>
      <sheetData sheetId="2775">
        <row r="4">
          <cell r="I4">
            <v>0</v>
          </cell>
        </row>
      </sheetData>
      <sheetData sheetId="2776">
        <row r="4">
          <cell r="I4">
            <v>0</v>
          </cell>
        </row>
      </sheetData>
      <sheetData sheetId="2777">
        <row r="4">
          <cell r="I4">
            <v>0</v>
          </cell>
        </row>
      </sheetData>
      <sheetData sheetId="2778">
        <row r="4">
          <cell r="I4">
            <v>0</v>
          </cell>
        </row>
      </sheetData>
      <sheetData sheetId="2779">
        <row r="4">
          <cell r="I4">
            <v>0</v>
          </cell>
        </row>
      </sheetData>
      <sheetData sheetId="2780">
        <row r="4">
          <cell r="I4">
            <v>0</v>
          </cell>
        </row>
      </sheetData>
      <sheetData sheetId="2781">
        <row r="4">
          <cell r="I4">
            <v>0</v>
          </cell>
        </row>
      </sheetData>
      <sheetData sheetId="2782">
        <row r="4">
          <cell r="I4">
            <v>0</v>
          </cell>
        </row>
      </sheetData>
      <sheetData sheetId="2783">
        <row r="4">
          <cell r="I4">
            <v>0</v>
          </cell>
        </row>
      </sheetData>
      <sheetData sheetId="2784">
        <row r="4">
          <cell r="I4">
            <v>0</v>
          </cell>
        </row>
      </sheetData>
      <sheetData sheetId="2785">
        <row r="4">
          <cell r="I4">
            <v>0</v>
          </cell>
        </row>
      </sheetData>
      <sheetData sheetId="2786">
        <row r="4">
          <cell r="I4">
            <v>0</v>
          </cell>
        </row>
      </sheetData>
      <sheetData sheetId="2787">
        <row r="4">
          <cell r="I4">
            <v>0</v>
          </cell>
        </row>
      </sheetData>
      <sheetData sheetId="2788">
        <row r="4">
          <cell r="I4">
            <v>0</v>
          </cell>
        </row>
      </sheetData>
      <sheetData sheetId="2789">
        <row r="4">
          <cell r="I4">
            <v>0</v>
          </cell>
        </row>
      </sheetData>
      <sheetData sheetId="2790">
        <row r="4">
          <cell r="I4">
            <v>0</v>
          </cell>
        </row>
      </sheetData>
      <sheetData sheetId="2791">
        <row r="4">
          <cell r="I4">
            <v>0</v>
          </cell>
        </row>
      </sheetData>
      <sheetData sheetId="2792">
        <row r="4">
          <cell r="I4">
            <v>0</v>
          </cell>
        </row>
      </sheetData>
      <sheetData sheetId="2793">
        <row r="4">
          <cell r="I4">
            <v>0</v>
          </cell>
        </row>
      </sheetData>
      <sheetData sheetId="2794">
        <row r="4">
          <cell r="I4">
            <v>0</v>
          </cell>
        </row>
      </sheetData>
      <sheetData sheetId="2795">
        <row r="4">
          <cell r="I4">
            <v>0</v>
          </cell>
        </row>
      </sheetData>
      <sheetData sheetId="2796">
        <row r="4">
          <cell r="I4">
            <v>0</v>
          </cell>
        </row>
      </sheetData>
      <sheetData sheetId="2797">
        <row r="4">
          <cell r="I4">
            <v>0</v>
          </cell>
        </row>
      </sheetData>
      <sheetData sheetId="2798">
        <row r="4">
          <cell r="I4">
            <v>0</v>
          </cell>
        </row>
      </sheetData>
      <sheetData sheetId="2799">
        <row r="4">
          <cell r="I4">
            <v>0</v>
          </cell>
        </row>
      </sheetData>
      <sheetData sheetId="2800">
        <row r="4">
          <cell r="I4">
            <v>0</v>
          </cell>
        </row>
      </sheetData>
      <sheetData sheetId="2801">
        <row r="4">
          <cell r="I4">
            <v>0</v>
          </cell>
        </row>
      </sheetData>
      <sheetData sheetId="2802">
        <row r="4">
          <cell r="I4">
            <v>0</v>
          </cell>
        </row>
      </sheetData>
      <sheetData sheetId="2803">
        <row r="4">
          <cell r="I4">
            <v>0</v>
          </cell>
        </row>
      </sheetData>
      <sheetData sheetId="2804">
        <row r="4">
          <cell r="I4">
            <v>0</v>
          </cell>
        </row>
      </sheetData>
      <sheetData sheetId="2805">
        <row r="4">
          <cell r="I4">
            <v>0</v>
          </cell>
        </row>
      </sheetData>
      <sheetData sheetId="2806">
        <row r="4">
          <cell r="I4">
            <v>0</v>
          </cell>
        </row>
      </sheetData>
      <sheetData sheetId="2807">
        <row r="4">
          <cell r="I4">
            <v>0</v>
          </cell>
        </row>
      </sheetData>
      <sheetData sheetId="2808">
        <row r="4">
          <cell r="I4">
            <v>0</v>
          </cell>
        </row>
      </sheetData>
      <sheetData sheetId="2809">
        <row r="4">
          <cell r="I4">
            <v>0</v>
          </cell>
        </row>
      </sheetData>
      <sheetData sheetId="2810">
        <row r="4">
          <cell r="I4">
            <v>0</v>
          </cell>
        </row>
      </sheetData>
      <sheetData sheetId="2811">
        <row r="4">
          <cell r="I4">
            <v>0</v>
          </cell>
        </row>
      </sheetData>
      <sheetData sheetId="2812">
        <row r="4">
          <cell r="I4">
            <v>0</v>
          </cell>
        </row>
      </sheetData>
      <sheetData sheetId="2813">
        <row r="4">
          <cell r="I4">
            <v>0</v>
          </cell>
        </row>
      </sheetData>
      <sheetData sheetId="2814">
        <row r="4">
          <cell r="I4">
            <v>0</v>
          </cell>
        </row>
      </sheetData>
      <sheetData sheetId="2815">
        <row r="4">
          <cell r="I4">
            <v>0</v>
          </cell>
        </row>
      </sheetData>
      <sheetData sheetId="2816">
        <row r="4">
          <cell r="I4">
            <v>0</v>
          </cell>
        </row>
      </sheetData>
      <sheetData sheetId="2817">
        <row r="4">
          <cell r="I4">
            <v>0</v>
          </cell>
        </row>
      </sheetData>
      <sheetData sheetId="2818">
        <row r="4">
          <cell r="I4">
            <v>0</v>
          </cell>
        </row>
      </sheetData>
      <sheetData sheetId="2819">
        <row r="4">
          <cell r="I4">
            <v>0</v>
          </cell>
        </row>
      </sheetData>
      <sheetData sheetId="2820">
        <row r="4">
          <cell r="I4">
            <v>0</v>
          </cell>
        </row>
      </sheetData>
      <sheetData sheetId="2821">
        <row r="4">
          <cell r="I4">
            <v>0</v>
          </cell>
        </row>
      </sheetData>
      <sheetData sheetId="2822">
        <row r="4">
          <cell r="I4">
            <v>0</v>
          </cell>
        </row>
      </sheetData>
      <sheetData sheetId="2823">
        <row r="4">
          <cell r="I4">
            <v>0</v>
          </cell>
        </row>
      </sheetData>
      <sheetData sheetId="2824">
        <row r="4">
          <cell r="I4">
            <v>0</v>
          </cell>
        </row>
      </sheetData>
      <sheetData sheetId="2825">
        <row r="4">
          <cell r="I4">
            <v>0</v>
          </cell>
        </row>
      </sheetData>
      <sheetData sheetId="2826">
        <row r="4">
          <cell r="I4">
            <v>0</v>
          </cell>
        </row>
      </sheetData>
      <sheetData sheetId="2827">
        <row r="4">
          <cell r="I4">
            <v>0</v>
          </cell>
        </row>
      </sheetData>
      <sheetData sheetId="2828">
        <row r="4">
          <cell r="I4">
            <v>0</v>
          </cell>
        </row>
      </sheetData>
      <sheetData sheetId="2829">
        <row r="4">
          <cell r="I4">
            <v>0</v>
          </cell>
        </row>
      </sheetData>
      <sheetData sheetId="2830">
        <row r="4">
          <cell r="I4">
            <v>0</v>
          </cell>
        </row>
      </sheetData>
      <sheetData sheetId="2831">
        <row r="4">
          <cell r="I4">
            <v>0</v>
          </cell>
        </row>
      </sheetData>
      <sheetData sheetId="2832">
        <row r="4">
          <cell r="I4">
            <v>0</v>
          </cell>
        </row>
      </sheetData>
      <sheetData sheetId="2833">
        <row r="4">
          <cell r="I4">
            <v>0</v>
          </cell>
        </row>
      </sheetData>
      <sheetData sheetId="2834">
        <row r="4">
          <cell r="I4">
            <v>0</v>
          </cell>
        </row>
      </sheetData>
      <sheetData sheetId="2835">
        <row r="4">
          <cell r="I4">
            <v>0</v>
          </cell>
        </row>
      </sheetData>
      <sheetData sheetId="2836">
        <row r="4">
          <cell r="I4">
            <v>0</v>
          </cell>
        </row>
      </sheetData>
      <sheetData sheetId="2837">
        <row r="4">
          <cell r="I4">
            <v>0</v>
          </cell>
        </row>
      </sheetData>
      <sheetData sheetId="2838">
        <row r="4">
          <cell r="I4">
            <v>0</v>
          </cell>
        </row>
      </sheetData>
      <sheetData sheetId="2839">
        <row r="4">
          <cell r="I4">
            <v>0</v>
          </cell>
        </row>
      </sheetData>
      <sheetData sheetId="2840">
        <row r="4">
          <cell r="I4">
            <v>0</v>
          </cell>
        </row>
      </sheetData>
      <sheetData sheetId="2841">
        <row r="4">
          <cell r="I4">
            <v>0</v>
          </cell>
        </row>
      </sheetData>
      <sheetData sheetId="2842">
        <row r="4">
          <cell r="I4">
            <v>0</v>
          </cell>
        </row>
      </sheetData>
      <sheetData sheetId="2843">
        <row r="4">
          <cell r="I4">
            <v>0</v>
          </cell>
        </row>
      </sheetData>
      <sheetData sheetId="2844">
        <row r="4">
          <cell r="I4">
            <v>0</v>
          </cell>
        </row>
      </sheetData>
      <sheetData sheetId="2845">
        <row r="4">
          <cell r="I4">
            <v>0</v>
          </cell>
        </row>
      </sheetData>
      <sheetData sheetId="2846">
        <row r="4">
          <cell r="I4">
            <v>0</v>
          </cell>
        </row>
      </sheetData>
      <sheetData sheetId="2847">
        <row r="4">
          <cell r="I4">
            <v>0</v>
          </cell>
        </row>
      </sheetData>
      <sheetData sheetId="2848">
        <row r="4">
          <cell r="I4">
            <v>0</v>
          </cell>
        </row>
      </sheetData>
      <sheetData sheetId="2849">
        <row r="4">
          <cell r="I4">
            <v>0</v>
          </cell>
        </row>
      </sheetData>
      <sheetData sheetId="2850"/>
      <sheetData sheetId="2851">
        <row r="4">
          <cell r="I4">
            <v>0</v>
          </cell>
        </row>
      </sheetData>
      <sheetData sheetId="2852">
        <row r="4">
          <cell r="I4">
            <v>0</v>
          </cell>
        </row>
      </sheetData>
      <sheetData sheetId="2853">
        <row r="4">
          <cell r="I4">
            <v>0</v>
          </cell>
        </row>
      </sheetData>
      <sheetData sheetId="2854">
        <row r="4">
          <cell r="I4">
            <v>0</v>
          </cell>
        </row>
      </sheetData>
      <sheetData sheetId="2855"/>
      <sheetData sheetId="2856">
        <row r="4">
          <cell r="I4">
            <v>0</v>
          </cell>
        </row>
      </sheetData>
      <sheetData sheetId="2857">
        <row r="4">
          <cell r="I4">
            <v>0</v>
          </cell>
        </row>
      </sheetData>
      <sheetData sheetId="2858">
        <row r="4">
          <cell r="I4">
            <v>0</v>
          </cell>
        </row>
      </sheetData>
      <sheetData sheetId="2859">
        <row r="4">
          <cell r="I4">
            <v>0</v>
          </cell>
        </row>
      </sheetData>
      <sheetData sheetId="2860">
        <row r="4">
          <cell r="I4">
            <v>0</v>
          </cell>
        </row>
      </sheetData>
      <sheetData sheetId="2861">
        <row r="4">
          <cell r="I4">
            <v>0</v>
          </cell>
        </row>
      </sheetData>
      <sheetData sheetId="2862">
        <row r="4">
          <cell r="I4">
            <v>0</v>
          </cell>
        </row>
      </sheetData>
      <sheetData sheetId="2863">
        <row r="4">
          <cell r="I4">
            <v>0</v>
          </cell>
        </row>
      </sheetData>
      <sheetData sheetId="2864">
        <row r="4">
          <cell r="I4">
            <v>0</v>
          </cell>
        </row>
      </sheetData>
      <sheetData sheetId="2865">
        <row r="4">
          <cell r="I4">
            <v>0</v>
          </cell>
        </row>
      </sheetData>
      <sheetData sheetId="2866">
        <row r="4">
          <cell r="I4">
            <v>0</v>
          </cell>
        </row>
      </sheetData>
      <sheetData sheetId="2867">
        <row r="4">
          <cell r="I4">
            <v>0</v>
          </cell>
        </row>
      </sheetData>
      <sheetData sheetId="2868">
        <row r="4">
          <cell r="I4">
            <v>0</v>
          </cell>
        </row>
      </sheetData>
      <sheetData sheetId="2869">
        <row r="4">
          <cell r="I4">
            <v>0</v>
          </cell>
        </row>
      </sheetData>
      <sheetData sheetId="2870">
        <row r="4">
          <cell r="I4">
            <v>0</v>
          </cell>
        </row>
      </sheetData>
      <sheetData sheetId="2871">
        <row r="4">
          <cell r="I4">
            <v>0</v>
          </cell>
        </row>
      </sheetData>
      <sheetData sheetId="2872">
        <row r="4">
          <cell r="I4">
            <v>0</v>
          </cell>
        </row>
      </sheetData>
      <sheetData sheetId="2873">
        <row r="4">
          <cell r="I4">
            <v>0</v>
          </cell>
        </row>
      </sheetData>
      <sheetData sheetId="2874">
        <row r="4">
          <cell r="I4">
            <v>0</v>
          </cell>
        </row>
      </sheetData>
      <sheetData sheetId="2875">
        <row r="4">
          <cell r="I4">
            <v>0</v>
          </cell>
        </row>
      </sheetData>
      <sheetData sheetId="2876">
        <row r="4">
          <cell r="I4">
            <v>0</v>
          </cell>
        </row>
      </sheetData>
      <sheetData sheetId="2877">
        <row r="4">
          <cell r="I4">
            <v>0</v>
          </cell>
        </row>
      </sheetData>
      <sheetData sheetId="2878">
        <row r="4">
          <cell r="I4">
            <v>0</v>
          </cell>
        </row>
      </sheetData>
      <sheetData sheetId="2879">
        <row r="4">
          <cell r="I4">
            <v>0</v>
          </cell>
        </row>
      </sheetData>
      <sheetData sheetId="2880">
        <row r="4">
          <cell r="I4">
            <v>0</v>
          </cell>
        </row>
      </sheetData>
      <sheetData sheetId="2881">
        <row r="4">
          <cell r="I4">
            <v>0</v>
          </cell>
        </row>
      </sheetData>
      <sheetData sheetId="2882">
        <row r="4">
          <cell r="I4">
            <v>0</v>
          </cell>
        </row>
      </sheetData>
      <sheetData sheetId="2883">
        <row r="4">
          <cell r="I4">
            <v>0</v>
          </cell>
        </row>
      </sheetData>
      <sheetData sheetId="2884">
        <row r="4">
          <cell r="I4">
            <v>0</v>
          </cell>
        </row>
      </sheetData>
      <sheetData sheetId="2885">
        <row r="4">
          <cell r="I4">
            <v>0</v>
          </cell>
        </row>
      </sheetData>
      <sheetData sheetId="2886">
        <row r="4">
          <cell r="I4">
            <v>0</v>
          </cell>
        </row>
      </sheetData>
      <sheetData sheetId="2887">
        <row r="4">
          <cell r="I4">
            <v>0</v>
          </cell>
        </row>
      </sheetData>
      <sheetData sheetId="2888">
        <row r="4">
          <cell r="I4">
            <v>0</v>
          </cell>
        </row>
      </sheetData>
      <sheetData sheetId="2889">
        <row r="4">
          <cell r="I4">
            <v>0</v>
          </cell>
        </row>
      </sheetData>
      <sheetData sheetId="2890">
        <row r="4">
          <cell r="I4">
            <v>0</v>
          </cell>
        </row>
      </sheetData>
      <sheetData sheetId="2891">
        <row r="4">
          <cell r="I4">
            <v>0</v>
          </cell>
        </row>
      </sheetData>
      <sheetData sheetId="2892">
        <row r="4">
          <cell r="I4">
            <v>0</v>
          </cell>
        </row>
      </sheetData>
      <sheetData sheetId="2893">
        <row r="4">
          <cell r="I4">
            <v>0</v>
          </cell>
        </row>
      </sheetData>
      <sheetData sheetId="2894">
        <row r="4">
          <cell r="I4">
            <v>0</v>
          </cell>
        </row>
      </sheetData>
      <sheetData sheetId="2895">
        <row r="4">
          <cell r="I4">
            <v>0</v>
          </cell>
        </row>
      </sheetData>
      <sheetData sheetId="2896">
        <row r="4">
          <cell r="I4">
            <v>0</v>
          </cell>
        </row>
      </sheetData>
      <sheetData sheetId="2897">
        <row r="4">
          <cell r="I4">
            <v>0</v>
          </cell>
        </row>
      </sheetData>
      <sheetData sheetId="2898">
        <row r="4">
          <cell r="I4">
            <v>0</v>
          </cell>
        </row>
      </sheetData>
      <sheetData sheetId="2899">
        <row r="4">
          <cell r="I4">
            <v>0</v>
          </cell>
        </row>
      </sheetData>
      <sheetData sheetId="2900">
        <row r="4">
          <cell r="I4">
            <v>0</v>
          </cell>
        </row>
      </sheetData>
      <sheetData sheetId="2901">
        <row r="4">
          <cell r="I4">
            <v>0</v>
          </cell>
        </row>
      </sheetData>
      <sheetData sheetId="2902">
        <row r="4">
          <cell r="I4">
            <v>0</v>
          </cell>
        </row>
      </sheetData>
      <sheetData sheetId="2903">
        <row r="4">
          <cell r="I4">
            <v>0</v>
          </cell>
        </row>
      </sheetData>
      <sheetData sheetId="2904">
        <row r="4">
          <cell r="I4">
            <v>0</v>
          </cell>
        </row>
      </sheetData>
      <sheetData sheetId="2905">
        <row r="4">
          <cell r="I4">
            <v>0</v>
          </cell>
        </row>
      </sheetData>
      <sheetData sheetId="2906">
        <row r="4">
          <cell r="I4">
            <v>0</v>
          </cell>
        </row>
      </sheetData>
      <sheetData sheetId="2907">
        <row r="4">
          <cell r="I4">
            <v>0</v>
          </cell>
        </row>
      </sheetData>
      <sheetData sheetId="2908">
        <row r="4">
          <cell r="I4">
            <v>0</v>
          </cell>
        </row>
      </sheetData>
      <sheetData sheetId="2909">
        <row r="4">
          <cell r="I4">
            <v>0</v>
          </cell>
        </row>
      </sheetData>
      <sheetData sheetId="2910">
        <row r="4">
          <cell r="I4">
            <v>0</v>
          </cell>
        </row>
      </sheetData>
      <sheetData sheetId="2911">
        <row r="4">
          <cell r="I4">
            <v>0</v>
          </cell>
        </row>
      </sheetData>
      <sheetData sheetId="2912">
        <row r="4">
          <cell r="I4">
            <v>0</v>
          </cell>
        </row>
      </sheetData>
      <sheetData sheetId="2913">
        <row r="4">
          <cell r="I4">
            <v>0</v>
          </cell>
        </row>
      </sheetData>
      <sheetData sheetId="2914">
        <row r="4">
          <cell r="I4">
            <v>0</v>
          </cell>
        </row>
      </sheetData>
      <sheetData sheetId="2915">
        <row r="4">
          <cell r="I4">
            <v>0</v>
          </cell>
        </row>
      </sheetData>
      <sheetData sheetId="2916">
        <row r="4">
          <cell r="I4">
            <v>0</v>
          </cell>
        </row>
      </sheetData>
      <sheetData sheetId="2917">
        <row r="4">
          <cell r="I4">
            <v>0</v>
          </cell>
        </row>
      </sheetData>
      <sheetData sheetId="2918">
        <row r="4">
          <cell r="I4">
            <v>0</v>
          </cell>
        </row>
      </sheetData>
      <sheetData sheetId="2919">
        <row r="4">
          <cell r="I4">
            <v>0</v>
          </cell>
        </row>
      </sheetData>
      <sheetData sheetId="2920">
        <row r="4">
          <cell r="I4">
            <v>0</v>
          </cell>
        </row>
      </sheetData>
      <sheetData sheetId="2921">
        <row r="4">
          <cell r="I4">
            <v>0</v>
          </cell>
        </row>
      </sheetData>
      <sheetData sheetId="2922">
        <row r="4">
          <cell r="I4">
            <v>0</v>
          </cell>
        </row>
      </sheetData>
      <sheetData sheetId="2923">
        <row r="4">
          <cell r="I4">
            <v>0</v>
          </cell>
        </row>
      </sheetData>
      <sheetData sheetId="2924">
        <row r="4">
          <cell r="I4">
            <v>0</v>
          </cell>
        </row>
      </sheetData>
      <sheetData sheetId="2925">
        <row r="4">
          <cell r="I4">
            <v>0</v>
          </cell>
        </row>
      </sheetData>
      <sheetData sheetId="2926">
        <row r="4">
          <cell r="I4">
            <v>0</v>
          </cell>
        </row>
      </sheetData>
      <sheetData sheetId="2927">
        <row r="4">
          <cell r="I4">
            <v>0</v>
          </cell>
        </row>
      </sheetData>
      <sheetData sheetId="2928">
        <row r="4">
          <cell r="I4">
            <v>0</v>
          </cell>
        </row>
      </sheetData>
      <sheetData sheetId="2929">
        <row r="4">
          <cell r="I4">
            <v>0</v>
          </cell>
        </row>
      </sheetData>
      <sheetData sheetId="2930">
        <row r="4">
          <cell r="I4">
            <v>0</v>
          </cell>
        </row>
      </sheetData>
      <sheetData sheetId="2931">
        <row r="4">
          <cell r="I4">
            <v>0</v>
          </cell>
        </row>
      </sheetData>
      <sheetData sheetId="2932">
        <row r="4">
          <cell r="I4">
            <v>0</v>
          </cell>
        </row>
      </sheetData>
      <sheetData sheetId="2933">
        <row r="4">
          <cell r="I4">
            <v>0</v>
          </cell>
        </row>
      </sheetData>
      <sheetData sheetId="2934">
        <row r="4">
          <cell r="I4">
            <v>0</v>
          </cell>
        </row>
      </sheetData>
      <sheetData sheetId="2935">
        <row r="4">
          <cell r="I4">
            <v>0</v>
          </cell>
        </row>
      </sheetData>
      <sheetData sheetId="2936">
        <row r="4">
          <cell r="I4">
            <v>0</v>
          </cell>
        </row>
      </sheetData>
      <sheetData sheetId="2937">
        <row r="4">
          <cell r="I4">
            <v>0</v>
          </cell>
        </row>
      </sheetData>
      <sheetData sheetId="2938">
        <row r="4">
          <cell r="I4">
            <v>0</v>
          </cell>
        </row>
      </sheetData>
      <sheetData sheetId="2939">
        <row r="4">
          <cell r="I4">
            <v>0</v>
          </cell>
        </row>
      </sheetData>
      <sheetData sheetId="2940">
        <row r="4">
          <cell r="I4">
            <v>0</v>
          </cell>
        </row>
      </sheetData>
      <sheetData sheetId="2941">
        <row r="4">
          <cell r="I4">
            <v>0</v>
          </cell>
        </row>
      </sheetData>
      <sheetData sheetId="2942">
        <row r="4">
          <cell r="I4">
            <v>0</v>
          </cell>
        </row>
      </sheetData>
      <sheetData sheetId="2943">
        <row r="4">
          <cell r="I4">
            <v>0</v>
          </cell>
        </row>
      </sheetData>
      <sheetData sheetId="2944">
        <row r="4">
          <cell r="I4">
            <v>0</v>
          </cell>
        </row>
      </sheetData>
      <sheetData sheetId="2945">
        <row r="4">
          <cell r="I4">
            <v>0</v>
          </cell>
        </row>
      </sheetData>
      <sheetData sheetId="2946">
        <row r="4">
          <cell r="I4">
            <v>0</v>
          </cell>
        </row>
      </sheetData>
      <sheetData sheetId="2947">
        <row r="4">
          <cell r="I4">
            <v>0</v>
          </cell>
        </row>
      </sheetData>
      <sheetData sheetId="2948">
        <row r="4">
          <cell r="I4">
            <v>0</v>
          </cell>
        </row>
      </sheetData>
      <sheetData sheetId="2949">
        <row r="4">
          <cell r="I4">
            <v>0</v>
          </cell>
        </row>
      </sheetData>
      <sheetData sheetId="2950">
        <row r="4">
          <cell r="I4">
            <v>0</v>
          </cell>
        </row>
      </sheetData>
      <sheetData sheetId="2951">
        <row r="4">
          <cell r="I4">
            <v>0</v>
          </cell>
        </row>
      </sheetData>
      <sheetData sheetId="2952"/>
      <sheetData sheetId="2953">
        <row r="4">
          <cell r="I4">
            <v>0</v>
          </cell>
        </row>
      </sheetData>
      <sheetData sheetId="2954">
        <row r="4">
          <cell r="I4">
            <v>0</v>
          </cell>
        </row>
      </sheetData>
      <sheetData sheetId="2955">
        <row r="4">
          <cell r="I4">
            <v>0</v>
          </cell>
        </row>
      </sheetData>
      <sheetData sheetId="2956">
        <row r="4">
          <cell r="I4">
            <v>0</v>
          </cell>
        </row>
      </sheetData>
      <sheetData sheetId="2957">
        <row r="4">
          <cell r="I4">
            <v>0</v>
          </cell>
        </row>
      </sheetData>
      <sheetData sheetId="2958">
        <row r="4">
          <cell r="I4">
            <v>0</v>
          </cell>
        </row>
      </sheetData>
      <sheetData sheetId="2959">
        <row r="4">
          <cell r="I4">
            <v>0</v>
          </cell>
        </row>
      </sheetData>
      <sheetData sheetId="2960"/>
      <sheetData sheetId="2961">
        <row r="4">
          <cell r="I4">
            <v>0</v>
          </cell>
        </row>
      </sheetData>
      <sheetData sheetId="2962"/>
      <sheetData sheetId="2963"/>
      <sheetData sheetId="2964"/>
      <sheetData sheetId="2965">
        <row r="4">
          <cell r="I4">
            <v>0</v>
          </cell>
        </row>
      </sheetData>
      <sheetData sheetId="2966">
        <row r="4">
          <cell r="I4">
            <v>0</v>
          </cell>
        </row>
      </sheetData>
      <sheetData sheetId="2967">
        <row r="4">
          <cell r="I4">
            <v>0</v>
          </cell>
        </row>
      </sheetData>
      <sheetData sheetId="2968">
        <row r="4">
          <cell r="I4">
            <v>0</v>
          </cell>
        </row>
      </sheetData>
      <sheetData sheetId="2969">
        <row r="4">
          <cell r="I4">
            <v>0</v>
          </cell>
        </row>
      </sheetData>
      <sheetData sheetId="2970">
        <row r="4">
          <cell r="I4">
            <v>0</v>
          </cell>
        </row>
      </sheetData>
      <sheetData sheetId="2971">
        <row r="4">
          <cell r="I4">
            <v>0</v>
          </cell>
        </row>
      </sheetData>
      <sheetData sheetId="2972">
        <row r="4">
          <cell r="I4">
            <v>0</v>
          </cell>
        </row>
      </sheetData>
      <sheetData sheetId="2973">
        <row r="4">
          <cell r="I4">
            <v>0</v>
          </cell>
        </row>
      </sheetData>
      <sheetData sheetId="2974">
        <row r="4">
          <cell r="I4">
            <v>0</v>
          </cell>
        </row>
      </sheetData>
      <sheetData sheetId="2975">
        <row r="4">
          <cell r="I4">
            <v>0</v>
          </cell>
        </row>
      </sheetData>
      <sheetData sheetId="2976">
        <row r="4">
          <cell r="I4">
            <v>0</v>
          </cell>
        </row>
      </sheetData>
      <sheetData sheetId="2977">
        <row r="4">
          <cell r="I4">
            <v>0</v>
          </cell>
        </row>
      </sheetData>
      <sheetData sheetId="2978">
        <row r="4">
          <cell r="I4">
            <v>0</v>
          </cell>
        </row>
      </sheetData>
      <sheetData sheetId="2979">
        <row r="4">
          <cell r="I4">
            <v>0</v>
          </cell>
        </row>
      </sheetData>
      <sheetData sheetId="2980">
        <row r="4">
          <cell r="I4">
            <v>0</v>
          </cell>
        </row>
      </sheetData>
      <sheetData sheetId="2981">
        <row r="4">
          <cell r="I4">
            <v>0</v>
          </cell>
        </row>
      </sheetData>
      <sheetData sheetId="2982">
        <row r="4">
          <cell r="I4">
            <v>0</v>
          </cell>
        </row>
      </sheetData>
      <sheetData sheetId="2983">
        <row r="4">
          <cell r="I4">
            <v>0</v>
          </cell>
        </row>
      </sheetData>
      <sheetData sheetId="2984">
        <row r="4">
          <cell r="I4">
            <v>0</v>
          </cell>
        </row>
      </sheetData>
      <sheetData sheetId="2985">
        <row r="4">
          <cell r="I4">
            <v>0</v>
          </cell>
        </row>
      </sheetData>
      <sheetData sheetId="2986">
        <row r="4">
          <cell r="I4">
            <v>0</v>
          </cell>
        </row>
      </sheetData>
      <sheetData sheetId="2987">
        <row r="4">
          <cell r="I4">
            <v>0</v>
          </cell>
        </row>
      </sheetData>
      <sheetData sheetId="2988">
        <row r="4">
          <cell r="I4">
            <v>0</v>
          </cell>
        </row>
      </sheetData>
      <sheetData sheetId="2989">
        <row r="4">
          <cell r="I4">
            <v>0</v>
          </cell>
        </row>
      </sheetData>
      <sheetData sheetId="2990">
        <row r="4">
          <cell r="I4">
            <v>0</v>
          </cell>
        </row>
      </sheetData>
      <sheetData sheetId="2991">
        <row r="4">
          <cell r="I4">
            <v>0</v>
          </cell>
        </row>
      </sheetData>
      <sheetData sheetId="2992">
        <row r="4">
          <cell r="I4">
            <v>0</v>
          </cell>
        </row>
      </sheetData>
      <sheetData sheetId="2993">
        <row r="4">
          <cell r="I4">
            <v>0</v>
          </cell>
        </row>
      </sheetData>
      <sheetData sheetId="2994">
        <row r="4">
          <cell r="I4">
            <v>0</v>
          </cell>
        </row>
      </sheetData>
      <sheetData sheetId="2995">
        <row r="4">
          <cell r="I4">
            <v>0</v>
          </cell>
        </row>
      </sheetData>
      <sheetData sheetId="2996">
        <row r="4">
          <cell r="I4">
            <v>0</v>
          </cell>
        </row>
      </sheetData>
      <sheetData sheetId="2997">
        <row r="4">
          <cell r="I4">
            <v>0</v>
          </cell>
        </row>
      </sheetData>
      <sheetData sheetId="2998">
        <row r="4">
          <cell r="I4">
            <v>0</v>
          </cell>
        </row>
      </sheetData>
      <sheetData sheetId="2999">
        <row r="4">
          <cell r="I4">
            <v>0</v>
          </cell>
        </row>
      </sheetData>
      <sheetData sheetId="3000">
        <row r="4">
          <cell r="I4">
            <v>0</v>
          </cell>
        </row>
      </sheetData>
      <sheetData sheetId="3001">
        <row r="4">
          <cell r="I4">
            <v>0</v>
          </cell>
        </row>
      </sheetData>
      <sheetData sheetId="3002">
        <row r="4">
          <cell r="I4">
            <v>0</v>
          </cell>
        </row>
      </sheetData>
      <sheetData sheetId="3003">
        <row r="4">
          <cell r="I4">
            <v>0</v>
          </cell>
        </row>
      </sheetData>
      <sheetData sheetId="3004">
        <row r="4">
          <cell r="I4">
            <v>0</v>
          </cell>
        </row>
      </sheetData>
      <sheetData sheetId="3005">
        <row r="4">
          <cell r="I4">
            <v>0</v>
          </cell>
        </row>
      </sheetData>
      <sheetData sheetId="3006">
        <row r="4">
          <cell r="I4">
            <v>0</v>
          </cell>
        </row>
      </sheetData>
      <sheetData sheetId="3007">
        <row r="4">
          <cell r="I4">
            <v>0</v>
          </cell>
        </row>
      </sheetData>
      <sheetData sheetId="3008">
        <row r="4">
          <cell r="I4">
            <v>0</v>
          </cell>
        </row>
      </sheetData>
      <sheetData sheetId="3009">
        <row r="4">
          <cell r="I4">
            <v>0</v>
          </cell>
        </row>
      </sheetData>
      <sheetData sheetId="3010">
        <row r="4">
          <cell r="I4">
            <v>0</v>
          </cell>
        </row>
      </sheetData>
      <sheetData sheetId="3011">
        <row r="4">
          <cell r="I4">
            <v>0</v>
          </cell>
        </row>
      </sheetData>
      <sheetData sheetId="3012">
        <row r="4">
          <cell r="I4">
            <v>0</v>
          </cell>
        </row>
      </sheetData>
      <sheetData sheetId="3013">
        <row r="4">
          <cell r="I4">
            <v>0</v>
          </cell>
        </row>
      </sheetData>
      <sheetData sheetId="3014">
        <row r="4">
          <cell r="I4">
            <v>0</v>
          </cell>
        </row>
      </sheetData>
      <sheetData sheetId="3015">
        <row r="4">
          <cell r="I4">
            <v>0</v>
          </cell>
        </row>
      </sheetData>
      <sheetData sheetId="3016">
        <row r="4">
          <cell r="I4">
            <v>0</v>
          </cell>
        </row>
      </sheetData>
      <sheetData sheetId="3017">
        <row r="4">
          <cell r="I4">
            <v>0</v>
          </cell>
        </row>
      </sheetData>
      <sheetData sheetId="3018">
        <row r="4">
          <cell r="I4">
            <v>0</v>
          </cell>
        </row>
      </sheetData>
      <sheetData sheetId="3019">
        <row r="4">
          <cell r="I4">
            <v>0</v>
          </cell>
        </row>
      </sheetData>
      <sheetData sheetId="3020">
        <row r="4">
          <cell r="I4">
            <v>0</v>
          </cell>
        </row>
      </sheetData>
      <sheetData sheetId="3021">
        <row r="4">
          <cell r="I4">
            <v>0</v>
          </cell>
        </row>
      </sheetData>
      <sheetData sheetId="3022">
        <row r="4">
          <cell r="I4">
            <v>0</v>
          </cell>
        </row>
      </sheetData>
      <sheetData sheetId="3023">
        <row r="4">
          <cell r="I4">
            <v>0</v>
          </cell>
        </row>
      </sheetData>
      <sheetData sheetId="3024">
        <row r="4">
          <cell r="I4">
            <v>0</v>
          </cell>
        </row>
      </sheetData>
      <sheetData sheetId="3025">
        <row r="4">
          <cell r="I4">
            <v>0</v>
          </cell>
        </row>
      </sheetData>
      <sheetData sheetId="3026">
        <row r="4">
          <cell r="I4">
            <v>0</v>
          </cell>
        </row>
      </sheetData>
      <sheetData sheetId="3027">
        <row r="4">
          <cell r="I4">
            <v>0</v>
          </cell>
        </row>
      </sheetData>
      <sheetData sheetId="3028">
        <row r="4">
          <cell r="I4">
            <v>0</v>
          </cell>
        </row>
      </sheetData>
      <sheetData sheetId="3029">
        <row r="4">
          <cell r="I4">
            <v>0</v>
          </cell>
        </row>
      </sheetData>
      <sheetData sheetId="3030">
        <row r="4">
          <cell r="I4">
            <v>0</v>
          </cell>
        </row>
      </sheetData>
      <sheetData sheetId="3031">
        <row r="4">
          <cell r="I4">
            <v>0</v>
          </cell>
        </row>
      </sheetData>
      <sheetData sheetId="3032">
        <row r="4">
          <cell r="I4">
            <v>0</v>
          </cell>
        </row>
      </sheetData>
      <sheetData sheetId="3033">
        <row r="4">
          <cell r="I4">
            <v>0</v>
          </cell>
        </row>
      </sheetData>
      <sheetData sheetId="3034">
        <row r="4">
          <cell r="I4">
            <v>0</v>
          </cell>
        </row>
      </sheetData>
      <sheetData sheetId="3035">
        <row r="4">
          <cell r="I4">
            <v>0</v>
          </cell>
        </row>
      </sheetData>
      <sheetData sheetId="3036">
        <row r="4">
          <cell r="I4">
            <v>0</v>
          </cell>
        </row>
      </sheetData>
      <sheetData sheetId="3037">
        <row r="4">
          <cell r="I4">
            <v>0</v>
          </cell>
        </row>
      </sheetData>
      <sheetData sheetId="3038">
        <row r="4">
          <cell r="I4">
            <v>0</v>
          </cell>
        </row>
      </sheetData>
      <sheetData sheetId="3039">
        <row r="4">
          <cell r="I4">
            <v>0</v>
          </cell>
        </row>
      </sheetData>
      <sheetData sheetId="3040">
        <row r="4">
          <cell r="I4">
            <v>0</v>
          </cell>
        </row>
      </sheetData>
      <sheetData sheetId="3041">
        <row r="4">
          <cell r="I4">
            <v>0</v>
          </cell>
        </row>
      </sheetData>
      <sheetData sheetId="3042">
        <row r="4">
          <cell r="I4">
            <v>0</v>
          </cell>
        </row>
      </sheetData>
      <sheetData sheetId="3043">
        <row r="4">
          <cell r="I4">
            <v>0</v>
          </cell>
        </row>
      </sheetData>
      <sheetData sheetId="3044">
        <row r="4">
          <cell r="I4">
            <v>0</v>
          </cell>
        </row>
      </sheetData>
      <sheetData sheetId="3045">
        <row r="4">
          <cell r="I4">
            <v>0</v>
          </cell>
        </row>
      </sheetData>
      <sheetData sheetId="3046">
        <row r="4">
          <cell r="I4">
            <v>0</v>
          </cell>
        </row>
      </sheetData>
      <sheetData sheetId="3047">
        <row r="4">
          <cell r="I4">
            <v>0</v>
          </cell>
        </row>
      </sheetData>
      <sheetData sheetId="3048">
        <row r="4">
          <cell r="I4">
            <v>0</v>
          </cell>
        </row>
      </sheetData>
      <sheetData sheetId="3049">
        <row r="4">
          <cell r="I4">
            <v>0</v>
          </cell>
        </row>
      </sheetData>
      <sheetData sheetId="3050">
        <row r="4">
          <cell r="I4">
            <v>0</v>
          </cell>
        </row>
      </sheetData>
      <sheetData sheetId="3051">
        <row r="4">
          <cell r="I4">
            <v>0</v>
          </cell>
        </row>
      </sheetData>
      <sheetData sheetId="3052">
        <row r="4">
          <cell r="I4">
            <v>0</v>
          </cell>
        </row>
      </sheetData>
      <sheetData sheetId="3053">
        <row r="4">
          <cell r="I4">
            <v>0</v>
          </cell>
        </row>
      </sheetData>
      <sheetData sheetId="3054">
        <row r="4">
          <cell r="I4">
            <v>0</v>
          </cell>
        </row>
      </sheetData>
      <sheetData sheetId="3055">
        <row r="4">
          <cell r="I4">
            <v>0</v>
          </cell>
        </row>
      </sheetData>
      <sheetData sheetId="3056">
        <row r="4">
          <cell r="I4">
            <v>0</v>
          </cell>
        </row>
      </sheetData>
      <sheetData sheetId="3057">
        <row r="4">
          <cell r="I4">
            <v>0</v>
          </cell>
        </row>
      </sheetData>
      <sheetData sheetId="3058">
        <row r="4">
          <cell r="I4">
            <v>0</v>
          </cell>
        </row>
      </sheetData>
      <sheetData sheetId="3059">
        <row r="4">
          <cell r="I4">
            <v>0</v>
          </cell>
        </row>
      </sheetData>
      <sheetData sheetId="3060">
        <row r="4">
          <cell r="I4">
            <v>0</v>
          </cell>
        </row>
      </sheetData>
      <sheetData sheetId="3061">
        <row r="4">
          <cell r="I4">
            <v>0</v>
          </cell>
        </row>
      </sheetData>
      <sheetData sheetId="3062">
        <row r="4">
          <cell r="I4">
            <v>0</v>
          </cell>
        </row>
      </sheetData>
      <sheetData sheetId="3063">
        <row r="4">
          <cell r="I4">
            <v>0</v>
          </cell>
        </row>
      </sheetData>
      <sheetData sheetId="3064">
        <row r="4">
          <cell r="I4">
            <v>0</v>
          </cell>
        </row>
      </sheetData>
      <sheetData sheetId="3065">
        <row r="4">
          <cell r="I4">
            <v>0</v>
          </cell>
        </row>
      </sheetData>
      <sheetData sheetId="3066">
        <row r="4">
          <cell r="I4">
            <v>0</v>
          </cell>
        </row>
      </sheetData>
      <sheetData sheetId="3067">
        <row r="4">
          <cell r="I4">
            <v>0</v>
          </cell>
        </row>
      </sheetData>
      <sheetData sheetId="3068">
        <row r="4">
          <cell r="I4">
            <v>0</v>
          </cell>
        </row>
      </sheetData>
      <sheetData sheetId="3069">
        <row r="4">
          <cell r="I4">
            <v>0</v>
          </cell>
        </row>
      </sheetData>
      <sheetData sheetId="3070">
        <row r="4">
          <cell r="I4">
            <v>0</v>
          </cell>
        </row>
      </sheetData>
      <sheetData sheetId="3071">
        <row r="4">
          <cell r="I4">
            <v>0</v>
          </cell>
        </row>
      </sheetData>
      <sheetData sheetId="3072">
        <row r="4">
          <cell r="I4">
            <v>0</v>
          </cell>
        </row>
      </sheetData>
      <sheetData sheetId="3073">
        <row r="4">
          <cell r="I4">
            <v>0</v>
          </cell>
        </row>
      </sheetData>
      <sheetData sheetId="3074">
        <row r="4">
          <cell r="I4">
            <v>0</v>
          </cell>
        </row>
      </sheetData>
      <sheetData sheetId="3075">
        <row r="4">
          <cell r="I4">
            <v>0</v>
          </cell>
        </row>
      </sheetData>
      <sheetData sheetId="3076"/>
      <sheetData sheetId="3077">
        <row r="4">
          <cell r="I4">
            <v>0</v>
          </cell>
        </row>
      </sheetData>
      <sheetData sheetId="3078"/>
      <sheetData sheetId="3079">
        <row r="4">
          <cell r="I4">
            <v>0</v>
          </cell>
        </row>
      </sheetData>
      <sheetData sheetId="3080"/>
      <sheetData sheetId="3081">
        <row r="4">
          <cell r="I4">
            <v>0</v>
          </cell>
        </row>
      </sheetData>
      <sheetData sheetId="3082"/>
      <sheetData sheetId="3083">
        <row r="4">
          <cell r="I4">
            <v>0</v>
          </cell>
        </row>
      </sheetData>
      <sheetData sheetId="3084"/>
      <sheetData sheetId="3085"/>
      <sheetData sheetId="3086">
        <row r="4">
          <cell r="I4">
            <v>0</v>
          </cell>
        </row>
      </sheetData>
      <sheetData sheetId="3087">
        <row r="4">
          <cell r="I4">
            <v>0</v>
          </cell>
        </row>
      </sheetData>
      <sheetData sheetId="3088">
        <row r="4">
          <cell r="I4">
            <v>0</v>
          </cell>
        </row>
      </sheetData>
      <sheetData sheetId="3089">
        <row r="4">
          <cell r="I4">
            <v>0</v>
          </cell>
        </row>
      </sheetData>
      <sheetData sheetId="3090">
        <row r="4">
          <cell r="I4">
            <v>0</v>
          </cell>
        </row>
      </sheetData>
      <sheetData sheetId="3091"/>
      <sheetData sheetId="3092">
        <row r="4">
          <cell r="I4">
            <v>0</v>
          </cell>
        </row>
      </sheetData>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ow r="4">
          <cell r="I4">
            <v>0</v>
          </cell>
        </row>
      </sheetData>
      <sheetData sheetId="3116"/>
      <sheetData sheetId="3117"/>
      <sheetData sheetId="3118"/>
      <sheetData sheetId="3119"/>
      <sheetData sheetId="3120"/>
      <sheetData sheetId="3121"/>
      <sheetData sheetId="3122"/>
      <sheetData sheetId="3123">
        <row r="4">
          <cell r="I4">
            <v>0</v>
          </cell>
        </row>
      </sheetData>
      <sheetData sheetId="3124"/>
      <sheetData sheetId="3125">
        <row r="4">
          <cell r="I4">
            <v>0</v>
          </cell>
        </row>
      </sheetData>
      <sheetData sheetId="3126"/>
      <sheetData sheetId="3127">
        <row r="4">
          <cell r="I4">
            <v>0</v>
          </cell>
        </row>
      </sheetData>
      <sheetData sheetId="3128">
        <row r="4">
          <cell r="I4">
            <v>0</v>
          </cell>
        </row>
      </sheetData>
      <sheetData sheetId="3129"/>
      <sheetData sheetId="3130">
        <row r="4">
          <cell r="I4">
            <v>0</v>
          </cell>
        </row>
      </sheetData>
      <sheetData sheetId="3131"/>
      <sheetData sheetId="3132">
        <row r="4">
          <cell r="I4">
            <v>0</v>
          </cell>
        </row>
      </sheetData>
      <sheetData sheetId="3133">
        <row r="4">
          <cell r="I4">
            <v>0</v>
          </cell>
        </row>
      </sheetData>
      <sheetData sheetId="3134"/>
      <sheetData sheetId="3135">
        <row r="4">
          <cell r="I4">
            <v>0</v>
          </cell>
        </row>
      </sheetData>
      <sheetData sheetId="3136">
        <row r="4">
          <cell r="I4">
            <v>0</v>
          </cell>
        </row>
      </sheetData>
      <sheetData sheetId="3137">
        <row r="4">
          <cell r="I4">
            <v>0</v>
          </cell>
        </row>
      </sheetData>
      <sheetData sheetId="3138">
        <row r="4">
          <cell r="I4">
            <v>0</v>
          </cell>
        </row>
      </sheetData>
      <sheetData sheetId="3139"/>
      <sheetData sheetId="3140">
        <row r="4">
          <cell r="I4">
            <v>0</v>
          </cell>
        </row>
      </sheetData>
      <sheetData sheetId="3141">
        <row r="4">
          <cell r="I4">
            <v>0</v>
          </cell>
        </row>
      </sheetData>
      <sheetData sheetId="3142"/>
      <sheetData sheetId="3143">
        <row r="4">
          <cell r="I4">
            <v>0</v>
          </cell>
        </row>
      </sheetData>
      <sheetData sheetId="3144"/>
      <sheetData sheetId="3145">
        <row r="4">
          <cell r="I4">
            <v>0</v>
          </cell>
        </row>
      </sheetData>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efreshError="1"/>
      <sheetData sheetId="3188" refreshError="1"/>
      <sheetData sheetId="3189" refreshError="1"/>
      <sheetData sheetId="3190" refreshError="1"/>
      <sheetData sheetId="3191" refreshError="1"/>
      <sheetData sheetId="3192" refreshError="1"/>
      <sheetData sheetId="3193"/>
      <sheetData sheetId="3194"/>
      <sheetData sheetId="3195" refreshError="1"/>
      <sheetData sheetId="3196" refreshError="1"/>
      <sheetData sheetId="3197" refreshError="1"/>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sheetData sheetId="3284">
        <row r="4">
          <cell r="I4">
            <v>0</v>
          </cell>
        </row>
      </sheetData>
      <sheetData sheetId="3285"/>
      <sheetData sheetId="3286"/>
      <sheetData sheetId="3287"/>
      <sheetData sheetId="3288"/>
      <sheetData sheetId="3289"/>
      <sheetData sheetId="3290"/>
      <sheetData sheetId="3291"/>
      <sheetData sheetId="3292">
        <row r="4">
          <cell r="I4">
            <v>0</v>
          </cell>
        </row>
      </sheetData>
      <sheetData sheetId="3293"/>
      <sheetData sheetId="3294">
        <row r="4">
          <cell r="I4">
            <v>0</v>
          </cell>
        </row>
      </sheetData>
      <sheetData sheetId="3295"/>
      <sheetData sheetId="3296"/>
      <sheetData sheetId="3297"/>
      <sheetData sheetId="3298"/>
      <sheetData sheetId="3299"/>
      <sheetData sheetId="3300">
        <row r="4">
          <cell r="M4">
            <v>100</v>
          </cell>
        </row>
      </sheetData>
      <sheetData sheetId="3301"/>
      <sheetData sheetId="3302">
        <row r="4">
          <cell r="M4">
            <v>100</v>
          </cell>
        </row>
      </sheetData>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row r="4">
          <cell r="M4">
            <v>100</v>
          </cell>
        </row>
      </sheetData>
      <sheetData sheetId="3317"/>
      <sheetData sheetId="3318">
        <row r="4">
          <cell r="M4">
            <v>100</v>
          </cell>
        </row>
      </sheetData>
      <sheetData sheetId="3319"/>
      <sheetData sheetId="3320"/>
      <sheetData sheetId="3321"/>
      <sheetData sheetId="3322"/>
      <sheetData sheetId="3323"/>
      <sheetData sheetId="3324">
        <row r="4">
          <cell r="M4">
            <v>100</v>
          </cell>
        </row>
      </sheetData>
      <sheetData sheetId="3325"/>
      <sheetData sheetId="3326">
        <row r="4">
          <cell r="M4">
            <v>100</v>
          </cell>
        </row>
      </sheetData>
      <sheetData sheetId="3327"/>
      <sheetData sheetId="3328">
        <row r="4">
          <cell r="M4">
            <v>100</v>
          </cell>
        </row>
      </sheetData>
      <sheetData sheetId="3329"/>
      <sheetData sheetId="3330"/>
      <sheetData sheetId="3331"/>
      <sheetData sheetId="3332"/>
      <sheetData sheetId="3333"/>
      <sheetData sheetId="3334">
        <row r="4">
          <cell r="M4">
            <v>100</v>
          </cell>
        </row>
      </sheetData>
      <sheetData sheetId="3335"/>
      <sheetData sheetId="3336">
        <row r="4">
          <cell r="M4">
            <v>100</v>
          </cell>
        </row>
      </sheetData>
      <sheetData sheetId="3337"/>
      <sheetData sheetId="3338"/>
      <sheetData sheetId="3339"/>
      <sheetData sheetId="3340"/>
      <sheetData sheetId="3341"/>
      <sheetData sheetId="3342">
        <row r="4">
          <cell r="M4">
            <v>100</v>
          </cell>
        </row>
      </sheetData>
      <sheetData sheetId="3343"/>
      <sheetData sheetId="3344">
        <row r="4">
          <cell r="M4">
            <v>100</v>
          </cell>
        </row>
      </sheetData>
      <sheetData sheetId="3345">
        <row r="4">
          <cell r="M4">
            <v>100</v>
          </cell>
        </row>
      </sheetData>
      <sheetData sheetId="3346"/>
      <sheetData sheetId="3347">
        <row r="4">
          <cell r="M4">
            <v>100</v>
          </cell>
        </row>
      </sheetData>
      <sheetData sheetId="3348"/>
      <sheetData sheetId="3349"/>
      <sheetData sheetId="3350"/>
      <sheetData sheetId="3351"/>
      <sheetData sheetId="3352"/>
      <sheetData sheetId="3353">
        <row r="4">
          <cell r="M4">
            <v>100</v>
          </cell>
        </row>
      </sheetData>
      <sheetData sheetId="3354"/>
      <sheetData sheetId="3355">
        <row r="4">
          <cell r="M4">
            <v>100</v>
          </cell>
        </row>
      </sheetData>
      <sheetData sheetId="3356">
        <row r="4">
          <cell r="M4">
            <v>100</v>
          </cell>
        </row>
      </sheetData>
      <sheetData sheetId="3357"/>
      <sheetData sheetId="3358">
        <row r="4">
          <cell r="M4">
            <v>100</v>
          </cell>
        </row>
      </sheetData>
      <sheetData sheetId="3359"/>
      <sheetData sheetId="3360"/>
      <sheetData sheetId="3361"/>
      <sheetData sheetId="3362"/>
      <sheetData sheetId="3363"/>
      <sheetData sheetId="3364">
        <row r="4">
          <cell r="M4">
            <v>100</v>
          </cell>
        </row>
      </sheetData>
      <sheetData sheetId="3365"/>
      <sheetData sheetId="3366">
        <row r="4">
          <cell r="M4">
            <v>100</v>
          </cell>
        </row>
      </sheetData>
      <sheetData sheetId="3367"/>
      <sheetData sheetId="3368">
        <row r="4">
          <cell r="M4">
            <v>100</v>
          </cell>
        </row>
      </sheetData>
      <sheetData sheetId="3369">
        <row r="4">
          <cell r="M4">
            <v>100</v>
          </cell>
        </row>
      </sheetData>
      <sheetData sheetId="3370">
        <row r="4">
          <cell r="M4">
            <v>100</v>
          </cell>
        </row>
      </sheetData>
      <sheetData sheetId="3371">
        <row r="4">
          <cell r="M4">
            <v>100</v>
          </cell>
        </row>
      </sheetData>
      <sheetData sheetId="3372"/>
      <sheetData sheetId="3373"/>
      <sheetData sheetId="3374"/>
      <sheetData sheetId="3375"/>
      <sheetData sheetId="3376">
        <row r="4">
          <cell r="M4">
            <v>100</v>
          </cell>
        </row>
      </sheetData>
      <sheetData sheetId="3377">
        <row r="4">
          <cell r="M4">
            <v>100</v>
          </cell>
        </row>
      </sheetData>
      <sheetData sheetId="3378">
        <row r="4">
          <cell r="M4">
            <v>100</v>
          </cell>
        </row>
      </sheetData>
      <sheetData sheetId="3379">
        <row r="4">
          <cell r="M4">
            <v>100</v>
          </cell>
        </row>
      </sheetData>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ow r="4">
          <cell r="I4">
            <v>0</v>
          </cell>
        </row>
      </sheetData>
      <sheetData sheetId="3445"/>
      <sheetData sheetId="3446">
        <row r="4">
          <cell r="I4">
            <v>0</v>
          </cell>
        </row>
      </sheetData>
      <sheetData sheetId="3447"/>
      <sheetData sheetId="3448"/>
      <sheetData sheetId="3449"/>
      <sheetData sheetId="3450"/>
      <sheetData sheetId="3451"/>
      <sheetData sheetId="3452">
        <row r="4">
          <cell r="I4">
            <v>0</v>
          </cell>
        </row>
      </sheetData>
      <sheetData sheetId="3453"/>
      <sheetData sheetId="3454">
        <row r="4">
          <cell r="I4">
            <v>0</v>
          </cell>
        </row>
      </sheetData>
      <sheetData sheetId="3455"/>
      <sheetData sheetId="3456"/>
      <sheetData sheetId="3457">
        <row r="4">
          <cell r="I4">
            <v>0</v>
          </cell>
        </row>
      </sheetData>
      <sheetData sheetId="3458"/>
      <sheetData sheetId="3459">
        <row r="4">
          <cell r="I4">
            <v>0</v>
          </cell>
        </row>
      </sheetData>
      <sheetData sheetId="3460"/>
      <sheetData sheetId="3461"/>
      <sheetData sheetId="3462">
        <row r="4">
          <cell r="I4">
            <v>0</v>
          </cell>
        </row>
      </sheetData>
      <sheetData sheetId="3463">
        <row r="4">
          <cell r="I4">
            <v>0</v>
          </cell>
        </row>
      </sheetData>
      <sheetData sheetId="3464">
        <row r="4">
          <cell r="I4">
            <v>0</v>
          </cell>
        </row>
      </sheetData>
      <sheetData sheetId="3465">
        <row r="4">
          <cell r="I4">
            <v>0</v>
          </cell>
        </row>
      </sheetData>
      <sheetData sheetId="3466">
        <row r="4">
          <cell r="I4">
            <v>0</v>
          </cell>
        </row>
      </sheetData>
      <sheetData sheetId="3467">
        <row r="4">
          <cell r="I4">
            <v>0</v>
          </cell>
        </row>
      </sheetData>
      <sheetData sheetId="3468">
        <row r="4">
          <cell r="I4">
            <v>0</v>
          </cell>
        </row>
      </sheetData>
      <sheetData sheetId="3469">
        <row r="4">
          <cell r="M4">
            <v>100</v>
          </cell>
        </row>
      </sheetData>
      <sheetData sheetId="3470">
        <row r="4">
          <cell r="I4">
            <v>0</v>
          </cell>
        </row>
      </sheetData>
      <sheetData sheetId="3471">
        <row r="4">
          <cell r="I4">
            <v>0</v>
          </cell>
        </row>
      </sheetData>
      <sheetData sheetId="3472">
        <row r="4">
          <cell r="I4">
            <v>0</v>
          </cell>
        </row>
      </sheetData>
      <sheetData sheetId="3473">
        <row r="4">
          <cell r="I4">
            <v>0</v>
          </cell>
        </row>
      </sheetData>
      <sheetData sheetId="3474">
        <row r="4">
          <cell r="I4">
            <v>0</v>
          </cell>
        </row>
      </sheetData>
      <sheetData sheetId="3475">
        <row r="4">
          <cell r="I4">
            <v>0</v>
          </cell>
        </row>
      </sheetData>
      <sheetData sheetId="3476">
        <row r="4">
          <cell r="I4">
            <v>0</v>
          </cell>
        </row>
      </sheetData>
      <sheetData sheetId="3477">
        <row r="4">
          <cell r="M4">
            <v>100</v>
          </cell>
        </row>
      </sheetData>
      <sheetData sheetId="3478">
        <row r="4">
          <cell r="M4">
            <v>100</v>
          </cell>
        </row>
      </sheetData>
      <sheetData sheetId="3479">
        <row r="4">
          <cell r="M4">
            <v>100</v>
          </cell>
        </row>
      </sheetData>
      <sheetData sheetId="3480">
        <row r="4">
          <cell r="M4">
            <v>100</v>
          </cell>
        </row>
      </sheetData>
      <sheetData sheetId="3481">
        <row r="4">
          <cell r="M4">
            <v>100</v>
          </cell>
        </row>
      </sheetData>
      <sheetData sheetId="3482">
        <row r="4">
          <cell r="M4">
            <v>100</v>
          </cell>
        </row>
      </sheetData>
      <sheetData sheetId="3483">
        <row r="4">
          <cell r="M4">
            <v>100</v>
          </cell>
        </row>
      </sheetData>
      <sheetData sheetId="3484">
        <row r="4">
          <cell r="M4">
            <v>100</v>
          </cell>
        </row>
      </sheetData>
      <sheetData sheetId="3485">
        <row r="4">
          <cell r="M4">
            <v>100</v>
          </cell>
        </row>
      </sheetData>
      <sheetData sheetId="3486">
        <row r="4">
          <cell r="M4">
            <v>100</v>
          </cell>
        </row>
      </sheetData>
      <sheetData sheetId="3487">
        <row r="4">
          <cell r="M4">
            <v>100</v>
          </cell>
        </row>
      </sheetData>
      <sheetData sheetId="3488">
        <row r="4">
          <cell r="M4">
            <v>100</v>
          </cell>
        </row>
      </sheetData>
      <sheetData sheetId="3489">
        <row r="4">
          <cell r="M4">
            <v>100</v>
          </cell>
        </row>
      </sheetData>
      <sheetData sheetId="3490">
        <row r="4">
          <cell r="M4">
            <v>100</v>
          </cell>
        </row>
      </sheetData>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ow r="4">
          <cell r="M4">
            <v>100</v>
          </cell>
        </row>
      </sheetData>
      <sheetData sheetId="3498">
        <row r="4">
          <cell r="M4">
            <v>100</v>
          </cell>
        </row>
      </sheetData>
      <sheetData sheetId="3499">
        <row r="4">
          <cell r="M4">
            <v>100</v>
          </cell>
        </row>
      </sheetData>
      <sheetData sheetId="3500">
        <row r="4">
          <cell r="M4">
            <v>100</v>
          </cell>
        </row>
      </sheetData>
      <sheetData sheetId="3501">
        <row r="4">
          <cell r="M4">
            <v>100</v>
          </cell>
        </row>
      </sheetData>
      <sheetData sheetId="3502">
        <row r="4">
          <cell r="M4">
            <v>100</v>
          </cell>
        </row>
      </sheetData>
      <sheetData sheetId="3503">
        <row r="4">
          <cell r="M4">
            <v>100</v>
          </cell>
        </row>
      </sheetData>
      <sheetData sheetId="3504">
        <row r="4">
          <cell r="M4">
            <v>100</v>
          </cell>
        </row>
      </sheetData>
      <sheetData sheetId="3505">
        <row r="4">
          <cell r="M4">
            <v>100</v>
          </cell>
        </row>
      </sheetData>
      <sheetData sheetId="3506">
        <row r="4">
          <cell r="M4">
            <v>100</v>
          </cell>
        </row>
      </sheetData>
      <sheetData sheetId="3507">
        <row r="4">
          <cell r="M4">
            <v>100</v>
          </cell>
        </row>
      </sheetData>
      <sheetData sheetId="3508">
        <row r="4">
          <cell r="M4">
            <v>100</v>
          </cell>
        </row>
      </sheetData>
      <sheetData sheetId="3509">
        <row r="4">
          <cell r="M4">
            <v>100</v>
          </cell>
        </row>
      </sheetData>
      <sheetData sheetId="3510">
        <row r="4">
          <cell r="M4">
            <v>100</v>
          </cell>
        </row>
      </sheetData>
      <sheetData sheetId="3511">
        <row r="4">
          <cell r="M4">
            <v>100</v>
          </cell>
        </row>
      </sheetData>
      <sheetData sheetId="3512">
        <row r="4">
          <cell r="M4">
            <v>100</v>
          </cell>
        </row>
      </sheetData>
      <sheetData sheetId="3513">
        <row r="4">
          <cell r="M4">
            <v>100</v>
          </cell>
        </row>
      </sheetData>
      <sheetData sheetId="3514">
        <row r="4">
          <cell r="M4">
            <v>100</v>
          </cell>
        </row>
      </sheetData>
      <sheetData sheetId="3515" refreshError="1"/>
      <sheetData sheetId="3516" refreshError="1"/>
      <sheetData sheetId="3517" refreshError="1"/>
      <sheetData sheetId="3518" refreshError="1"/>
      <sheetData sheetId="3519" refreshError="1"/>
      <sheetData sheetId="3520" refreshError="1"/>
      <sheetData sheetId="3521">
        <row r="4">
          <cell r="M4">
            <v>100</v>
          </cell>
        </row>
      </sheetData>
      <sheetData sheetId="3522">
        <row r="4">
          <cell r="M4">
            <v>100</v>
          </cell>
        </row>
      </sheetData>
      <sheetData sheetId="3523">
        <row r="4">
          <cell r="M4">
            <v>100</v>
          </cell>
        </row>
      </sheetData>
      <sheetData sheetId="3524">
        <row r="4">
          <cell r="M4">
            <v>100</v>
          </cell>
        </row>
      </sheetData>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sheetData sheetId="3627">
        <row r="4">
          <cell r="I4">
            <v>0</v>
          </cell>
        </row>
      </sheetData>
      <sheetData sheetId="3628">
        <row r="4">
          <cell r="I4">
            <v>0</v>
          </cell>
        </row>
      </sheetData>
      <sheetData sheetId="3629">
        <row r="4">
          <cell r="I4">
            <v>0</v>
          </cell>
        </row>
      </sheetData>
      <sheetData sheetId="3630">
        <row r="4">
          <cell r="I4">
            <v>0</v>
          </cell>
        </row>
      </sheetData>
      <sheetData sheetId="3631">
        <row r="4">
          <cell r="I4">
            <v>0</v>
          </cell>
        </row>
      </sheetData>
      <sheetData sheetId="3632">
        <row r="4">
          <cell r="I4">
            <v>0</v>
          </cell>
        </row>
      </sheetData>
      <sheetData sheetId="3633">
        <row r="4">
          <cell r="I4">
            <v>0</v>
          </cell>
        </row>
      </sheetData>
      <sheetData sheetId="3634">
        <row r="4">
          <cell r="I4">
            <v>0</v>
          </cell>
        </row>
      </sheetData>
      <sheetData sheetId="3635">
        <row r="4">
          <cell r="I4">
            <v>0</v>
          </cell>
        </row>
      </sheetData>
      <sheetData sheetId="3636">
        <row r="4">
          <cell r="I4">
            <v>0</v>
          </cell>
        </row>
      </sheetData>
      <sheetData sheetId="3637">
        <row r="4">
          <cell r="I4">
            <v>0</v>
          </cell>
        </row>
      </sheetData>
      <sheetData sheetId="3638">
        <row r="4">
          <cell r="I4">
            <v>0</v>
          </cell>
        </row>
      </sheetData>
      <sheetData sheetId="3639">
        <row r="4">
          <cell r="I4">
            <v>0</v>
          </cell>
        </row>
      </sheetData>
      <sheetData sheetId="3640">
        <row r="4">
          <cell r="I4">
            <v>0</v>
          </cell>
        </row>
      </sheetData>
      <sheetData sheetId="3641">
        <row r="4">
          <cell r="I4">
            <v>0</v>
          </cell>
        </row>
      </sheetData>
      <sheetData sheetId="3642">
        <row r="4">
          <cell r="I4">
            <v>0</v>
          </cell>
        </row>
      </sheetData>
      <sheetData sheetId="3643">
        <row r="4">
          <cell r="I4">
            <v>0</v>
          </cell>
        </row>
      </sheetData>
      <sheetData sheetId="3644">
        <row r="4">
          <cell r="I4">
            <v>0</v>
          </cell>
        </row>
      </sheetData>
      <sheetData sheetId="3645">
        <row r="4">
          <cell r="I4">
            <v>0</v>
          </cell>
        </row>
      </sheetData>
      <sheetData sheetId="3646" refreshError="1"/>
      <sheetData sheetId="3647" refreshError="1"/>
      <sheetData sheetId="3648">
        <row r="4">
          <cell r="I4">
            <v>0</v>
          </cell>
        </row>
      </sheetData>
      <sheetData sheetId="3649">
        <row r="4">
          <cell r="I4">
            <v>0</v>
          </cell>
        </row>
      </sheetData>
      <sheetData sheetId="3650" refreshError="1"/>
      <sheetData sheetId="3651" refreshError="1"/>
      <sheetData sheetId="3652" refreshError="1"/>
      <sheetData sheetId="3653">
        <row r="4">
          <cell r="I4">
            <v>0</v>
          </cell>
        </row>
      </sheetData>
      <sheetData sheetId="3654">
        <row r="4">
          <cell r="I4">
            <v>0</v>
          </cell>
        </row>
      </sheetData>
      <sheetData sheetId="3655">
        <row r="4">
          <cell r="I4">
            <v>0</v>
          </cell>
        </row>
      </sheetData>
      <sheetData sheetId="3656">
        <row r="4">
          <cell r="I4">
            <v>0</v>
          </cell>
        </row>
      </sheetData>
      <sheetData sheetId="3657">
        <row r="4">
          <cell r="M4">
            <v>100</v>
          </cell>
        </row>
      </sheetData>
      <sheetData sheetId="3658">
        <row r="4">
          <cell r="M4">
            <v>100</v>
          </cell>
        </row>
      </sheetData>
      <sheetData sheetId="3659">
        <row r="4">
          <cell r="M4">
            <v>100</v>
          </cell>
        </row>
      </sheetData>
      <sheetData sheetId="3660">
        <row r="4">
          <cell r="M4">
            <v>100</v>
          </cell>
        </row>
      </sheetData>
      <sheetData sheetId="3661">
        <row r="4">
          <cell r="M4">
            <v>100</v>
          </cell>
        </row>
      </sheetData>
      <sheetData sheetId="3662">
        <row r="4">
          <cell r="I4">
            <v>0</v>
          </cell>
        </row>
      </sheetData>
      <sheetData sheetId="3663">
        <row r="4">
          <cell r="M4">
            <v>100</v>
          </cell>
        </row>
      </sheetData>
      <sheetData sheetId="3664">
        <row r="4">
          <cell r="I4">
            <v>0</v>
          </cell>
        </row>
      </sheetData>
      <sheetData sheetId="3665">
        <row r="4">
          <cell r="M4">
            <v>100</v>
          </cell>
        </row>
      </sheetData>
      <sheetData sheetId="3666">
        <row r="4">
          <cell r="M4">
            <v>100</v>
          </cell>
        </row>
      </sheetData>
      <sheetData sheetId="3667">
        <row r="4">
          <cell r="M4">
            <v>100</v>
          </cell>
        </row>
      </sheetData>
      <sheetData sheetId="3668">
        <row r="4">
          <cell r="M4">
            <v>100</v>
          </cell>
        </row>
      </sheetData>
      <sheetData sheetId="3669">
        <row r="4">
          <cell r="M4">
            <v>100</v>
          </cell>
        </row>
      </sheetData>
      <sheetData sheetId="3670">
        <row r="4">
          <cell r="M4">
            <v>100</v>
          </cell>
        </row>
      </sheetData>
      <sheetData sheetId="3671">
        <row r="4">
          <cell r="M4">
            <v>100</v>
          </cell>
        </row>
      </sheetData>
      <sheetData sheetId="3672">
        <row r="4">
          <cell r="M4">
            <v>100</v>
          </cell>
        </row>
      </sheetData>
      <sheetData sheetId="3673">
        <row r="4">
          <cell r="M4">
            <v>100</v>
          </cell>
        </row>
      </sheetData>
      <sheetData sheetId="3674">
        <row r="4">
          <cell r="M4">
            <v>100</v>
          </cell>
        </row>
      </sheetData>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ow r="4">
          <cell r="M4">
            <v>100</v>
          </cell>
        </row>
      </sheetData>
      <sheetData sheetId="3695"/>
      <sheetData sheetId="3696">
        <row r="4">
          <cell r="M4">
            <v>100</v>
          </cell>
        </row>
      </sheetData>
      <sheetData sheetId="3697">
        <row r="4">
          <cell r="M4">
            <v>100</v>
          </cell>
        </row>
      </sheetData>
      <sheetData sheetId="3698">
        <row r="4">
          <cell r="M4">
            <v>100</v>
          </cell>
        </row>
      </sheetData>
      <sheetData sheetId="3699">
        <row r="4">
          <cell r="M4">
            <v>100</v>
          </cell>
        </row>
      </sheetData>
      <sheetData sheetId="3700">
        <row r="4">
          <cell r="M4">
            <v>100</v>
          </cell>
        </row>
      </sheetData>
      <sheetData sheetId="3701">
        <row r="4">
          <cell r="M4">
            <v>100</v>
          </cell>
        </row>
      </sheetData>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sheetData sheetId="3793"/>
      <sheetData sheetId="3794"/>
      <sheetData sheetId="3795"/>
      <sheetData sheetId="3796">
        <row r="4">
          <cell r="M4">
            <v>100</v>
          </cell>
        </row>
      </sheetData>
      <sheetData sheetId="3797"/>
      <sheetData sheetId="3798"/>
      <sheetData sheetId="3799"/>
      <sheetData sheetId="3800"/>
      <sheetData sheetId="3801">
        <row r="4">
          <cell r="M4">
            <v>100</v>
          </cell>
        </row>
      </sheetData>
      <sheetData sheetId="3802"/>
      <sheetData sheetId="3803">
        <row r="4">
          <cell r="M4">
            <v>100</v>
          </cell>
        </row>
      </sheetData>
      <sheetData sheetId="3804">
        <row r="4">
          <cell r="M4">
            <v>100</v>
          </cell>
        </row>
      </sheetData>
      <sheetData sheetId="3805">
        <row r="4">
          <cell r="M4">
            <v>100</v>
          </cell>
        </row>
      </sheetData>
      <sheetData sheetId="3806">
        <row r="4">
          <cell r="M4">
            <v>100</v>
          </cell>
        </row>
      </sheetData>
      <sheetData sheetId="3807">
        <row r="4">
          <cell r="M4">
            <v>100</v>
          </cell>
        </row>
      </sheetData>
      <sheetData sheetId="3808">
        <row r="4">
          <cell r="M4">
            <v>100</v>
          </cell>
        </row>
      </sheetData>
      <sheetData sheetId="3809" refreshError="1"/>
      <sheetData sheetId="3810" refreshError="1"/>
      <sheetData sheetId="3811" refreshError="1"/>
      <sheetData sheetId="3812">
        <row r="4">
          <cell r="M4">
            <v>100</v>
          </cell>
        </row>
      </sheetData>
      <sheetData sheetId="3813">
        <row r="4">
          <cell r="M4">
            <v>100</v>
          </cell>
        </row>
      </sheetData>
      <sheetData sheetId="3814">
        <row r="4">
          <cell r="M4">
            <v>100</v>
          </cell>
        </row>
      </sheetData>
      <sheetData sheetId="3815">
        <row r="4">
          <cell r="M4">
            <v>100</v>
          </cell>
        </row>
      </sheetData>
      <sheetData sheetId="3816">
        <row r="4">
          <cell r="M4">
            <v>100</v>
          </cell>
        </row>
      </sheetData>
      <sheetData sheetId="3817">
        <row r="4">
          <cell r="M4">
            <v>100</v>
          </cell>
        </row>
      </sheetData>
      <sheetData sheetId="3818">
        <row r="4">
          <cell r="M4">
            <v>100</v>
          </cell>
        </row>
      </sheetData>
      <sheetData sheetId="3819">
        <row r="4">
          <cell r="M4">
            <v>100</v>
          </cell>
        </row>
      </sheetData>
      <sheetData sheetId="3820">
        <row r="4">
          <cell r="M4">
            <v>100</v>
          </cell>
        </row>
      </sheetData>
      <sheetData sheetId="3821" refreshError="1"/>
      <sheetData sheetId="3822">
        <row r="4">
          <cell r="M4">
            <v>100</v>
          </cell>
        </row>
      </sheetData>
      <sheetData sheetId="3823" refreshError="1"/>
      <sheetData sheetId="3824" refreshError="1"/>
      <sheetData sheetId="3825" refreshError="1"/>
      <sheetData sheetId="3826" refreshError="1"/>
      <sheetData sheetId="3827" refreshError="1"/>
      <sheetData sheetId="3828">
        <row r="4">
          <cell r="M4">
            <v>100</v>
          </cell>
        </row>
      </sheetData>
      <sheetData sheetId="3829">
        <row r="4">
          <cell r="M4">
            <v>100</v>
          </cell>
        </row>
      </sheetData>
      <sheetData sheetId="3830">
        <row r="4">
          <cell r="M4">
            <v>100</v>
          </cell>
        </row>
      </sheetData>
      <sheetData sheetId="3831">
        <row r="4">
          <cell r="M4">
            <v>100</v>
          </cell>
        </row>
      </sheetData>
      <sheetData sheetId="3832">
        <row r="4">
          <cell r="M4">
            <v>100</v>
          </cell>
        </row>
      </sheetData>
      <sheetData sheetId="3833">
        <row r="4">
          <cell r="M4">
            <v>100</v>
          </cell>
        </row>
      </sheetData>
      <sheetData sheetId="3834">
        <row r="4">
          <cell r="M4">
            <v>100</v>
          </cell>
        </row>
      </sheetData>
      <sheetData sheetId="3835">
        <row r="4">
          <cell r="M4">
            <v>100</v>
          </cell>
        </row>
      </sheetData>
      <sheetData sheetId="3836">
        <row r="4">
          <cell r="M4">
            <v>100</v>
          </cell>
        </row>
      </sheetData>
      <sheetData sheetId="3837" refreshError="1"/>
      <sheetData sheetId="3838" refreshError="1"/>
      <sheetData sheetId="3839">
        <row r="4">
          <cell r="M4">
            <v>100</v>
          </cell>
        </row>
      </sheetData>
      <sheetData sheetId="3840">
        <row r="4">
          <cell r="M4">
            <v>100</v>
          </cell>
        </row>
      </sheetData>
      <sheetData sheetId="3841">
        <row r="4">
          <cell r="M4">
            <v>100</v>
          </cell>
        </row>
      </sheetData>
      <sheetData sheetId="3842">
        <row r="4">
          <cell r="M4">
            <v>100</v>
          </cell>
        </row>
      </sheetData>
      <sheetData sheetId="3843">
        <row r="4">
          <cell r="M4">
            <v>100</v>
          </cell>
        </row>
      </sheetData>
      <sheetData sheetId="3844">
        <row r="4">
          <cell r="M4">
            <v>100</v>
          </cell>
        </row>
      </sheetData>
      <sheetData sheetId="3845">
        <row r="4">
          <cell r="M4">
            <v>100</v>
          </cell>
        </row>
      </sheetData>
      <sheetData sheetId="3846">
        <row r="4">
          <cell r="M4">
            <v>100</v>
          </cell>
        </row>
      </sheetData>
      <sheetData sheetId="3847">
        <row r="4">
          <cell r="M4">
            <v>100</v>
          </cell>
        </row>
      </sheetData>
      <sheetData sheetId="3848">
        <row r="4">
          <cell r="M4">
            <v>100</v>
          </cell>
        </row>
      </sheetData>
      <sheetData sheetId="3849">
        <row r="4">
          <cell r="M4">
            <v>100</v>
          </cell>
        </row>
      </sheetData>
      <sheetData sheetId="3850">
        <row r="4">
          <cell r="M4">
            <v>100</v>
          </cell>
        </row>
      </sheetData>
      <sheetData sheetId="3851">
        <row r="4">
          <cell r="M4">
            <v>100</v>
          </cell>
        </row>
      </sheetData>
      <sheetData sheetId="3852">
        <row r="4">
          <cell r="M4">
            <v>100</v>
          </cell>
        </row>
      </sheetData>
      <sheetData sheetId="3853">
        <row r="4">
          <cell r="M4">
            <v>100</v>
          </cell>
        </row>
      </sheetData>
      <sheetData sheetId="3854">
        <row r="4">
          <cell r="M4">
            <v>100</v>
          </cell>
        </row>
      </sheetData>
      <sheetData sheetId="3855">
        <row r="4">
          <cell r="M4">
            <v>100</v>
          </cell>
        </row>
      </sheetData>
      <sheetData sheetId="3856">
        <row r="4">
          <cell r="M4">
            <v>100</v>
          </cell>
        </row>
      </sheetData>
      <sheetData sheetId="3857">
        <row r="4">
          <cell r="M4">
            <v>100</v>
          </cell>
        </row>
      </sheetData>
      <sheetData sheetId="3858">
        <row r="4">
          <cell r="M4">
            <v>100</v>
          </cell>
        </row>
      </sheetData>
      <sheetData sheetId="3859">
        <row r="4">
          <cell r="M4">
            <v>100</v>
          </cell>
        </row>
      </sheetData>
      <sheetData sheetId="3860" refreshError="1"/>
      <sheetData sheetId="3861" refreshError="1"/>
      <sheetData sheetId="3862" refreshError="1"/>
      <sheetData sheetId="3863">
        <row r="4">
          <cell r="I4">
            <v>0</v>
          </cell>
        </row>
      </sheetData>
      <sheetData sheetId="3864" refreshError="1"/>
      <sheetData sheetId="3865" refreshError="1"/>
      <sheetData sheetId="3866" refreshError="1"/>
      <sheetData sheetId="3867" refreshError="1"/>
      <sheetData sheetId="3868" refreshError="1"/>
      <sheetData sheetId="3869" refreshError="1"/>
      <sheetData sheetId="3870"/>
      <sheetData sheetId="3871">
        <row r="4">
          <cell r="I4">
            <v>0</v>
          </cell>
        </row>
      </sheetData>
      <sheetData sheetId="3872" refreshError="1"/>
      <sheetData sheetId="3873" refreshError="1"/>
      <sheetData sheetId="3874" refreshError="1"/>
      <sheetData sheetId="3875" refreshError="1"/>
      <sheetData sheetId="3876" refreshError="1"/>
      <sheetData sheetId="3877" refreshError="1"/>
      <sheetData sheetId="3878"/>
      <sheetData sheetId="3879"/>
      <sheetData sheetId="3880"/>
      <sheetData sheetId="3881"/>
      <sheetData sheetId="3882"/>
      <sheetData sheetId="3883"/>
      <sheetData sheetId="3884">
        <row r="4">
          <cell r="I4">
            <v>0</v>
          </cell>
        </row>
      </sheetData>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ow r="4">
          <cell r="M4">
            <v>100</v>
          </cell>
        </row>
      </sheetData>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ow r="4">
          <cell r="I4">
            <v>0</v>
          </cell>
        </row>
      </sheetData>
      <sheetData sheetId="3923">
        <row r="4">
          <cell r="I4">
            <v>0</v>
          </cell>
        </row>
      </sheetData>
      <sheetData sheetId="3924">
        <row r="4">
          <cell r="I4">
            <v>0</v>
          </cell>
        </row>
      </sheetData>
      <sheetData sheetId="3925">
        <row r="4">
          <cell r="I4">
            <v>0</v>
          </cell>
        </row>
      </sheetData>
      <sheetData sheetId="3926">
        <row r="4">
          <cell r="M4">
            <v>100</v>
          </cell>
        </row>
      </sheetData>
      <sheetData sheetId="3927">
        <row r="4">
          <cell r="M4">
            <v>100</v>
          </cell>
        </row>
      </sheetData>
      <sheetData sheetId="3928">
        <row r="4">
          <cell r="M4">
            <v>100</v>
          </cell>
        </row>
      </sheetData>
      <sheetData sheetId="3929" refreshError="1"/>
      <sheetData sheetId="3930" refreshError="1"/>
      <sheetData sheetId="3931" refreshError="1"/>
      <sheetData sheetId="3932" refreshError="1"/>
      <sheetData sheetId="3933" refreshError="1"/>
      <sheetData sheetId="3934">
        <row r="4">
          <cell r="I4">
            <v>0</v>
          </cell>
        </row>
      </sheetData>
      <sheetData sheetId="3935">
        <row r="4">
          <cell r="I4">
            <v>0</v>
          </cell>
        </row>
      </sheetData>
      <sheetData sheetId="3936">
        <row r="4">
          <cell r="I4">
            <v>0</v>
          </cell>
        </row>
      </sheetData>
      <sheetData sheetId="3937">
        <row r="4">
          <cell r="I4">
            <v>0</v>
          </cell>
        </row>
      </sheetData>
      <sheetData sheetId="3938">
        <row r="4">
          <cell r="I4">
            <v>0</v>
          </cell>
        </row>
      </sheetData>
      <sheetData sheetId="3939">
        <row r="4">
          <cell r="I4">
            <v>0</v>
          </cell>
        </row>
      </sheetData>
      <sheetData sheetId="3940">
        <row r="4">
          <cell r="I4">
            <v>0</v>
          </cell>
        </row>
      </sheetData>
      <sheetData sheetId="3941">
        <row r="4">
          <cell r="I4">
            <v>0</v>
          </cell>
        </row>
      </sheetData>
      <sheetData sheetId="3942" refreshError="1"/>
      <sheetData sheetId="3943" refreshError="1"/>
      <sheetData sheetId="3944" refreshError="1"/>
      <sheetData sheetId="3945" refreshError="1"/>
      <sheetData sheetId="3946" refreshError="1"/>
      <sheetData sheetId="3947" refreshError="1"/>
      <sheetData sheetId="3948" refreshError="1"/>
      <sheetData sheetId="3949">
        <row r="4">
          <cell r="I4">
            <v>0</v>
          </cell>
        </row>
      </sheetData>
      <sheetData sheetId="3950">
        <row r="4">
          <cell r="I4">
            <v>0</v>
          </cell>
        </row>
      </sheetData>
      <sheetData sheetId="3951">
        <row r="4">
          <cell r="I4">
            <v>0</v>
          </cell>
        </row>
      </sheetData>
      <sheetData sheetId="3952">
        <row r="4">
          <cell r="I4">
            <v>0</v>
          </cell>
        </row>
      </sheetData>
      <sheetData sheetId="3953">
        <row r="4">
          <cell r="I4">
            <v>0</v>
          </cell>
        </row>
      </sheetData>
      <sheetData sheetId="3954">
        <row r="4">
          <cell r="I4">
            <v>0</v>
          </cell>
        </row>
      </sheetData>
      <sheetData sheetId="3955">
        <row r="4">
          <cell r="I4">
            <v>0</v>
          </cell>
        </row>
      </sheetData>
      <sheetData sheetId="3956">
        <row r="4">
          <cell r="I4">
            <v>0</v>
          </cell>
        </row>
      </sheetData>
      <sheetData sheetId="3957">
        <row r="4">
          <cell r="I4">
            <v>0</v>
          </cell>
        </row>
      </sheetData>
      <sheetData sheetId="3958">
        <row r="4">
          <cell r="I4">
            <v>0</v>
          </cell>
        </row>
      </sheetData>
      <sheetData sheetId="3959">
        <row r="4">
          <cell r="I4">
            <v>0</v>
          </cell>
        </row>
      </sheetData>
      <sheetData sheetId="3960">
        <row r="4">
          <cell r="I4">
            <v>0</v>
          </cell>
        </row>
      </sheetData>
      <sheetData sheetId="3961">
        <row r="4">
          <cell r="I4">
            <v>0</v>
          </cell>
        </row>
      </sheetData>
      <sheetData sheetId="3962">
        <row r="4">
          <cell r="I4">
            <v>0</v>
          </cell>
        </row>
      </sheetData>
      <sheetData sheetId="3963">
        <row r="4">
          <cell r="I4">
            <v>0</v>
          </cell>
        </row>
      </sheetData>
      <sheetData sheetId="3964">
        <row r="4">
          <cell r="I4">
            <v>0</v>
          </cell>
        </row>
      </sheetData>
      <sheetData sheetId="3965">
        <row r="4">
          <cell r="I4">
            <v>0</v>
          </cell>
        </row>
      </sheetData>
      <sheetData sheetId="3966">
        <row r="4">
          <cell r="I4">
            <v>0</v>
          </cell>
        </row>
      </sheetData>
      <sheetData sheetId="3967">
        <row r="4">
          <cell r="I4">
            <v>0</v>
          </cell>
        </row>
      </sheetData>
      <sheetData sheetId="3968">
        <row r="4">
          <cell r="I4">
            <v>0</v>
          </cell>
        </row>
      </sheetData>
      <sheetData sheetId="3969">
        <row r="4">
          <cell r="I4">
            <v>0</v>
          </cell>
        </row>
      </sheetData>
      <sheetData sheetId="3970">
        <row r="4">
          <cell r="I4">
            <v>0</v>
          </cell>
        </row>
      </sheetData>
      <sheetData sheetId="3971">
        <row r="4">
          <cell r="I4">
            <v>0</v>
          </cell>
        </row>
      </sheetData>
      <sheetData sheetId="3972">
        <row r="4">
          <cell r="I4">
            <v>0</v>
          </cell>
        </row>
      </sheetData>
      <sheetData sheetId="3973">
        <row r="4">
          <cell r="I4">
            <v>0</v>
          </cell>
        </row>
      </sheetData>
      <sheetData sheetId="3974">
        <row r="4">
          <cell r="I4">
            <v>0</v>
          </cell>
        </row>
      </sheetData>
      <sheetData sheetId="3975">
        <row r="4">
          <cell r="I4">
            <v>0</v>
          </cell>
        </row>
      </sheetData>
      <sheetData sheetId="3976">
        <row r="4">
          <cell r="I4">
            <v>0</v>
          </cell>
        </row>
      </sheetData>
      <sheetData sheetId="3977">
        <row r="4">
          <cell r="I4">
            <v>0</v>
          </cell>
        </row>
      </sheetData>
      <sheetData sheetId="3978">
        <row r="4">
          <cell r="I4">
            <v>0</v>
          </cell>
        </row>
      </sheetData>
      <sheetData sheetId="3979">
        <row r="4">
          <cell r="I4">
            <v>0</v>
          </cell>
        </row>
      </sheetData>
      <sheetData sheetId="3980">
        <row r="4">
          <cell r="I4">
            <v>0</v>
          </cell>
        </row>
      </sheetData>
      <sheetData sheetId="3981">
        <row r="4">
          <cell r="I4">
            <v>0</v>
          </cell>
        </row>
      </sheetData>
      <sheetData sheetId="3982">
        <row r="4">
          <cell r="I4">
            <v>0</v>
          </cell>
        </row>
      </sheetData>
      <sheetData sheetId="3983">
        <row r="4">
          <cell r="I4">
            <v>0</v>
          </cell>
        </row>
      </sheetData>
      <sheetData sheetId="3984">
        <row r="4">
          <cell r="I4">
            <v>0</v>
          </cell>
        </row>
      </sheetData>
      <sheetData sheetId="3985">
        <row r="4">
          <cell r="I4">
            <v>0</v>
          </cell>
        </row>
      </sheetData>
      <sheetData sheetId="3986">
        <row r="4">
          <cell r="I4">
            <v>0</v>
          </cell>
        </row>
      </sheetData>
      <sheetData sheetId="3987">
        <row r="4">
          <cell r="I4">
            <v>0</v>
          </cell>
        </row>
      </sheetData>
      <sheetData sheetId="3988">
        <row r="4">
          <cell r="I4">
            <v>0</v>
          </cell>
        </row>
      </sheetData>
      <sheetData sheetId="3989">
        <row r="4">
          <cell r="I4">
            <v>0</v>
          </cell>
        </row>
      </sheetData>
      <sheetData sheetId="3990">
        <row r="4">
          <cell r="I4">
            <v>0</v>
          </cell>
        </row>
      </sheetData>
      <sheetData sheetId="3991">
        <row r="4">
          <cell r="I4">
            <v>0</v>
          </cell>
        </row>
      </sheetData>
      <sheetData sheetId="3992">
        <row r="4">
          <cell r="I4">
            <v>0</v>
          </cell>
        </row>
      </sheetData>
      <sheetData sheetId="3993">
        <row r="4">
          <cell r="I4">
            <v>0</v>
          </cell>
        </row>
      </sheetData>
      <sheetData sheetId="3994">
        <row r="4">
          <cell r="I4">
            <v>0</v>
          </cell>
        </row>
      </sheetData>
      <sheetData sheetId="3995">
        <row r="4">
          <cell r="I4">
            <v>0</v>
          </cell>
        </row>
      </sheetData>
      <sheetData sheetId="3996">
        <row r="4">
          <cell r="I4">
            <v>0</v>
          </cell>
        </row>
      </sheetData>
      <sheetData sheetId="3997">
        <row r="4">
          <cell r="I4">
            <v>0</v>
          </cell>
        </row>
      </sheetData>
      <sheetData sheetId="3998">
        <row r="4">
          <cell r="I4">
            <v>0</v>
          </cell>
        </row>
      </sheetData>
      <sheetData sheetId="3999">
        <row r="4">
          <cell r="I4">
            <v>0</v>
          </cell>
        </row>
      </sheetData>
      <sheetData sheetId="4000">
        <row r="4">
          <cell r="I4">
            <v>0</v>
          </cell>
        </row>
      </sheetData>
      <sheetData sheetId="4001">
        <row r="4">
          <cell r="I4">
            <v>0</v>
          </cell>
        </row>
      </sheetData>
      <sheetData sheetId="4002">
        <row r="4">
          <cell r="I4">
            <v>0</v>
          </cell>
        </row>
      </sheetData>
      <sheetData sheetId="4003">
        <row r="4">
          <cell r="I4">
            <v>0</v>
          </cell>
        </row>
      </sheetData>
      <sheetData sheetId="4004">
        <row r="4">
          <cell r="I4">
            <v>0</v>
          </cell>
        </row>
      </sheetData>
      <sheetData sheetId="4005">
        <row r="4">
          <cell r="I4">
            <v>0</v>
          </cell>
        </row>
      </sheetData>
      <sheetData sheetId="4006">
        <row r="4">
          <cell r="I4">
            <v>0</v>
          </cell>
        </row>
      </sheetData>
      <sheetData sheetId="4007">
        <row r="4">
          <cell r="I4">
            <v>0</v>
          </cell>
        </row>
      </sheetData>
      <sheetData sheetId="4008">
        <row r="4">
          <cell r="I4">
            <v>0</v>
          </cell>
        </row>
      </sheetData>
      <sheetData sheetId="4009">
        <row r="4">
          <cell r="I4">
            <v>0</v>
          </cell>
        </row>
      </sheetData>
      <sheetData sheetId="4010">
        <row r="4">
          <cell r="I4">
            <v>0</v>
          </cell>
        </row>
      </sheetData>
      <sheetData sheetId="4011">
        <row r="4">
          <cell r="I4">
            <v>0</v>
          </cell>
        </row>
      </sheetData>
      <sheetData sheetId="4012">
        <row r="4">
          <cell r="I4">
            <v>0</v>
          </cell>
        </row>
      </sheetData>
      <sheetData sheetId="4013">
        <row r="4">
          <cell r="I4">
            <v>0</v>
          </cell>
        </row>
      </sheetData>
      <sheetData sheetId="4014">
        <row r="4">
          <cell r="I4">
            <v>0</v>
          </cell>
        </row>
      </sheetData>
      <sheetData sheetId="4015">
        <row r="4">
          <cell r="I4">
            <v>0</v>
          </cell>
        </row>
      </sheetData>
      <sheetData sheetId="4016">
        <row r="4">
          <cell r="I4">
            <v>0</v>
          </cell>
        </row>
      </sheetData>
      <sheetData sheetId="4017">
        <row r="4">
          <cell r="I4">
            <v>0</v>
          </cell>
        </row>
      </sheetData>
      <sheetData sheetId="4018">
        <row r="4">
          <cell r="I4">
            <v>0</v>
          </cell>
        </row>
      </sheetData>
      <sheetData sheetId="4019">
        <row r="4">
          <cell r="I4">
            <v>0</v>
          </cell>
        </row>
      </sheetData>
      <sheetData sheetId="4020">
        <row r="4">
          <cell r="I4">
            <v>0</v>
          </cell>
        </row>
      </sheetData>
      <sheetData sheetId="4021">
        <row r="4">
          <cell r="I4">
            <v>0</v>
          </cell>
        </row>
      </sheetData>
      <sheetData sheetId="4022">
        <row r="4">
          <cell r="I4">
            <v>0</v>
          </cell>
        </row>
      </sheetData>
      <sheetData sheetId="4023">
        <row r="4">
          <cell r="I4">
            <v>0</v>
          </cell>
        </row>
      </sheetData>
      <sheetData sheetId="4024">
        <row r="4">
          <cell r="I4">
            <v>0</v>
          </cell>
        </row>
      </sheetData>
      <sheetData sheetId="4025">
        <row r="4">
          <cell r="I4">
            <v>0</v>
          </cell>
        </row>
      </sheetData>
      <sheetData sheetId="4026">
        <row r="4">
          <cell r="I4">
            <v>0</v>
          </cell>
        </row>
      </sheetData>
      <sheetData sheetId="4027">
        <row r="4">
          <cell r="I4">
            <v>0</v>
          </cell>
        </row>
      </sheetData>
      <sheetData sheetId="4028">
        <row r="4">
          <cell r="I4">
            <v>0</v>
          </cell>
        </row>
      </sheetData>
      <sheetData sheetId="4029">
        <row r="4">
          <cell r="I4">
            <v>0</v>
          </cell>
        </row>
      </sheetData>
      <sheetData sheetId="4030">
        <row r="4">
          <cell r="I4">
            <v>0</v>
          </cell>
        </row>
      </sheetData>
      <sheetData sheetId="4031">
        <row r="4">
          <cell r="I4">
            <v>0</v>
          </cell>
        </row>
      </sheetData>
      <sheetData sheetId="4032">
        <row r="4">
          <cell r="I4">
            <v>0</v>
          </cell>
        </row>
      </sheetData>
      <sheetData sheetId="4033">
        <row r="4">
          <cell r="I4">
            <v>0</v>
          </cell>
        </row>
      </sheetData>
      <sheetData sheetId="4034">
        <row r="4">
          <cell r="I4">
            <v>0</v>
          </cell>
        </row>
      </sheetData>
      <sheetData sheetId="4035">
        <row r="4">
          <cell r="I4">
            <v>0</v>
          </cell>
        </row>
      </sheetData>
      <sheetData sheetId="4036">
        <row r="4">
          <cell r="I4">
            <v>0</v>
          </cell>
        </row>
      </sheetData>
      <sheetData sheetId="4037">
        <row r="4">
          <cell r="I4">
            <v>0</v>
          </cell>
        </row>
      </sheetData>
      <sheetData sheetId="4038">
        <row r="4">
          <cell r="I4">
            <v>0</v>
          </cell>
        </row>
      </sheetData>
      <sheetData sheetId="4039">
        <row r="4">
          <cell r="I4">
            <v>0</v>
          </cell>
        </row>
      </sheetData>
      <sheetData sheetId="4040">
        <row r="4">
          <cell r="I4">
            <v>0</v>
          </cell>
        </row>
      </sheetData>
      <sheetData sheetId="4041">
        <row r="4">
          <cell r="I4">
            <v>0</v>
          </cell>
        </row>
      </sheetData>
      <sheetData sheetId="4042">
        <row r="4">
          <cell r="I4">
            <v>0</v>
          </cell>
        </row>
      </sheetData>
      <sheetData sheetId="4043">
        <row r="4">
          <cell r="I4">
            <v>0</v>
          </cell>
        </row>
      </sheetData>
      <sheetData sheetId="4044">
        <row r="4">
          <cell r="I4">
            <v>0</v>
          </cell>
        </row>
      </sheetData>
      <sheetData sheetId="4045">
        <row r="4">
          <cell r="I4">
            <v>0</v>
          </cell>
        </row>
      </sheetData>
      <sheetData sheetId="4046">
        <row r="4">
          <cell r="I4">
            <v>0</v>
          </cell>
        </row>
      </sheetData>
      <sheetData sheetId="4047">
        <row r="4">
          <cell r="I4">
            <v>0</v>
          </cell>
        </row>
      </sheetData>
      <sheetData sheetId="4048">
        <row r="4">
          <cell r="I4">
            <v>0</v>
          </cell>
        </row>
      </sheetData>
      <sheetData sheetId="4049">
        <row r="4">
          <cell r="I4">
            <v>0</v>
          </cell>
        </row>
      </sheetData>
      <sheetData sheetId="4050">
        <row r="4">
          <cell r="I4">
            <v>0</v>
          </cell>
        </row>
      </sheetData>
      <sheetData sheetId="4051">
        <row r="4">
          <cell r="I4">
            <v>0</v>
          </cell>
        </row>
      </sheetData>
      <sheetData sheetId="4052">
        <row r="4">
          <cell r="I4">
            <v>0</v>
          </cell>
        </row>
      </sheetData>
      <sheetData sheetId="4053">
        <row r="4">
          <cell r="I4">
            <v>0</v>
          </cell>
        </row>
      </sheetData>
      <sheetData sheetId="4054">
        <row r="4">
          <cell r="I4">
            <v>0</v>
          </cell>
        </row>
      </sheetData>
      <sheetData sheetId="4055">
        <row r="4">
          <cell r="I4">
            <v>0</v>
          </cell>
        </row>
      </sheetData>
      <sheetData sheetId="4056">
        <row r="4">
          <cell r="I4">
            <v>0</v>
          </cell>
        </row>
      </sheetData>
      <sheetData sheetId="4057">
        <row r="4">
          <cell r="I4">
            <v>0</v>
          </cell>
        </row>
      </sheetData>
      <sheetData sheetId="4058">
        <row r="4">
          <cell r="I4">
            <v>0</v>
          </cell>
        </row>
      </sheetData>
      <sheetData sheetId="4059">
        <row r="4">
          <cell r="I4">
            <v>0</v>
          </cell>
        </row>
      </sheetData>
      <sheetData sheetId="4060">
        <row r="4">
          <cell r="I4">
            <v>0</v>
          </cell>
        </row>
      </sheetData>
      <sheetData sheetId="4061">
        <row r="4">
          <cell r="I4">
            <v>0</v>
          </cell>
        </row>
      </sheetData>
      <sheetData sheetId="4062">
        <row r="4">
          <cell r="I4">
            <v>0</v>
          </cell>
        </row>
      </sheetData>
      <sheetData sheetId="4063">
        <row r="4">
          <cell r="I4">
            <v>0</v>
          </cell>
        </row>
      </sheetData>
      <sheetData sheetId="4064">
        <row r="4">
          <cell r="I4">
            <v>0</v>
          </cell>
        </row>
      </sheetData>
      <sheetData sheetId="4065">
        <row r="4">
          <cell r="I4">
            <v>0</v>
          </cell>
        </row>
      </sheetData>
      <sheetData sheetId="4066">
        <row r="4">
          <cell r="I4">
            <v>0</v>
          </cell>
        </row>
      </sheetData>
      <sheetData sheetId="4067">
        <row r="4">
          <cell r="I4">
            <v>0</v>
          </cell>
        </row>
      </sheetData>
      <sheetData sheetId="4068">
        <row r="4">
          <cell r="I4">
            <v>0</v>
          </cell>
        </row>
      </sheetData>
      <sheetData sheetId="4069">
        <row r="4">
          <cell r="I4">
            <v>0</v>
          </cell>
        </row>
      </sheetData>
      <sheetData sheetId="4070">
        <row r="4">
          <cell r="I4">
            <v>0</v>
          </cell>
        </row>
      </sheetData>
      <sheetData sheetId="4071">
        <row r="4">
          <cell r="I4">
            <v>0</v>
          </cell>
        </row>
      </sheetData>
      <sheetData sheetId="4072">
        <row r="4">
          <cell r="I4">
            <v>0</v>
          </cell>
        </row>
      </sheetData>
      <sheetData sheetId="4073">
        <row r="4">
          <cell r="I4">
            <v>0</v>
          </cell>
        </row>
      </sheetData>
      <sheetData sheetId="4074">
        <row r="4">
          <cell r="I4">
            <v>0</v>
          </cell>
        </row>
      </sheetData>
      <sheetData sheetId="4075">
        <row r="4">
          <cell r="I4">
            <v>0</v>
          </cell>
        </row>
      </sheetData>
      <sheetData sheetId="4076">
        <row r="4">
          <cell r="I4">
            <v>0</v>
          </cell>
        </row>
      </sheetData>
      <sheetData sheetId="4077">
        <row r="4">
          <cell r="I4">
            <v>0</v>
          </cell>
        </row>
      </sheetData>
      <sheetData sheetId="4078">
        <row r="4">
          <cell r="I4">
            <v>0</v>
          </cell>
        </row>
      </sheetData>
      <sheetData sheetId="4079">
        <row r="4">
          <cell r="I4">
            <v>0</v>
          </cell>
        </row>
      </sheetData>
      <sheetData sheetId="4080">
        <row r="4">
          <cell r="I4">
            <v>0</v>
          </cell>
        </row>
      </sheetData>
      <sheetData sheetId="4081">
        <row r="4">
          <cell r="I4">
            <v>0</v>
          </cell>
        </row>
      </sheetData>
      <sheetData sheetId="4082">
        <row r="4">
          <cell r="I4">
            <v>0</v>
          </cell>
        </row>
      </sheetData>
      <sheetData sheetId="4083">
        <row r="4">
          <cell r="I4">
            <v>0</v>
          </cell>
        </row>
      </sheetData>
      <sheetData sheetId="4084">
        <row r="4">
          <cell r="I4">
            <v>0</v>
          </cell>
        </row>
      </sheetData>
      <sheetData sheetId="4085">
        <row r="4">
          <cell r="I4">
            <v>0</v>
          </cell>
        </row>
      </sheetData>
      <sheetData sheetId="4086">
        <row r="4">
          <cell r="I4">
            <v>0</v>
          </cell>
        </row>
      </sheetData>
      <sheetData sheetId="4087">
        <row r="4">
          <cell r="I4">
            <v>0</v>
          </cell>
        </row>
      </sheetData>
      <sheetData sheetId="4088">
        <row r="4">
          <cell r="I4">
            <v>0</v>
          </cell>
        </row>
      </sheetData>
      <sheetData sheetId="4089">
        <row r="4">
          <cell r="I4">
            <v>0</v>
          </cell>
        </row>
      </sheetData>
      <sheetData sheetId="4090">
        <row r="4">
          <cell r="I4">
            <v>0</v>
          </cell>
        </row>
      </sheetData>
      <sheetData sheetId="4091">
        <row r="4">
          <cell r="I4">
            <v>0</v>
          </cell>
        </row>
      </sheetData>
      <sheetData sheetId="4092">
        <row r="4">
          <cell r="I4">
            <v>0</v>
          </cell>
        </row>
      </sheetData>
      <sheetData sheetId="4093">
        <row r="4">
          <cell r="I4">
            <v>0</v>
          </cell>
        </row>
      </sheetData>
      <sheetData sheetId="4094">
        <row r="4">
          <cell r="I4">
            <v>0</v>
          </cell>
        </row>
      </sheetData>
      <sheetData sheetId="4095">
        <row r="4">
          <cell r="I4">
            <v>0</v>
          </cell>
        </row>
      </sheetData>
      <sheetData sheetId="4096">
        <row r="4">
          <cell r="I4">
            <v>0</v>
          </cell>
        </row>
      </sheetData>
      <sheetData sheetId="4097">
        <row r="4">
          <cell r="I4">
            <v>0</v>
          </cell>
        </row>
      </sheetData>
      <sheetData sheetId="4098">
        <row r="4">
          <cell r="I4">
            <v>0</v>
          </cell>
        </row>
      </sheetData>
      <sheetData sheetId="4099">
        <row r="4">
          <cell r="I4">
            <v>0</v>
          </cell>
        </row>
      </sheetData>
      <sheetData sheetId="4100">
        <row r="4">
          <cell r="I4">
            <v>0</v>
          </cell>
        </row>
      </sheetData>
      <sheetData sheetId="4101">
        <row r="4">
          <cell r="I4">
            <v>0</v>
          </cell>
        </row>
      </sheetData>
      <sheetData sheetId="4102">
        <row r="4">
          <cell r="I4">
            <v>0</v>
          </cell>
        </row>
      </sheetData>
      <sheetData sheetId="4103">
        <row r="4">
          <cell r="I4">
            <v>0</v>
          </cell>
        </row>
      </sheetData>
      <sheetData sheetId="4104">
        <row r="4">
          <cell r="I4">
            <v>0</v>
          </cell>
        </row>
      </sheetData>
      <sheetData sheetId="4105">
        <row r="4">
          <cell r="I4">
            <v>0</v>
          </cell>
        </row>
      </sheetData>
      <sheetData sheetId="4106">
        <row r="4">
          <cell r="I4">
            <v>0</v>
          </cell>
        </row>
      </sheetData>
      <sheetData sheetId="4107">
        <row r="4">
          <cell r="I4">
            <v>0</v>
          </cell>
        </row>
      </sheetData>
      <sheetData sheetId="4108">
        <row r="4">
          <cell r="I4">
            <v>0</v>
          </cell>
        </row>
      </sheetData>
      <sheetData sheetId="4109">
        <row r="4">
          <cell r="I4">
            <v>0</v>
          </cell>
        </row>
      </sheetData>
      <sheetData sheetId="4110">
        <row r="4">
          <cell r="I4">
            <v>0</v>
          </cell>
        </row>
      </sheetData>
      <sheetData sheetId="4111">
        <row r="4">
          <cell r="I4">
            <v>0</v>
          </cell>
        </row>
      </sheetData>
      <sheetData sheetId="4112">
        <row r="4">
          <cell r="I4">
            <v>0</v>
          </cell>
        </row>
      </sheetData>
      <sheetData sheetId="4113">
        <row r="4">
          <cell r="I4">
            <v>0</v>
          </cell>
        </row>
      </sheetData>
      <sheetData sheetId="4114">
        <row r="4">
          <cell r="I4">
            <v>0</v>
          </cell>
        </row>
      </sheetData>
      <sheetData sheetId="4115">
        <row r="4">
          <cell r="I4">
            <v>0</v>
          </cell>
        </row>
      </sheetData>
      <sheetData sheetId="4116">
        <row r="4">
          <cell r="I4">
            <v>0</v>
          </cell>
        </row>
      </sheetData>
      <sheetData sheetId="4117">
        <row r="4">
          <cell r="I4">
            <v>0</v>
          </cell>
        </row>
      </sheetData>
      <sheetData sheetId="4118">
        <row r="4">
          <cell r="I4">
            <v>0</v>
          </cell>
        </row>
      </sheetData>
      <sheetData sheetId="4119">
        <row r="4">
          <cell r="I4">
            <v>0</v>
          </cell>
        </row>
      </sheetData>
      <sheetData sheetId="4120">
        <row r="4">
          <cell r="I4">
            <v>0</v>
          </cell>
        </row>
      </sheetData>
      <sheetData sheetId="4121">
        <row r="4">
          <cell r="I4">
            <v>0</v>
          </cell>
        </row>
      </sheetData>
      <sheetData sheetId="4122">
        <row r="4">
          <cell r="I4">
            <v>0</v>
          </cell>
        </row>
      </sheetData>
      <sheetData sheetId="4123">
        <row r="4">
          <cell r="I4">
            <v>0</v>
          </cell>
        </row>
      </sheetData>
      <sheetData sheetId="4124">
        <row r="4">
          <cell r="I4">
            <v>0</v>
          </cell>
        </row>
      </sheetData>
      <sheetData sheetId="4125">
        <row r="4">
          <cell r="I4">
            <v>0</v>
          </cell>
        </row>
      </sheetData>
      <sheetData sheetId="4126">
        <row r="4">
          <cell r="I4">
            <v>0</v>
          </cell>
        </row>
      </sheetData>
      <sheetData sheetId="4127">
        <row r="4">
          <cell r="I4">
            <v>0</v>
          </cell>
        </row>
      </sheetData>
      <sheetData sheetId="4128">
        <row r="4">
          <cell r="I4">
            <v>0</v>
          </cell>
        </row>
      </sheetData>
      <sheetData sheetId="4129">
        <row r="4">
          <cell r="I4">
            <v>0</v>
          </cell>
        </row>
      </sheetData>
      <sheetData sheetId="4130">
        <row r="4">
          <cell r="I4">
            <v>0</v>
          </cell>
        </row>
      </sheetData>
      <sheetData sheetId="4131">
        <row r="4">
          <cell r="I4">
            <v>0</v>
          </cell>
        </row>
      </sheetData>
      <sheetData sheetId="4132">
        <row r="4">
          <cell r="I4">
            <v>0</v>
          </cell>
        </row>
      </sheetData>
      <sheetData sheetId="4133">
        <row r="4">
          <cell r="I4">
            <v>0</v>
          </cell>
        </row>
      </sheetData>
      <sheetData sheetId="4134">
        <row r="4">
          <cell r="I4">
            <v>0</v>
          </cell>
        </row>
      </sheetData>
      <sheetData sheetId="4135">
        <row r="4">
          <cell r="I4">
            <v>0</v>
          </cell>
        </row>
      </sheetData>
      <sheetData sheetId="4136">
        <row r="4">
          <cell r="I4">
            <v>0</v>
          </cell>
        </row>
      </sheetData>
      <sheetData sheetId="4137">
        <row r="4">
          <cell r="I4">
            <v>0</v>
          </cell>
        </row>
      </sheetData>
      <sheetData sheetId="4138">
        <row r="4">
          <cell r="I4">
            <v>0</v>
          </cell>
        </row>
      </sheetData>
      <sheetData sheetId="4139">
        <row r="4">
          <cell r="I4">
            <v>0</v>
          </cell>
        </row>
      </sheetData>
      <sheetData sheetId="4140">
        <row r="4">
          <cell r="I4">
            <v>0</v>
          </cell>
        </row>
      </sheetData>
      <sheetData sheetId="4141">
        <row r="4">
          <cell r="I4">
            <v>0</v>
          </cell>
        </row>
      </sheetData>
      <sheetData sheetId="4142">
        <row r="4">
          <cell r="I4">
            <v>0</v>
          </cell>
        </row>
      </sheetData>
      <sheetData sheetId="4143">
        <row r="4">
          <cell r="I4">
            <v>0</v>
          </cell>
        </row>
      </sheetData>
      <sheetData sheetId="4144">
        <row r="4">
          <cell r="I4">
            <v>0</v>
          </cell>
        </row>
      </sheetData>
      <sheetData sheetId="4145">
        <row r="4">
          <cell r="I4">
            <v>0</v>
          </cell>
        </row>
      </sheetData>
      <sheetData sheetId="4146">
        <row r="4">
          <cell r="I4">
            <v>0</v>
          </cell>
        </row>
      </sheetData>
      <sheetData sheetId="4147">
        <row r="4">
          <cell r="I4">
            <v>0</v>
          </cell>
        </row>
      </sheetData>
      <sheetData sheetId="4148">
        <row r="4">
          <cell r="I4">
            <v>0</v>
          </cell>
        </row>
      </sheetData>
      <sheetData sheetId="4149">
        <row r="4">
          <cell r="I4">
            <v>0</v>
          </cell>
        </row>
      </sheetData>
      <sheetData sheetId="4150">
        <row r="4">
          <cell r="I4">
            <v>0</v>
          </cell>
        </row>
      </sheetData>
      <sheetData sheetId="4151">
        <row r="4">
          <cell r="I4">
            <v>0</v>
          </cell>
        </row>
      </sheetData>
      <sheetData sheetId="4152">
        <row r="4">
          <cell r="I4">
            <v>0</v>
          </cell>
        </row>
      </sheetData>
      <sheetData sheetId="4153">
        <row r="4">
          <cell r="I4">
            <v>0</v>
          </cell>
        </row>
      </sheetData>
      <sheetData sheetId="4154">
        <row r="4">
          <cell r="I4">
            <v>0</v>
          </cell>
        </row>
      </sheetData>
      <sheetData sheetId="4155">
        <row r="4">
          <cell r="I4">
            <v>0</v>
          </cell>
        </row>
      </sheetData>
      <sheetData sheetId="4156">
        <row r="4">
          <cell r="I4">
            <v>0</v>
          </cell>
        </row>
      </sheetData>
      <sheetData sheetId="4157">
        <row r="4">
          <cell r="I4">
            <v>0</v>
          </cell>
        </row>
      </sheetData>
      <sheetData sheetId="4158">
        <row r="4">
          <cell r="I4">
            <v>0</v>
          </cell>
        </row>
      </sheetData>
      <sheetData sheetId="4159">
        <row r="4">
          <cell r="I4">
            <v>0</v>
          </cell>
        </row>
      </sheetData>
      <sheetData sheetId="4160">
        <row r="4">
          <cell r="I4">
            <v>0</v>
          </cell>
        </row>
      </sheetData>
      <sheetData sheetId="4161">
        <row r="4">
          <cell r="I4">
            <v>0</v>
          </cell>
        </row>
      </sheetData>
      <sheetData sheetId="4162">
        <row r="4">
          <cell r="I4">
            <v>0</v>
          </cell>
        </row>
      </sheetData>
      <sheetData sheetId="4163">
        <row r="4">
          <cell r="I4">
            <v>0</v>
          </cell>
        </row>
      </sheetData>
      <sheetData sheetId="4164">
        <row r="4">
          <cell r="I4">
            <v>0</v>
          </cell>
        </row>
      </sheetData>
      <sheetData sheetId="4165">
        <row r="4">
          <cell r="I4">
            <v>0</v>
          </cell>
        </row>
      </sheetData>
      <sheetData sheetId="4166">
        <row r="4">
          <cell r="I4">
            <v>0</v>
          </cell>
        </row>
      </sheetData>
      <sheetData sheetId="4167">
        <row r="4">
          <cell r="I4">
            <v>0</v>
          </cell>
        </row>
      </sheetData>
      <sheetData sheetId="4168">
        <row r="4">
          <cell r="I4">
            <v>0</v>
          </cell>
        </row>
      </sheetData>
      <sheetData sheetId="4169">
        <row r="4">
          <cell r="I4">
            <v>0</v>
          </cell>
        </row>
      </sheetData>
      <sheetData sheetId="4170">
        <row r="4">
          <cell r="I4">
            <v>0</v>
          </cell>
        </row>
      </sheetData>
      <sheetData sheetId="4171">
        <row r="4">
          <cell r="I4">
            <v>0</v>
          </cell>
        </row>
      </sheetData>
      <sheetData sheetId="4172">
        <row r="4">
          <cell r="I4">
            <v>0</v>
          </cell>
        </row>
      </sheetData>
      <sheetData sheetId="4173">
        <row r="4">
          <cell r="I4">
            <v>0</v>
          </cell>
        </row>
      </sheetData>
      <sheetData sheetId="4174">
        <row r="4">
          <cell r="I4">
            <v>0</v>
          </cell>
        </row>
      </sheetData>
      <sheetData sheetId="4175">
        <row r="4">
          <cell r="I4">
            <v>0</v>
          </cell>
        </row>
      </sheetData>
      <sheetData sheetId="4176">
        <row r="4">
          <cell r="I4">
            <v>0</v>
          </cell>
        </row>
      </sheetData>
      <sheetData sheetId="4177">
        <row r="4">
          <cell r="I4">
            <v>0</v>
          </cell>
        </row>
      </sheetData>
      <sheetData sheetId="4178">
        <row r="4">
          <cell r="I4">
            <v>0</v>
          </cell>
        </row>
      </sheetData>
      <sheetData sheetId="4179">
        <row r="4">
          <cell r="I4">
            <v>0</v>
          </cell>
        </row>
      </sheetData>
      <sheetData sheetId="4180">
        <row r="4">
          <cell r="I4">
            <v>0</v>
          </cell>
        </row>
      </sheetData>
      <sheetData sheetId="4181">
        <row r="4">
          <cell r="I4">
            <v>0</v>
          </cell>
        </row>
      </sheetData>
      <sheetData sheetId="4182">
        <row r="4">
          <cell r="I4">
            <v>0</v>
          </cell>
        </row>
      </sheetData>
      <sheetData sheetId="4183">
        <row r="4">
          <cell r="I4">
            <v>0</v>
          </cell>
        </row>
      </sheetData>
      <sheetData sheetId="4184">
        <row r="4">
          <cell r="I4">
            <v>0</v>
          </cell>
        </row>
      </sheetData>
      <sheetData sheetId="4185">
        <row r="4">
          <cell r="I4">
            <v>0</v>
          </cell>
        </row>
      </sheetData>
      <sheetData sheetId="4186">
        <row r="4">
          <cell r="I4">
            <v>0</v>
          </cell>
        </row>
      </sheetData>
      <sheetData sheetId="4187">
        <row r="4">
          <cell r="I4">
            <v>0</v>
          </cell>
        </row>
      </sheetData>
      <sheetData sheetId="4188">
        <row r="4">
          <cell r="I4">
            <v>0</v>
          </cell>
        </row>
      </sheetData>
      <sheetData sheetId="4189">
        <row r="4">
          <cell r="I4">
            <v>0</v>
          </cell>
        </row>
      </sheetData>
      <sheetData sheetId="4190">
        <row r="4">
          <cell r="I4">
            <v>0</v>
          </cell>
        </row>
      </sheetData>
      <sheetData sheetId="4191">
        <row r="4">
          <cell r="I4">
            <v>0</v>
          </cell>
        </row>
      </sheetData>
      <sheetData sheetId="4192">
        <row r="4">
          <cell r="I4">
            <v>0</v>
          </cell>
        </row>
      </sheetData>
      <sheetData sheetId="4193">
        <row r="4">
          <cell r="I4">
            <v>0</v>
          </cell>
        </row>
      </sheetData>
      <sheetData sheetId="4194">
        <row r="4">
          <cell r="I4">
            <v>0</v>
          </cell>
        </row>
      </sheetData>
      <sheetData sheetId="4195">
        <row r="4">
          <cell r="I4">
            <v>0</v>
          </cell>
        </row>
      </sheetData>
      <sheetData sheetId="4196">
        <row r="4">
          <cell r="I4">
            <v>0</v>
          </cell>
        </row>
      </sheetData>
      <sheetData sheetId="4197">
        <row r="4">
          <cell r="I4">
            <v>0</v>
          </cell>
        </row>
      </sheetData>
      <sheetData sheetId="4198">
        <row r="4">
          <cell r="I4">
            <v>0</v>
          </cell>
        </row>
      </sheetData>
      <sheetData sheetId="4199">
        <row r="4">
          <cell r="I4">
            <v>0</v>
          </cell>
        </row>
      </sheetData>
      <sheetData sheetId="4200">
        <row r="4">
          <cell r="I4">
            <v>0</v>
          </cell>
        </row>
      </sheetData>
      <sheetData sheetId="4201">
        <row r="4">
          <cell r="I4">
            <v>0</v>
          </cell>
        </row>
      </sheetData>
      <sheetData sheetId="4202">
        <row r="4">
          <cell r="I4">
            <v>0</v>
          </cell>
        </row>
      </sheetData>
      <sheetData sheetId="4203">
        <row r="4">
          <cell r="I4">
            <v>0</v>
          </cell>
        </row>
      </sheetData>
      <sheetData sheetId="4204">
        <row r="4">
          <cell r="I4">
            <v>0</v>
          </cell>
        </row>
      </sheetData>
      <sheetData sheetId="4205">
        <row r="4">
          <cell r="I4">
            <v>0</v>
          </cell>
        </row>
      </sheetData>
      <sheetData sheetId="4206">
        <row r="4">
          <cell r="I4">
            <v>0</v>
          </cell>
        </row>
      </sheetData>
      <sheetData sheetId="4207">
        <row r="4">
          <cell r="I4">
            <v>0</v>
          </cell>
        </row>
      </sheetData>
      <sheetData sheetId="4208">
        <row r="4">
          <cell r="I4">
            <v>0</v>
          </cell>
        </row>
      </sheetData>
      <sheetData sheetId="4209">
        <row r="4">
          <cell r="I4">
            <v>0</v>
          </cell>
        </row>
      </sheetData>
      <sheetData sheetId="4210">
        <row r="4">
          <cell r="I4">
            <v>0</v>
          </cell>
        </row>
      </sheetData>
      <sheetData sheetId="4211">
        <row r="4">
          <cell r="I4">
            <v>0</v>
          </cell>
        </row>
      </sheetData>
      <sheetData sheetId="4212">
        <row r="4">
          <cell r="I4">
            <v>0</v>
          </cell>
        </row>
      </sheetData>
      <sheetData sheetId="4213">
        <row r="4">
          <cell r="I4">
            <v>0</v>
          </cell>
        </row>
      </sheetData>
      <sheetData sheetId="4214">
        <row r="4">
          <cell r="I4">
            <v>0</v>
          </cell>
        </row>
      </sheetData>
      <sheetData sheetId="4215">
        <row r="4">
          <cell r="I4">
            <v>0</v>
          </cell>
        </row>
      </sheetData>
      <sheetData sheetId="4216">
        <row r="4">
          <cell r="I4">
            <v>0</v>
          </cell>
        </row>
      </sheetData>
      <sheetData sheetId="4217">
        <row r="4">
          <cell r="I4">
            <v>0</v>
          </cell>
        </row>
      </sheetData>
      <sheetData sheetId="4218">
        <row r="4">
          <cell r="I4">
            <v>0</v>
          </cell>
        </row>
      </sheetData>
      <sheetData sheetId="4219">
        <row r="4">
          <cell r="I4">
            <v>0</v>
          </cell>
        </row>
      </sheetData>
      <sheetData sheetId="4220">
        <row r="4">
          <cell r="I4">
            <v>0</v>
          </cell>
        </row>
      </sheetData>
      <sheetData sheetId="4221">
        <row r="4">
          <cell r="I4">
            <v>0</v>
          </cell>
        </row>
      </sheetData>
      <sheetData sheetId="4222">
        <row r="4">
          <cell r="I4">
            <v>0</v>
          </cell>
        </row>
      </sheetData>
      <sheetData sheetId="4223">
        <row r="4">
          <cell r="I4">
            <v>0</v>
          </cell>
        </row>
      </sheetData>
      <sheetData sheetId="4224">
        <row r="4">
          <cell r="I4">
            <v>0</v>
          </cell>
        </row>
      </sheetData>
      <sheetData sheetId="4225">
        <row r="4">
          <cell r="I4">
            <v>0</v>
          </cell>
        </row>
      </sheetData>
      <sheetData sheetId="4226">
        <row r="4">
          <cell r="I4">
            <v>0</v>
          </cell>
        </row>
      </sheetData>
      <sheetData sheetId="4227">
        <row r="4">
          <cell r="I4">
            <v>0</v>
          </cell>
        </row>
      </sheetData>
      <sheetData sheetId="4228">
        <row r="4">
          <cell r="I4">
            <v>0</v>
          </cell>
        </row>
      </sheetData>
      <sheetData sheetId="4229">
        <row r="4">
          <cell r="I4">
            <v>0</v>
          </cell>
        </row>
      </sheetData>
      <sheetData sheetId="4230">
        <row r="4">
          <cell r="I4">
            <v>0</v>
          </cell>
        </row>
      </sheetData>
      <sheetData sheetId="4231">
        <row r="4">
          <cell r="I4">
            <v>0</v>
          </cell>
        </row>
      </sheetData>
      <sheetData sheetId="4232">
        <row r="4">
          <cell r="I4">
            <v>0</v>
          </cell>
        </row>
      </sheetData>
      <sheetData sheetId="4233">
        <row r="4">
          <cell r="I4">
            <v>0</v>
          </cell>
        </row>
      </sheetData>
      <sheetData sheetId="4234">
        <row r="4">
          <cell r="I4">
            <v>0</v>
          </cell>
        </row>
      </sheetData>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ow r="4">
          <cell r="I4">
            <v>0</v>
          </cell>
        </row>
      </sheetData>
      <sheetData sheetId="4284">
        <row r="4">
          <cell r="I4">
            <v>0</v>
          </cell>
        </row>
      </sheetData>
      <sheetData sheetId="4285">
        <row r="4">
          <cell r="I4">
            <v>0</v>
          </cell>
        </row>
      </sheetData>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ow r="4">
          <cell r="I4">
            <v>0</v>
          </cell>
        </row>
      </sheetData>
      <sheetData sheetId="4364">
        <row r="4">
          <cell r="I4">
            <v>0</v>
          </cell>
        </row>
      </sheetData>
      <sheetData sheetId="4365">
        <row r="4">
          <cell r="I4">
            <v>0</v>
          </cell>
        </row>
      </sheetData>
      <sheetData sheetId="4366">
        <row r="4">
          <cell r="I4">
            <v>0</v>
          </cell>
        </row>
      </sheetData>
      <sheetData sheetId="4367" refreshError="1"/>
      <sheetData sheetId="4368" refreshError="1"/>
      <sheetData sheetId="4369" refreshError="1"/>
      <sheetData sheetId="4370">
        <row r="4">
          <cell r="I4">
            <v>0</v>
          </cell>
        </row>
      </sheetData>
      <sheetData sheetId="4371" refreshError="1"/>
      <sheetData sheetId="4372" refreshError="1"/>
      <sheetData sheetId="4373" refreshError="1"/>
      <sheetData sheetId="4374" refreshError="1"/>
      <sheetData sheetId="4375">
        <row r="4">
          <cell r="I4">
            <v>0</v>
          </cell>
        </row>
      </sheetData>
      <sheetData sheetId="4376">
        <row r="4">
          <cell r="I4">
            <v>0</v>
          </cell>
        </row>
      </sheetData>
      <sheetData sheetId="4377">
        <row r="4">
          <cell r="I4">
            <v>0</v>
          </cell>
        </row>
      </sheetData>
      <sheetData sheetId="4378">
        <row r="4">
          <cell r="I4">
            <v>0</v>
          </cell>
        </row>
      </sheetData>
      <sheetData sheetId="4379">
        <row r="4">
          <cell r="I4">
            <v>0</v>
          </cell>
        </row>
      </sheetData>
      <sheetData sheetId="4380">
        <row r="4">
          <cell r="I4">
            <v>0</v>
          </cell>
        </row>
      </sheetData>
      <sheetData sheetId="4381">
        <row r="4">
          <cell r="I4">
            <v>0</v>
          </cell>
        </row>
      </sheetData>
      <sheetData sheetId="4382">
        <row r="4">
          <cell r="I4">
            <v>0</v>
          </cell>
        </row>
      </sheetData>
      <sheetData sheetId="4383">
        <row r="4">
          <cell r="I4">
            <v>0</v>
          </cell>
        </row>
      </sheetData>
      <sheetData sheetId="4384">
        <row r="4">
          <cell r="I4">
            <v>0</v>
          </cell>
        </row>
      </sheetData>
      <sheetData sheetId="4385">
        <row r="4">
          <cell r="I4">
            <v>0</v>
          </cell>
        </row>
      </sheetData>
      <sheetData sheetId="4386">
        <row r="4">
          <cell r="I4">
            <v>0</v>
          </cell>
        </row>
      </sheetData>
      <sheetData sheetId="4387">
        <row r="4">
          <cell r="I4">
            <v>0</v>
          </cell>
        </row>
      </sheetData>
      <sheetData sheetId="4388">
        <row r="4">
          <cell r="I4">
            <v>0</v>
          </cell>
        </row>
      </sheetData>
      <sheetData sheetId="4389">
        <row r="4">
          <cell r="I4">
            <v>0</v>
          </cell>
        </row>
      </sheetData>
      <sheetData sheetId="4390">
        <row r="4">
          <cell r="I4">
            <v>0</v>
          </cell>
        </row>
      </sheetData>
      <sheetData sheetId="4391">
        <row r="4">
          <cell r="I4">
            <v>0</v>
          </cell>
        </row>
      </sheetData>
      <sheetData sheetId="4392">
        <row r="4">
          <cell r="I4">
            <v>0</v>
          </cell>
        </row>
      </sheetData>
      <sheetData sheetId="4393">
        <row r="4">
          <cell r="I4">
            <v>0</v>
          </cell>
        </row>
      </sheetData>
      <sheetData sheetId="4394">
        <row r="4">
          <cell r="I4">
            <v>0</v>
          </cell>
        </row>
      </sheetData>
      <sheetData sheetId="4395">
        <row r="4">
          <cell r="I4">
            <v>0</v>
          </cell>
        </row>
      </sheetData>
      <sheetData sheetId="4396">
        <row r="4">
          <cell r="I4">
            <v>0</v>
          </cell>
        </row>
      </sheetData>
      <sheetData sheetId="4397">
        <row r="4">
          <cell r="I4">
            <v>0</v>
          </cell>
        </row>
      </sheetData>
      <sheetData sheetId="4398">
        <row r="4">
          <cell r="I4">
            <v>0</v>
          </cell>
        </row>
      </sheetData>
      <sheetData sheetId="4399">
        <row r="4">
          <cell r="I4">
            <v>0</v>
          </cell>
        </row>
      </sheetData>
      <sheetData sheetId="4400">
        <row r="4">
          <cell r="I4">
            <v>0</v>
          </cell>
        </row>
      </sheetData>
      <sheetData sheetId="4401">
        <row r="4">
          <cell r="I4">
            <v>0</v>
          </cell>
        </row>
      </sheetData>
      <sheetData sheetId="4402">
        <row r="4">
          <cell r="I4">
            <v>0</v>
          </cell>
        </row>
      </sheetData>
      <sheetData sheetId="4403">
        <row r="4">
          <cell r="I4">
            <v>0</v>
          </cell>
        </row>
      </sheetData>
      <sheetData sheetId="4404">
        <row r="4">
          <cell r="I4">
            <v>0</v>
          </cell>
        </row>
      </sheetData>
      <sheetData sheetId="4405">
        <row r="4">
          <cell r="I4">
            <v>0</v>
          </cell>
        </row>
      </sheetData>
      <sheetData sheetId="4406">
        <row r="4">
          <cell r="I4">
            <v>0</v>
          </cell>
        </row>
      </sheetData>
      <sheetData sheetId="4407">
        <row r="4">
          <cell r="I4">
            <v>0</v>
          </cell>
        </row>
      </sheetData>
      <sheetData sheetId="4408">
        <row r="4">
          <cell r="I4">
            <v>0</v>
          </cell>
        </row>
      </sheetData>
      <sheetData sheetId="4409">
        <row r="4">
          <cell r="I4">
            <v>0</v>
          </cell>
        </row>
      </sheetData>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ow r="4">
          <cell r="I4">
            <v>0</v>
          </cell>
        </row>
      </sheetData>
      <sheetData sheetId="4424">
        <row r="4">
          <cell r="I4">
            <v>0</v>
          </cell>
        </row>
      </sheetData>
      <sheetData sheetId="4425">
        <row r="4">
          <cell r="I4">
            <v>0</v>
          </cell>
        </row>
      </sheetData>
      <sheetData sheetId="4426">
        <row r="4">
          <cell r="I4">
            <v>0</v>
          </cell>
        </row>
      </sheetData>
      <sheetData sheetId="4427">
        <row r="4">
          <cell r="I4">
            <v>0</v>
          </cell>
        </row>
      </sheetData>
      <sheetData sheetId="4428">
        <row r="4">
          <cell r="I4">
            <v>0</v>
          </cell>
        </row>
      </sheetData>
      <sheetData sheetId="4429">
        <row r="4">
          <cell r="I4">
            <v>0</v>
          </cell>
        </row>
      </sheetData>
      <sheetData sheetId="4430">
        <row r="4">
          <cell r="I4">
            <v>0</v>
          </cell>
        </row>
      </sheetData>
      <sheetData sheetId="4431">
        <row r="4">
          <cell r="I4">
            <v>0</v>
          </cell>
        </row>
      </sheetData>
      <sheetData sheetId="4432">
        <row r="4">
          <cell r="I4">
            <v>0</v>
          </cell>
        </row>
      </sheetData>
      <sheetData sheetId="4433">
        <row r="4">
          <cell r="I4">
            <v>0</v>
          </cell>
        </row>
      </sheetData>
      <sheetData sheetId="4434">
        <row r="4">
          <cell r="I4">
            <v>0</v>
          </cell>
        </row>
      </sheetData>
      <sheetData sheetId="4435">
        <row r="4">
          <cell r="I4">
            <v>0</v>
          </cell>
        </row>
      </sheetData>
      <sheetData sheetId="4436">
        <row r="4">
          <cell r="I4">
            <v>0</v>
          </cell>
        </row>
      </sheetData>
      <sheetData sheetId="4437">
        <row r="4">
          <cell r="I4">
            <v>0</v>
          </cell>
        </row>
      </sheetData>
      <sheetData sheetId="4438">
        <row r="4">
          <cell r="I4">
            <v>0</v>
          </cell>
        </row>
      </sheetData>
      <sheetData sheetId="4439">
        <row r="4">
          <cell r="I4">
            <v>0</v>
          </cell>
        </row>
      </sheetData>
      <sheetData sheetId="4440">
        <row r="4">
          <cell r="I4">
            <v>0</v>
          </cell>
        </row>
      </sheetData>
      <sheetData sheetId="4441">
        <row r="4">
          <cell r="I4">
            <v>0</v>
          </cell>
        </row>
      </sheetData>
      <sheetData sheetId="4442">
        <row r="4">
          <cell r="I4">
            <v>0</v>
          </cell>
        </row>
      </sheetData>
      <sheetData sheetId="4443">
        <row r="4">
          <cell r="I4">
            <v>0</v>
          </cell>
        </row>
      </sheetData>
      <sheetData sheetId="4444">
        <row r="4">
          <cell r="I4">
            <v>0</v>
          </cell>
        </row>
      </sheetData>
      <sheetData sheetId="4445">
        <row r="4">
          <cell r="I4">
            <v>0</v>
          </cell>
        </row>
      </sheetData>
      <sheetData sheetId="4446">
        <row r="4">
          <cell r="I4">
            <v>0</v>
          </cell>
        </row>
      </sheetData>
      <sheetData sheetId="4447">
        <row r="4">
          <cell r="I4">
            <v>0</v>
          </cell>
        </row>
      </sheetData>
      <sheetData sheetId="4448">
        <row r="4">
          <cell r="I4">
            <v>0</v>
          </cell>
        </row>
      </sheetData>
      <sheetData sheetId="4449">
        <row r="4">
          <cell r="I4">
            <v>0</v>
          </cell>
        </row>
      </sheetData>
      <sheetData sheetId="4450">
        <row r="4">
          <cell r="I4">
            <v>0</v>
          </cell>
        </row>
      </sheetData>
      <sheetData sheetId="4451">
        <row r="4">
          <cell r="I4">
            <v>0</v>
          </cell>
        </row>
      </sheetData>
      <sheetData sheetId="4452">
        <row r="4">
          <cell r="I4">
            <v>0</v>
          </cell>
        </row>
      </sheetData>
      <sheetData sheetId="4453">
        <row r="4">
          <cell r="I4">
            <v>0</v>
          </cell>
        </row>
      </sheetData>
      <sheetData sheetId="4454">
        <row r="4">
          <cell r="I4">
            <v>0</v>
          </cell>
        </row>
      </sheetData>
      <sheetData sheetId="4455">
        <row r="4">
          <cell r="I4">
            <v>0</v>
          </cell>
        </row>
      </sheetData>
      <sheetData sheetId="4456">
        <row r="4">
          <cell r="I4">
            <v>0</v>
          </cell>
        </row>
      </sheetData>
      <sheetData sheetId="4457">
        <row r="4">
          <cell r="I4">
            <v>0</v>
          </cell>
        </row>
      </sheetData>
      <sheetData sheetId="4458">
        <row r="4">
          <cell r="I4">
            <v>0</v>
          </cell>
        </row>
      </sheetData>
      <sheetData sheetId="4459">
        <row r="4">
          <cell r="I4">
            <v>0</v>
          </cell>
        </row>
      </sheetData>
      <sheetData sheetId="4460">
        <row r="4">
          <cell r="I4">
            <v>0</v>
          </cell>
        </row>
      </sheetData>
      <sheetData sheetId="4461">
        <row r="4">
          <cell r="I4">
            <v>0</v>
          </cell>
        </row>
      </sheetData>
      <sheetData sheetId="4462">
        <row r="4">
          <cell r="I4">
            <v>0</v>
          </cell>
        </row>
      </sheetData>
      <sheetData sheetId="4463">
        <row r="4">
          <cell r="I4">
            <v>0</v>
          </cell>
        </row>
      </sheetData>
      <sheetData sheetId="4464">
        <row r="4">
          <cell r="I4">
            <v>0</v>
          </cell>
        </row>
      </sheetData>
      <sheetData sheetId="4465">
        <row r="4">
          <cell r="I4">
            <v>0</v>
          </cell>
        </row>
      </sheetData>
      <sheetData sheetId="4466">
        <row r="4">
          <cell r="I4">
            <v>0</v>
          </cell>
        </row>
      </sheetData>
      <sheetData sheetId="4467">
        <row r="4">
          <cell r="I4">
            <v>0</v>
          </cell>
        </row>
      </sheetData>
      <sheetData sheetId="4468">
        <row r="4">
          <cell r="I4">
            <v>0</v>
          </cell>
        </row>
      </sheetData>
      <sheetData sheetId="4469">
        <row r="4">
          <cell r="I4">
            <v>0</v>
          </cell>
        </row>
      </sheetData>
      <sheetData sheetId="4470">
        <row r="4">
          <cell r="I4">
            <v>0</v>
          </cell>
        </row>
      </sheetData>
      <sheetData sheetId="4471">
        <row r="4">
          <cell r="I4">
            <v>0</v>
          </cell>
        </row>
      </sheetData>
      <sheetData sheetId="4472">
        <row r="4">
          <cell r="I4">
            <v>0</v>
          </cell>
        </row>
      </sheetData>
      <sheetData sheetId="4473">
        <row r="4">
          <cell r="I4">
            <v>0</v>
          </cell>
        </row>
      </sheetData>
      <sheetData sheetId="4474">
        <row r="4">
          <cell r="I4">
            <v>0</v>
          </cell>
        </row>
      </sheetData>
      <sheetData sheetId="4475">
        <row r="4">
          <cell r="I4">
            <v>0</v>
          </cell>
        </row>
      </sheetData>
      <sheetData sheetId="4476">
        <row r="4">
          <cell r="I4">
            <v>0</v>
          </cell>
        </row>
      </sheetData>
      <sheetData sheetId="4477">
        <row r="4">
          <cell r="I4">
            <v>0</v>
          </cell>
        </row>
      </sheetData>
      <sheetData sheetId="4478">
        <row r="4">
          <cell r="I4">
            <v>0</v>
          </cell>
        </row>
      </sheetData>
      <sheetData sheetId="4479">
        <row r="4">
          <cell r="I4">
            <v>0</v>
          </cell>
        </row>
      </sheetData>
      <sheetData sheetId="4480">
        <row r="4">
          <cell r="I4">
            <v>0</v>
          </cell>
        </row>
      </sheetData>
      <sheetData sheetId="4481">
        <row r="4">
          <cell r="I4">
            <v>0</v>
          </cell>
        </row>
      </sheetData>
      <sheetData sheetId="4482">
        <row r="4">
          <cell r="I4">
            <v>0</v>
          </cell>
        </row>
      </sheetData>
      <sheetData sheetId="4483">
        <row r="4">
          <cell r="I4">
            <v>0</v>
          </cell>
        </row>
      </sheetData>
      <sheetData sheetId="4484">
        <row r="4">
          <cell r="I4">
            <v>0</v>
          </cell>
        </row>
      </sheetData>
      <sheetData sheetId="4485">
        <row r="4">
          <cell r="I4">
            <v>0</v>
          </cell>
        </row>
      </sheetData>
      <sheetData sheetId="4486">
        <row r="4">
          <cell r="I4">
            <v>0</v>
          </cell>
        </row>
      </sheetData>
      <sheetData sheetId="4487" refreshError="1"/>
      <sheetData sheetId="4488" refreshError="1"/>
      <sheetData sheetId="4489" refreshError="1"/>
      <sheetData sheetId="4490" refreshError="1"/>
      <sheetData sheetId="4491" refreshError="1"/>
      <sheetData sheetId="4492" refreshError="1"/>
      <sheetData sheetId="4493">
        <row r="4">
          <cell r="I4">
            <v>0</v>
          </cell>
        </row>
      </sheetData>
      <sheetData sheetId="4494">
        <row r="4">
          <cell r="I4">
            <v>0</v>
          </cell>
        </row>
      </sheetData>
      <sheetData sheetId="4495">
        <row r="4">
          <cell r="I4">
            <v>0</v>
          </cell>
        </row>
      </sheetData>
      <sheetData sheetId="4496">
        <row r="4">
          <cell r="I4">
            <v>0</v>
          </cell>
        </row>
      </sheetData>
      <sheetData sheetId="4497">
        <row r="4">
          <cell r="I4">
            <v>0</v>
          </cell>
        </row>
      </sheetData>
      <sheetData sheetId="4498">
        <row r="4">
          <cell r="I4">
            <v>0</v>
          </cell>
        </row>
      </sheetData>
      <sheetData sheetId="4499">
        <row r="4">
          <cell r="I4">
            <v>0</v>
          </cell>
        </row>
      </sheetData>
      <sheetData sheetId="4500">
        <row r="4">
          <cell r="I4">
            <v>0</v>
          </cell>
        </row>
      </sheetData>
      <sheetData sheetId="4501">
        <row r="4">
          <cell r="I4">
            <v>0</v>
          </cell>
        </row>
      </sheetData>
      <sheetData sheetId="4502">
        <row r="4">
          <cell r="I4">
            <v>0</v>
          </cell>
        </row>
      </sheetData>
      <sheetData sheetId="4503">
        <row r="4">
          <cell r="I4">
            <v>0</v>
          </cell>
        </row>
      </sheetData>
      <sheetData sheetId="4504">
        <row r="4">
          <cell r="I4">
            <v>0</v>
          </cell>
        </row>
      </sheetData>
      <sheetData sheetId="4505">
        <row r="4">
          <cell r="I4">
            <v>0</v>
          </cell>
        </row>
      </sheetData>
      <sheetData sheetId="4506">
        <row r="4">
          <cell r="I4">
            <v>0</v>
          </cell>
        </row>
      </sheetData>
      <sheetData sheetId="4507">
        <row r="4">
          <cell r="I4">
            <v>0</v>
          </cell>
        </row>
      </sheetData>
      <sheetData sheetId="4508">
        <row r="4">
          <cell r="I4">
            <v>0</v>
          </cell>
        </row>
      </sheetData>
      <sheetData sheetId="4509">
        <row r="4">
          <cell r="I4">
            <v>0</v>
          </cell>
        </row>
      </sheetData>
      <sheetData sheetId="4510">
        <row r="4">
          <cell r="I4">
            <v>0</v>
          </cell>
        </row>
      </sheetData>
      <sheetData sheetId="4511">
        <row r="4">
          <cell r="I4">
            <v>0</v>
          </cell>
        </row>
      </sheetData>
      <sheetData sheetId="4512">
        <row r="4">
          <cell r="I4">
            <v>0</v>
          </cell>
        </row>
      </sheetData>
      <sheetData sheetId="4513">
        <row r="4">
          <cell r="I4">
            <v>0</v>
          </cell>
        </row>
      </sheetData>
      <sheetData sheetId="4514">
        <row r="4">
          <cell r="I4">
            <v>0</v>
          </cell>
        </row>
      </sheetData>
      <sheetData sheetId="4515">
        <row r="4">
          <cell r="I4">
            <v>0</v>
          </cell>
        </row>
      </sheetData>
      <sheetData sheetId="4516">
        <row r="4">
          <cell r="I4">
            <v>0</v>
          </cell>
        </row>
      </sheetData>
      <sheetData sheetId="4517">
        <row r="4">
          <cell r="I4">
            <v>0</v>
          </cell>
        </row>
      </sheetData>
      <sheetData sheetId="4518">
        <row r="4">
          <cell r="I4">
            <v>0</v>
          </cell>
        </row>
      </sheetData>
      <sheetData sheetId="4519">
        <row r="4">
          <cell r="I4">
            <v>0</v>
          </cell>
        </row>
      </sheetData>
      <sheetData sheetId="4520">
        <row r="4">
          <cell r="I4">
            <v>0</v>
          </cell>
        </row>
      </sheetData>
      <sheetData sheetId="4521">
        <row r="4">
          <cell r="I4">
            <v>0</v>
          </cell>
        </row>
      </sheetData>
      <sheetData sheetId="4522">
        <row r="4">
          <cell r="I4">
            <v>0</v>
          </cell>
        </row>
      </sheetData>
      <sheetData sheetId="4523">
        <row r="4">
          <cell r="I4">
            <v>0</v>
          </cell>
        </row>
      </sheetData>
      <sheetData sheetId="4524">
        <row r="4">
          <cell r="I4">
            <v>0</v>
          </cell>
        </row>
      </sheetData>
      <sheetData sheetId="4525">
        <row r="4">
          <cell r="I4">
            <v>0</v>
          </cell>
        </row>
      </sheetData>
      <sheetData sheetId="4526">
        <row r="4">
          <cell r="I4">
            <v>0</v>
          </cell>
        </row>
      </sheetData>
      <sheetData sheetId="4527">
        <row r="4">
          <cell r="I4">
            <v>0</v>
          </cell>
        </row>
      </sheetData>
      <sheetData sheetId="4528">
        <row r="4">
          <cell r="I4">
            <v>0</v>
          </cell>
        </row>
      </sheetData>
      <sheetData sheetId="4529">
        <row r="4">
          <cell r="I4">
            <v>0</v>
          </cell>
        </row>
      </sheetData>
      <sheetData sheetId="4530">
        <row r="4">
          <cell r="I4">
            <v>0</v>
          </cell>
        </row>
      </sheetData>
      <sheetData sheetId="4531">
        <row r="4">
          <cell r="I4">
            <v>0</v>
          </cell>
        </row>
      </sheetData>
      <sheetData sheetId="4532">
        <row r="4">
          <cell r="I4">
            <v>0</v>
          </cell>
        </row>
      </sheetData>
      <sheetData sheetId="4533">
        <row r="4">
          <cell r="I4">
            <v>0</v>
          </cell>
        </row>
      </sheetData>
      <sheetData sheetId="4534">
        <row r="4">
          <cell r="I4">
            <v>0</v>
          </cell>
        </row>
      </sheetData>
      <sheetData sheetId="4535">
        <row r="4">
          <cell r="I4">
            <v>0</v>
          </cell>
        </row>
      </sheetData>
      <sheetData sheetId="4536">
        <row r="4">
          <cell r="I4">
            <v>0</v>
          </cell>
        </row>
      </sheetData>
      <sheetData sheetId="4537">
        <row r="4">
          <cell r="I4">
            <v>0</v>
          </cell>
        </row>
      </sheetData>
      <sheetData sheetId="4538">
        <row r="4">
          <cell r="I4">
            <v>0</v>
          </cell>
        </row>
      </sheetData>
      <sheetData sheetId="4539">
        <row r="4">
          <cell r="I4">
            <v>0</v>
          </cell>
        </row>
      </sheetData>
      <sheetData sheetId="4540">
        <row r="4">
          <cell r="I4">
            <v>0</v>
          </cell>
        </row>
      </sheetData>
      <sheetData sheetId="4541">
        <row r="4">
          <cell r="I4">
            <v>0</v>
          </cell>
        </row>
      </sheetData>
      <sheetData sheetId="4542">
        <row r="4">
          <cell r="I4">
            <v>0</v>
          </cell>
        </row>
      </sheetData>
      <sheetData sheetId="4543">
        <row r="4">
          <cell r="I4">
            <v>0</v>
          </cell>
        </row>
      </sheetData>
      <sheetData sheetId="4544">
        <row r="4">
          <cell r="I4">
            <v>0</v>
          </cell>
        </row>
      </sheetData>
      <sheetData sheetId="4545">
        <row r="4">
          <cell r="I4">
            <v>0</v>
          </cell>
        </row>
      </sheetData>
      <sheetData sheetId="4546">
        <row r="4">
          <cell r="I4">
            <v>0</v>
          </cell>
        </row>
      </sheetData>
      <sheetData sheetId="4547">
        <row r="4">
          <cell r="I4">
            <v>0</v>
          </cell>
        </row>
      </sheetData>
      <sheetData sheetId="4548">
        <row r="4">
          <cell r="I4">
            <v>0</v>
          </cell>
        </row>
      </sheetData>
      <sheetData sheetId="4549">
        <row r="4">
          <cell r="I4">
            <v>0</v>
          </cell>
        </row>
      </sheetData>
      <sheetData sheetId="4550">
        <row r="4">
          <cell r="I4">
            <v>0</v>
          </cell>
        </row>
      </sheetData>
      <sheetData sheetId="4551">
        <row r="4">
          <cell r="I4">
            <v>0</v>
          </cell>
        </row>
      </sheetData>
      <sheetData sheetId="4552">
        <row r="4">
          <cell r="I4">
            <v>0</v>
          </cell>
        </row>
      </sheetData>
      <sheetData sheetId="4553">
        <row r="4">
          <cell r="I4">
            <v>0</v>
          </cell>
        </row>
      </sheetData>
      <sheetData sheetId="4554">
        <row r="4">
          <cell r="I4">
            <v>0</v>
          </cell>
        </row>
      </sheetData>
      <sheetData sheetId="4555">
        <row r="4">
          <cell r="I4">
            <v>0</v>
          </cell>
        </row>
      </sheetData>
      <sheetData sheetId="4556">
        <row r="4">
          <cell r="I4">
            <v>0</v>
          </cell>
        </row>
      </sheetData>
      <sheetData sheetId="4557">
        <row r="4">
          <cell r="I4">
            <v>0</v>
          </cell>
        </row>
      </sheetData>
      <sheetData sheetId="4558">
        <row r="4">
          <cell r="I4">
            <v>0</v>
          </cell>
        </row>
      </sheetData>
      <sheetData sheetId="4559">
        <row r="4">
          <cell r="I4">
            <v>0</v>
          </cell>
        </row>
      </sheetData>
      <sheetData sheetId="4560">
        <row r="4">
          <cell r="I4">
            <v>0</v>
          </cell>
        </row>
      </sheetData>
      <sheetData sheetId="4561">
        <row r="4">
          <cell r="I4">
            <v>0</v>
          </cell>
        </row>
      </sheetData>
      <sheetData sheetId="4562">
        <row r="4">
          <cell r="I4">
            <v>0</v>
          </cell>
        </row>
      </sheetData>
      <sheetData sheetId="4563">
        <row r="4">
          <cell r="I4">
            <v>0</v>
          </cell>
        </row>
      </sheetData>
      <sheetData sheetId="4564">
        <row r="4">
          <cell r="I4">
            <v>0</v>
          </cell>
        </row>
      </sheetData>
      <sheetData sheetId="4565">
        <row r="4">
          <cell r="I4">
            <v>0</v>
          </cell>
        </row>
      </sheetData>
      <sheetData sheetId="4566">
        <row r="4">
          <cell r="I4">
            <v>0</v>
          </cell>
        </row>
      </sheetData>
      <sheetData sheetId="4567">
        <row r="4">
          <cell r="I4">
            <v>0</v>
          </cell>
        </row>
      </sheetData>
      <sheetData sheetId="4568">
        <row r="4">
          <cell r="I4">
            <v>0</v>
          </cell>
        </row>
      </sheetData>
      <sheetData sheetId="4569">
        <row r="4">
          <cell r="I4">
            <v>0</v>
          </cell>
        </row>
      </sheetData>
      <sheetData sheetId="4570">
        <row r="4">
          <cell r="I4">
            <v>0</v>
          </cell>
        </row>
      </sheetData>
      <sheetData sheetId="4571">
        <row r="4">
          <cell r="I4">
            <v>0</v>
          </cell>
        </row>
      </sheetData>
      <sheetData sheetId="4572">
        <row r="4">
          <cell r="I4">
            <v>0</v>
          </cell>
        </row>
      </sheetData>
      <sheetData sheetId="4573">
        <row r="4">
          <cell r="I4">
            <v>0</v>
          </cell>
        </row>
      </sheetData>
      <sheetData sheetId="4574">
        <row r="4">
          <cell r="I4">
            <v>0</v>
          </cell>
        </row>
      </sheetData>
      <sheetData sheetId="4575">
        <row r="4">
          <cell r="I4">
            <v>0</v>
          </cell>
        </row>
      </sheetData>
      <sheetData sheetId="4576">
        <row r="4">
          <cell r="I4">
            <v>0</v>
          </cell>
        </row>
      </sheetData>
      <sheetData sheetId="4577">
        <row r="4">
          <cell r="I4">
            <v>0</v>
          </cell>
        </row>
      </sheetData>
      <sheetData sheetId="4578">
        <row r="4">
          <cell r="I4">
            <v>0</v>
          </cell>
        </row>
      </sheetData>
      <sheetData sheetId="4579">
        <row r="4">
          <cell r="I4">
            <v>0</v>
          </cell>
        </row>
      </sheetData>
      <sheetData sheetId="4580">
        <row r="4">
          <cell r="I4">
            <v>0</v>
          </cell>
        </row>
      </sheetData>
      <sheetData sheetId="4581">
        <row r="4">
          <cell r="I4">
            <v>0</v>
          </cell>
        </row>
      </sheetData>
      <sheetData sheetId="4582">
        <row r="4">
          <cell r="I4">
            <v>0</v>
          </cell>
        </row>
      </sheetData>
      <sheetData sheetId="4583">
        <row r="4">
          <cell r="I4">
            <v>0</v>
          </cell>
        </row>
      </sheetData>
      <sheetData sheetId="4584">
        <row r="4">
          <cell r="I4">
            <v>0</v>
          </cell>
        </row>
      </sheetData>
      <sheetData sheetId="4585">
        <row r="4">
          <cell r="I4">
            <v>0</v>
          </cell>
        </row>
      </sheetData>
      <sheetData sheetId="4586">
        <row r="4">
          <cell r="I4">
            <v>0</v>
          </cell>
        </row>
      </sheetData>
      <sheetData sheetId="4587">
        <row r="4">
          <cell r="I4">
            <v>0</v>
          </cell>
        </row>
      </sheetData>
      <sheetData sheetId="4588">
        <row r="4">
          <cell r="I4">
            <v>0</v>
          </cell>
        </row>
      </sheetData>
      <sheetData sheetId="4589">
        <row r="4">
          <cell r="I4">
            <v>0</v>
          </cell>
        </row>
      </sheetData>
      <sheetData sheetId="4590">
        <row r="4">
          <cell r="I4">
            <v>0</v>
          </cell>
        </row>
      </sheetData>
      <sheetData sheetId="4591">
        <row r="4">
          <cell r="I4">
            <v>0</v>
          </cell>
        </row>
      </sheetData>
      <sheetData sheetId="4592">
        <row r="4">
          <cell r="I4">
            <v>0</v>
          </cell>
        </row>
      </sheetData>
      <sheetData sheetId="4593">
        <row r="4">
          <cell r="I4">
            <v>0</v>
          </cell>
        </row>
      </sheetData>
      <sheetData sheetId="4594">
        <row r="4">
          <cell r="I4">
            <v>0</v>
          </cell>
        </row>
      </sheetData>
      <sheetData sheetId="4595">
        <row r="4">
          <cell r="I4">
            <v>0</v>
          </cell>
        </row>
      </sheetData>
      <sheetData sheetId="4596">
        <row r="4">
          <cell r="I4">
            <v>0</v>
          </cell>
        </row>
      </sheetData>
      <sheetData sheetId="4597">
        <row r="4">
          <cell r="I4">
            <v>0</v>
          </cell>
        </row>
      </sheetData>
      <sheetData sheetId="4598">
        <row r="4">
          <cell r="I4">
            <v>0</v>
          </cell>
        </row>
      </sheetData>
      <sheetData sheetId="4599">
        <row r="4">
          <cell r="I4">
            <v>0</v>
          </cell>
        </row>
      </sheetData>
      <sheetData sheetId="4600">
        <row r="4">
          <cell r="I4">
            <v>0</v>
          </cell>
        </row>
      </sheetData>
      <sheetData sheetId="4601">
        <row r="4">
          <cell r="I4">
            <v>0</v>
          </cell>
        </row>
      </sheetData>
      <sheetData sheetId="4602">
        <row r="4">
          <cell r="I4">
            <v>0</v>
          </cell>
        </row>
      </sheetData>
      <sheetData sheetId="4603">
        <row r="4">
          <cell r="I4">
            <v>0</v>
          </cell>
        </row>
      </sheetData>
      <sheetData sheetId="4604">
        <row r="4">
          <cell r="I4">
            <v>0</v>
          </cell>
        </row>
      </sheetData>
      <sheetData sheetId="4605">
        <row r="4">
          <cell r="I4">
            <v>0</v>
          </cell>
        </row>
      </sheetData>
      <sheetData sheetId="4606">
        <row r="4">
          <cell r="I4">
            <v>0</v>
          </cell>
        </row>
      </sheetData>
      <sheetData sheetId="4607">
        <row r="4">
          <cell r="I4">
            <v>0</v>
          </cell>
        </row>
      </sheetData>
      <sheetData sheetId="4608">
        <row r="4">
          <cell r="I4">
            <v>0</v>
          </cell>
        </row>
      </sheetData>
      <sheetData sheetId="4609">
        <row r="4">
          <cell r="I4">
            <v>0</v>
          </cell>
        </row>
      </sheetData>
      <sheetData sheetId="4610">
        <row r="4">
          <cell r="I4">
            <v>0</v>
          </cell>
        </row>
      </sheetData>
      <sheetData sheetId="4611">
        <row r="4">
          <cell r="I4">
            <v>0</v>
          </cell>
        </row>
      </sheetData>
      <sheetData sheetId="4612">
        <row r="4">
          <cell r="I4">
            <v>0</v>
          </cell>
        </row>
      </sheetData>
      <sheetData sheetId="4613">
        <row r="4">
          <cell r="I4">
            <v>0</v>
          </cell>
        </row>
      </sheetData>
      <sheetData sheetId="4614">
        <row r="4">
          <cell r="I4">
            <v>0</v>
          </cell>
        </row>
      </sheetData>
      <sheetData sheetId="4615">
        <row r="4">
          <cell r="I4">
            <v>0</v>
          </cell>
        </row>
      </sheetData>
      <sheetData sheetId="4616">
        <row r="4">
          <cell r="I4">
            <v>0</v>
          </cell>
        </row>
      </sheetData>
      <sheetData sheetId="4617">
        <row r="4">
          <cell r="I4">
            <v>0</v>
          </cell>
        </row>
      </sheetData>
      <sheetData sheetId="4618">
        <row r="4">
          <cell r="I4">
            <v>0</v>
          </cell>
        </row>
      </sheetData>
      <sheetData sheetId="4619">
        <row r="4">
          <cell r="I4">
            <v>0</v>
          </cell>
        </row>
      </sheetData>
      <sheetData sheetId="4620">
        <row r="4">
          <cell r="I4">
            <v>0</v>
          </cell>
        </row>
      </sheetData>
      <sheetData sheetId="4621">
        <row r="4">
          <cell r="I4">
            <v>0</v>
          </cell>
        </row>
      </sheetData>
      <sheetData sheetId="4622">
        <row r="4">
          <cell r="I4">
            <v>0</v>
          </cell>
        </row>
      </sheetData>
      <sheetData sheetId="4623">
        <row r="4">
          <cell r="I4">
            <v>0</v>
          </cell>
        </row>
      </sheetData>
      <sheetData sheetId="4624">
        <row r="4">
          <cell r="I4">
            <v>0</v>
          </cell>
        </row>
      </sheetData>
      <sheetData sheetId="4625">
        <row r="4">
          <cell r="I4">
            <v>0</v>
          </cell>
        </row>
      </sheetData>
      <sheetData sheetId="4626">
        <row r="4">
          <cell r="I4">
            <v>0</v>
          </cell>
        </row>
      </sheetData>
      <sheetData sheetId="4627">
        <row r="4">
          <cell r="I4">
            <v>0</v>
          </cell>
        </row>
      </sheetData>
      <sheetData sheetId="4628">
        <row r="4">
          <cell r="I4">
            <v>0</v>
          </cell>
        </row>
      </sheetData>
      <sheetData sheetId="4629">
        <row r="4">
          <cell r="I4">
            <v>0</v>
          </cell>
        </row>
      </sheetData>
      <sheetData sheetId="4630">
        <row r="4">
          <cell r="I4">
            <v>0</v>
          </cell>
        </row>
      </sheetData>
      <sheetData sheetId="4631">
        <row r="4">
          <cell r="I4">
            <v>0</v>
          </cell>
        </row>
      </sheetData>
      <sheetData sheetId="4632">
        <row r="4">
          <cell r="I4">
            <v>0</v>
          </cell>
        </row>
      </sheetData>
      <sheetData sheetId="4633">
        <row r="4">
          <cell r="I4">
            <v>0</v>
          </cell>
        </row>
      </sheetData>
      <sheetData sheetId="4634">
        <row r="4">
          <cell r="I4">
            <v>0</v>
          </cell>
        </row>
      </sheetData>
      <sheetData sheetId="4635">
        <row r="4">
          <cell r="I4">
            <v>0</v>
          </cell>
        </row>
      </sheetData>
      <sheetData sheetId="4636">
        <row r="4">
          <cell r="I4">
            <v>0</v>
          </cell>
        </row>
      </sheetData>
      <sheetData sheetId="4637">
        <row r="4">
          <cell r="I4">
            <v>0</v>
          </cell>
        </row>
      </sheetData>
      <sheetData sheetId="4638">
        <row r="4">
          <cell r="I4">
            <v>0</v>
          </cell>
        </row>
      </sheetData>
      <sheetData sheetId="4639">
        <row r="4">
          <cell r="I4">
            <v>0</v>
          </cell>
        </row>
      </sheetData>
      <sheetData sheetId="4640">
        <row r="4">
          <cell r="I4">
            <v>0</v>
          </cell>
        </row>
      </sheetData>
      <sheetData sheetId="4641">
        <row r="4">
          <cell r="I4">
            <v>0</v>
          </cell>
        </row>
      </sheetData>
      <sheetData sheetId="4642">
        <row r="4">
          <cell r="I4">
            <v>0</v>
          </cell>
        </row>
      </sheetData>
      <sheetData sheetId="4643">
        <row r="4">
          <cell r="I4">
            <v>0</v>
          </cell>
        </row>
      </sheetData>
      <sheetData sheetId="4644">
        <row r="4">
          <cell r="I4">
            <v>0</v>
          </cell>
        </row>
      </sheetData>
      <sheetData sheetId="4645">
        <row r="4">
          <cell r="I4">
            <v>0</v>
          </cell>
        </row>
      </sheetData>
      <sheetData sheetId="4646">
        <row r="4">
          <cell r="I4">
            <v>0</v>
          </cell>
        </row>
      </sheetData>
      <sheetData sheetId="4647">
        <row r="4">
          <cell r="I4">
            <v>0</v>
          </cell>
        </row>
      </sheetData>
      <sheetData sheetId="4648">
        <row r="4">
          <cell r="I4">
            <v>0</v>
          </cell>
        </row>
      </sheetData>
      <sheetData sheetId="4649">
        <row r="4">
          <cell r="I4">
            <v>0</v>
          </cell>
        </row>
      </sheetData>
      <sheetData sheetId="4650">
        <row r="4">
          <cell r="I4">
            <v>0</v>
          </cell>
        </row>
      </sheetData>
      <sheetData sheetId="4651">
        <row r="4">
          <cell r="I4">
            <v>0</v>
          </cell>
        </row>
      </sheetData>
      <sheetData sheetId="4652">
        <row r="4">
          <cell r="I4">
            <v>0</v>
          </cell>
        </row>
      </sheetData>
      <sheetData sheetId="4653">
        <row r="4">
          <cell r="I4">
            <v>0</v>
          </cell>
        </row>
      </sheetData>
      <sheetData sheetId="4654">
        <row r="4">
          <cell r="I4">
            <v>0</v>
          </cell>
        </row>
      </sheetData>
      <sheetData sheetId="4655">
        <row r="4">
          <cell r="I4">
            <v>0</v>
          </cell>
        </row>
      </sheetData>
      <sheetData sheetId="4656">
        <row r="4">
          <cell r="I4">
            <v>0</v>
          </cell>
        </row>
      </sheetData>
      <sheetData sheetId="4657">
        <row r="4">
          <cell r="I4">
            <v>0</v>
          </cell>
        </row>
      </sheetData>
      <sheetData sheetId="4658">
        <row r="4">
          <cell r="I4">
            <v>0</v>
          </cell>
        </row>
      </sheetData>
      <sheetData sheetId="4659">
        <row r="4">
          <cell r="I4">
            <v>0</v>
          </cell>
        </row>
      </sheetData>
      <sheetData sheetId="4660">
        <row r="4">
          <cell r="I4">
            <v>0</v>
          </cell>
        </row>
      </sheetData>
      <sheetData sheetId="4661">
        <row r="4">
          <cell r="I4">
            <v>0</v>
          </cell>
        </row>
      </sheetData>
      <sheetData sheetId="4662">
        <row r="4">
          <cell r="I4">
            <v>0</v>
          </cell>
        </row>
      </sheetData>
      <sheetData sheetId="4663">
        <row r="4">
          <cell r="I4">
            <v>0</v>
          </cell>
        </row>
      </sheetData>
      <sheetData sheetId="4664">
        <row r="4">
          <cell r="I4">
            <v>0</v>
          </cell>
        </row>
      </sheetData>
      <sheetData sheetId="4665">
        <row r="4">
          <cell r="I4">
            <v>0</v>
          </cell>
        </row>
      </sheetData>
      <sheetData sheetId="4666">
        <row r="4">
          <cell r="I4">
            <v>0</v>
          </cell>
        </row>
      </sheetData>
      <sheetData sheetId="4667">
        <row r="4">
          <cell r="I4">
            <v>0</v>
          </cell>
        </row>
      </sheetData>
      <sheetData sheetId="4668">
        <row r="4">
          <cell r="I4">
            <v>0</v>
          </cell>
        </row>
      </sheetData>
      <sheetData sheetId="4669">
        <row r="4">
          <cell r="I4">
            <v>0</v>
          </cell>
        </row>
      </sheetData>
      <sheetData sheetId="4670">
        <row r="4">
          <cell r="I4">
            <v>0</v>
          </cell>
        </row>
      </sheetData>
      <sheetData sheetId="4671">
        <row r="4">
          <cell r="I4">
            <v>0</v>
          </cell>
        </row>
      </sheetData>
      <sheetData sheetId="4672">
        <row r="4">
          <cell r="I4">
            <v>0</v>
          </cell>
        </row>
      </sheetData>
      <sheetData sheetId="4673">
        <row r="4">
          <cell r="I4">
            <v>0</v>
          </cell>
        </row>
      </sheetData>
      <sheetData sheetId="4674">
        <row r="4">
          <cell r="I4">
            <v>0</v>
          </cell>
        </row>
      </sheetData>
      <sheetData sheetId="4675">
        <row r="4">
          <cell r="I4">
            <v>0</v>
          </cell>
        </row>
      </sheetData>
      <sheetData sheetId="4676">
        <row r="4">
          <cell r="I4">
            <v>0</v>
          </cell>
        </row>
      </sheetData>
      <sheetData sheetId="4677">
        <row r="4">
          <cell r="I4">
            <v>0</v>
          </cell>
        </row>
      </sheetData>
      <sheetData sheetId="4678">
        <row r="4">
          <cell r="I4">
            <v>0</v>
          </cell>
        </row>
      </sheetData>
      <sheetData sheetId="4679">
        <row r="4">
          <cell r="I4">
            <v>0</v>
          </cell>
        </row>
      </sheetData>
      <sheetData sheetId="4680">
        <row r="4">
          <cell r="I4">
            <v>0</v>
          </cell>
        </row>
      </sheetData>
      <sheetData sheetId="4681">
        <row r="4">
          <cell r="I4">
            <v>0</v>
          </cell>
        </row>
      </sheetData>
      <sheetData sheetId="4682">
        <row r="4">
          <cell r="I4">
            <v>0</v>
          </cell>
        </row>
      </sheetData>
      <sheetData sheetId="4683">
        <row r="4">
          <cell r="I4">
            <v>0</v>
          </cell>
        </row>
      </sheetData>
      <sheetData sheetId="4684">
        <row r="4">
          <cell r="I4">
            <v>0</v>
          </cell>
        </row>
      </sheetData>
      <sheetData sheetId="4685">
        <row r="4">
          <cell r="I4">
            <v>0</v>
          </cell>
        </row>
      </sheetData>
      <sheetData sheetId="4686">
        <row r="4">
          <cell r="I4">
            <v>0</v>
          </cell>
        </row>
      </sheetData>
      <sheetData sheetId="4687">
        <row r="4">
          <cell r="I4">
            <v>0</v>
          </cell>
        </row>
      </sheetData>
      <sheetData sheetId="4688">
        <row r="4">
          <cell r="I4">
            <v>0</v>
          </cell>
        </row>
      </sheetData>
      <sheetData sheetId="4689">
        <row r="4">
          <cell r="I4">
            <v>0</v>
          </cell>
        </row>
      </sheetData>
      <sheetData sheetId="4690">
        <row r="4">
          <cell r="I4">
            <v>0</v>
          </cell>
        </row>
      </sheetData>
      <sheetData sheetId="4691">
        <row r="4">
          <cell r="I4">
            <v>0</v>
          </cell>
        </row>
      </sheetData>
      <sheetData sheetId="4692">
        <row r="4">
          <cell r="I4">
            <v>0</v>
          </cell>
        </row>
      </sheetData>
      <sheetData sheetId="4693">
        <row r="4">
          <cell r="I4">
            <v>0</v>
          </cell>
        </row>
      </sheetData>
      <sheetData sheetId="4694">
        <row r="4">
          <cell r="I4">
            <v>0</v>
          </cell>
        </row>
      </sheetData>
      <sheetData sheetId="4695">
        <row r="4">
          <cell r="I4">
            <v>0</v>
          </cell>
        </row>
      </sheetData>
      <sheetData sheetId="4696">
        <row r="4">
          <cell r="I4">
            <v>0</v>
          </cell>
        </row>
      </sheetData>
      <sheetData sheetId="4697">
        <row r="4">
          <cell r="I4">
            <v>0</v>
          </cell>
        </row>
      </sheetData>
      <sheetData sheetId="4698">
        <row r="4">
          <cell r="I4">
            <v>0</v>
          </cell>
        </row>
      </sheetData>
      <sheetData sheetId="4699">
        <row r="4">
          <cell r="I4">
            <v>0</v>
          </cell>
        </row>
      </sheetData>
      <sheetData sheetId="4700">
        <row r="4">
          <cell r="I4">
            <v>0</v>
          </cell>
        </row>
      </sheetData>
      <sheetData sheetId="4701">
        <row r="4">
          <cell r="I4">
            <v>0</v>
          </cell>
        </row>
      </sheetData>
      <sheetData sheetId="4702">
        <row r="4">
          <cell r="I4">
            <v>0</v>
          </cell>
        </row>
      </sheetData>
      <sheetData sheetId="4703">
        <row r="4">
          <cell r="I4">
            <v>0</v>
          </cell>
        </row>
      </sheetData>
      <sheetData sheetId="4704">
        <row r="4">
          <cell r="I4">
            <v>0</v>
          </cell>
        </row>
      </sheetData>
      <sheetData sheetId="4705">
        <row r="4">
          <cell r="I4">
            <v>0</v>
          </cell>
        </row>
      </sheetData>
      <sheetData sheetId="4706">
        <row r="4">
          <cell r="I4">
            <v>0</v>
          </cell>
        </row>
      </sheetData>
      <sheetData sheetId="4707">
        <row r="4">
          <cell r="I4">
            <v>0</v>
          </cell>
        </row>
      </sheetData>
      <sheetData sheetId="4708">
        <row r="4">
          <cell r="I4">
            <v>0</v>
          </cell>
        </row>
      </sheetData>
      <sheetData sheetId="4709">
        <row r="4">
          <cell r="I4">
            <v>0</v>
          </cell>
        </row>
      </sheetData>
      <sheetData sheetId="4710">
        <row r="4">
          <cell r="I4">
            <v>0</v>
          </cell>
        </row>
      </sheetData>
      <sheetData sheetId="4711">
        <row r="4">
          <cell r="I4">
            <v>0</v>
          </cell>
        </row>
      </sheetData>
      <sheetData sheetId="4712">
        <row r="4">
          <cell r="I4">
            <v>0</v>
          </cell>
        </row>
      </sheetData>
      <sheetData sheetId="4713">
        <row r="4">
          <cell r="I4">
            <v>0</v>
          </cell>
        </row>
      </sheetData>
      <sheetData sheetId="4714">
        <row r="4">
          <cell r="I4">
            <v>0</v>
          </cell>
        </row>
      </sheetData>
      <sheetData sheetId="4715">
        <row r="4">
          <cell r="I4">
            <v>0</v>
          </cell>
        </row>
      </sheetData>
      <sheetData sheetId="4716">
        <row r="4">
          <cell r="I4">
            <v>0</v>
          </cell>
        </row>
      </sheetData>
      <sheetData sheetId="4717">
        <row r="4">
          <cell r="I4">
            <v>0</v>
          </cell>
        </row>
      </sheetData>
      <sheetData sheetId="4718">
        <row r="4">
          <cell r="I4">
            <v>0</v>
          </cell>
        </row>
      </sheetData>
      <sheetData sheetId="4719">
        <row r="4">
          <cell r="I4">
            <v>0</v>
          </cell>
        </row>
      </sheetData>
      <sheetData sheetId="4720">
        <row r="4">
          <cell r="I4">
            <v>0</v>
          </cell>
        </row>
      </sheetData>
      <sheetData sheetId="4721">
        <row r="4">
          <cell r="I4">
            <v>0</v>
          </cell>
        </row>
      </sheetData>
      <sheetData sheetId="4722">
        <row r="4">
          <cell r="I4">
            <v>0</v>
          </cell>
        </row>
      </sheetData>
      <sheetData sheetId="4723">
        <row r="4">
          <cell r="I4">
            <v>0</v>
          </cell>
        </row>
      </sheetData>
      <sheetData sheetId="4724">
        <row r="4">
          <cell r="I4">
            <v>0</v>
          </cell>
        </row>
      </sheetData>
      <sheetData sheetId="4725">
        <row r="4">
          <cell r="I4">
            <v>0</v>
          </cell>
        </row>
      </sheetData>
      <sheetData sheetId="4726">
        <row r="4">
          <cell r="I4">
            <v>0</v>
          </cell>
        </row>
      </sheetData>
      <sheetData sheetId="4727">
        <row r="4">
          <cell r="I4">
            <v>0</v>
          </cell>
        </row>
      </sheetData>
      <sheetData sheetId="4728" refreshError="1"/>
      <sheetData sheetId="4729" refreshError="1"/>
      <sheetData sheetId="4730" refreshError="1"/>
      <sheetData sheetId="4731">
        <row r="4">
          <cell r="I4">
            <v>0</v>
          </cell>
        </row>
      </sheetData>
      <sheetData sheetId="4732">
        <row r="4">
          <cell r="I4">
            <v>0</v>
          </cell>
        </row>
      </sheetData>
      <sheetData sheetId="4733">
        <row r="4">
          <cell r="I4">
            <v>0</v>
          </cell>
        </row>
      </sheetData>
      <sheetData sheetId="4734">
        <row r="4">
          <cell r="I4">
            <v>0</v>
          </cell>
        </row>
      </sheetData>
      <sheetData sheetId="4735">
        <row r="4">
          <cell r="I4">
            <v>0</v>
          </cell>
        </row>
      </sheetData>
      <sheetData sheetId="4736">
        <row r="4">
          <cell r="I4">
            <v>0</v>
          </cell>
        </row>
      </sheetData>
      <sheetData sheetId="4737">
        <row r="4">
          <cell r="I4">
            <v>0</v>
          </cell>
        </row>
      </sheetData>
      <sheetData sheetId="4738">
        <row r="4">
          <cell r="I4">
            <v>0</v>
          </cell>
        </row>
      </sheetData>
      <sheetData sheetId="4739">
        <row r="4">
          <cell r="I4">
            <v>0</v>
          </cell>
        </row>
      </sheetData>
      <sheetData sheetId="4740">
        <row r="4">
          <cell r="I4">
            <v>0</v>
          </cell>
        </row>
      </sheetData>
      <sheetData sheetId="4741">
        <row r="4">
          <cell r="I4">
            <v>0</v>
          </cell>
        </row>
      </sheetData>
      <sheetData sheetId="4742">
        <row r="4">
          <cell r="I4">
            <v>0</v>
          </cell>
        </row>
      </sheetData>
      <sheetData sheetId="4743">
        <row r="4">
          <cell r="I4">
            <v>0</v>
          </cell>
        </row>
      </sheetData>
      <sheetData sheetId="4744">
        <row r="4">
          <cell r="I4">
            <v>0</v>
          </cell>
        </row>
      </sheetData>
      <sheetData sheetId="4745">
        <row r="4">
          <cell r="I4">
            <v>0</v>
          </cell>
        </row>
      </sheetData>
      <sheetData sheetId="4746">
        <row r="4">
          <cell r="I4">
            <v>0</v>
          </cell>
        </row>
      </sheetData>
      <sheetData sheetId="4747">
        <row r="4">
          <cell r="I4">
            <v>0</v>
          </cell>
        </row>
      </sheetData>
      <sheetData sheetId="4748">
        <row r="4">
          <cell r="I4">
            <v>0</v>
          </cell>
        </row>
      </sheetData>
      <sheetData sheetId="4749">
        <row r="4">
          <cell r="I4">
            <v>0</v>
          </cell>
        </row>
      </sheetData>
      <sheetData sheetId="4750">
        <row r="4">
          <cell r="I4">
            <v>0</v>
          </cell>
        </row>
      </sheetData>
      <sheetData sheetId="4751">
        <row r="4">
          <cell r="I4">
            <v>0</v>
          </cell>
        </row>
      </sheetData>
      <sheetData sheetId="4752">
        <row r="4">
          <cell r="I4">
            <v>0</v>
          </cell>
        </row>
      </sheetData>
      <sheetData sheetId="4753">
        <row r="4">
          <cell r="I4">
            <v>0</v>
          </cell>
        </row>
      </sheetData>
      <sheetData sheetId="4754">
        <row r="4">
          <cell r="I4">
            <v>0</v>
          </cell>
        </row>
      </sheetData>
      <sheetData sheetId="4755">
        <row r="4">
          <cell r="I4">
            <v>0</v>
          </cell>
        </row>
      </sheetData>
      <sheetData sheetId="4756">
        <row r="4">
          <cell r="I4">
            <v>0</v>
          </cell>
        </row>
      </sheetData>
      <sheetData sheetId="4757">
        <row r="4">
          <cell r="I4">
            <v>0</v>
          </cell>
        </row>
      </sheetData>
      <sheetData sheetId="4758">
        <row r="4">
          <cell r="I4">
            <v>0</v>
          </cell>
        </row>
      </sheetData>
      <sheetData sheetId="4759">
        <row r="4">
          <cell r="I4">
            <v>0</v>
          </cell>
        </row>
      </sheetData>
      <sheetData sheetId="4760">
        <row r="4">
          <cell r="I4">
            <v>0</v>
          </cell>
        </row>
      </sheetData>
      <sheetData sheetId="4761">
        <row r="4">
          <cell r="I4">
            <v>0</v>
          </cell>
        </row>
      </sheetData>
      <sheetData sheetId="4762">
        <row r="4">
          <cell r="I4">
            <v>0</v>
          </cell>
        </row>
      </sheetData>
      <sheetData sheetId="4763">
        <row r="4">
          <cell r="I4">
            <v>0</v>
          </cell>
        </row>
      </sheetData>
      <sheetData sheetId="4764">
        <row r="4">
          <cell r="I4">
            <v>0</v>
          </cell>
        </row>
      </sheetData>
      <sheetData sheetId="4765">
        <row r="4">
          <cell r="I4">
            <v>0</v>
          </cell>
        </row>
      </sheetData>
      <sheetData sheetId="4766">
        <row r="4">
          <cell r="I4">
            <v>0</v>
          </cell>
        </row>
      </sheetData>
      <sheetData sheetId="4767">
        <row r="4">
          <cell r="I4">
            <v>0</v>
          </cell>
        </row>
      </sheetData>
      <sheetData sheetId="4768">
        <row r="4">
          <cell r="I4">
            <v>0</v>
          </cell>
        </row>
      </sheetData>
      <sheetData sheetId="4769">
        <row r="4">
          <cell r="I4">
            <v>0</v>
          </cell>
        </row>
      </sheetData>
      <sheetData sheetId="4770">
        <row r="4">
          <cell r="I4">
            <v>0</v>
          </cell>
        </row>
      </sheetData>
      <sheetData sheetId="4771">
        <row r="4">
          <cell r="I4">
            <v>0</v>
          </cell>
        </row>
      </sheetData>
      <sheetData sheetId="4772">
        <row r="4">
          <cell r="I4">
            <v>0</v>
          </cell>
        </row>
      </sheetData>
      <sheetData sheetId="4773">
        <row r="4">
          <cell r="I4">
            <v>0</v>
          </cell>
        </row>
      </sheetData>
      <sheetData sheetId="4774">
        <row r="4">
          <cell r="I4">
            <v>0</v>
          </cell>
        </row>
      </sheetData>
      <sheetData sheetId="4775">
        <row r="4">
          <cell r="I4">
            <v>0</v>
          </cell>
        </row>
      </sheetData>
      <sheetData sheetId="4776">
        <row r="4">
          <cell r="I4">
            <v>0</v>
          </cell>
        </row>
      </sheetData>
      <sheetData sheetId="4777">
        <row r="4">
          <cell r="I4">
            <v>0</v>
          </cell>
        </row>
      </sheetData>
      <sheetData sheetId="4778">
        <row r="4">
          <cell r="I4">
            <v>0</v>
          </cell>
        </row>
      </sheetData>
      <sheetData sheetId="4779">
        <row r="4">
          <cell r="I4">
            <v>0</v>
          </cell>
        </row>
      </sheetData>
      <sheetData sheetId="4780">
        <row r="4">
          <cell r="I4">
            <v>0</v>
          </cell>
        </row>
      </sheetData>
      <sheetData sheetId="4781">
        <row r="4">
          <cell r="I4">
            <v>0</v>
          </cell>
        </row>
      </sheetData>
      <sheetData sheetId="4782">
        <row r="4">
          <cell r="I4">
            <v>0</v>
          </cell>
        </row>
      </sheetData>
      <sheetData sheetId="4783">
        <row r="4">
          <cell r="I4">
            <v>0</v>
          </cell>
        </row>
      </sheetData>
      <sheetData sheetId="4784">
        <row r="4">
          <cell r="I4">
            <v>0</v>
          </cell>
        </row>
      </sheetData>
      <sheetData sheetId="4785">
        <row r="4">
          <cell r="I4">
            <v>0</v>
          </cell>
        </row>
      </sheetData>
      <sheetData sheetId="4786">
        <row r="4">
          <cell r="I4">
            <v>0</v>
          </cell>
        </row>
      </sheetData>
      <sheetData sheetId="4787">
        <row r="4">
          <cell r="I4">
            <v>0</v>
          </cell>
        </row>
      </sheetData>
      <sheetData sheetId="4788">
        <row r="4">
          <cell r="I4">
            <v>0</v>
          </cell>
        </row>
      </sheetData>
      <sheetData sheetId="4789">
        <row r="4">
          <cell r="I4">
            <v>0</v>
          </cell>
        </row>
      </sheetData>
      <sheetData sheetId="4790">
        <row r="4">
          <cell r="I4">
            <v>0</v>
          </cell>
        </row>
      </sheetData>
      <sheetData sheetId="4791">
        <row r="4">
          <cell r="I4">
            <v>0</v>
          </cell>
        </row>
      </sheetData>
      <sheetData sheetId="4792">
        <row r="4">
          <cell r="I4">
            <v>0</v>
          </cell>
        </row>
      </sheetData>
      <sheetData sheetId="4793">
        <row r="4">
          <cell r="I4">
            <v>0</v>
          </cell>
        </row>
      </sheetData>
      <sheetData sheetId="4794">
        <row r="4">
          <cell r="I4">
            <v>0</v>
          </cell>
        </row>
      </sheetData>
      <sheetData sheetId="4795">
        <row r="4">
          <cell r="I4">
            <v>0</v>
          </cell>
        </row>
      </sheetData>
      <sheetData sheetId="4796">
        <row r="4">
          <cell r="I4">
            <v>0</v>
          </cell>
        </row>
      </sheetData>
      <sheetData sheetId="4797">
        <row r="4">
          <cell r="I4">
            <v>0</v>
          </cell>
        </row>
      </sheetData>
      <sheetData sheetId="4798">
        <row r="4">
          <cell r="I4">
            <v>0</v>
          </cell>
        </row>
      </sheetData>
      <sheetData sheetId="4799">
        <row r="4">
          <cell r="I4">
            <v>0</v>
          </cell>
        </row>
      </sheetData>
      <sheetData sheetId="4800">
        <row r="4">
          <cell r="I4">
            <v>0</v>
          </cell>
        </row>
      </sheetData>
      <sheetData sheetId="4801">
        <row r="4">
          <cell r="I4">
            <v>0</v>
          </cell>
        </row>
      </sheetData>
      <sheetData sheetId="4802">
        <row r="4">
          <cell r="I4">
            <v>0</v>
          </cell>
        </row>
      </sheetData>
      <sheetData sheetId="4803">
        <row r="4">
          <cell r="I4">
            <v>0</v>
          </cell>
        </row>
      </sheetData>
      <sheetData sheetId="4804">
        <row r="4">
          <cell r="I4">
            <v>0</v>
          </cell>
        </row>
      </sheetData>
      <sheetData sheetId="4805">
        <row r="4">
          <cell r="I4">
            <v>0</v>
          </cell>
        </row>
      </sheetData>
      <sheetData sheetId="4806">
        <row r="4">
          <cell r="I4">
            <v>0</v>
          </cell>
        </row>
      </sheetData>
      <sheetData sheetId="4807">
        <row r="4">
          <cell r="I4">
            <v>0</v>
          </cell>
        </row>
      </sheetData>
      <sheetData sheetId="4808">
        <row r="4">
          <cell r="I4">
            <v>0</v>
          </cell>
        </row>
      </sheetData>
      <sheetData sheetId="4809">
        <row r="4">
          <cell r="I4">
            <v>0</v>
          </cell>
        </row>
      </sheetData>
      <sheetData sheetId="4810">
        <row r="4">
          <cell r="I4">
            <v>0</v>
          </cell>
        </row>
      </sheetData>
      <sheetData sheetId="4811">
        <row r="4">
          <cell r="I4">
            <v>0</v>
          </cell>
        </row>
      </sheetData>
      <sheetData sheetId="4812">
        <row r="4">
          <cell r="I4">
            <v>0</v>
          </cell>
        </row>
      </sheetData>
      <sheetData sheetId="4813">
        <row r="4">
          <cell r="I4">
            <v>0</v>
          </cell>
        </row>
      </sheetData>
      <sheetData sheetId="4814">
        <row r="4">
          <cell r="I4">
            <v>0</v>
          </cell>
        </row>
      </sheetData>
      <sheetData sheetId="4815">
        <row r="4">
          <cell r="I4">
            <v>0</v>
          </cell>
        </row>
      </sheetData>
      <sheetData sheetId="4816">
        <row r="4">
          <cell r="I4">
            <v>0</v>
          </cell>
        </row>
      </sheetData>
      <sheetData sheetId="4817">
        <row r="4">
          <cell r="I4">
            <v>0</v>
          </cell>
        </row>
      </sheetData>
      <sheetData sheetId="4818">
        <row r="4">
          <cell r="I4">
            <v>0</v>
          </cell>
        </row>
      </sheetData>
      <sheetData sheetId="4819">
        <row r="4">
          <cell r="I4">
            <v>0</v>
          </cell>
        </row>
      </sheetData>
      <sheetData sheetId="4820">
        <row r="4">
          <cell r="I4">
            <v>0</v>
          </cell>
        </row>
      </sheetData>
      <sheetData sheetId="4821">
        <row r="4">
          <cell r="I4">
            <v>0</v>
          </cell>
        </row>
      </sheetData>
      <sheetData sheetId="4822">
        <row r="4">
          <cell r="I4">
            <v>0</v>
          </cell>
        </row>
      </sheetData>
      <sheetData sheetId="4823">
        <row r="4">
          <cell r="I4">
            <v>0</v>
          </cell>
        </row>
      </sheetData>
      <sheetData sheetId="4824">
        <row r="4">
          <cell r="I4">
            <v>0</v>
          </cell>
        </row>
      </sheetData>
      <sheetData sheetId="4825">
        <row r="4">
          <cell r="I4">
            <v>0</v>
          </cell>
        </row>
      </sheetData>
      <sheetData sheetId="4826">
        <row r="4">
          <cell r="I4">
            <v>0</v>
          </cell>
        </row>
      </sheetData>
      <sheetData sheetId="4827">
        <row r="4">
          <cell r="I4">
            <v>0</v>
          </cell>
        </row>
      </sheetData>
      <sheetData sheetId="4828">
        <row r="4">
          <cell r="I4">
            <v>0</v>
          </cell>
        </row>
      </sheetData>
      <sheetData sheetId="4829">
        <row r="4">
          <cell r="I4">
            <v>0</v>
          </cell>
        </row>
      </sheetData>
      <sheetData sheetId="4830">
        <row r="4">
          <cell r="I4">
            <v>0</v>
          </cell>
        </row>
      </sheetData>
      <sheetData sheetId="4831">
        <row r="4">
          <cell r="I4">
            <v>0</v>
          </cell>
        </row>
      </sheetData>
      <sheetData sheetId="4832">
        <row r="4">
          <cell r="I4">
            <v>0</v>
          </cell>
        </row>
      </sheetData>
      <sheetData sheetId="4833">
        <row r="4">
          <cell r="I4">
            <v>0</v>
          </cell>
        </row>
      </sheetData>
      <sheetData sheetId="4834">
        <row r="4">
          <cell r="I4">
            <v>0</v>
          </cell>
        </row>
      </sheetData>
      <sheetData sheetId="4835">
        <row r="4">
          <cell r="I4">
            <v>0</v>
          </cell>
        </row>
      </sheetData>
      <sheetData sheetId="4836">
        <row r="4">
          <cell r="I4">
            <v>0</v>
          </cell>
        </row>
      </sheetData>
      <sheetData sheetId="4837">
        <row r="4">
          <cell r="I4">
            <v>0</v>
          </cell>
        </row>
      </sheetData>
      <sheetData sheetId="4838">
        <row r="4">
          <cell r="I4">
            <v>0</v>
          </cell>
        </row>
      </sheetData>
      <sheetData sheetId="4839">
        <row r="4">
          <cell r="I4">
            <v>0</v>
          </cell>
        </row>
      </sheetData>
      <sheetData sheetId="4840">
        <row r="4">
          <cell r="I4">
            <v>0</v>
          </cell>
        </row>
      </sheetData>
      <sheetData sheetId="4841">
        <row r="4">
          <cell r="I4">
            <v>0</v>
          </cell>
        </row>
      </sheetData>
      <sheetData sheetId="4842">
        <row r="4">
          <cell r="I4">
            <v>0</v>
          </cell>
        </row>
      </sheetData>
      <sheetData sheetId="4843">
        <row r="4">
          <cell r="I4">
            <v>0</v>
          </cell>
        </row>
      </sheetData>
      <sheetData sheetId="4844">
        <row r="4">
          <cell r="I4">
            <v>0</v>
          </cell>
        </row>
      </sheetData>
      <sheetData sheetId="4845">
        <row r="4">
          <cell r="I4">
            <v>0</v>
          </cell>
        </row>
      </sheetData>
      <sheetData sheetId="4846">
        <row r="4">
          <cell r="I4">
            <v>0</v>
          </cell>
        </row>
      </sheetData>
      <sheetData sheetId="4847">
        <row r="4">
          <cell r="I4">
            <v>0</v>
          </cell>
        </row>
      </sheetData>
      <sheetData sheetId="4848">
        <row r="4">
          <cell r="I4">
            <v>0</v>
          </cell>
        </row>
      </sheetData>
      <sheetData sheetId="4849">
        <row r="4">
          <cell r="I4">
            <v>0</v>
          </cell>
        </row>
      </sheetData>
      <sheetData sheetId="4850">
        <row r="4">
          <cell r="I4">
            <v>0</v>
          </cell>
        </row>
      </sheetData>
      <sheetData sheetId="4851">
        <row r="4">
          <cell r="I4">
            <v>0</v>
          </cell>
        </row>
      </sheetData>
      <sheetData sheetId="4852">
        <row r="4">
          <cell r="I4">
            <v>0</v>
          </cell>
        </row>
      </sheetData>
      <sheetData sheetId="4853">
        <row r="4">
          <cell r="I4">
            <v>0</v>
          </cell>
        </row>
      </sheetData>
      <sheetData sheetId="4854">
        <row r="4">
          <cell r="I4">
            <v>0</v>
          </cell>
        </row>
      </sheetData>
      <sheetData sheetId="4855">
        <row r="4">
          <cell r="I4">
            <v>0</v>
          </cell>
        </row>
      </sheetData>
      <sheetData sheetId="4856">
        <row r="4">
          <cell r="I4">
            <v>0</v>
          </cell>
        </row>
      </sheetData>
      <sheetData sheetId="4857">
        <row r="4">
          <cell r="I4">
            <v>0</v>
          </cell>
        </row>
      </sheetData>
      <sheetData sheetId="4858">
        <row r="4">
          <cell r="I4">
            <v>0</v>
          </cell>
        </row>
      </sheetData>
      <sheetData sheetId="4859">
        <row r="4">
          <cell r="I4">
            <v>0</v>
          </cell>
        </row>
      </sheetData>
      <sheetData sheetId="4860">
        <row r="4">
          <cell r="I4">
            <v>0</v>
          </cell>
        </row>
      </sheetData>
      <sheetData sheetId="4861">
        <row r="4">
          <cell r="I4">
            <v>0</v>
          </cell>
        </row>
      </sheetData>
      <sheetData sheetId="4862">
        <row r="4">
          <cell r="I4">
            <v>0</v>
          </cell>
        </row>
      </sheetData>
      <sheetData sheetId="4863">
        <row r="4">
          <cell r="I4">
            <v>0</v>
          </cell>
        </row>
      </sheetData>
      <sheetData sheetId="4864">
        <row r="4">
          <cell r="I4">
            <v>0</v>
          </cell>
        </row>
      </sheetData>
      <sheetData sheetId="4865">
        <row r="4">
          <cell r="I4">
            <v>0</v>
          </cell>
        </row>
      </sheetData>
      <sheetData sheetId="4866">
        <row r="4">
          <cell r="I4">
            <v>0</v>
          </cell>
        </row>
      </sheetData>
      <sheetData sheetId="4867">
        <row r="4">
          <cell r="I4">
            <v>0</v>
          </cell>
        </row>
      </sheetData>
      <sheetData sheetId="4868">
        <row r="4">
          <cell r="I4">
            <v>0</v>
          </cell>
        </row>
      </sheetData>
      <sheetData sheetId="4869">
        <row r="4">
          <cell r="I4">
            <v>0</v>
          </cell>
        </row>
      </sheetData>
      <sheetData sheetId="4870">
        <row r="4">
          <cell r="I4">
            <v>0</v>
          </cell>
        </row>
      </sheetData>
      <sheetData sheetId="4871">
        <row r="4">
          <cell r="I4">
            <v>0</v>
          </cell>
        </row>
      </sheetData>
      <sheetData sheetId="4872">
        <row r="4">
          <cell r="I4">
            <v>0</v>
          </cell>
        </row>
      </sheetData>
      <sheetData sheetId="4873">
        <row r="4">
          <cell r="I4">
            <v>0</v>
          </cell>
        </row>
      </sheetData>
      <sheetData sheetId="4874">
        <row r="4">
          <cell r="I4">
            <v>0</v>
          </cell>
        </row>
      </sheetData>
      <sheetData sheetId="4875">
        <row r="4">
          <cell r="I4">
            <v>0</v>
          </cell>
        </row>
      </sheetData>
      <sheetData sheetId="4876">
        <row r="4">
          <cell r="I4">
            <v>0</v>
          </cell>
        </row>
      </sheetData>
      <sheetData sheetId="4877">
        <row r="4">
          <cell r="I4">
            <v>0</v>
          </cell>
        </row>
      </sheetData>
      <sheetData sheetId="4878">
        <row r="4">
          <cell r="I4">
            <v>0</v>
          </cell>
        </row>
      </sheetData>
      <sheetData sheetId="4879">
        <row r="4">
          <cell r="I4">
            <v>0</v>
          </cell>
        </row>
      </sheetData>
      <sheetData sheetId="4880">
        <row r="4">
          <cell r="I4">
            <v>0</v>
          </cell>
        </row>
      </sheetData>
      <sheetData sheetId="4881">
        <row r="4">
          <cell r="I4">
            <v>0</v>
          </cell>
        </row>
      </sheetData>
      <sheetData sheetId="4882">
        <row r="4">
          <cell r="I4">
            <v>0</v>
          </cell>
        </row>
      </sheetData>
      <sheetData sheetId="4883">
        <row r="4">
          <cell r="I4">
            <v>0</v>
          </cell>
        </row>
      </sheetData>
      <sheetData sheetId="4884">
        <row r="4">
          <cell r="I4">
            <v>0</v>
          </cell>
        </row>
      </sheetData>
      <sheetData sheetId="4885">
        <row r="4">
          <cell r="I4">
            <v>0</v>
          </cell>
        </row>
      </sheetData>
      <sheetData sheetId="4886">
        <row r="4">
          <cell r="I4">
            <v>0</v>
          </cell>
        </row>
      </sheetData>
      <sheetData sheetId="4887">
        <row r="4">
          <cell r="I4">
            <v>0</v>
          </cell>
        </row>
      </sheetData>
      <sheetData sheetId="4888">
        <row r="4">
          <cell r="I4">
            <v>0</v>
          </cell>
        </row>
      </sheetData>
      <sheetData sheetId="4889">
        <row r="4">
          <cell r="I4">
            <v>0</v>
          </cell>
        </row>
      </sheetData>
      <sheetData sheetId="4890">
        <row r="4">
          <cell r="I4">
            <v>0</v>
          </cell>
        </row>
      </sheetData>
      <sheetData sheetId="4891">
        <row r="4">
          <cell r="I4">
            <v>0</v>
          </cell>
        </row>
      </sheetData>
      <sheetData sheetId="4892">
        <row r="4">
          <cell r="I4">
            <v>0</v>
          </cell>
        </row>
      </sheetData>
      <sheetData sheetId="4893">
        <row r="4">
          <cell r="I4">
            <v>0</v>
          </cell>
        </row>
      </sheetData>
      <sheetData sheetId="4894">
        <row r="4">
          <cell r="I4">
            <v>0</v>
          </cell>
        </row>
      </sheetData>
      <sheetData sheetId="4895">
        <row r="4">
          <cell r="I4">
            <v>0</v>
          </cell>
        </row>
      </sheetData>
      <sheetData sheetId="4896">
        <row r="4">
          <cell r="I4">
            <v>0</v>
          </cell>
        </row>
      </sheetData>
      <sheetData sheetId="4897">
        <row r="4">
          <cell r="I4">
            <v>0</v>
          </cell>
        </row>
      </sheetData>
      <sheetData sheetId="4898">
        <row r="4">
          <cell r="I4">
            <v>0</v>
          </cell>
        </row>
      </sheetData>
      <sheetData sheetId="4899">
        <row r="4">
          <cell r="I4">
            <v>0</v>
          </cell>
        </row>
      </sheetData>
      <sheetData sheetId="4900">
        <row r="4">
          <cell r="I4">
            <v>0</v>
          </cell>
        </row>
      </sheetData>
      <sheetData sheetId="4901">
        <row r="4">
          <cell r="I4">
            <v>0</v>
          </cell>
        </row>
      </sheetData>
      <sheetData sheetId="4902">
        <row r="4">
          <cell r="I4">
            <v>0</v>
          </cell>
        </row>
      </sheetData>
      <sheetData sheetId="4903">
        <row r="4">
          <cell r="I4">
            <v>0</v>
          </cell>
        </row>
      </sheetData>
      <sheetData sheetId="4904">
        <row r="4">
          <cell r="I4">
            <v>0</v>
          </cell>
        </row>
      </sheetData>
      <sheetData sheetId="4905">
        <row r="4">
          <cell r="I4">
            <v>0</v>
          </cell>
        </row>
      </sheetData>
      <sheetData sheetId="4906">
        <row r="4">
          <cell r="I4">
            <v>0</v>
          </cell>
        </row>
      </sheetData>
      <sheetData sheetId="4907">
        <row r="4">
          <cell r="I4">
            <v>0</v>
          </cell>
        </row>
      </sheetData>
      <sheetData sheetId="4908">
        <row r="4">
          <cell r="I4">
            <v>0</v>
          </cell>
        </row>
      </sheetData>
      <sheetData sheetId="4909">
        <row r="4">
          <cell r="I4">
            <v>0</v>
          </cell>
        </row>
      </sheetData>
      <sheetData sheetId="4910">
        <row r="4">
          <cell r="I4">
            <v>0</v>
          </cell>
        </row>
      </sheetData>
      <sheetData sheetId="4911">
        <row r="4">
          <cell r="I4">
            <v>0</v>
          </cell>
        </row>
      </sheetData>
      <sheetData sheetId="4912">
        <row r="4">
          <cell r="I4">
            <v>0</v>
          </cell>
        </row>
      </sheetData>
      <sheetData sheetId="4913">
        <row r="4">
          <cell r="I4">
            <v>0</v>
          </cell>
        </row>
      </sheetData>
      <sheetData sheetId="4914">
        <row r="4">
          <cell r="I4">
            <v>0</v>
          </cell>
        </row>
      </sheetData>
      <sheetData sheetId="4915">
        <row r="4">
          <cell r="I4">
            <v>0</v>
          </cell>
        </row>
      </sheetData>
      <sheetData sheetId="4916">
        <row r="4">
          <cell r="I4">
            <v>0</v>
          </cell>
        </row>
      </sheetData>
      <sheetData sheetId="4917">
        <row r="4">
          <cell r="I4">
            <v>0</v>
          </cell>
        </row>
      </sheetData>
      <sheetData sheetId="4918">
        <row r="4">
          <cell r="I4">
            <v>0</v>
          </cell>
        </row>
      </sheetData>
      <sheetData sheetId="4919">
        <row r="4">
          <cell r="I4">
            <v>0</v>
          </cell>
        </row>
      </sheetData>
      <sheetData sheetId="4920">
        <row r="4">
          <cell r="I4">
            <v>0</v>
          </cell>
        </row>
      </sheetData>
      <sheetData sheetId="4921">
        <row r="4">
          <cell r="I4">
            <v>0</v>
          </cell>
        </row>
      </sheetData>
      <sheetData sheetId="4922">
        <row r="4">
          <cell r="I4">
            <v>0</v>
          </cell>
        </row>
      </sheetData>
      <sheetData sheetId="4923">
        <row r="4">
          <cell r="I4">
            <v>0</v>
          </cell>
        </row>
      </sheetData>
      <sheetData sheetId="4924">
        <row r="4">
          <cell r="I4">
            <v>0</v>
          </cell>
        </row>
      </sheetData>
      <sheetData sheetId="4925">
        <row r="4">
          <cell r="I4">
            <v>0</v>
          </cell>
        </row>
      </sheetData>
      <sheetData sheetId="4926">
        <row r="4">
          <cell r="I4">
            <v>0</v>
          </cell>
        </row>
      </sheetData>
      <sheetData sheetId="4927">
        <row r="4">
          <cell r="I4">
            <v>0</v>
          </cell>
        </row>
      </sheetData>
      <sheetData sheetId="4928">
        <row r="4">
          <cell r="I4">
            <v>0</v>
          </cell>
        </row>
      </sheetData>
      <sheetData sheetId="4929">
        <row r="4">
          <cell r="I4">
            <v>0</v>
          </cell>
        </row>
      </sheetData>
      <sheetData sheetId="4930">
        <row r="4">
          <cell r="I4">
            <v>0</v>
          </cell>
        </row>
      </sheetData>
      <sheetData sheetId="4931">
        <row r="4">
          <cell r="I4">
            <v>0</v>
          </cell>
        </row>
      </sheetData>
      <sheetData sheetId="4932">
        <row r="4">
          <cell r="I4">
            <v>0</v>
          </cell>
        </row>
      </sheetData>
      <sheetData sheetId="4933">
        <row r="4">
          <cell r="I4">
            <v>0</v>
          </cell>
        </row>
      </sheetData>
      <sheetData sheetId="4934">
        <row r="4">
          <cell r="I4">
            <v>0</v>
          </cell>
        </row>
      </sheetData>
      <sheetData sheetId="4935">
        <row r="4">
          <cell r="I4">
            <v>0</v>
          </cell>
        </row>
      </sheetData>
      <sheetData sheetId="4936">
        <row r="4">
          <cell r="I4">
            <v>0</v>
          </cell>
        </row>
      </sheetData>
      <sheetData sheetId="4937">
        <row r="4">
          <cell r="I4">
            <v>0</v>
          </cell>
        </row>
      </sheetData>
      <sheetData sheetId="4938">
        <row r="4">
          <cell r="I4">
            <v>0</v>
          </cell>
        </row>
      </sheetData>
      <sheetData sheetId="4939">
        <row r="4">
          <cell r="I4">
            <v>0</v>
          </cell>
        </row>
      </sheetData>
      <sheetData sheetId="4940">
        <row r="4">
          <cell r="I4">
            <v>0</v>
          </cell>
        </row>
      </sheetData>
      <sheetData sheetId="4941">
        <row r="4">
          <cell r="I4">
            <v>0</v>
          </cell>
        </row>
      </sheetData>
      <sheetData sheetId="4942">
        <row r="4">
          <cell r="I4">
            <v>0</v>
          </cell>
        </row>
      </sheetData>
      <sheetData sheetId="4943">
        <row r="4">
          <cell r="I4">
            <v>0</v>
          </cell>
        </row>
      </sheetData>
      <sheetData sheetId="4944">
        <row r="4">
          <cell r="I4">
            <v>0</v>
          </cell>
        </row>
      </sheetData>
      <sheetData sheetId="4945">
        <row r="4">
          <cell r="I4">
            <v>0</v>
          </cell>
        </row>
      </sheetData>
      <sheetData sheetId="4946">
        <row r="4">
          <cell r="I4">
            <v>0</v>
          </cell>
        </row>
      </sheetData>
      <sheetData sheetId="4947">
        <row r="4">
          <cell r="I4">
            <v>0</v>
          </cell>
        </row>
      </sheetData>
      <sheetData sheetId="4948">
        <row r="4">
          <cell r="I4">
            <v>0</v>
          </cell>
        </row>
      </sheetData>
      <sheetData sheetId="4949">
        <row r="4">
          <cell r="I4">
            <v>0</v>
          </cell>
        </row>
      </sheetData>
      <sheetData sheetId="4950">
        <row r="4">
          <cell r="I4">
            <v>0</v>
          </cell>
        </row>
      </sheetData>
      <sheetData sheetId="4951">
        <row r="4">
          <cell r="I4">
            <v>0</v>
          </cell>
        </row>
      </sheetData>
      <sheetData sheetId="4952">
        <row r="4">
          <cell r="I4">
            <v>0</v>
          </cell>
        </row>
      </sheetData>
      <sheetData sheetId="4953">
        <row r="4">
          <cell r="I4">
            <v>0</v>
          </cell>
        </row>
      </sheetData>
      <sheetData sheetId="4954">
        <row r="4">
          <cell r="I4">
            <v>0</v>
          </cell>
        </row>
      </sheetData>
      <sheetData sheetId="4955">
        <row r="4">
          <cell r="I4">
            <v>0</v>
          </cell>
        </row>
      </sheetData>
      <sheetData sheetId="4956">
        <row r="4">
          <cell r="I4">
            <v>0</v>
          </cell>
        </row>
      </sheetData>
      <sheetData sheetId="4957">
        <row r="4">
          <cell r="I4">
            <v>0</v>
          </cell>
        </row>
      </sheetData>
      <sheetData sheetId="4958">
        <row r="4">
          <cell r="I4">
            <v>0</v>
          </cell>
        </row>
      </sheetData>
      <sheetData sheetId="4959">
        <row r="4">
          <cell r="I4">
            <v>0</v>
          </cell>
        </row>
      </sheetData>
      <sheetData sheetId="4960">
        <row r="4">
          <cell r="I4">
            <v>0</v>
          </cell>
        </row>
      </sheetData>
      <sheetData sheetId="4961">
        <row r="4">
          <cell r="I4">
            <v>0</v>
          </cell>
        </row>
      </sheetData>
      <sheetData sheetId="4962">
        <row r="4">
          <cell r="I4">
            <v>0</v>
          </cell>
        </row>
      </sheetData>
      <sheetData sheetId="4963">
        <row r="4">
          <cell r="I4">
            <v>0</v>
          </cell>
        </row>
      </sheetData>
      <sheetData sheetId="4964">
        <row r="4">
          <cell r="I4">
            <v>0</v>
          </cell>
        </row>
      </sheetData>
      <sheetData sheetId="4965">
        <row r="4">
          <cell r="I4">
            <v>0</v>
          </cell>
        </row>
      </sheetData>
      <sheetData sheetId="4966">
        <row r="4">
          <cell r="I4">
            <v>0</v>
          </cell>
        </row>
      </sheetData>
      <sheetData sheetId="4967">
        <row r="4">
          <cell r="I4">
            <v>0</v>
          </cell>
        </row>
      </sheetData>
      <sheetData sheetId="4968">
        <row r="4">
          <cell r="I4">
            <v>0</v>
          </cell>
        </row>
      </sheetData>
      <sheetData sheetId="4969">
        <row r="4">
          <cell r="I4">
            <v>0</v>
          </cell>
        </row>
      </sheetData>
      <sheetData sheetId="4970">
        <row r="4">
          <cell r="I4">
            <v>0</v>
          </cell>
        </row>
      </sheetData>
      <sheetData sheetId="4971">
        <row r="4">
          <cell r="I4">
            <v>0</v>
          </cell>
        </row>
      </sheetData>
      <sheetData sheetId="4972">
        <row r="4">
          <cell r="I4">
            <v>0</v>
          </cell>
        </row>
      </sheetData>
      <sheetData sheetId="4973">
        <row r="4">
          <cell r="I4">
            <v>0</v>
          </cell>
        </row>
      </sheetData>
      <sheetData sheetId="4974">
        <row r="4">
          <cell r="I4">
            <v>0</v>
          </cell>
        </row>
      </sheetData>
      <sheetData sheetId="4975">
        <row r="4">
          <cell r="I4">
            <v>0</v>
          </cell>
        </row>
      </sheetData>
      <sheetData sheetId="4976">
        <row r="4">
          <cell r="I4">
            <v>0</v>
          </cell>
        </row>
      </sheetData>
      <sheetData sheetId="4977">
        <row r="4">
          <cell r="I4">
            <v>0</v>
          </cell>
        </row>
      </sheetData>
      <sheetData sheetId="4978">
        <row r="4">
          <cell r="I4">
            <v>0</v>
          </cell>
        </row>
      </sheetData>
      <sheetData sheetId="4979">
        <row r="4">
          <cell r="I4">
            <v>0</v>
          </cell>
        </row>
      </sheetData>
      <sheetData sheetId="4980">
        <row r="4">
          <cell r="I4">
            <v>0</v>
          </cell>
        </row>
      </sheetData>
      <sheetData sheetId="4981">
        <row r="4">
          <cell r="I4">
            <v>0</v>
          </cell>
        </row>
      </sheetData>
      <sheetData sheetId="4982">
        <row r="4">
          <cell r="I4">
            <v>0</v>
          </cell>
        </row>
      </sheetData>
      <sheetData sheetId="4983">
        <row r="4">
          <cell r="I4">
            <v>0</v>
          </cell>
        </row>
      </sheetData>
      <sheetData sheetId="4984">
        <row r="4">
          <cell r="I4">
            <v>0</v>
          </cell>
        </row>
      </sheetData>
      <sheetData sheetId="4985">
        <row r="4">
          <cell r="I4">
            <v>0</v>
          </cell>
        </row>
      </sheetData>
      <sheetData sheetId="4986">
        <row r="4">
          <cell r="I4">
            <v>0</v>
          </cell>
        </row>
      </sheetData>
      <sheetData sheetId="4987">
        <row r="4">
          <cell r="I4">
            <v>0</v>
          </cell>
        </row>
      </sheetData>
      <sheetData sheetId="4988">
        <row r="4">
          <cell r="I4">
            <v>0</v>
          </cell>
        </row>
      </sheetData>
      <sheetData sheetId="4989">
        <row r="4">
          <cell r="I4">
            <v>0</v>
          </cell>
        </row>
      </sheetData>
      <sheetData sheetId="4990">
        <row r="4">
          <cell r="I4">
            <v>0</v>
          </cell>
        </row>
      </sheetData>
      <sheetData sheetId="4991">
        <row r="4">
          <cell r="I4">
            <v>0</v>
          </cell>
        </row>
      </sheetData>
      <sheetData sheetId="4992">
        <row r="4">
          <cell r="I4">
            <v>0</v>
          </cell>
        </row>
      </sheetData>
      <sheetData sheetId="4993">
        <row r="4">
          <cell r="I4">
            <v>0</v>
          </cell>
        </row>
      </sheetData>
      <sheetData sheetId="4994">
        <row r="4">
          <cell r="I4">
            <v>0</v>
          </cell>
        </row>
      </sheetData>
      <sheetData sheetId="4995">
        <row r="4">
          <cell r="I4">
            <v>0</v>
          </cell>
        </row>
      </sheetData>
      <sheetData sheetId="4996">
        <row r="4">
          <cell r="I4">
            <v>0</v>
          </cell>
        </row>
      </sheetData>
      <sheetData sheetId="4997">
        <row r="4">
          <cell r="I4">
            <v>0</v>
          </cell>
        </row>
      </sheetData>
      <sheetData sheetId="4998">
        <row r="4">
          <cell r="I4">
            <v>0</v>
          </cell>
        </row>
      </sheetData>
      <sheetData sheetId="4999">
        <row r="4">
          <cell r="I4">
            <v>0</v>
          </cell>
        </row>
      </sheetData>
      <sheetData sheetId="5000">
        <row r="4">
          <cell r="I4">
            <v>0</v>
          </cell>
        </row>
      </sheetData>
      <sheetData sheetId="5001">
        <row r="4">
          <cell r="I4">
            <v>0</v>
          </cell>
        </row>
      </sheetData>
      <sheetData sheetId="5002">
        <row r="4">
          <cell r="I4">
            <v>0</v>
          </cell>
        </row>
      </sheetData>
      <sheetData sheetId="5003">
        <row r="4">
          <cell r="I4">
            <v>0</v>
          </cell>
        </row>
      </sheetData>
      <sheetData sheetId="5004">
        <row r="4">
          <cell r="I4">
            <v>0</v>
          </cell>
        </row>
      </sheetData>
      <sheetData sheetId="5005">
        <row r="4">
          <cell r="I4">
            <v>0</v>
          </cell>
        </row>
      </sheetData>
      <sheetData sheetId="5006">
        <row r="4">
          <cell r="I4">
            <v>0</v>
          </cell>
        </row>
      </sheetData>
      <sheetData sheetId="5007">
        <row r="4">
          <cell r="I4">
            <v>0</v>
          </cell>
        </row>
      </sheetData>
      <sheetData sheetId="5008">
        <row r="4">
          <cell r="I4">
            <v>0</v>
          </cell>
        </row>
      </sheetData>
      <sheetData sheetId="5009">
        <row r="4">
          <cell r="I4">
            <v>0</v>
          </cell>
        </row>
      </sheetData>
      <sheetData sheetId="5010">
        <row r="4">
          <cell r="I4">
            <v>0</v>
          </cell>
        </row>
      </sheetData>
      <sheetData sheetId="5011">
        <row r="4">
          <cell r="I4">
            <v>0</v>
          </cell>
        </row>
      </sheetData>
      <sheetData sheetId="5012">
        <row r="4">
          <cell r="I4">
            <v>0</v>
          </cell>
        </row>
      </sheetData>
      <sheetData sheetId="5013">
        <row r="4">
          <cell r="I4">
            <v>0</v>
          </cell>
        </row>
      </sheetData>
      <sheetData sheetId="5014">
        <row r="4">
          <cell r="I4">
            <v>0</v>
          </cell>
        </row>
      </sheetData>
      <sheetData sheetId="5015">
        <row r="4">
          <cell r="I4">
            <v>0</v>
          </cell>
        </row>
      </sheetData>
      <sheetData sheetId="5016">
        <row r="4">
          <cell r="I4">
            <v>0</v>
          </cell>
        </row>
      </sheetData>
      <sheetData sheetId="5017">
        <row r="4">
          <cell r="I4">
            <v>0</v>
          </cell>
        </row>
      </sheetData>
      <sheetData sheetId="5018">
        <row r="4">
          <cell r="I4">
            <v>0</v>
          </cell>
        </row>
      </sheetData>
      <sheetData sheetId="5019">
        <row r="4">
          <cell r="I4">
            <v>0</v>
          </cell>
        </row>
      </sheetData>
      <sheetData sheetId="5020">
        <row r="4">
          <cell r="I4">
            <v>0</v>
          </cell>
        </row>
      </sheetData>
      <sheetData sheetId="5021">
        <row r="4">
          <cell r="I4">
            <v>0</v>
          </cell>
        </row>
      </sheetData>
      <sheetData sheetId="5022">
        <row r="4">
          <cell r="I4">
            <v>0</v>
          </cell>
        </row>
      </sheetData>
      <sheetData sheetId="5023">
        <row r="4">
          <cell r="I4">
            <v>0</v>
          </cell>
        </row>
      </sheetData>
      <sheetData sheetId="5024">
        <row r="4">
          <cell r="I4">
            <v>0</v>
          </cell>
        </row>
      </sheetData>
      <sheetData sheetId="5025">
        <row r="4">
          <cell r="I4">
            <v>0</v>
          </cell>
        </row>
      </sheetData>
      <sheetData sheetId="5026">
        <row r="4">
          <cell r="I4">
            <v>0</v>
          </cell>
        </row>
      </sheetData>
      <sheetData sheetId="5027">
        <row r="4">
          <cell r="I4">
            <v>0</v>
          </cell>
        </row>
      </sheetData>
      <sheetData sheetId="5028">
        <row r="4">
          <cell r="I4">
            <v>0</v>
          </cell>
        </row>
      </sheetData>
      <sheetData sheetId="5029">
        <row r="4">
          <cell r="I4">
            <v>0</v>
          </cell>
        </row>
      </sheetData>
      <sheetData sheetId="5030">
        <row r="4">
          <cell r="I4">
            <v>0</v>
          </cell>
        </row>
      </sheetData>
      <sheetData sheetId="5031">
        <row r="4">
          <cell r="I4">
            <v>0</v>
          </cell>
        </row>
      </sheetData>
      <sheetData sheetId="5032">
        <row r="4">
          <cell r="I4">
            <v>0</v>
          </cell>
        </row>
      </sheetData>
      <sheetData sheetId="5033">
        <row r="4">
          <cell r="I4">
            <v>0</v>
          </cell>
        </row>
      </sheetData>
      <sheetData sheetId="5034">
        <row r="4">
          <cell r="I4">
            <v>0</v>
          </cell>
        </row>
      </sheetData>
      <sheetData sheetId="5035">
        <row r="4">
          <cell r="I4">
            <v>0</v>
          </cell>
        </row>
      </sheetData>
      <sheetData sheetId="5036">
        <row r="4">
          <cell r="I4">
            <v>0</v>
          </cell>
        </row>
      </sheetData>
      <sheetData sheetId="5037">
        <row r="4">
          <cell r="I4">
            <v>0</v>
          </cell>
        </row>
      </sheetData>
      <sheetData sheetId="5038">
        <row r="4">
          <cell r="I4">
            <v>0</v>
          </cell>
        </row>
      </sheetData>
      <sheetData sheetId="5039">
        <row r="4">
          <cell r="I4">
            <v>0</v>
          </cell>
        </row>
      </sheetData>
      <sheetData sheetId="5040">
        <row r="4">
          <cell r="I4">
            <v>0</v>
          </cell>
        </row>
      </sheetData>
      <sheetData sheetId="5041">
        <row r="4">
          <cell r="I4">
            <v>0</v>
          </cell>
        </row>
      </sheetData>
      <sheetData sheetId="5042">
        <row r="4">
          <cell r="I4">
            <v>0</v>
          </cell>
        </row>
      </sheetData>
      <sheetData sheetId="5043">
        <row r="4">
          <cell r="I4">
            <v>0</v>
          </cell>
        </row>
      </sheetData>
      <sheetData sheetId="5044">
        <row r="4">
          <cell r="I4">
            <v>0</v>
          </cell>
        </row>
      </sheetData>
      <sheetData sheetId="5045">
        <row r="4">
          <cell r="I4">
            <v>0</v>
          </cell>
        </row>
      </sheetData>
      <sheetData sheetId="5046">
        <row r="4">
          <cell r="I4">
            <v>0</v>
          </cell>
        </row>
      </sheetData>
      <sheetData sheetId="5047">
        <row r="4">
          <cell r="I4">
            <v>0</v>
          </cell>
        </row>
      </sheetData>
      <sheetData sheetId="5048">
        <row r="4">
          <cell r="I4">
            <v>0</v>
          </cell>
        </row>
      </sheetData>
      <sheetData sheetId="5049">
        <row r="4">
          <cell r="I4">
            <v>0</v>
          </cell>
        </row>
      </sheetData>
      <sheetData sheetId="5050">
        <row r="4">
          <cell r="I4">
            <v>0</v>
          </cell>
        </row>
      </sheetData>
      <sheetData sheetId="5051">
        <row r="4">
          <cell r="I4">
            <v>0</v>
          </cell>
        </row>
      </sheetData>
      <sheetData sheetId="5052">
        <row r="4">
          <cell r="I4">
            <v>0</v>
          </cell>
        </row>
      </sheetData>
      <sheetData sheetId="5053">
        <row r="4">
          <cell r="I4">
            <v>0</v>
          </cell>
        </row>
      </sheetData>
      <sheetData sheetId="5054">
        <row r="4">
          <cell r="I4">
            <v>0</v>
          </cell>
        </row>
      </sheetData>
      <sheetData sheetId="5055">
        <row r="4">
          <cell r="I4">
            <v>0</v>
          </cell>
        </row>
      </sheetData>
      <sheetData sheetId="5056">
        <row r="4">
          <cell r="I4">
            <v>0</v>
          </cell>
        </row>
      </sheetData>
      <sheetData sheetId="5057">
        <row r="4">
          <cell r="I4">
            <v>0</v>
          </cell>
        </row>
      </sheetData>
      <sheetData sheetId="5058">
        <row r="4">
          <cell r="I4">
            <v>0</v>
          </cell>
        </row>
      </sheetData>
      <sheetData sheetId="5059">
        <row r="4">
          <cell r="I4">
            <v>0</v>
          </cell>
        </row>
      </sheetData>
      <sheetData sheetId="5060">
        <row r="4">
          <cell r="I4">
            <v>0</v>
          </cell>
        </row>
      </sheetData>
      <sheetData sheetId="5061">
        <row r="4">
          <cell r="I4">
            <v>0</v>
          </cell>
        </row>
      </sheetData>
      <sheetData sheetId="5062">
        <row r="4">
          <cell r="I4">
            <v>0</v>
          </cell>
        </row>
      </sheetData>
      <sheetData sheetId="5063">
        <row r="4">
          <cell r="I4">
            <v>0</v>
          </cell>
        </row>
      </sheetData>
      <sheetData sheetId="5064">
        <row r="4">
          <cell r="I4">
            <v>0</v>
          </cell>
        </row>
      </sheetData>
      <sheetData sheetId="5065">
        <row r="4">
          <cell r="I4">
            <v>0</v>
          </cell>
        </row>
      </sheetData>
      <sheetData sheetId="5066">
        <row r="4">
          <cell r="I4">
            <v>0</v>
          </cell>
        </row>
      </sheetData>
      <sheetData sheetId="5067">
        <row r="4">
          <cell r="I4">
            <v>0</v>
          </cell>
        </row>
      </sheetData>
      <sheetData sheetId="5068">
        <row r="4">
          <cell r="I4">
            <v>0</v>
          </cell>
        </row>
      </sheetData>
      <sheetData sheetId="5069">
        <row r="4">
          <cell r="I4">
            <v>0</v>
          </cell>
        </row>
      </sheetData>
      <sheetData sheetId="5070">
        <row r="4">
          <cell r="I4">
            <v>0</v>
          </cell>
        </row>
      </sheetData>
      <sheetData sheetId="5071">
        <row r="4">
          <cell r="I4">
            <v>0</v>
          </cell>
        </row>
      </sheetData>
      <sheetData sheetId="5072">
        <row r="4">
          <cell r="I4">
            <v>0</v>
          </cell>
        </row>
      </sheetData>
      <sheetData sheetId="5073">
        <row r="4">
          <cell r="I4">
            <v>0</v>
          </cell>
        </row>
      </sheetData>
      <sheetData sheetId="5074">
        <row r="4">
          <cell r="I4">
            <v>0</v>
          </cell>
        </row>
      </sheetData>
      <sheetData sheetId="5075">
        <row r="4">
          <cell r="I4">
            <v>0</v>
          </cell>
        </row>
      </sheetData>
      <sheetData sheetId="5076">
        <row r="4">
          <cell r="I4">
            <v>0</v>
          </cell>
        </row>
      </sheetData>
      <sheetData sheetId="5077">
        <row r="4">
          <cell r="I4">
            <v>0</v>
          </cell>
        </row>
      </sheetData>
      <sheetData sheetId="5078">
        <row r="4">
          <cell r="I4">
            <v>0</v>
          </cell>
        </row>
      </sheetData>
      <sheetData sheetId="5079">
        <row r="4">
          <cell r="I4">
            <v>0</v>
          </cell>
        </row>
      </sheetData>
      <sheetData sheetId="5080">
        <row r="4">
          <cell r="I4">
            <v>0</v>
          </cell>
        </row>
      </sheetData>
      <sheetData sheetId="5081">
        <row r="4">
          <cell r="I4">
            <v>0</v>
          </cell>
        </row>
      </sheetData>
      <sheetData sheetId="5082">
        <row r="4">
          <cell r="I4">
            <v>0</v>
          </cell>
        </row>
      </sheetData>
      <sheetData sheetId="5083">
        <row r="4">
          <cell r="I4">
            <v>0</v>
          </cell>
        </row>
      </sheetData>
      <sheetData sheetId="5084">
        <row r="4">
          <cell r="I4">
            <v>0</v>
          </cell>
        </row>
      </sheetData>
      <sheetData sheetId="5085">
        <row r="4">
          <cell r="I4">
            <v>0</v>
          </cell>
        </row>
      </sheetData>
      <sheetData sheetId="5086">
        <row r="4">
          <cell r="I4">
            <v>0</v>
          </cell>
        </row>
      </sheetData>
      <sheetData sheetId="5087">
        <row r="4">
          <cell r="I4">
            <v>0</v>
          </cell>
        </row>
      </sheetData>
      <sheetData sheetId="5088">
        <row r="4">
          <cell r="I4">
            <v>0</v>
          </cell>
        </row>
      </sheetData>
      <sheetData sheetId="5089">
        <row r="4">
          <cell r="I4">
            <v>0</v>
          </cell>
        </row>
      </sheetData>
      <sheetData sheetId="5090">
        <row r="4">
          <cell r="I4">
            <v>0</v>
          </cell>
        </row>
      </sheetData>
      <sheetData sheetId="5091">
        <row r="4">
          <cell r="I4">
            <v>0</v>
          </cell>
        </row>
      </sheetData>
      <sheetData sheetId="5092">
        <row r="4">
          <cell r="I4">
            <v>0</v>
          </cell>
        </row>
      </sheetData>
      <sheetData sheetId="5093">
        <row r="4">
          <cell r="I4">
            <v>0</v>
          </cell>
        </row>
      </sheetData>
      <sheetData sheetId="5094">
        <row r="4">
          <cell r="I4">
            <v>0</v>
          </cell>
        </row>
      </sheetData>
      <sheetData sheetId="5095">
        <row r="4">
          <cell r="I4">
            <v>0</v>
          </cell>
        </row>
      </sheetData>
      <sheetData sheetId="5096">
        <row r="4">
          <cell r="I4">
            <v>0</v>
          </cell>
        </row>
      </sheetData>
      <sheetData sheetId="5097">
        <row r="4">
          <cell r="I4">
            <v>0</v>
          </cell>
        </row>
      </sheetData>
      <sheetData sheetId="5098">
        <row r="4">
          <cell r="I4">
            <v>0</v>
          </cell>
        </row>
      </sheetData>
      <sheetData sheetId="5099">
        <row r="4">
          <cell r="I4">
            <v>0</v>
          </cell>
        </row>
      </sheetData>
      <sheetData sheetId="5100">
        <row r="4">
          <cell r="I4">
            <v>0</v>
          </cell>
        </row>
      </sheetData>
      <sheetData sheetId="5101">
        <row r="4">
          <cell r="I4">
            <v>0</v>
          </cell>
        </row>
      </sheetData>
      <sheetData sheetId="5102">
        <row r="4">
          <cell r="I4">
            <v>0</v>
          </cell>
        </row>
      </sheetData>
      <sheetData sheetId="5103">
        <row r="4">
          <cell r="I4">
            <v>0</v>
          </cell>
        </row>
      </sheetData>
      <sheetData sheetId="5104">
        <row r="4">
          <cell r="I4">
            <v>0</v>
          </cell>
        </row>
      </sheetData>
      <sheetData sheetId="5105">
        <row r="4">
          <cell r="I4">
            <v>0</v>
          </cell>
        </row>
      </sheetData>
      <sheetData sheetId="5106">
        <row r="4">
          <cell r="I4">
            <v>0</v>
          </cell>
        </row>
      </sheetData>
      <sheetData sheetId="5107">
        <row r="4">
          <cell r="I4">
            <v>0</v>
          </cell>
        </row>
      </sheetData>
      <sheetData sheetId="5108">
        <row r="4">
          <cell r="I4">
            <v>0</v>
          </cell>
        </row>
      </sheetData>
      <sheetData sheetId="5109">
        <row r="4">
          <cell r="I4">
            <v>0</v>
          </cell>
        </row>
      </sheetData>
      <sheetData sheetId="5110">
        <row r="4">
          <cell r="I4">
            <v>0</v>
          </cell>
        </row>
      </sheetData>
      <sheetData sheetId="5111">
        <row r="4">
          <cell r="I4">
            <v>0</v>
          </cell>
        </row>
      </sheetData>
      <sheetData sheetId="5112">
        <row r="4">
          <cell r="I4">
            <v>0</v>
          </cell>
        </row>
      </sheetData>
      <sheetData sheetId="5113">
        <row r="4">
          <cell r="I4">
            <v>0</v>
          </cell>
        </row>
      </sheetData>
      <sheetData sheetId="5114">
        <row r="4">
          <cell r="I4">
            <v>0</v>
          </cell>
        </row>
      </sheetData>
      <sheetData sheetId="5115">
        <row r="4">
          <cell r="I4">
            <v>0</v>
          </cell>
        </row>
      </sheetData>
      <sheetData sheetId="5116">
        <row r="4">
          <cell r="I4">
            <v>0</v>
          </cell>
        </row>
      </sheetData>
      <sheetData sheetId="5117">
        <row r="4">
          <cell r="I4">
            <v>0</v>
          </cell>
        </row>
      </sheetData>
      <sheetData sheetId="5118">
        <row r="4">
          <cell r="I4">
            <v>0</v>
          </cell>
        </row>
      </sheetData>
      <sheetData sheetId="5119">
        <row r="4">
          <cell r="I4">
            <v>0</v>
          </cell>
        </row>
      </sheetData>
      <sheetData sheetId="5120">
        <row r="4">
          <cell r="I4">
            <v>0</v>
          </cell>
        </row>
      </sheetData>
      <sheetData sheetId="5121">
        <row r="4">
          <cell r="I4">
            <v>0</v>
          </cell>
        </row>
      </sheetData>
      <sheetData sheetId="5122">
        <row r="4">
          <cell r="I4">
            <v>0</v>
          </cell>
        </row>
      </sheetData>
      <sheetData sheetId="5123">
        <row r="4">
          <cell r="I4">
            <v>0</v>
          </cell>
        </row>
      </sheetData>
      <sheetData sheetId="5124">
        <row r="4">
          <cell r="I4">
            <v>0</v>
          </cell>
        </row>
      </sheetData>
      <sheetData sheetId="5125">
        <row r="4">
          <cell r="I4">
            <v>0</v>
          </cell>
        </row>
      </sheetData>
      <sheetData sheetId="5126">
        <row r="4">
          <cell r="I4">
            <v>0</v>
          </cell>
        </row>
      </sheetData>
      <sheetData sheetId="5127">
        <row r="4">
          <cell r="I4">
            <v>0</v>
          </cell>
        </row>
      </sheetData>
      <sheetData sheetId="5128">
        <row r="4">
          <cell r="I4">
            <v>0</v>
          </cell>
        </row>
      </sheetData>
      <sheetData sheetId="5129">
        <row r="4">
          <cell r="I4">
            <v>0</v>
          </cell>
        </row>
      </sheetData>
      <sheetData sheetId="5130">
        <row r="4">
          <cell r="I4">
            <v>0</v>
          </cell>
        </row>
      </sheetData>
      <sheetData sheetId="5131">
        <row r="4">
          <cell r="I4">
            <v>0</v>
          </cell>
        </row>
      </sheetData>
      <sheetData sheetId="5132">
        <row r="4">
          <cell r="I4">
            <v>0</v>
          </cell>
        </row>
      </sheetData>
      <sheetData sheetId="5133">
        <row r="4">
          <cell r="I4">
            <v>0</v>
          </cell>
        </row>
      </sheetData>
      <sheetData sheetId="5134">
        <row r="4">
          <cell r="I4">
            <v>0</v>
          </cell>
        </row>
      </sheetData>
      <sheetData sheetId="5135">
        <row r="4">
          <cell r="I4">
            <v>0</v>
          </cell>
        </row>
      </sheetData>
      <sheetData sheetId="5136">
        <row r="4">
          <cell r="I4">
            <v>0</v>
          </cell>
        </row>
      </sheetData>
      <sheetData sheetId="5137">
        <row r="4">
          <cell r="I4">
            <v>0</v>
          </cell>
        </row>
      </sheetData>
      <sheetData sheetId="5138">
        <row r="4">
          <cell r="I4">
            <v>0</v>
          </cell>
        </row>
      </sheetData>
      <sheetData sheetId="5139">
        <row r="4">
          <cell r="I4">
            <v>0</v>
          </cell>
        </row>
      </sheetData>
      <sheetData sheetId="5140">
        <row r="4">
          <cell r="I4">
            <v>0</v>
          </cell>
        </row>
      </sheetData>
      <sheetData sheetId="5141">
        <row r="4">
          <cell r="I4">
            <v>0</v>
          </cell>
        </row>
      </sheetData>
      <sheetData sheetId="5142">
        <row r="4">
          <cell r="I4">
            <v>0</v>
          </cell>
        </row>
      </sheetData>
      <sheetData sheetId="5143">
        <row r="4">
          <cell r="I4">
            <v>0</v>
          </cell>
        </row>
      </sheetData>
      <sheetData sheetId="5144">
        <row r="4">
          <cell r="I4">
            <v>0</v>
          </cell>
        </row>
      </sheetData>
      <sheetData sheetId="5145">
        <row r="4">
          <cell r="I4">
            <v>0</v>
          </cell>
        </row>
      </sheetData>
      <sheetData sheetId="5146">
        <row r="4">
          <cell r="I4">
            <v>0</v>
          </cell>
        </row>
      </sheetData>
      <sheetData sheetId="5147">
        <row r="4">
          <cell r="I4">
            <v>0</v>
          </cell>
        </row>
      </sheetData>
      <sheetData sheetId="5148">
        <row r="4">
          <cell r="I4">
            <v>0</v>
          </cell>
        </row>
      </sheetData>
      <sheetData sheetId="5149">
        <row r="4">
          <cell r="I4">
            <v>0</v>
          </cell>
        </row>
      </sheetData>
      <sheetData sheetId="5150">
        <row r="4">
          <cell r="I4">
            <v>0</v>
          </cell>
        </row>
      </sheetData>
      <sheetData sheetId="5151">
        <row r="4">
          <cell r="I4">
            <v>0</v>
          </cell>
        </row>
      </sheetData>
      <sheetData sheetId="5152">
        <row r="4">
          <cell r="I4">
            <v>0</v>
          </cell>
        </row>
      </sheetData>
      <sheetData sheetId="5153">
        <row r="4">
          <cell r="I4">
            <v>0</v>
          </cell>
        </row>
      </sheetData>
      <sheetData sheetId="5154">
        <row r="4">
          <cell r="I4">
            <v>0</v>
          </cell>
        </row>
      </sheetData>
      <sheetData sheetId="5155">
        <row r="4">
          <cell r="I4">
            <v>0</v>
          </cell>
        </row>
      </sheetData>
      <sheetData sheetId="5156">
        <row r="4">
          <cell r="I4">
            <v>0</v>
          </cell>
        </row>
      </sheetData>
      <sheetData sheetId="5157">
        <row r="4">
          <cell r="I4">
            <v>0</v>
          </cell>
        </row>
      </sheetData>
      <sheetData sheetId="5158">
        <row r="4">
          <cell r="I4">
            <v>0</v>
          </cell>
        </row>
      </sheetData>
      <sheetData sheetId="5159">
        <row r="4">
          <cell r="I4">
            <v>0</v>
          </cell>
        </row>
      </sheetData>
      <sheetData sheetId="5160">
        <row r="4">
          <cell r="I4">
            <v>0</v>
          </cell>
        </row>
      </sheetData>
      <sheetData sheetId="5161">
        <row r="4">
          <cell r="I4">
            <v>0</v>
          </cell>
        </row>
      </sheetData>
      <sheetData sheetId="5162">
        <row r="4">
          <cell r="I4">
            <v>0</v>
          </cell>
        </row>
      </sheetData>
      <sheetData sheetId="5163">
        <row r="4">
          <cell r="I4">
            <v>0</v>
          </cell>
        </row>
      </sheetData>
      <sheetData sheetId="5164">
        <row r="4">
          <cell r="I4">
            <v>0</v>
          </cell>
        </row>
      </sheetData>
      <sheetData sheetId="5165">
        <row r="4">
          <cell r="I4">
            <v>0</v>
          </cell>
        </row>
      </sheetData>
      <sheetData sheetId="5166">
        <row r="4">
          <cell r="I4">
            <v>0</v>
          </cell>
        </row>
      </sheetData>
      <sheetData sheetId="5167">
        <row r="4">
          <cell r="I4">
            <v>0</v>
          </cell>
        </row>
      </sheetData>
      <sheetData sheetId="5168">
        <row r="4">
          <cell r="I4">
            <v>0</v>
          </cell>
        </row>
      </sheetData>
      <sheetData sheetId="5169">
        <row r="4">
          <cell r="I4">
            <v>0</v>
          </cell>
        </row>
      </sheetData>
      <sheetData sheetId="5170">
        <row r="4">
          <cell r="I4">
            <v>0</v>
          </cell>
        </row>
      </sheetData>
      <sheetData sheetId="5171">
        <row r="4">
          <cell r="I4">
            <v>0</v>
          </cell>
        </row>
      </sheetData>
      <sheetData sheetId="5172">
        <row r="4">
          <cell r="I4">
            <v>0</v>
          </cell>
        </row>
      </sheetData>
      <sheetData sheetId="5173">
        <row r="4">
          <cell r="I4">
            <v>0</v>
          </cell>
        </row>
      </sheetData>
      <sheetData sheetId="5174" refreshError="1"/>
      <sheetData sheetId="5175">
        <row r="4">
          <cell r="I4">
            <v>0</v>
          </cell>
        </row>
      </sheetData>
      <sheetData sheetId="5176">
        <row r="4">
          <cell r="I4">
            <v>0</v>
          </cell>
        </row>
      </sheetData>
      <sheetData sheetId="5177">
        <row r="4">
          <cell r="I4">
            <v>0</v>
          </cell>
        </row>
      </sheetData>
      <sheetData sheetId="5178">
        <row r="4">
          <cell r="I4">
            <v>0</v>
          </cell>
        </row>
      </sheetData>
      <sheetData sheetId="5179">
        <row r="4">
          <cell r="I4">
            <v>0</v>
          </cell>
        </row>
      </sheetData>
      <sheetData sheetId="5180">
        <row r="4">
          <cell r="I4">
            <v>0</v>
          </cell>
        </row>
      </sheetData>
      <sheetData sheetId="5181">
        <row r="4">
          <cell r="I4">
            <v>0</v>
          </cell>
        </row>
      </sheetData>
      <sheetData sheetId="5182">
        <row r="4">
          <cell r="I4">
            <v>0</v>
          </cell>
        </row>
      </sheetData>
      <sheetData sheetId="5183">
        <row r="4">
          <cell r="I4">
            <v>0</v>
          </cell>
        </row>
      </sheetData>
      <sheetData sheetId="5184">
        <row r="4">
          <cell r="I4">
            <v>0</v>
          </cell>
        </row>
      </sheetData>
      <sheetData sheetId="5185">
        <row r="4">
          <cell r="I4">
            <v>0</v>
          </cell>
        </row>
      </sheetData>
      <sheetData sheetId="5186">
        <row r="4">
          <cell r="I4">
            <v>0</v>
          </cell>
        </row>
      </sheetData>
      <sheetData sheetId="5187">
        <row r="4">
          <cell r="I4">
            <v>0</v>
          </cell>
        </row>
      </sheetData>
      <sheetData sheetId="5188">
        <row r="4">
          <cell r="I4">
            <v>0</v>
          </cell>
        </row>
      </sheetData>
      <sheetData sheetId="5189">
        <row r="4">
          <cell r="I4">
            <v>0</v>
          </cell>
        </row>
      </sheetData>
      <sheetData sheetId="5190">
        <row r="4">
          <cell r="I4">
            <v>0</v>
          </cell>
        </row>
      </sheetData>
      <sheetData sheetId="5191">
        <row r="4">
          <cell r="I4">
            <v>0</v>
          </cell>
        </row>
      </sheetData>
      <sheetData sheetId="5192">
        <row r="4">
          <cell r="I4">
            <v>0</v>
          </cell>
        </row>
      </sheetData>
      <sheetData sheetId="5193">
        <row r="4">
          <cell r="I4">
            <v>0</v>
          </cell>
        </row>
      </sheetData>
      <sheetData sheetId="5194">
        <row r="4">
          <cell r="I4">
            <v>0</v>
          </cell>
        </row>
      </sheetData>
      <sheetData sheetId="5195" refreshError="1"/>
      <sheetData sheetId="5196">
        <row r="4">
          <cell r="I4">
            <v>0</v>
          </cell>
        </row>
      </sheetData>
      <sheetData sheetId="5197">
        <row r="4">
          <cell r="I4">
            <v>0</v>
          </cell>
        </row>
      </sheetData>
      <sheetData sheetId="5198">
        <row r="4">
          <cell r="I4">
            <v>0</v>
          </cell>
        </row>
      </sheetData>
      <sheetData sheetId="5199">
        <row r="4">
          <cell r="I4">
            <v>0</v>
          </cell>
        </row>
      </sheetData>
      <sheetData sheetId="5200">
        <row r="4">
          <cell r="I4">
            <v>0</v>
          </cell>
        </row>
      </sheetData>
      <sheetData sheetId="5201">
        <row r="4">
          <cell r="I4">
            <v>0</v>
          </cell>
        </row>
      </sheetData>
      <sheetData sheetId="5202">
        <row r="4">
          <cell r="I4">
            <v>0</v>
          </cell>
        </row>
      </sheetData>
      <sheetData sheetId="5203">
        <row r="4">
          <cell r="I4">
            <v>0</v>
          </cell>
        </row>
      </sheetData>
      <sheetData sheetId="5204">
        <row r="4">
          <cell r="I4">
            <v>0</v>
          </cell>
        </row>
      </sheetData>
      <sheetData sheetId="5205">
        <row r="4">
          <cell r="I4">
            <v>0</v>
          </cell>
        </row>
      </sheetData>
      <sheetData sheetId="5206">
        <row r="4">
          <cell r="I4">
            <v>0</v>
          </cell>
        </row>
      </sheetData>
      <sheetData sheetId="5207">
        <row r="4">
          <cell r="I4">
            <v>0</v>
          </cell>
        </row>
      </sheetData>
      <sheetData sheetId="5208">
        <row r="4">
          <cell r="I4">
            <v>0</v>
          </cell>
        </row>
      </sheetData>
      <sheetData sheetId="5209">
        <row r="4">
          <cell r="I4">
            <v>0</v>
          </cell>
        </row>
      </sheetData>
      <sheetData sheetId="5210">
        <row r="4">
          <cell r="I4">
            <v>0</v>
          </cell>
        </row>
      </sheetData>
      <sheetData sheetId="5211">
        <row r="4">
          <cell r="I4">
            <v>0</v>
          </cell>
        </row>
      </sheetData>
      <sheetData sheetId="5212">
        <row r="4">
          <cell r="I4">
            <v>0</v>
          </cell>
        </row>
      </sheetData>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ow r="4">
          <cell r="I4">
            <v>0</v>
          </cell>
        </row>
      </sheetData>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ow r="4">
          <cell r="I4">
            <v>0</v>
          </cell>
        </row>
      </sheetData>
      <sheetData sheetId="5253">
        <row r="4">
          <cell r="M4">
            <v>100</v>
          </cell>
        </row>
      </sheetData>
      <sheetData sheetId="5254">
        <row r="4">
          <cell r="I4">
            <v>0</v>
          </cell>
        </row>
      </sheetData>
      <sheetData sheetId="5255">
        <row r="4">
          <cell r="I4">
            <v>0</v>
          </cell>
        </row>
      </sheetData>
      <sheetData sheetId="5256">
        <row r="4">
          <cell r="I4">
            <v>0</v>
          </cell>
        </row>
      </sheetData>
      <sheetData sheetId="5257">
        <row r="4">
          <cell r="I4">
            <v>0</v>
          </cell>
        </row>
      </sheetData>
      <sheetData sheetId="5258">
        <row r="4">
          <cell r="I4">
            <v>0</v>
          </cell>
        </row>
      </sheetData>
      <sheetData sheetId="5259">
        <row r="4">
          <cell r="I4">
            <v>0</v>
          </cell>
        </row>
      </sheetData>
      <sheetData sheetId="5260">
        <row r="4">
          <cell r="I4">
            <v>0</v>
          </cell>
        </row>
      </sheetData>
      <sheetData sheetId="5261">
        <row r="4">
          <cell r="I4">
            <v>0</v>
          </cell>
        </row>
      </sheetData>
      <sheetData sheetId="5262">
        <row r="4">
          <cell r="I4">
            <v>0</v>
          </cell>
        </row>
      </sheetData>
      <sheetData sheetId="5263">
        <row r="4">
          <cell r="I4">
            <v>0</v>
          </cell>
        </row>
      </sheetData>
      <sheetData sheetId="5264">
        <row r="4">
          <cell r="I4">
            <v>0</v>
          </cell>
        </row>
      </sheetData>
      <sheetData sheetId="5265">
        <row r="4">
          <cell r="I4">
            <v>0</v>
          </cell>
        </row>
      </sheetData>
      <sheetData sheetId="5266">
        <row r="4">
          <cell r="I4">
            <v>0</v>
          </cell>
        </row>
      </sheetData>
      <sheetData sheetId="5267">
        <row r="4">
          <cell r="I4">
            <v>0</v>
          </cell>
        </row>
      </sheetData>
      <sheetData sheetId="5268">
        <row r="4">
          <cell r="I4">
            <v>0</v>
          </cell>
        </row>
      </sheetData>
      <sheetData sheetId="5269">
        <row r="4">
          <cell r="I4">
            <v>0</v>
          </cell>
        </row>
      </sheetData>
      <sheetData sheetId="5270">
        <row r="4">
          <cell r="I4">
            <v>0</v>
          </cell>
        </row>
      </sheetData>
      <sheetData sheetId="5271">
        <row r="4">
          <cell r="I4">
            <v>0</v>
          </cell>
        </row>
      </sheetData>
      <sheetData sheetId="5272">
        <row r="4">
          <cell r="I4">
            <v>0</v>
          </cell>
        </row>
      </sheetData>
      <sheetData sheetId="5273">
        <row r="4">
          <cell r="I4">
            <v>0</v>
          </cell>
        </row>
      </sheetData>
      <sheetData sheetId="5274">
        <row r="4">
          <cell r="I4">
            <v>0</v>
          </cell>
        </row>
      </sheetData>
      <sheetData sheetId="5275">
        <row r="4">
          <cell r="I4">
            <v>0</v>
          </cell>
        </row>
      </sheetData>
      <sheetData sheetId="5276">
        <row r="4">
          <cell r="I4">
            <v>0</v>
          </cell>
        </row>
      </sheetData>
      <sheetData sheetId="5277">
        <row r="4">
          <cell r="I4">
            <v>0</v>
          </cell>
        </row>
      </sheetData>
      <sheetData sheetId="5278">
        <row r="4">
          <cell r="I4">
            <v>0</v>
          </cell>
        </row>
      </sheetData>
      <sheetData sheetId="5279">
        <row r="4">
          <cell r="I4">
            <v>0</v>
          </cell>
        </row>
      </sheetData>
      <sheetData sheetId="5280">
        <row r="4">
          <cell r="I4">
            <v>0</v>
          </cell>
        </row>
      </sheetData>
      <sheetData sheetId="5281">
        <row r="4">
          <cell r="I4">
            <v>0</v>
          </cell>
        </row>
      </sheetData>
      <sheetData sheetId="5282">
        <row r="4">
          <cell r="I4">
            <v>0</v>
          </cell>
        </row>
      </sheetData>
      <sheetData sheetId="5283">
        <row r="4">
          <cell r="I4">
            <v>0</v>
          </cell>
        </row>
      </sheetData>
      <sheetData sheetId="5284">
        <row r="4">
          <cell r="I4">
            <v>0</v>
          </cell>
        </row>
      </sheetData>
      <sheetData sheetId="5285">
        <row r="4">
          <cell r="I4">
            <v>0</v>
          </cell>
        </row>
      </sheetData>
      <sheetData sheetId="5286">
        <row r="4">
          <cell r="I4">
            <v>0</v>
          </cell>
        </row>
      </sheetData>
      <sheetData sheetId="5287">
        <row r="4">
          <cell r="I4">
            <v>0</v>
          </cell>
        </row>
      </sheetData>
      <sheetData sheetId="5288" refreshError="1"/>
      <sheetData sheetId="5289" refreshError="1"/>
      <sheetData sheetId="5290" refreshError="1"/>
      <sheetData sheetId="5291" refreshError="1"/>
      <sheetData sheetId="5292" refreshError="1"/>
      <sheetData sheetId="5293" refreshError="1"/>
      <sheetData sheetId="5294">
        <row r="4">
          <cell r="I4">
            <v>0</v>
          </cell>
        </row>
      </sheetData>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ow r="4">
          <cell r="I4">
            <v>0</v>
          </cell>
        </row>
      </sheetData>
      <sheetData sheetId="5320">
        <row r="4">
          <cell r="M4">
            <v>100</v>
          </cell>
        </row>
      </sheetData>
      <sheetData sheetId="5321"/>
      <sheetData sheetId="5322">
        <row r="4">
          <cell r="I4">
            <v>0</v>
          </cell>
        </row>
      </sheetData>
      <sheetData sheetId="5323">
        <row r="4">
          <cell r="I4">
            <v>0</v>
          </cell>
        </row>
      </sheetData>
      <sheetData sheetId="5324">
        <row r="4">
          <cell r="I4">
            <v>0</v>
          </cell>
        </row>
      </sheetData>
      <sheetData sheetId="5325">
        <row r="4">
          <cell r="I4">
            <v>0</v>
          </cell>
        </row>
      </sheetData>
      <sheetData sheetId="5326">
        <row r="4">
          <cell r="I4">
            <v>0</v>
          </cell>
        </row>
      </sheetData>
      <sheetData sheetId="5327">
        <row r="4">
          <cell r="I4">
            <v>0</v>
          </cell>
        </row>
      </sheetData>
      <sheetData sheetId="5328">
        <row r="4">
          <cell r="I4">
            <v>0</v>
          </cell>
        </row>
      </sheetData>
      <sheetData sheetId="5329">
        <row r="4">
          <cell r="I4">
            <v>0</v>
          </cell>
        </row>
      </sheetData>
      <sheetData sheetId="5330">
        <row r="4">
          <cell r="I4">
            <v>0</v>
          </cell>
        </row>
      </sheetData>
      <sheetData sheetId="5331">
        <row r="4">
          <cell r="I4">
            <v>0</v>
          </cell>
        </row>
      </sheetData>
      <sheetData sheetId="5332">
        <row r="4">
          <cell r="I4">
            <v>0</v>
          </cell>
        </row>
      </sheetData>
      <sheetData sheetId="5333">
        <row r="4">
          <cell r="I4">
            <v>0</v>
          </cell>
        </row>
      </sheetData>
      <sheetData sheetId="5334">
        <row r="4">
          <cell r="I4">
            <v>0</v>
          </cell>
        </row>
      </sheetData>
      <sheetData sheetId="5335">
        <row r="4">
          <cell r="I4">
            <v>0</v>
          </cell>
        </row>
      </sheetData>
      <sheetData sheetId="5336">
        <row r="4">
          <cell r="I4">
            <v>0</v>
          </cell>
        </row>
      </sheetData>
      <sheetData sheetId="5337">
        <row r="4">
          <cell r="I4">
            <v>0</v>
          </cell>
        </row>
      </sheetData>
      <sheetData sheetId="5338">
        <row r="4">
          <cell r="I4">
            <v>0</v>
          </cell>
        </row>
      </sheetData>
      <sheetData sheetId="5339">
        <row r="4">
          <cell r="I4">
            <v>0</v>
          </cell>
        </row>
      </sheetData>
      <sheetData sheetId="5340">
        <row r="4">
          <cell r="I4">
            <v>0</v>
          </cell>
        </row>
      </sheetData>
      <sheetData sheetId="5341">
        <row r="4">
          <cell r="I4">
            <v>0</v>
          </cell>
        </row>
      </sheetData>
      <sheetData sheetId="5342">
        <row r="4">
          <cell r="I4">
            <v>0</v>
          </cell>
        </row>
      </sheetData>
      <sheetData sheetId="5343">
        <row r="4">
          <cell r="I4">
            <v>0</v>
          </cell>
        </row>
      </sheetData>
      <sheetData sheetId="5344">
        <row r="4">
          <cell r="I4">
            <v>0</v>
          </cell>
        </row>
      </sheetData>
      <sheetData sheetId="5345">
        <row r="4">
          <cell r="I4">
            <v>0</v>
          </cell>
        </row>
      </sheetData>
      <sheetData sheetId="5346">
        <row r="4">
          <cell r="I4">
            <v>0</v>
          </cell>
        </row>
      </sheetData>
      <sheetData sheetId="5347">
        <row r="4">
          <cell r="I4">
            <v>0</v>
          </cell>
        </row>
      </sheetData>
      <sheetData sheetId="5348">
        <row r="4">
          <cell r="I4">
            <v>0</v>
          </cell>
        </row>
      </sheetData>
      <sheetData sheetId="5349">
        <row r="4">
          <cell r="I4">
            <v>0</v>
          </cell>
        </row>
      </sheetData>
      <sheetData sheetId="5350">
        <row r="4">
          <cell r="I4">
            <v>0</v>
          </cell>
        </row>
      </sheetData>
      <sheetData sheetId="5351">
        <row r="4">
          <cell r="I4">
            <v>0</v>
          </cell>
        </row>
      </sheetData>
      <sheetData sheetId="5352">
        <row r="4">
          <cell r="I4">
            <v>0</v>
          </cell>
        </row>
      </sheetData>
      <sheetData sheetId="5353">
        <row r="4">
          <cell r="I4">
            <v>0</v>
          </cell>
        </row>
      </sheetData>
      <sheetData sheetId="5354">
        <row r="4">
          <cell r="I4">
            <v>0</v>
          </cell>
        </row>
      </sheetData>
      <sheetData sheetId="5355">
        <row r="4">
          <cell r="I4">
            <v>0</v>
          </cell>
        </row>
      </sheetData>
      <sheetData sheetId="5356">
        <row r="4">
          <cell r="I4">
            <v>0</v>
          </cell>
        </row>
      </sheetData>
      <sheetData sheetId="5357">
        <row r="4">
          <cell r="I4">
            <v>0</v>
          </cell>
        </row>
      </sheetData>
      <sheetData sheetId="5358">
        <row r="4">
          <cell r="I4">
            <v>0</v>
          </cell>
        </row>
      </sheetData>
      <sheetData sheetId="5359">
        <row r="4">
          <cell r="I4">
            <v>0</v>
          </cell>
        </row>
      </sheetData>
      <sheetData sheetId="5360">
        <row r="4">
          <cell r="I4">
            <v>0</v>
          </cell>
        </row>
      </sheetData>
      <sheetData sheetId="5361">
        <row r="4">
          <cell r="I4">
            <v>0</v>
          </cell>
        </row>
      </sheetData>
      <sheetData sheetId="5362">
        <row r="4">
          <cell r="I4">
            <v>0</v>
          </cell>
        </row>
      </sheetData>
      <sheetData sheetId="5363">
        <row r="4">
          <cell r="I4">
            <v>0</v>
          </cell>
        </row>
      </sheetData>
      <sheetData sheetId="5364">
        <row r="4">
          <cell r="I4">
            <v>0</v>
          </cell>
        </row>
      </sheetData>
      <sheetData sheetId="5365">
        <row r="4">
          <cell r="I4">
            <v>0</v>
          </cell>
        </row>
      </sheetData>
      <sheetData sheetId="5366">
        <row r="4">
          <cell r="I4">
            <v>0</v>
          </cell>
        </row>
      </sheetData>
      <sheetData sheetId="5367">
        <row r="4">
          <cell r="I4">
            <v>0</v>
          </cell>
        </row>
      </sheetData>
      <sheetData sheetId="5368">
        <row r="4">
          <cell r="I4">
            <v>0</v>
          </cell>
        </row>
      </sheetData>
      <sheetData sheetId="5369">
        <row r="4">
          <cell r="I4">
            <v>0</v>
          </cell>
        </row>
      </sheetData>
      <sheetData sheetId="5370">
        <row r="4">
          <cell r="I4">
            <v>0</v>
          </cell>
        </row>
      </sheetData>
      <sheetData sheetId="5371">
        <row r="4">
          <cell r="I4">
            <v>0</v>
          </cell>
        </row>
      </sheetData>
      <sheetData sheetId="5372">
        <row r="4">
          <cell r="I4">
            <v>0</v>
          </cell>
        </row>
      </sheetData>
      <sheetData sheetId="5373">
        <row r="4">
          <cell r="I4">
            <v>0</v>
          </cell>
        </row>
      </sheetData>
      <sheetData sheetId="5374">
        <row r="4">
          <cell r="I4">
            <v>0</v>
          </cell>
        </row>
      </sheetData>
      <sheetData sheetId="5375">
        <row r="4">
          <cell r="I4">
            <v>0</v>
          </cell>
        </row>
      </sheetData>
      <sheetData sheetId="5376">
        <row r="4">
          <cell r="I4">
            <v>0</v>
          </cell>
        </row>
      </sheetData>
      <sheetData sheetId="5377">
        <row r="4">
          <cell r="I4">
            <v>0</v>
          </cell>
        </row>
      </sheetData>
      <sheetData sheetId="5378">
        <row r="4">
          <cell r="I4">
            <v>0</v>
          </cell>
        </row>
      </sheetData>
      <sheetData sheetId="5379">
        <row r="4">
          <cell r="I4">
            <v>0</v>
          </cell>
        </row>
      </sheetData>
      <sheetData sheetId="5380">
        <row r="4">
          <cell r="I4">
            <v>0</v>
          </cell>
        </row>
      </sheetData>
      <sheetData sheetId="5381">
        <row r="4">
          <cell r="I4">
            <v>0</v>
          </cell>
        </row>
      </sheetData>
      <sheetData sheetId="5382">
        <row r="4">
          <cell r="I4">
            <v>0</v>
          </cell>
        </row>
      </sheetData>
      <sheetData sheetId="5383">
        <row r="4">
          <cell r="I4">
            <v>0</v>
          </cell>
        </row>
      </sheetData>
      <sheetData sheetId="5384">
        <row r="4">
          <cell r="I4">
            <v>0</v>
          </cell>
        </row>
      </sheetData>
      <sheetData sheetId="5385">
        <row r="4">
          <cell r="I4">
            <v>0</v>
          </cell>
        </row>
      </sheetData>
      <sheetData sheetId="5386">
        <row r="4">
          <cell r="I4">
            <v>0</v>
          </cell>
        </row>
      </sheetData>
      <sheetData sheetId="5387">
        <row r="4">
          <cell r="I4">
            <v>0</v>
          </cell>
        </row>
      </sheetData>
      <sheetData sheetId="5388">
        <row r="4">
          <cell r="I4">
            <v>0</v>
          </cell>
        </row>
      </sheetData>
      <sheetData sheetId="5389">
        <row r="4">
          <cell r="I4">
            <v>0</v>
          </cell>
        </row>
      </sheetData>
      <sheetData sheetId="5390">
        <row r="4">
          <cell r="I4">
            <v>0</v>
          </cell>
        </row>
      </sheetData>
      <sheetData sheetId="5391">
        <row r="4">
          <cell r="I4">
            <v>0</v>
          </cell>
        </row>
      </sheetData>
      <sheetData sheetId="5392">
        <row r="4">
          <cell r="I4">
            <v>0</v>
          </cell>
        </row>
      </sheetData>
      <sheetData sheetId="5393">
        <row r="4">
          <cell r="I4">
            <v>0</v>
          </cell>
        </row>
      </sheetData>
      <sheetData sheetId="5394">
        <row r="4">
          <cell r="I4">
            <v>0</v>
          </cell>
        </row>
      </sheetData>
      <sheetData sheetId="5395">
        <row r="4">
          <cell r="I4">
            <v>0</v>
          </cell>
        </row>
      </sheetData>
      <sheetData sheetId="5396">
        <row r="4">
          <cell r="I4">
            <v>0</v>
          </cell>
        </row>
      </sheetData>
      <sheetData sheetId="5397">
        <row r="4">
          <cell r="I4">
            <v>0</v>
          </cell>
        </row>
      </sheetData>
      <sheetData sheetId="5398">
        <row r="4">
          <cell r="I4">
            <v>0</v>
          </cell>
        </row>
      </sheetData>
      <sheetData sheetId="5399">
        <row r="4">
          <cell r="I4">
            <v>0</v>
          </cell>
        </row>
      </sheetData>
      <sheetData sheetId="5400">
        <row r="4">
          <cell r="I4">
            <v>0</v>
          </cell>
        </row>
      </sheetData>
      <sheetData sheetId="5401">
        <row r="4">
          <cell r="I4">
            <v>0</v>
          </cell>
        </row>
      </sheetData>
      <sheetData sheetId="5402">
        <row r="4">
          <cell r="I4">
            <v>0</v>
          </cell>
        </row>
      </sheetData>
      <sheetData sheetId="5403">
        <row r="4">
          <cell r="I4">
            <v>0</v>
          </cell>
        </row>
      </sheetData>
      <sheetData sheetId="5404">
        <row r="4">
          <cell r="I4">
            <v>0</v>
          </cell>
        </row>
      </sheetData>
      <sheetData sheetId="5405">
        <row r="4">
          <cell r="I4">
            <v>0</v>
          </cell>
        </row>
      </sheetData>
      <sheetData sheetId="5406">
        <row r="4">
          <cell r="I4">
            <v>0</v>
          </cell>
        </row>
      </sheetData>
      <sheetData sheetId="5407">
        <row r="4">
          <cell r="I4">
            <v>0</v>
          </cell>
        </row>
      </sheetData>
      <sheetData sheetId="5408">
        <row r="4">
          <cell r="I4">
            <v>0</v>
          </cell>
        </row>
      </sheetData>
      <sheetData sheetId="5409">
        <row r="4">
          <cell r="I4">
            <v>0</v>
          </cell>
        </row>
      </sheetData>
      <sheetData sheetId="5410">
        <row r="4">
          <cell r="I4">
            <v>0</v>
          </cell>
        </row>
      </sheetData>
      <sheetData sheetId="5411">
        <row r="4">
          <cell r="I4">
            <v>0</v>
          </cell>
        </row>
      </sheetData>
      <sheetData sheetId="5412">
        <row r="4">
          <cell r="I4">
            <v>0</v>
          </cell>
        </row>
      </sheetData>
      <sheetData sheetId="5413">
        <row r="4">
          <cell r="I4">
            <v>0</v>
          </cell>
        </row>
      </sheetData>
      <sheetData sheetId="5414">
        <row r="4">
          <cell r="I4">
            <v>0</v>
          </cell>
        </row>
      </sheetData>
      <sheetData sheetId="5415">
        <row r="4">
          <cell r="I4">
            <v>0</v>
          </cell>
        </row>
      </sheetData>
      <sheetData sheetId="5416">
        <row r="4">
          <cell r="I4">
            <v>0</v>
          </cell>
        </row>
      </sheetData>
      <sheetData sheetId="5417">
        <row r="4">
          <cell r="I4">
            <v>0</v>
          </cell>
        </row>
      </sheetData>
      <sheetData sheetId="5418">
        <row r="4">
          <cell r="I4">
            <v>0</v>
          </cell>
        </row>
      </sheetData>
      <sheetData sheetId="5419">
        <row r="4">
          <cell r="I4">
            <v>0</v>
          </cell>
        </row>
      </sheetData>
      <sheetData sheetId="5420">
        <row r="4">
          <cell r="I4">
            <v>0</v>
          </cell>
        </row>
      </sheetData>
      <sheetData sheetId="5421">
        <row r="4">
          <cell r="I4">
            <v>0</v>
          </cell>
        </row>
      </sheetData>
      <sheetData sheetId="5422">
        <row r="4">
          <cell r="I4">
            <v>0</v>
          </cell>
        </row>
      </sheetData>
      <sheetData sheetId="5423">
        <row r="4">
          <cell r="I4">
            <v>0</v>
          </cell>
        </row>
      </sheetData>
      <sheetData sheetId="5424">
        <row r="4">
          <cell r="I4">
            <v>0</v>
          </cell>
        </row>
      </sheetData>
      <sheetData sheetId="5425" refreshError="1"/>
      <sheetData sheetId="5426" refreshError="1"/>
      <sheetData sheetId="5427" refreshError="1"/>
      <sheetData sheetId="5428" refreshError="1"/>
      <sheetData sheetId="5429" refreshError="1"/>
      <sheetData sheetId="5430" refreshError="1"/>
      <sheetData sheetId="5431" refreshError="1"/>
      <sheetData sheetId="5432">
        <row r="4">
          <cell r="I4">
            <v>0</v>
          </cell>
        </row>
      </sheetData>
      <sheetData sheetId="5433">
        <row r="4">
          <cell r="I4">
            <v>0</v>
          </cell>
        </row>
      </sheetData>
      <sheetData sheetId="5434">
        <row r="4">
          <cell r="M4">
            <v>100</v>
          </cell>
        </row>
      </sheetData>
      <sheetData sheetId="5435">
        <row r="4">
          <cell r="M4">
            <v>100</v>
          </cell>
        </row>
      </sheetData>
      <sheetData sheetId="5436">
        <row r="4">
          <cell r="I4">
            <v>0</v>
          </cell>
        </row>
      </sheetData>
      <sheetData sheetId="5437">
        <row r="4">
          <cell r="I4">
            <v>0</v>
          </cell>
        </row>
      </sheetData>
      <sheetData sheetId="5438">
        <row r="4">
          <cell r="I4">
            <v>0</v>
          </cell>
        </row>
      </sheetData>
      <sheetData sheetId="5439">
        <row r="4">
          <cell r="I4">
            <v>0</v>
          </cell>
        </row>
      </sheetData>
      <sheetData sheetId="5440">
        <row r="4">
          <cell r="I4">
            <v>0</v>
          </cell>
        </row>
      </sheetData>
      <sheetData sheetId="5441">
        <row r="4">
          <cell r="I4">
            <v>0</v>
          </cell>
        </row>
      </sheetData>
      <sheetData sheetId="5442">
        <row r="4">
          <cell r="I4">
            <v>0</v>
          </cell>
        </row>
      </sheetData>
      <sheetData sheetId="5443">
        <row r="4">
          <cell r="I4">
            <v>0</v>
          </cell>
        </row>
      </sheetData>
      <sheetData sheetId="5444">
        <row r="4">
          <cell r="I4">
            <v>0</v>
          </cell>
        </row>
      </sheetData>
      <sheetData sheetId="5445">
        <row r="4">
          <cell r="I4">
            <v>0</v>
          </cell>
        </row>
      </sheetData>
      <sheetData sheetId="5446">
        <row r="4">
          <cell r="I4">
            <v>0</v>
          </cell>
        </row>
      </sheetData>
      <sheetData sheetId="5447">
        <row r="4">
          <cell r="I4">
            <v>0</v>
          </cell>
        </row>
      </sheetData>
      <sheetData sheetId="5448">
        <row r="4">
          <cell r="I4">
            <v>0</v>
          </cell>
        </row>
      </sheetData>
      <sheetData sheetId="5449">
        <row r="4">
          <cell r="I4">
            <v>0</v>
          </cell>
        </row>
      </sheetData>
      <sheetData sheetId="5450">
        <row r="4">
          <cell r="I4">
            <v>0</v>
          </cell>
        </row>
      </sheetData>
      <sheetData sheetId="5451">
        <row r="4">
          <cell r="I4">
            <v>0</v>
          </cell>
        </row>
      </sheetData>
      <sheetData sheetId="5452">
        <row r="4">
          <cell r="I4">
            <v>0</v>
          </cell>
        </row>
      </sheetData>
      <sheetData sheetId="5453">
        <row r="4">
          <cell r="I4">
            <v>0</v>
          </cell>
        </row>
      </sheetData>
      <sheetData sheetId="5454">
        <row r="4">
          <cell r="I4">
            <v>0</v>
          </cell>
        </row>
      </sheetData>
      <sheetData sheetId="5455">
        <row r="4">
          <cell r="I4">
            <v>0</v>
          </cell>
        </row>
      </sheetData>
      <sheetData sheetId="5456">
        <row r="4">
          <cell r="I4">
            <v>0</v>
          </cell>
        </row>
      </sheetData>
      <sheetData sheetId="5457">
        <row r="4">
          <cell r="I4">
            <v>0</v>
          </cell>
        </row>
      </sheetData>
      <sheetData sheetId="5458">
        <row r="4">
          <cell r="I4">
            <v>0</v>
          </cell>
        </row>
      </sheetData>
      <sheetData sheetId="5459">
        <row r="4">
          <cell r="I4">
            <v>0</v>
          </cell>
        </row>
      </sheetData>
      <sheetData sheetId="5460">
        <row r="4">
          <cell r="I4">
            <v>0</v>
          </cell>
        </row>
      </sheetData>
      <sheetData sheetId="5461">
        <row r="4">
          <cell r="I4">
            <v>0</v>
          </cell>
        </row>
      </sheetData>
      <sheetData sheetId="5462">
        <row r="4">
          <cell r="I4">
            <v>0</v>
          </cell>
        </row>
      </sheetData>
      <sheetData sheetId="5463">
        <row r="4">
          <cell r="I4">
            <v>0</v>
          </cell>
        </row>
      </sheetData>
      <sheetData sheetId="5464">
        <row r="4">
          <cell r="I4">
            <v>0</v>
          </cell>
        </row>
      </sheetData>
      <sheetData sheetId="5465">
        <row r="4">
          <cell r="I4">
            <v>0</v>
          </cell>
        </row>
      </sheetData>
      <sheetData sheetId="5466">
        <row r="4">
          <cell r="I4">
            <v>0</v>
          </cell>
        </row>
      </sheetData>
      <sheetData sheetId="5467">
        <row r="4">
          <cell r="I4">
            <v>0</v>
          </cell>
        </row>
      </sheetData>
      <sheetData sheetId="5468">
        <row r="4">
          <cell r="I4">
            <v>0</v>
          </cell>
        </row>
      </sheetData>
      <sheetData sheetId="5469">
        <row r="4">
          <cell r="I4">
            <v>0</v>
          </cell>
        </row>
      </sheetData>
      <sheetData sheetId="5470">
        <row r="4">
          <cell r="I4">
            <v>0</v>
          </cell>
        </row>
      </sheetData>
      <sheetData sheetId="5471">
        <row r="4">
          <cell r="I4">
            <v>0</v>
          </cell>
        </row>
      </sheetData>
      <sheetData sheetId="5472">
        <row r="4">
          <cell r="I4">
            <v>0</v>
          </cell>
        </row>
      </sheetData>
      <sheetData sheetId="5473">
        <row r="4">
          <cell r="I4">
            <v>0</v>
          </cell>
        </row>
      </sheetData>
      <sheetData sheetId="5474">
        <row r="4">
          <cell r="I4">
            <v>0</v>
          </cell>
        </row>
      </sheetData>
      <sheetData sheetId="5475">
        <row r="4">
          <cell r="I4">
            <v>0</v>
          </cell>
        </row>
      </sheetData>
      <sheetData sheetId="5476">
        <row r="4">
          <cell r="I4">
            <v>0</v>
          </cell>
        </row>
      </sheetData>
      <sheetData sheetId="5477">
        <row r="4">
          <cell r="I4">
            <v>0</v>
          </cell>
        </row>
      </sheetData>
      <sheetData sheetId="5478">
        <row r="4">
          <cell r="I4">
            <v>0</v>
          </cell>
        </row>
      </sheetData>
      <sheetData sheetId="5479">
        <row r="4">
          <cell r="I4">
            <v>0</v>
          </cell>
        </row>
      </sheetData>
      <sheetData sheetId="5480">
        <row r="4">
          <cell r="I4">
            <v>0</v>
          </cell>
        </row>
      </sheetData>
      <sheetData sheetId="5481">
        <row r="4">
          <cell r="I4">
            <v>0</v>
          </cell>
        </row>
      </sheetData>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ow r="4">
          <cell r="I4">
            <v>0</v>
          </cell>
        </row>
      </sheetData>
      <sheetData sheetId="5520">
        <row r="4">
          <cell r="I4">
            <v>0</v>
          </cell>
        </row>
      </sheetData>
      <sheetData sheetId="5521">
        <row r="4">
          <cell r="I4">
            <v>0</v>
          </cell>
        </row>
      </sheetData>
      <sheetData sheetId="5522">
        <row r="4">
          <cell r="I4">
            <v>0</v>
          </cell>
        </row>
      </sheetData>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ow r="4">
          <cell r="I4">
            <v>0</v>
          </cell>
        </row>
      </sheetData>
      <sheetData sheetId="5535">
        <row r="4">
          <cell r="I4">
            <v>0</v>
          </cell>
        </row>
      </sheetData>
      <sheetData sheetId="5536">
        <row r="4">
          <cell r="I4">
            <v>0</v>
          </cell>
        </row>
      </sheetData>
      <sheetData sheetId="5537">
        <row r="4">
          <cell r="I4">
            <v>0</v>
          </cell>
        </row>
      </sheetData>
      <sheetData sheetId="5538">
        <row r="4">
          <cell r="I4">
            <v>0</v>
          </cell>
        </row>
      </sheetData>
      <sheetData sheetId="5539">
        <row r="4">
          <cell r="I4">
            <v>0</v>
          </cell>
        </row>
      </sheetData>
      <sheetData sheetId="5540">
        <row r="4">
          <cell r="I4">
            <v>0</v>
          </cell>
        </row>
      </sheetData>
      <sheetData sheetId="5541">
        <row r="4">
          <cell r="I4">
            <v>0</v>
          </cell>
        </row>
      </sheetData>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ow r="4">
          <cell r="I4">
            <v>0</v>
          </cell>
        </row>
      </sheetData>
      <sheetData sheetId="5551">
        <row r="4">
          <cell r="I4">
            <v>0</v>
          </cell>
        </row>
      </sheetData>
      <sheetData sheetId="5552">
        <row r="4">
          <cell r="I4">
            <v>0</v>
          </cell>
        </row>
      </sheetData>
      <sheetData sheetId="5553">
        <row r="4">
          <cell r="I4">
            <v>0</v>
          </cell>
        </row>
      </sheetData>
      <sheetData sheetId="5554">
        <row r="4">
          <cell r="I4">
            <v>0</v>
          </cell>
        </row>
      </sheetData>
      <sheetData sheetId="5555">
        <row r="4">
          <cell r="I4">
            <v>0</v>
          </cell>
        </row>
      </sheetData>
      <sheetData sheetId="5556">
        <row r="4">
          <cell r="I4">
            <v>0</v>
          </cell>
        </row>
      </sheetData>
      <sheetData sheetId="5557">
        <row r="4">
          <cell r="I4">
            <v>0</v>
          </cell>
        </row>
      </sheetData>
      <sheetData sheetId="5558">
        <row r="4">
          <cell r="I4">
            <v>0</v>
          </cell>
        </row>
      </sheetData>
      <sheetData sheetId="5559">
        <row r="4">
          <cell r="I4">
            <v>0</v>
          </cell>
        </row>
      </sheetData>
      <sheetData sheetId="5560">
        <row r="4">
          <cell r="I4">
            <v>0</v>
          </cell>
        </row>
      </sheetData>
      <sheetData sheetId="5561">
        <row r="4">
          <cell r="I4">
            <v>0</v>
          </cell>
        </row>
      </sheetData>
      <sheetData sheetId="5562">
        <row r="4">
          <cell r="I4">
            <v>0</v>
          </cell>
        </row>
      </sheetData>
      <sheetData sheetId="5563">
        <row r="4">
          <cell r="I4">
            <v>0</v>
          </cell>
        </row>
      </sheetData>
      <sheetData sheetId="5564">
        <row r="4">
          <cell r="I4">
            <v>0</v>
          </cell>
        </row>
      </sheetData>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ow r="4">
          <cell r="I4">
            <v>0</v>
          </cell>
        </row>
      </sheetData>
      <sheetData sheetId="5576">
        <row r="4">
          <cell r="M4">
            <v>100</v>
          </cell>
        </row>
      </sheetData>
      <sheetData sheetId="5577">
        <row r="4">
          <cell r="I4">
            <v>0</v>
          </cell>
        </row>
      </sheetData>
      <sheetData sheetId="5578">
        <row r="4">
          <cell r="I4">
            <v>0</v>
          </cell>
        </row>
      </sheetData>
      <sheetData sheetId="5579">
        <row r="4">
          <cell r="I4">
            <v>0</v>
          </cell>
        </row>
      </sheetData>
      <sheetData sheetId="5580">
        <row r="4">
          <cell r="I4">
            <v>0</v>
          </cell>
        </row>
      </sheetData>
      <sheetData sheetId="5581" refreshError="1"/>
      <sheetData sheetId="5582" refreshError="1"/>
      <sheetData sheetId="5583" refreshError="1"/>
      <sheetData sheetId="5584">
        <row r="4">
          <cell r="I4">
            <v>0</v>
          </cell>
        </row>
      </sheetData>
      <sheetData sheetId="5585">
        <row r="4">
          <cell r="I4">
            <v>0</v>
          </cell>
        </row>
      </sheetData>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ow r="4">
          <cell r="I4">
            <v>0</v>
          </cell>
        </row>
      </sheetData>
      <sheetData sheetId="5631">
        <row r="4">
          <cell r="I4">
            <v>0</v>
          </cell>
        </row>
      </sheetData>
      <sheetData sheetId="5632">
        <row r="4">
          <cell r="I4">
            <v>0</v>
          </cell>
        </row>
      </sheetData>
      <sheetData sheetId="5633">
        <row r="4">
          <cell r="I4">
            <v>0</v>
          </cell>
        </row>
      </sheetData>
      <sheetData sheetId="5634">
        <row r="4">
          <cell r="I4">
            <v>0</v>
          </cell>
        </row>
      </sheetData>
      <sheetData sheetId="5635">
        <row r="4">
          <cell r="I4">
            <v>0</v>
          </cell>
        </row>
      </sheetData>
      <sheetData sheetId="5636" refreshError="1"/>
      <sheetData sheetId="5637" refreshError="1"/>
      <sheetData sheetId="5638">
        <row r="4">
          <cell r="I4">
            <v>0</v>
          </cell>
        </row>
      </sheetData>
      <sheetData sheetId="5639" refreshError="1"/>
      <sheetData sheetId="5640" refreshError="1"/>
      <sheetData sheetId="5641" refreshError="1"/>
      <sheetData sheetId="5642" refreshError="1"/>
      <sheetData sheetId="5643">
        <row r="4">
          <cell r="I4">
            <v>0</v>
          </cell>
        </row>
      </sheetData>
      <sheetData sheetId="5644">
        <row r="4">
          <cell r="I4">
            <v>0</v>
          </cell>
        </row>
      </sheetData>
      <sheetData sheetId="5645">
        <row r="4">
          <cell r="I4">
            <v>0</v>
          </cell>
        </row>
      </sheetData>
      <sheetData sheetId="5646">
        <row r="4">
          <cell r="I4">
            <v>0</v>
          </cell>
        </row>
      </sheetData>
      <sheetData sheetId="5647">
        <row r="4">
          <cell r="I4">
            <v>0</v>
          </cell>
        </row>
      </sheetData>
      <sheetData sheetId="5648">
        <row r="4">
          <cell r="I4">
            <v>0</v>
          </cell>
        </row>
      </sheetData>
      <sheetData sheetId="5649">
        <row r="4">
          <cell r="I4">
            <v>0</v>
          </cell>
        </row>
      </sheetData>
      <sheetData sheetId="5650">
        <row r="4">
          <cell r="I4">
            <v>0</v>
          </cell>
        </row>
      </sheetData>
      <sheetData sheetId="5651">
        <row r="4">
          <cell r="I4">
            <v>0</v>
          </cell>
        </row>
      </sheetData>
      <sheetData sheetId="5652">
        <row r="4">
          <cell r="I4">
            <v>0</v>
          </cell>
        </row>
      </sheetData>
      <sheetData sheetId="5653">
        <row r="4">
          <cell r="I4">
            <v>0</v>
          </cell>
        </row>
      </sheetData>
      <sheetData sheetId="5654">
        <row r="4">
          <cell r="I4">
            <v>0</v>
          </cell>
        </row>
      </sheetData>
      <sheetData sheetId="5655">
        <row r="4">
          <cell r="I4">
            <v>0</v>
          </cell>
        </row>
      </sheetData>
      <sheetData sheetId="5656">
        <row r="4">
          <cell r="I4">
            <v>0</v>
          </cell>
        </row>
      </sheetData>
      <sheetData sheetId="5657">
        <row r="4">
          <cell r="I4">
            <v>0</v>
          </cell>
        </row>
      </sheetData>
      <sheetData sheetId="5658">
        <row r="4">
          <cell r="I4">
            <v>0</v>
          </cell>
        </row>
      </sheetData>
      <sheetData sheetId="5659">
        <row r="4">
          <cell r="I4">
            <v>0</v>
          </cell>
        </row>
      </sheetData>
      <sheetData sheetId="5660">
        <row r="4">
          <cell r="I4">
            <v>0</v>
          </cell>
        </row>
      </sheetData>
      <sheetData sheetId="5661">
        <row r="4">
          <cell r="I4">
            <v>0</v>
          </cell>
        </row>
      </sheetData>
      <sheetData sheetId="5662">
        <row r="4">
          <cell r="I4">
            <v>0</v>
          </cell>
        </row>
      </sheetData>
      <sheetData sheetId="5663">
        <row r="4">
          <cell r="I4">
            <v>0</v>
          </cell>
        </row>
      </sheetData>
      <sheetData sheetId="5664">
        <row r="4">
          <cell r="I4">
            <v>0</v>
          </cell>
        </row>
      </sheetData>
      <sheetData sheetId="5665">
        <row r="4">
          <cell r="I4">
            <v>0</v>
          </cell>
        </row>
      </sheetData>
      <sheetData sheetId="5666">
        <row r="4">
          <cell r="I4">
            <v>0</v>
          </cell>
        </row>
      </sheetData>
      <sheetData sheetId="5667">
        <row r="4">
          <cell r="I4">
            <v>0</v>
          </cell>
        </row>
      </sheetData>
      <sheetData sheetId="5668">
        <row r="4">
          <cell r="I4">
            <v>0</v>
          </cell>
        </row>
      </sheetData>
      <sheetData sheetId="5669">
        <row r="4">
          <cell r="I4">
            <v>0</v>
          </cell>
        </row>
      </sheetData>
      <sheetData sheetId="5670">
        <row r="4">
          <cell r="I4">
            <v>0</v>
          </cell>
        </row>
      </sheetData>
      <sheetData sheetId="5671">
        <row r="4">
          <cell r="I4">
            <v>0</v>
          </cell>
        </row>
      </sheetData>
      <sheetData sheetId="5672">
        <row r="4">
          <cell r="I4">
            <v>0</v>
          </cell>
        </row>
      </sheetData>
      <sheetData sheetId="5673">
        <row r="4">
          <cell r="I4">
            <v>0</v>
          </cell>
        </row>
      </sheetData>
      <sheetData sheetId="5674">
        <row r="4">
          <cell r="I4">
            <v>0</v>
          </cell>
        </row>
      </sheetData>
      <sheetData sheetId="5675">
        <row r="4">
          <cell r="I4">
            <v>0</v>
          </cell>
        </row>
      </sheetData>
      <sheetData sheetId="5676">
        <row r="4">
          <cell r="I4">
            <v>0</v>
          </cell>
        </row>
      </sheetData>
      <sheetData sheetId="5677">
        <row r="4">
          <cell r="I4">
            <v>0</v>
          </cell>
        </row>
      </sheetData>
      <sheetData sheetId="5678">
        <row r="4">
          <cell r="I4">
            <v>0</v>
          </cell>
        </row>
      </sheetData>
      <sheetData sheetId="5679">
        <row r="4">
          <cell r="I4">
            <v>0</v>
          </cell>
        </row>
      </sheetData>
      <sheetData sheetId="5680">
        <row r="4">
          <cell r="I4">
            <v>0</v>
          </cell>
        </row>
      </sheetData>
      <sheetData sheetId="5681">
        <row r="4">
          <cell r="I4">
            <v>0</v>
          </cell>
        </row>
      </sheetData>
      <sheetData sheetId="5682">
        <row r="4">
          <cell r="I4">
            <v>0</v>
          </cell>
        </row>
      </sheetData>
      <sheetData sheetId="5683">
        <row r="4">
          <cell r="I4">
            <v>0</v>
          </cell>
        </row>
      </sheetData>
      <sheetData sheetId="5684">
        <row r="4">
          <cell r="I4">
            <v>0</v>
          </cell>
        </row>
      </sheetData>
      <sheetData sheetId="5685">
        <row r="4">
          <cell r="I4">
            <v>0</v>
          </cell>
        </row>
      </sheetData>
      <sheetData sheetId="5686">
        <row r="4">
          <cell r="I4">
            <v>0</v>
          </cell>
        </row>
      </sheetData>
      <sheetData sheetId="5687">
        <row r="4">
          <cell r="I4">
            <v>0</v>
          </cell>
        </row>
      </sheetData>
      <sheetData sheetId="5688">
        <row r="4">
          <cell r="I4">
            <v>0</v>
          </cell>
        </row>
      </sheetData>
      <sheetData sheetId="5689">
        <row r="4">
          <cell r="I4">
            <v>0</v>
          </cell>
        </row>
      </sheetData>
      <sheetData sheetId="5690">
        <row r="4">
          <cell r="I4">
            <v>0</v>
          </cell>
        </row>
      </sheetData>
      <sheetData sheetId="5691">
        <row r="4">
          <cell r="I4">
            <v>0</v>
          </cell>
        </row>
      </sheetData>
      <sheetData sheetId="5692">
        <row r="4">
          <cell r="I4">
            <v>0</v>
          </cell>
        </row>
      </sheetData>
      <sheetData sheetId="5693">
        <row r="4">
          <cell r="I4">
            <v>0</v>
          </cell>
        </row>
      </sheetData>
      <sheetData sheetId="5694">
        <row r="4">
          <cell r="I4">
            <v>0</v>
          </cell>
        </row>
      </sheetData>
      <sheetData sheetId="5695">
        <row r="4">
          <cell r="I4">
            <v>0</v>
          </cell>
        </row>
      </sheetData>
      <sheetData sheetId="5696">
        <row r="4">
          <cell r="I4">
            <v>0</v>
          </cell>
        </row>
      </sheetData>
      <sheetData sheetId="5697">
        <row r="4">
          <cell r="I4">
            <v>0</v>
          </cell>
        </row>
      </sheetData>
      <sheetData sheetId="5698">
        <row r="4">
          <cell r="I4">
            <v>0</v>
          </cell>
        </row>
      </sheetData>
      <sheetData sheetId="5699">
        <row r="4">
          <cell r="I4">
            <v>0</v>
          </cell>
        </row>
      </sheetData>
      <sheetData sheetId="5700">
        <row r="4">
          <cell r="I4">
            <v>0</v>
          </cell>
        </row>
      </sheetData>
      <sheetData sheetId="5701">
        <row r="4">
          <cell r="I4">
            <v>0</v>
          </cell>
        </row>
      </sheetData>
      <sheetData sheetId="5702">
        <row r="4">
          <cell r="I4">
            <v>0</v>
          </cell>
        </row>
      </sheetData>
      <sheetData sheetId="5703">
        <row r="4">
          <cell r="I4">
            <v>0</v>
          </cell>
        </row>
      </sheetData>
      <sheetData sheetId="5704">
        <row r="4">
          <cell r="I4">
            <v>0</v>
          </cell>
        </row>
      </sheetData>
      <sheetData sheetId="5705">
        <row r="4">
          <cell r="I4">
            <v>0</v>
          </cell>
        </row>
      </sheetData>
      <sheetData sheetId="5706">
        <row r="4">
          <cell r="I4">
            <v>0</v>
          </cell>
        </row>
      </sheetData>
      <sheetData sheetId="5707">
        <row r="4">
          <cell r="I4">
            <v>0</v>
          </cell>
        </row>
      </sheetData>
      <sheetData sheetId="5708">
        <row r="4">
          <cell r="I4">
            <v>0</v>
          </cell>
        </row>
      </sheetData>
      <sheetData sheetId="5709">
        <row r="4">
          <cell r="I4">
            <v>0</v>
          </cell>
        </row>
      </sheetData>
      <sheetData sheetId="5710">
        <row r="4">
          <cell r="I4">
            <v>0</v>
          </cell>
        </row>
      </sheetData>
      <sheetData sheetId="5711">
        <row r="4">
          <cell r="I4">
            <v>0</v>
          </cell>
        </row>
      </sheetData>
      <sheetData sheetId="5712">
        <row r="4">
          <cell r="I4">
            <v>0</v>
          </cell>
        </row>
      </sheetData>
      <sheetData sheetId="5713">
        <row r="4">
          <cell r="I4">
            <v>0</v>
          </cell>
        </row>
      </sheetData>
      <sheetData sheetId="5714">
        <row r="4">
          <cell r="I4">
            <v>0</v>
          </cell>
        </row>
      </sheetData>
      <sheetData sheetId="5715">
        <row r="4">
          <cell r="I4">
            <v>0</v>
          </cell>
        </row>
      </sheetData>
      <sheetData sheetId="5716">
        <row r="4">
          <cell r="I4">
            <v>0</v>
          </cell>
        </row>
      </sheetData>
      <sheetData sheetId="5717">
        <row r="4">
          <cell r="I4">
            <v>0</v>
          </cell>
        </row>
      </sheetData>
      <sheetData sheetId="5718">
        <row r="4">
          <cell r="I4">
            <v>0</v>
          </cell>
        </row>
      </sheetData>
      <sheetData sheetId="5719">
        <row r="4">
          <cell r="I4">
            <v>0</v>
          </cell>
        </row>
      </sheetData>
      <sheetData sheetId="5720">
        <row r="4">
          <cell r="I4">
            <v>0</v>
          </cell>
        </row>
      </sheetData>
      <sheetData sheetId="5721">
        <row r="4">
          <cell r="I4">
            <v>0</v>
          </cell>
        </row>
      </sheetData>
      <sheetData sheetId="5722">
        <row r="4">
          <cell r="I4">
            <v>0</v>
          </cell>
        </row>
      </sheetData>
      <sheetData sheetId="5723">
        <row r="4">
          <cell r="I4">
            <v>0</v>
          </cell>
        </row>
      </sheetData>
      <sheetData sheetId="5724">
        <row r="4">
          <cell r="I4">
            <v>0</v>
          </cell>
        </row>
      </sheetData>
      <sheetData sheetId="5725">
        <row r="4">
          <cell r="I4">
            <v>0</v>
          </cell>
        </row>
      </sheetData>
      <sheetData sheetId="5726">
        <row r="4">
          <cell r="I4">
            <v>0</v>
          </cell>
        </row>
      </sheetData>
      <sheetData sheetId="5727">
        <row r="4">
          <cell r="I4">
            <v>0</v>
          </cell>
        </row>
      </sheetData>
      <sheetData sheetId="5728">
        <row r="4">
          <cell r="I4">
            <v>0</v>
          </cell>
        </row>
      </sheetData>
      <sheetData sheetId="5729">
        <row r="4">
          <cell r="I4">
            <v>0</v>
          </cell>
        </row>
      </sheetData>
      <sheetData sheetId="5730">
        <row r="4">
          <cell r="I4">
            <v>0</v>
          </cell>
        </row>
      </sheetData>
      <sheetData sheetId="5731">
        <row r="4">
          <cell r="I4">
            <v>0</v>
          </cell>
        </row>
      </sheetData>
      <sheetData sheetId="5732">
        <row r="4">
          <cell r="I4">
            <v>0</v>
          </cell>
        </row>
      </sheetData>
      <sheetData sheetId="5733">
        <row r="4">
          <cell r="I4">
            <v>0</v>
          </cell>
        </row>
      </sheetData>
      <sheetData sheetId="5734">
        <row r="4">
          <cell r="I4">
            <v>0</v>
          </cell>
        </row>
      </sheetData>
      <sheetData sheetId="5735">
        <row r="4">
          <cell r="I4">
            <v>0</v>
          </cell>
        </row>
      </sheetData>
      <sheetData sheetId="5736">
        <row r="4">
          <cell r="I4">
            <v>0</v>
          </cell>
        </row>
      </sheetData>
      <sheetData sheetId="5737">
        <row r="4">
          <cell r="I4">
            <v>0</v>
          </cell>
        </row>
      </sheetData>
      <sheetData sheetId="5738">
        <row r="4">
          <cell r="I4">
            <v>0</v>
          </cell>
        </row>
      </sheetData>
      <sheetData sheetId="5739">
        <row r="4">
          <cell r="I4">
            <v>0</v>
          </cell>
        </row>
      </sheetData>
      <sheetData sheetId="5740">
        <row r="4">
          <cell r="I4">
            <v>0</v>
          </cell>
        </row>
      </sheetData>
      <sheetData sheetId="5741">
        <row r="4">
          <cell r="I4">
            <v>0</v>
          </cell>
        </row>
      </sheetData>
      <sheetData sheetId="5742">
        <row r="4">
          <cell r="I4">
            <v>0</v>
          </cell>
        </row>
      </sheetData>
      <sheetData sheetId="5743">
        <row r="4">
          <cell r="I4">
            <v>0</v>
          </cell>
        </row>
      </sheetData>
      <sheetData sheetId="5744">
        <row r="4">
          <cell r="I4">
            <v>0</v>
          </cell>
        </row>
      </sheetData>
      <sheetData sheetId="5745">
        <row r="4">
          <cell r="I4">
            <v>0</v>
          </cell>
        </row>
      </sheetData>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ow r="4">
          <cell r="I4">
            <v>0</v>
          </cell>
        </row>
      </sheetData>
      <sheetData sheetId="5753">
        <row r="4">
          <cell r="I4">
            <v>0</v>
          </cell>
        </row>
      </sheetData>
      <sheetData sheetId="5754">
        <row r="4">
          <cell r="I4">
            <v>0</v>
          </cell>
        </row>
      </sheetData>
      <sheetData sheetId="5755">
        <row r="4">
          <cell r="I4">
            <v>0</v>
          </cell>
        </row>
      </sheetData>
      <sheetData sheetId="5756">
        <row r="4">
          <cell r="I4">
            <v>0</v>
          </cell>
        </row>
      </sheetData>
      <sheetData sheetId="5757">
        <row r="4">
          <cell r="I4">
            <v>0</v>
          </cell>
        </row>
      </sheetData>
      <sheetData sheetId="5758">
        <row r="4">
          <cell r="I4">
            <v>0</v>
          </cell>
        </row>
      </sheetData>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I4">
            <v>0</v>
          </cell>
        </row>
      </sheetData>
      <sheetData sheetId="5810">
        <row r="4">
          <cell r="I4">
            <v>0</v>
          </cell>
        </row>
      </sheetData>
      <sheetData sheetId="5811">
        <row r="4">
          <cell r="I4">
            <v>0</v>
          </cell>
        </row>
      </sheetData>
      <sheetData sheetId="5812">
        <row r="4">
          <cell r="I4">
            <v>0</v>
          </cell>
        </row>
      </sheetData>
      <sheetData sheetId="5813">
        <row r="4">
          <cell r="I4">
            <v>0</v>
          </cell>
        </row>
      </sheetData>
      <sheetData sheetId="5814">
        <row r="4">
          <cell r="I4">
            <v>0</v>
          </cell>
        </row>
      </sheetData>
      <sheetData sheetId="5815">
        <row r="4">
          <cell r="I4">
            <v>0</v>
          </cell>
        </row>
      </sheetData>
      <sheetData sheetId="5816">
        <row r="4">
          <cell r="I4">
            <v>0</v>
          </cell>
        </row>
      </sheetData>
      <sheetData sheetId="5817">
        <row r="4">
          <cell r="I4">
            <v>0</v>
          </cell>
        </row>
      </sheetData>
      <sheetData sheetId="5818">
        <row r="4">
          <cell r="I4">
            <v>0</v>
          </cell>
        </row>
      </sheetData>
      <sheetData sheetId="5819">
        <row r="4">
          <cell r="I4">
            <v>0</v>
          </cell>
        </row>
      </sheetData>
      <sheetData sheetId="5820">
        <row r="4">
          <cell r="I4">
            <v>0</v>
          </cell>
        </row>
      </sheetData>
      <sheetData sheetId="5821">
        <row r="4">
          <cell r="I4">
            <v>0</v>
          </cell>
        </row>
      </sheetData>
      <sheetData sheetId="5822">
        <row r="4">
          <cell r="I4">
            <v>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I4">
            <v>0</v>
          </cell>
        </row>
      </sheetData>
      <sheetData sheetId="5840">
        <row r="4">
          <cell r="I4">
            <v>0</v>
          </cell>
        </row>
      </sheetData>
      <sheetData sheetId="5841">
        <row r="4">
          <cell r="I4">
            <v>0</v>
          </cell>
        </row>
      </sheetData>
      <sheetData sheetId="5842">
        <row r="4">
          <cell r="I4">
            <v>0</v>
          </cell>
        </row>
      </sheetData>
      <sheetData sheetId="5843">
        <row r="4">
          <cell r="I4">
            <v>0</v>
          </cell>
        </row>
      </sheetData>
      <sheetData sheetId="5844">
        <row r="4">
          <cell r="I4">
            <v>0</v>
          </cell>
        </row>
      </sheetData>
      <sheetData sheetId="5845">
        <row r="4">
          <cell r="I4">
            <v>0</v>
          </cell>
        </row>
      </sheetData>
      <sheetData sheetId="5846">
        <row r="4">
          <cell r="I4">
            <v>0</v>
          </cell>
        </row>
      </sheetData>
      <sheetData sheetId="5847">
        <row r="4">
          <cell r="I4">
            <v>0</v>
          </cell>
        </row>
      </sheetData>
      <sheetData sheetId="5848">
        <row r="4">
          <cell r="I4">
            <v>0</v>
          </cell>
        </row>
      </sheetData>
      <sheetData sheetId="5849">
        <row r="4">
          <cell r="I4">
            <v>0</v>
          </cell>
        </row>
      </sheetData>
      <sheetData sheetId="5850">
        <row r="4">
          <cell r="I4">
            <v>0</v>
          </cell>
        </row>
      </sheetData>
      <sheetData sheetId="5851">
        <row r="4">
          <cell r="I4">
            <v>0</v>
          </cell>
        </row>
      </sheetData>
      <sheetData sheetId="5852">
        <row r="4">
          <cell r="I4">
            <v>0</v>
          </cell>
        </row>
      </sheetData>
      <sheetData sheetId="5853">
        <row r="4">
          <cell r="I4">
            <v>0</v>
          </cell>
        </row>
      </sheetData>
      <sheetData sheetId="5854">
        <row r="4">
          <cell r="I4">
            <v>0</v>
          </cell>
        </row>
      </sheetData>
      <sheetData sheetId="5855">
        <row r="4">
          <cell r="I4">
            <v>0</v>
          </cell>
        </row>
      </sheetData>
      <sheetData sheetId="5856">
        <row r="4">
          <cell r="I4">
            <v>0</v>
          </cell>
        </row>
      </sheetData>
      <sheetData sheetId="5857">
        <row r="4">
          <cell r="I4">
            <v>0</v>
          </cell>
        </row>
      </sheetData>
      <sheetData sheetId="5858">
        <row r="4">
          <cell r="I4">
            <v>0</v>
          </cell>
        </row>
      </sheetData>
      <sheetData sheetId="5859">
        <row r="4">
          <cell r="I4">
            <v>0</v>
          </cell>
        </row>
      </sheetData>
      <sheetData sheetId="5860">
        <row r="4">
          <cell r="I4">
            <v>0</v>
          </cell>
        </row>
      </sheetData>
      <sheetData sheetId="5861">
        <row r="4">
          <cell r="I4">
            <v>0</v>
          </cell>
        </row>
      </sheetData>
      <sheetData sheetId="5862">
        <row r="4">
          <cell r="I4">
            <v>0</v>
          </cell>
        </row>
      </sheetData>
      <sheetData sheetId="5863">
        <row r="4">
          <cell r="I4">
            <v>0</v>
          </cell>
        </row>
      </sheetData>
      <sheetData sheetId="5864">
        <row r="4">
          <cell r="I4">
            <v>0</v>
          </cell>
        </row>
      </sheetData>
      <sheetData sheetId="5865">
        <row r="4">
          <cell r="I4">
            <v>0</v>
          </cell>
        </row>
      </sheetData>
      <sheetData sheetId="5866">
        <row r="4">
          <cell r="I4">
            <v>0</v>
          </cell>
        </row>
      </sheetData>
      <sheetData sheetId="5867">
        <row r="4">
          <cell r="I4">
            <v>0</v>
          </cell>
        </row>
      </sheetData>
      <sheetData sheetId="5868">
        <row r="4">
          <cell r="I4">
            <v>0</v>
          </cell>
        </row>
      </sheetData>
      <sheetData sheetId="5869">
        <row r="4">
          <cell r="I4">
            <v>0</v>
          </cell>
        </row>
      </sheetData>
      <sheetData sheetId="5870">
        <row r="4">
          <cell r="I4">
            <v>0</v>
          </cell>
        </row>
      </sheetData>
      <sheetData sheetId="5871">
        <row r="4">
          <cell r="I4">
            <v>0</v>
          </cell>
        </row>
      </sheetData>
      <sheetData sheetId="5872">
        <row r="4">
          <cell r="I4">
            <v>0</v>
          </cell>
        </row>
      </sheetData>
      <sheetData sheetId="5873">
        <row r="4">
          <cell r="I4">
            <v>0</v>
          </cell>
        </row>
      </sheetData>
      <sheetData sheetId="5874">
        <row r="4">
          <cell r="I4">
            <v>0</v>
          </cell>
        </row>
      </sheetData>
      <sheetData sheetId="5875">
        <row r="4">
          <cell r="I4">
            <v>0</v>
          </cell>
        </row>
      </sheetData>
      <sheetData sheetId="5876">
        <row r="4">
          <cell r="I4">
            <v>0</v>
          </cell>
        </row>
      </sheetData>
      <sheetData sheetId="5877">
        <row r="4">
          <cell r="I4">
            <v>0</v>
          </cell>
        </row>
      </sheetData>
      <sheetData sheetId="5878">
        <row r="4">
          <cell r="I4">
            <v>0</v>
          </cell>
        </row>
      </sheetData>
      <sheetData sheetId="5879">
        <row r="4">
          <cell r="I4">
            <v>0</v>
          </cell>
        </row>
      </sheetData>
      <sheetData sheetId="5880">
        <row r="4">
          <cell r="I4">
            <v>0</v>
          </cell>
        </row>
      </sheetData>
      <sheetData sheetId="5881">
        <row r="4">
          <cell r="I4">
            <v>0</v>
          </cell>
        </row>
      </sheetData>
      <sheetData sheetId="5882">
        <row r="4">
          <cell r="I4">
            <v>0</v>
          </cell>
        </row>
      </sheetData>
      <sheetData sheetId="5883">
        <row r="4">
          <cell r="I4">
            <v>0</v>
          </cell>
        </row>
      </sheetData>
      <sheetData sheetId="5884">
        <row r="4">
          <cell r="I4">
            <v>0</v>
          </cell>
        </row>
      </sheetData>
      <sheetData sheetId="5885">
        <row r="4">
          <cell r="I4">
            <v>0</v>
          </cell>
        </row>
      </sheetData>
      <sheetData sheetId="5886">
        <row r="4">
          <cell r="I4">
            <v>0</v>
          </cell>
        </row>
      </sheetData>
      <sheetData sheetId="5887">
        <row r="4">
          <cell r="I4">
            <v>0</v>
          </cell>
        </row>
      </sheetData>
      <sheetData sheetId="5888">
        <row r="4">
          <cell r="I4">
            <v>0</v>
          </cell>
        </row>
      </sheetData>
      <sheetData sheetId="5889">
        <row r="4">
          <cell r="I4">
            <v>0</v>
          </cell>
        </row>
      </sheetData>
      <sheetData sheetId="5890">
        <row r="4">
          <cell r="I4">
            <v>0</v>
          </cell>
        </row>
      </sheetData>
      <sheetData sheetId="5891">
        <row r="4">
          <cell r="I4">
            <v>0</v>
          </cell>
        </row>
      </sheetData>
      <sheetData sheetId="5892">
        <row r="4">
          <cell r="I4">
            <v>0</v>
          </cell>
        </row>
      </sheetData>
      <sheetData sheetId="5893">
        <row r="4">
          <cell r="I4">
            <v>0</v>
          </cell>
        </row>
      </sheetData>
      <sheetData sheetId="5894">
        <row r="4">
          <cell r="I4">
            <v>0</v>
          </cell>
        </row>
      </sheetData>
      <sheetData sheetId="5895">
        <row r="4">
          <cell r="I4">
            <v>0</v>
          </cell>
        </row>
      </sheetData>
      <sheetData sheetId="5896">
        <row r="4">
          <cell r="I4">
            <v>0</v>
          </cell>
        </row>
      </sheetData>
      <sheetData sheetId="5897">
        <row r="4">
          <cell r="I4">
            <v>0</v>
          </cell>
        </row>
      </sheetData>
      <sheetData sheetId="5898">
        <row r="4">
          <cell r="I4">
            <v>0</v>
          </cell>
        </row>
      </sheetData>
      <sheetData sheetId="5899">
        <row r="4">
          <cell r="I4">
            <v>0</v>
          </cell>
        </row>
      </sheetData>
      <sheetData sheetId="5900">
        <row r="4">
          <cell r="I4">
            <v>0</v>
          </cell>
        </row>
      </sheetData>
      <sheetData sheetId="5901">
        <row r="4">
          <cell r="I4">
            <v>0</v>
          </cell>
        </row>
      </sheetData>
      <sheetData sheetId="5902">
        <row r="4">
          <cell r="I4">
            <v>0</v>
          </cell>
        </row>
      </sheetData>
      <sheetData sheetId="5903">
        <row r="4">
          <cell r="I4">
            <v>0</v>
          </cell>
        </row>
      </sheetData>
      <sheetData sheetId="5904">
        <row r="4">
          <cell r="I4">
            <v>0</v>
          </cell>
        </row>
      </sheetData>
      <sheetData sheetId="5905">
        <row r="4">
          <cell r="I4">
            <v>0</v>
          </cell>
        </row>
      </sheetData>
      <sheetData sheetId="5906">
        <row r="4">
          <cell r="I4">
            <v>0</v>
          </cell>
        </row>
      </sheetData>
      <sheetData sheetId="5907">
        <row r="4">
          <cell r="I4">
            <v>0</v>
          </cell>
        </row>
      </sheetData>
      <sheetData sheetId="5908">
        <row r="4">
          <cell r="I4">
            <v>0</v>
          </cell>
        </row>
      </sheetData>
      <sheetData sheetId="5909">
        <row r="4">
          <cell r="I4">
            <v>0</v>
          </cell>
        </row>
      </sheetData>
      <sheetData sheetId="5910">
        <row r="4">
          <cell r="I4">
            <v>0</v>
          </cell>
        </row>
      </sheetData>
      <sheetData sheetId="5911">
        <row r="4">
          <cell r="I4">
            <v>0</v>
          </cell>
        </row>
      </sheetData>
      <sheetData sheetId="5912">
        <row r="4">
          <cell r="I4">
            <v>0</v>
          </cell>
        </row>
      </sheetData>
      <sheetData sheetId="5913">
        <row r="4">
          <cell r="I4">
            <v>0</v>
          </cell>
        </row>
      </sheetData>
      <sheetData sheetId="5914" refreshError="1"/>
      <sheetData sheetId="5915">
        <row r="4">
          <cell r="I4">
            <v>0</v>
          </cell>
        </row>
      </sheetData>
      <sheetData sheetId="5916">
        <row r="4">
          <cell r="I4">
            <v>0</v>
          </cell>
        </row>
      </sheetData>
      <sheetData sheetId="5917">
        <row r="4">
          <cell r="I4">
            <v>0</v>
          </cell>
        </row>
      </sheetData>
      <sheetData sheetId="5918">
        <row r="4">
          <cell r="I4">
            <v>0</v>
          </cell>
        </row>
      </sheetData>
      <sheetData sheetId="5919">
        <row r="4">
          <cell r="I4">
            <v>0</v>
          </cell>
        </row>
      </sheetData>
      <sheetData sheetId="5920">
        <row r="4">
          <cell r="I4">
            <v>0</v>
          </cell>
        </row>
      </sheetData>
      <sheetData sheetId="5921">
        <row r="4">
          <cell r="I4">
            <v>0</v>
          </cell>
        </row>
      </sheetData>
      <sheetData sheetId="5922">
        <row r="4">
          <cell r="I4">
            <v>0</v>
          </cell>
        </row>
      </sheetData>
      <sheetData sheetId="5923">
        <row r="4">
          <cell r="I4">
            <v>0</v>
          </cell>
        </row>
      </sheetData>
      <sheetData sheetId="5924">
        <row r="4">
          <cell r="I4">
            <v>0</v>
          </cell>
        </row>
      </sheetData>
      <sheetData sheetId="5925">
        <row r="4">
          <cell r="I4">
            <v>0</v>
          </cell>
        </row>
      </sheetData>
      <sheetData sheetId="5926">
        <row r="4">
          <cell r="I4">
            <v>0</v>
          </cell>
        </row>
      </sheetData>
      <sheetData sheetId="5927">
        <row r="4">
          <cell r="I4">
            <v>0</v>
          </cell>
        </row>
      </sheetData>
      <sheetData sheetId="5928">
        <row r="4">
          <cell r="I4">
            <v>0</v>
          </cell>
        </row>
      </sheetData>
      <sheetData sheetId="5929">
        <row r="4">
          <cell r="I4">
            <v>0</v>
          </cell>
        </row>
      </sheetData>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ow r="4">
          <cell r="I4">
            <v>0</v>
          </cell>
        </row>
      </sheetData>
      <sheetData sheetId="5940">
        <row r="4">
          <cell r="I4">
            <v>0</v>
          </cell>
        </row>
      </sheetData>
      <sheetData sheetId="5941">
        <row r="4">
          <cell r="I4">
            <v>0</v>
          </cell>
        </row>
      </sheetData>
      <sheetData sheetId="5942">
        <row r="4">
          <cell r="I4">
            <v>0</v>
          </cell>
        </row>
      </sheetData>
      <sheetData sheetId="5943">
        <row r="4">
          <cell r="I4">
            <v>0</v>
          </cell>
        </row>
      </sheetData>
      <sheetData sheetId="5944">
        <row r="4">
          <cell r="I4">
            <v>0</v>
          </cell>
        </row>
      </sheetData>
      <sheetData sheetId="5945">
        <row r="4">
          <cell r="I4">
            <v>0</v>
          </cell>
        </row>
      </sheetData>
      <sheetData sheetId="5946">
        <row r="4">
          <cell r="I4">
            <v>0</v>
          </cell>
        </row>
      </sheetData>
      <sheetData sheetId="5947">
        <row r="4">
          <cell r="I4">
            <v>0</v>
          </cell>
        </row>
      </sheetData>
      <sheetData sheetId="5948">
        <row r="4">
          <cell r="I4">
            <v>0</v>
          </cell>
        </row>
      </sheetData>
      <sheetData sheetId="5949">
        <row r="4">
          <cell r="I4">
            <v>0</v>
          </cell>
        </row>
      </sheetData>
      <sheetData sheetId="5950">
        <row r="4">
          <cell r="I4">
            <v>0</v>
          </cell>
        </row>
      </sheetData>
      <sheetData sheetId="5951">
        <row r="4">
          <cell r="I4">
            <v>0</v>
          </cell>
        </row>
      </sheetData>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ow r="4">
          <cell r="I4">
            <v>0</v>
          </cell>
        </row>
      </sheetData>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ow r="4">
          <cell r="I4">
            <v>0</v>
          </cell>
        </row>
      </sheetData>
      <sheetData sheetId="5977" refreshError="1"/>
      <sheetData sheetId="5978" refreshError="1"/>
      <sheetData sheetId="5979" refreshError="1"/>
      <sheetData sheetId="5980">
        <row r="4">
          <cell r="I4">
            <v>0</v>
          </cell>
        </row>
      </sheetData>
      <sheetData sheetId="5981" refreshError="1"/>
      <sheetData sheetId="5982">
        <row r="4">
          <cell r="I4">
            <v>0</v>
          </cell>
        </row>
      </sheetData>
      <sheetData sheetId="5983">
        <row r="4">
          <cell r="I4">
            <v>0</v>
          </cell>
        </row>
      </sheetData>
      <sheetData sheetId="5984">
        <row r="4">
          <cell r="I4">
            <v>0</v>
          </cell>
        </row>
      </sheetData>
      <sheetData sheetId="5985">
        <row r="4">
          <cell r="I4">
            <v>0</v>
          </cell>
        </row>
      </sheetData>
      <sheetData sheetId="5986">
        <row r="4">
          <cell r="I4">
            <v>0</v>
          </cell>
        </row>
      </sheetData>
      <sheetData sheetId="5987">
        <row r="4">
          <cell r="I4">
            <v>0</v>
          </cell>
        </row>
      </sheetData>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sheetData sheetId="6044" refreshError="1"/>
      <sheetData sheetId="6045" refreshError="1"/>
      <sheetData sheetId="6046" refreshError="1"/>
      <sheetData sheetId="6047"/>
      <sheetData sheetId="6048"/>
      <sheetData sheetId="6049"/>
      <sheetData sheetId="6050"/>
      <sheetData sheetId="6051"/>
      <sheetData sheetId="6052"/>
      <sheetData sheetId="6053"/>
      <sheetData sheetId="6054"/>
      <sheetData sheetId="6055"/>
      <sheetData sheetId="6056"/>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sheetData sheetId="6073"/>
      <sheetData sheetId="6074">
        <row r="4">
          <cell r="I4">
            <v>0</v>
          </cell>
        </row>
      </sheetData>
      <sheetData sheetId="6075" refreshError="1"/>
      <sheetData sheetId="6076"/>
      <sheetData sheetId="6077"/>
      <sheetData sheetId="6078">
        <row r="4">
          <cell r="I4">
            <v>0</v>
          </cell>
        </row>
      </sheetData>
      <sheetData sheetId="6079">
        <row r="4">
          <cell r="I4">
            <v>0</v>
          </cell>
        </row>
      </sheetData>
      <sheetData sheetId="6080">
        <row r="4">
          <cell r="I4">
            <v>0</v>
          </cell>
        </row>
      </sheetData>
      <sheetData sheetId="6081">
        <row r="4">
          <cell r="I4">
            <v>0</v>
          </cell>
        </row>
      </sheetData>
      <sheetData sheetId="6082">
        <row r="4">
          <cell r="I4">
            <v>0</v>
          </cell>
        </row>
      </sheetData>
      <sheetData sheetId="6083">
        <row r="4">
          <cell r="I4">
            <v>0</v>
          </cell>
        </row>
      </sheetData>
      <sheetData sheetId="6084">
        <row r="4">
          <cell r="I4">
            <v>0</v>
          </cell>
        </row>
      </sheetData>
      <sheetData sheetId="6085">
        <row r="4">
          <cell r="I4">
            <v>0</v>
          </cell>
        </row>
      </sheetData>
      <sheetData sheetId="6086">
        <row r="4">
          <cell r="I4">
            <v>0</v>
          </cell>
        </row>
      </sheetData>
      <sheetData sheetId="6087">
        <row r="4">
          <cell r="I4">
            <v>0</v>
          </cell>
        </row>
      </sheetData>
      <sheetData sheetId="6088">
        <row r="4">
          <cell r="I4">
            <v>0</v>
          </cell>
        </row>
      </sheetData>
      <sheetData sheetId="6089">
        <row r="4">
          <cell r="I4">
            <v>0</v>
          </cell>
        </row>
      </sheetData>
      <sheetData sheetId="6090">
        <row r="4">
          <cell r="I4">
            <v>0</v>
          </cell>
        </row>
      </sheetData>
      <sheetData sheetId="6091">
        <row r="4">
          <cell r="I4">
            <v>0</v>
          </cell>
        </row>
      </sheetData>
      <sheetData sheetId="6092">
        <row r="4">
          <cell r="I4">
            <v>0</v>
          </cell>
        </row>
      </sheetData>
      <sheetData sheetId="6093">
        <row r="4">
          <cell r="I4">
            <v>0</v>
          </cell>
        </row>
      </sheetData>
      <sheetData sheetId="6094">
        <row r="4">
          <cell r="I4">
            <v>0</v>
          </cell>
        </row>
      </sheetData>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ow r="4">
          <cell r="M4">
            <v>100</v>
          </cell>
        </row>
      </sheetData>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sheetData sheetId="6216"/>
      <sheetData sheetId="6217"/>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sheetData sheetId="6271"/>
      <sheetData sheetId="6272"/>
      <sheetData sheetId="6273"/>
      <sheetData sheetId="6274" refreshError="1"/>
      <sheetData sheetId="6275"/>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sheetData sheetId="6308"/>
      <sheetData sheetId="6309"/>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ow r="4">
          <cell r="I4">
            <v>0</v>
          </cell>
        </row>
      </sheetData>
      <sheetData sheetId="6577">
        <row r="4">
          <cell r="I4">
            <v>0</v>
          </cell>
        </row>
      </sheetData>
      <sheetData sheetId="6578">
        <row r="4">
          <cell r="I4">
            <v>0</v>
          </cell>
        </row>
      </sheetData>
      <sheetData sheetId="6579">
        <row r="4">
          <cell r="I4">
            <v>0</v>
          </cell>
        </row>
      </sheetData>
      <sheetData sheetId="6580">
        <row r="4">
          <cell r="I4">
            <v>0</v>
          </cell>
        </row>
      </sheetData>
      <sheetData sheetId="6581">
        <row r="4">
          <cell r="I4">
            <v>0</v>
          </cell>
        </row>
      </sheetData>
      <sheetData sheetId="6582">
        <row r="4">
          <cell r="I4">
            <v>0</v>
          </cell>
        </row>
      </sheetData>
      <sheetData sheetId="6583">
        <row r="4">
          <cell r="I4">
            <v>0</v>
          </cell>
        </row>
      </sheetData>
      <sheetData sheetId="6584">
        <row r="4">
          <cell r="I4">
            <v>0</v>
          </cell>
        </row>
      </sheetData>
      <sheetData sheetId="6585">
        <row r="4">
          <cell r="I4">
            <v>0</v>
          </cell>
        </row>
      </sheetData>
      <sheetData sheetId="6586">
        <row r="4">
          <cell r="I4">
            <v>0</v>
          </cell>
        </row>
      </sheetData>
      <sheetData sheetId="6587">
        <row r="4">
          <cell r="I4">
            <v>0</v>
          </cell>
        </row>
      </sheetData>
      <sheetData sheetId="6588">
        <row r="4">
          <cell r="I4">
            <v>0</v>
          </cell>
        </row>
      </sheetData>
      <sheetData sheetId="6589">
        <row r="4">
          <cell r="I4">
            <v>0</v>
          </cell>
        </row>
      </sheetData>
      <sheetData sheetId="6590">
        <row r="4">
          <cell r="I4">
            <v>0</v>
          </cell>
        </row>
      </sheetData>
      <sheetData sheetId="6591">
        <row r="4">
          <cell r="I4">
            <v>0</v>
          </cell>
        </row>
      </sheetData>
      <sheetData sheetId="6592">
        <row r="4">
          <cell r="I4">
            <v>0</v>
          </cell>
        </row>
      </sheetData>
      <sheetData sheetId="6593">
        <row r="4">
          <cell r="I4">
            <v>0</v>
          </cell>
        </row>
      </sheetData>
      <sheetData sheetId="6594">
        <row r="4">
          <cell r="I4">
            <v>0</v>
          </cell>
        </row>
      </sheetData>
      <sheetData sheetId="6595">
        <row r="4">
          <cell r="I4">
            <v>0</v>
          </cell>
        </row>
      </sheetData>
      <sheetData sheetId="6596">
        <row r="4">
          <cell r="I4">
            <v>0</v>
          </cell>
        </row>
      </sheetData>
      <sheetData sheetId="6597">
        <row r="4">
          <cell r="I4">
            <v>0</v>
          </cell>
        </row>
      </sheetData>
      <sheetData sheetId="6598">
        <row r="4">
          <cell r="I4">
            <v>0</v>
          </cell>
        </row>
      </sheetData>
      <sheetData sheetId="6599">
        <row r="4">
          <cell r="I4">
            <v>0</v>
          </cell>
        </row>
      </sheetData>
      <sheetData sheetId="6600">
        <row r="4">
          <cell r="I4">
            <v>0</v>
          </cell>
        </row>
      </sheetData>
      <sheetData sheetId="6601">
        <row r="4">
          <cell r="I4">
            <v>0</v>
          </cell>
        </row>
      </sheetData>
      <sheetData sheetId="6602">
        <row r="4">
          <cell r="I4">
            <v>0</v>
          </cell>
        </row>
      </sheetData>
      <sheetData sheetId="6603">
        <row r="4">
          <cell r="I4">
            <v>0</v>
          </cell>
        </row>
      </sheetData>
      <sheetData sheetId="6604">
        <row r="4">
          <cell r="I4">
            <v>0</v>
          </cell>
        </row>
      </sheetData>
      <sheetData sheetId="6605">
        <row r="4">
          <cell r="M4">
            <v>100</v>
          </cell>
        </row>
      </sheetData>
      <sheetData sheetId="6606">
        <row r="4">
          <cell r="I4">
            <v>0</v>
          </cell>
        </row>
      </sheetData>
      <sheetData sheetId="6607">
        <row r="4">
          <cell r="M4">
            <v>100</v>
          </cell>
        </row>
      </sheetData>
      <sheetData sheetId="6608">
        <row r="4">
          <cell r="I4">
            <v>0</v>
          </cell>
        </row>
      </sheetData>
      <sheetData sheetId="6609">
        <row r="4">
          <cell r="M4">
            <v>100</v>
          </cell>
        </row>
      </sheetData>
      <sheetData sheetId="6610">
        <row r="4">
          <cell r="M4">
            <v>100</v>
          </cell>
        </row>
      </sheetData>
      <sheetData sheetId="6611">
        <row r="4">
          <cell r="M4">
            <v>100</v>
          </cell>
        </row>
      </sheetData>
      <sheetData sheetId="6612">
        <row r="4">
          <cell r="M4">
            <v>100</v>
          </cell>
        </row>
      </sheetData>
      <sheetData sheetId="6613">
        <row r="4">
          <cell r="M4">
            <v>100</v>
          </cell>
        </row>
      </sheetData>
      <sheetData sheetId="6614">
        <row r="4">
          <cell r="M4">
            <v>100</v>
          </cell>
        </row>
      </sheetData>
      <sheetData sheetId="6615">
        <row r="4">
          <cell r="M4">
            <v>100</v>
          </cell>
        </row>
      </sheetData>
      <sheetData sheetId="6616">
        <row r="4">
          <cell r="M4">
            <v>100</v>
          </cell>
        </row>
      </sheetData>
      <sheetData sheetId="6617" refreshError="1"/>
      <sheetData sheetId="6618" refreshError="1"/>
      <sheetData sheetId="6619" refreshError="1"/>
      <sheetData sheetId="6620">
        <row r="4">
          <cell r="M4">
            <v>100</v>
          </cell>
        </row>
      </sheetData>
      <sheetData sheetId="6621">
        <row r="4">
          <cell r="M4">
            <v>100</v>
          </cell>
        </row>
      </sheetData>
      <sheetData sheetId="6622">
        <row r="4">
          <cell r="M4">
            <v>100</v>
          </cell>
        </row>
      </sheetData>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PROCTOR"/>
      <sheetName val="dBase"/>
      <sheetName val="BHANDUP"/>
      <sheetName val="EZ"/>
      <sheetName val="girder"/>
      <sheetName val="Culvert"/>
      <sheetName val="Dayworks Bill"/>
      <sheetName val="Bills of Quantities"/>
      <sheetName val="Rate Ana"/>
    </sheetNames>
    <sheetDataSet>
      <sheetData sheetId="0" refreshError="1"/>
      <sheetData sheetId="1" refreshError="1"/>
      <sheetData sheetId="2" refreshError="1"/>
      <sheetData sheetId="3" refreshError="1">
        <row r="7">
          <cell r="F7">
            <v>15.405063291139241</v>
          </cell>
        </row>
        <row r="9">
          <cell r="F9">
            <v>20.627118644067796</v>
          </cell>
        </row>
        <row r="10">
          <cell r="F10">
            <v>20.627118644067796</v>
          </cell>
        </row>
        <row r="14">
          <cell r="F14">
            <v>16.399999999999999</v>
          </cell>
        </row>
        <row r="15">
          <cell r="F15">
            <v>23.428571428571427</v>
          </cell>
        </row>
        <row r="17">
          <cell r="F17">
            <v>25.894736842105264</v>
          </cell>
        </row>
        <row r="18">
          <cell r="F18">
            <v>25.894736842105264</v>
          </cell>
        </row>
        <row r="23">
          <cell r="F23">
            <v>0.9966666666666667</v>
          </cell>
        </row>
        <row r="27">
          <cell r="F27">
            <v>27.226666666666667</v>
          </cell>
        </row>
        <row r="28">
          <cell r="F28">
            <v>1666.6666666666667</v>
          </cell>
        </row>
        <row r="29">
          <cell r="F29">
            <v>100</v>
          </cell>
        </row>
        <row r="31">
          <cell r="F31">
            <v>200</v>
          </cell>
        </row>
        <row r="32">
          <cell r="F32">
            <v>35</v>
          </cell>
        </row>
        <row r="34">
          <cell r="F34">
            <v>1000</v>
          </cell>
        </row>
        <row r="35">
          <cell r="F35">
            <v>200</v>
          </cell>
        </row>
        <row r="37">
          <cell r="F37">
            <v>80</v>
          </cell>
        </row>
        <row r="39">
          <cell r="F39">
            <v>100</v>
          </cell>
        </row>
        <row r="40">
          <cell r="F40">
            <v>40</v>
          </cell>
        </row>
        <row r="41">
          <cell r="F41">
            <v>60</v>
          </cell>
        </row>
        <row r="42">
          <cell r="F42">
            <v>44</v>
          </cell>
        </row>
      </sheetData>
      <sheetData sheetId="4" refreshError="1"/>
      <sheetData sheetId="5" refreshError="1"/>
      <sheetData sheetId="6" refreshError="1"/>
      <sheetData sheetId="7" refreshError="1">
        <row r="11">
          <cell r="P11">
            <v>1297</v>
          </cell>
        </row>
        <row r="12">
          <cell r="P12">
            <v>1774</v>
          </cell>
        </row>
        <row r="13">
          <cell r="P13">
            <v>1655</v>
          </cell>
        </row>
        <row r="15">
          <cell r="P15">
            <v>1774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가설건물"/>
      <sheetName val="입찰안"/>
      <sheetName val="손익차9월2"/>
      <sheetName val="확정분1"/>
      <sheetName val="내역"/>
      <sheetName val="한강운반비"/>
      <sheetName val="Macro3"/>
      <sheetName val="ANX3A11"/>
      <sheetName val="원가서"/>
      <sheetName val="양수장(기계)"/>
      <sheetName val="건축내역서 (경제상무실)"/>
      <sheetName val="일위대가(1)"/>
      <sheetName val="대치판정"/>
      <sheetName val="Testing"/>
      <sheetName val="견적을지"/>
      <sheetName val="3.공통공사대비"/>
      <sheetName val="합의경상"/>
      <sheetName val="준검 내역서"/>
      <sheetName val="CAMP OPERATING COST"/>
      <sheetName val="PERSONNEL SETUP"/>
      <sheetName val="LIST OF OFFICE EQUIPMENT"/>
      <sheetName val="STAFF&amp;INDIRECT SALARY - SUMMARY"/>
      <sheetName val="KOREAN STAFF SALARY_BREAKDOWN"/>
      <sheetName val="BREAKDOWN"/>
      <sheetName val="WELFARE COST - SITE"/>
      <sheetName val="집계표"/>
      <sheetName val="신우"/>
      <sheetName val="내역서"/>
      <sheetName val="Sheet1"/>
      <sheetName val="건축내역서_(경제상무실)"/>
      <sheetName val="3_공통공사대비"/>
      <sheetName val="준검_내역서"/>
      <sheetName val="CAMP_OPERATING_COST"/>
      <sheetName val="PERSONNEL_SETUP"/>
      <sheetName val="LIST_OF_OFFICE_EQUIPMENT"/>
      <sheetName val="STAFF&amp;INDIRECT_SALARY_-_SUMMARY"/>
      <sheetName val="KOREAN_STAFF_SALARY_BREAKDOWN"/>
      <sheetName val="WELFARE_COST_-_SITE"/>
      <sheetName val="할증 "/>
      <sheetName val="사업부배부A"/>
      <sheetName val="변경품셈총괄"/>
      <sheetName val="차액보증"/>
      <sheetName val="금액내역서"/>
      <sheetName val="갑지"/>
      <sheetName val="면적"/>
      <sheetName val="연습"/>
      <sheetName val="물량표"/>
      <sheetName val="9-1차이내역"/>
      <sheetName val="비용"/>
      <sheetName val="설비"/>
      <sheetName val="비교1"/>
      <sheetName val="BID"/>
      <sheetName val="조건표"/>
      <sheetName val="Equipment"/>
      <sheetName val="Pipin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5.0 BOQ for Insul"/>
      <sheetName val="5.1 Price sche."/>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1"/>
      <sheetName val="총괄내역(9-30,최종)"/>
      <sheetName val="총괄내역(9-30,최종) (2)"/>
      <sheetName val="업협(3차계약)"/>
      <sheetName val="기안지 3차 하도급 체결"/>
      <sheetName val="비교견적대비표"/>
      <sheetName val="영풍"/>
      <sheetName val="해주"/>
      <sheetName val="수량산출서"/>
      <sheetName val="조정안 (2)"/>
      <sheetName val="Sheet2"/>
      <sheetName val="Sheet3"/>
      <sheetName val="jobh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5"/>
      <sheetName val="SPT vs PHI"/>
      <sheetName val="21-Rate Analysis "/>
      <sheetName val="PROCTOR"/>
    </sheetNames>
    <sheetDataSet>
      <sheetData sheetId="0">
        <row r="17">
          <cell r="F17">
            <v>59300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typetest"/>
      <sheetName val="Evaluate"/>
      <sheetName val="CASH-FLOW"/>
      <sheetName val="Lakshmi GF"/>
      <sheetName val="CITICORP"/>
      <sheetName val="HDFC"/>
      <sheetName val="KOTAK"/>
      <sheetName val="21.8.14"/>
      <sheetName val="Pull Down"/>
      <sheetName val="Expenditure Plan"/>
      <sheetName val="ANALYSIS"/>
      <sheetName val="PROCTOR"/>
      <sheetName val="PROG_DATA"/>
      <sheetName val="BOQ-"/>
      <sheetName val="FORM-W3"/>
      <sheetName val="FitOutConfCentre"/>
      <sheetName val="jobhist"/>
      <sheetName val="A"/>
      <sheetName val="CASHFLOWS"/>
      <sheetName val="ANAL-PIPE LINE"/>
      <sheetName val="Cost of O &amp; O"/>
      <sheetName val="ANAL"/>
      <sheetName val="Steel-Circular"/>
      <sheetName val="Rate Analysis"/>
      <sheetName val="M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C"/>
      <sheetName val="기준-중기 revised"/>
      <sheetName val="장비운반비"/>
      <sheetName val="Project Schedule"/>
      <sheetName val="Project Sch."/>
      <sheetName val="OUAIS"/>
      <sheetName val="CEC"/>
      <sheetName val="HEC"/>
      <sheetName val="직원동원계획"/>
      <sheetName val="A"/>
      <sheetName val="SOURCE"/>
      <sheetName val="SILICATE"/>
      <sheetName val="Proposal"/>
      <sheetName val="Cover"/>
      <sheetName val="ASME B 36.10 M"/>
      <sheetName val="estm_mech"/>
      <sheetName val="dongia (2)"/>
      <sheetName val="본지점중"/>
      <sheetName val="M_B"/>
      <sheetName val="HVAC"/>
      <sheetName val="TB-내역서"/>
      <sheetName val="CAL."/>
      <sheetName val="보온자재단가표"/>
      <sheetName val="TEMP"/>
      <sheetName val="비교"/>
      <sheetName val="CAL"/>
      <sheetName val="Dywidaq"/>
      <sheetName val="NEWDRAW"/>
      <sheetName val="Form 0"/>
      <sheetName val="ANALYSER"/>
      <sheetName val="FWBS7000,8000"/>
      <sheetName val="BOQ for HRSG &amp; BOP-mech."/>
      <sheetName val="ITB COST"/>
      <sheetName val="BW"/>
      <sheetName val="DATA"/>
      <sheetName val="공사비 내역 (가)"/>
      <sheetName val="PUMP"/>
      <sheetName val="Final(1)summary"/>
      <sheetName val="Sheet1"/>
      <sheetName val="NEW-PANEL"/>
      <sheetName val="work"/>
      <sheetName val="Input"/>
      <sheetName val="MEXICO-C"/>
      <sheetName val="h-013211-2"/>
      <sheetName val="POWER"/>
      <sheetName val="기계,전기 공종별 집행원가 _201108 rev.2.x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Abstract"/>
      <sheetName val="Cash Flow-IN"/>
      <sheetName val="Cash Flow-Out"/>
      <sheetName val="TOP SHEET-1"/>
      <sheetName val="Final-Quote"/>
      <sheetName val="Final-Quote -1"/>
      <sheetName val="Obstruction &amp; Utilities"/>
      <sheetName val="Final-Quote -1 (2)"/>
      <sheetName val="Elec&amp;Ins"/>
      <sheetName val="Mech"/>
      <sheetName val="CIVIL BoQ Abstract"/>
      <sheetName val="BoQ Calc"/>
      <sheetName val="RA Civil"/>
      <sheetName val="Sheet1"/>
      <sheetName val="Pipe line"/>
      <sheetName val="WTP Sizing"/>
      <sheetName val="Line Diag"/>
      <sheetName val="RA Valves &amp; EMI"/>
      <sheetName val="TD Notes"/>
      <sheetName val="RW RESERVOIR"/>
      <sheetName val="Man Power cost"/>
      <sheetName val="Site Infrastructure"/>
      <sheetName val="Site Infra-Unit"/>
      <sheetName val="Analy_7-10"/>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ow r="8">
          <cell r="E8">
            <v>120</v>
          </cell>
        </row>
        <row r="9">
          <cell r="E9">
            <v>90</v>
          </cell>
        </row>
        <row r="12">
          <cell r="E12">
            <v>250</v>
          </cell>
        </row>
        <row r="19">
          <cell r="E19">
            <v>230</v>
          </cell>
        </row>
        <row r="21">
          <cell r="E21">
            <v>165</v>
          </cell>
        </row>
        <row r="30">
          <cell r="E30">
            <v>300.17750000000001</v>
          </cell>
        </row>
        <row r="38">
          <cell r="E38">
            <v>600</v>
          </cell>
        </row>
        <row r="40">
          <cell r="E40">
            <v>45</v>
          </cell>
        </row>
        <row r="41">
          <cell r="E41">
            <v>444.59999999999997</v>
          </cell>
        </row>
        <row r="42">
          <cell r="E42">
            <v>467.4</v>
          </cell>
        </row>
        <row r="43">
          <cell r="E43">
            <v>18</v>
          </cell>
        </row>
        <row r="48">
          <cell r="F48">
            <v>7</v>
          </cell>
        </row>
        <row r="50">
          <cell r="E50">
            <v>649</v>
          </cell>
          <cell r="F50">
            <v>14</v>
          </cell>
        </row>
        <row r="51">
          <cell r="E51">
            <v>741</v>
          </cell>
          <cell r="F51">
            <v>17</v>
          </cell>
        </row>
        <row r="54">
          <cell r="E54">
            <v>371</v>
          </cell>
          <cell r="F54">
            <v>12</v>
          </cell>
        </row>
        <row r="55">
          <cell r="F55">
            <v>4</v>
          </cell>
        </row>
        <row r="56">
          <cell r="E56">
            <v>130</v>
          </cell>
          <cell r="F56">
            <v>6</v>
          </cell>
        </row>
        <row r="57">
          <cell r="E57">
            <v>186</v>
          </cell>
          <cell r="F57">
            <v>7</v>
          </cell>
        </row>
      </sheetData>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SAP架設-2005.12.31"/>
      <sheetName val="일위대가"/>
      <sheetName val="PROCTOR"/>
      <sheetName val="21-Rate Analysis-1"/>
      <sheetName val="SOR"/>
      <sheetName val="공사비집계"/>
      <sheetName val="Evaluate"/>
      <sheetName val="C &amp; G RHS"/>
      <sheetName val="WTP"/>
      <sheetName val="structurewise"/>
      <sheetName val="balance Work"/>
      <sheetName val="LOCAL RATES"/>
      <sheetName val="월별"/>
      <sheetName val="S-Curve (2)"/>
      <sheetName val="Materials Cost(PCC)"/>
      <sheetName val="final abstract"/>
      <sheetName val="data"/>
      <sheetName val="SAP架設-2005_12_31"/>
      <sheetName val="BOQ"/>
      <sheetName val="Final Basic rate"/>
      <sheetName val="Labour"/>
      <sheetName val="Steel-Circular"/>
      <sheetName val="Materials Cost"/>
      <sheetName val="REL"/>
      <sheetName val="Back"/>
      <sheetName val="Material "/>
      <sheetName val="Analysis"/>
      <sheetName val="Process"/>
      <sheetName val="balance_Work"/>
      <sheetName val="GC-15"/>
      <sheetName val="ICICI"/>
      <sheetName val="HDFC"/>
      <sheetName val="90101"/>
      <sheetName val="A"/>
      <sheetName val="Coalmine"/>
      <sheetName val="SAP架設-2005_12_311"/>
      <sheetName val="C_&amp;_G_RHS"/>
      <sheetName val="Materials_Cost(PCC)"/>
      <sheetName val="LOCAL_RATES"/>
      <sheetName val="S-Curve_(2)"/>
      <sheetName val="final_abstract"/>
      <sheetName val="Material_"/>
      <sheetName val="Chiet tinh dz35"/>
      <sheetName val=""/>
      <sheetName val="Man"/>
      <sheetName val="pile Fabrication"/>
      <sheetName val="Closing"/>
      <sheetName val="Risk Te. Co."/>
      <sheetName val="Informa."/>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Riser-1"/>
      <sheetName val="Basicrates"/>
      <sheetName val="Mix Design"/>
      <sheetName val="doq-1 DOQ Culvert"/>
      <sheetName val="Rate Analysis"/>
      <sheetName val="Risk_Te__Co_"/>
      <sheetName val="Informa_"/>
      <sheetName val="FitOutConfCentre"/>
      <sheetName val="01"/>
      <sheetName val="02"/>
      <sheetName val="03"/>
      <sheetName val="04"/>
      <sheetName val="RA Civil"/>
      <sheetName val="CPIPE"/>
      <sheetName val="Anal"/>
      <sheetName val="BLK2"/>
      <sheetName val="BLK3"/>
      <sheetName val="E &amp; R"/>
      <sheetName val="radar"/>
      <sheetName val="UG"/>
      <sheetName val="Material"/>
      <sheetName val="Improvements"/>
      <sheetName val="Materials "/>
      <sheetName val="MAchinery(R1)"/>
      <sheetName val="Machinery"/>
      <sheetName val="footing for SP"/>
      <sheetName val="DSLP"/>
      <sheetName val="10-Crop Age"/>
      <sheetName val="UNP-NCW "/>
      <sheetName val="MAIN"/>
      <sheetName val="9.Major Bridge"/>
      <sheetName val="8. ROB"/>
      <sheetName val="10.Minor Structure"/>
      <sheetName val="7. FLYOVER"/>
      <sheetName val="ABSTRACT"/>
      <sheetName val="2. Earthwork"/>
      <sheetName val="Debit_RMC"/>
      <sheetName val="FORM-W3"/>
      <sheetName val="0"/>
      <sheetName val="CUM-Mar07"/>
      <sheetName val="CRM"/>
      <sheetName val="A3"/>
      <sheetName val="BUD 07-08"/>
      <sheetName val="HIDE"/>
      <sheetName val="XL"/>
      <sheetName val="01.11.2004"/>
      <sheetName val="Database"/>
      <sheetName val="SCHEDULE"/>
      <sheetName val="schedule nos"/>
      <sheetName val="Supply_RMC"/>
      <sheetName val="MAINBS1"/>
      <sheetName val="02.10.06"/>
      <sheetName val="Anggaran"/>
      <sheetName val="220Kv (2)"/>
      <sheetName val="USB 1"/>
      <sheetName val="Input Data"/>
      <sheetName val="eb"/>
      <sheetName val="ult"/>
      <sheetName val="fp"/>
      <sheetName val="P-Ins &amp; Bonds"/>
      <sheetName val="Input Data R"/>
      <sheetName val="Input Data F"/>
      <sheetName val="section"/>
      <sheetName val="PlazaElec"/>
      <sheetName val="DETAILED  BOQ"/>
      <sheetName val="foundation(V)"/>
      <sheetName val="cul-invSUBMITTED"/>
      <sheetName val="horizontal"/>
      <sheetName val="SPT vs PHI"/>
      <sheetName val="F4-F7"/>
      <sheetName val="MN T.B."/>
      <sheetName val="C5TRAFFIC"/>
      <sheetName val="A.O.R."/>
      <sheetName val="ENCL9"/>
      <sheetName val="Ave.wtd.rates"/>
      <sheetName val="Data Validation"/>
      <sheetName val="C8"/>
      <sheetName val="Progressin Next mon-AP-17"/>
      <sheetName val="GWC"/>
      <sheetName val="NWC"/>
      <sheetName val="Assum"/>
      <sheetName val="PLAN_FEB97"/>
      <sheetName val="upa"/>
      <sheetName val="RIP1"/>
      <sheetName val="CIT(1)"/>
      <sheetName val="List"/>
      <sheetName val="S1BOQ"/>
      <sheetName val="PMS"/>
      <sheetName val="Jobwise"/>
      <sheetName val="Data 1"/>
      <sheetName val="FT-05-02IsoBOM"/>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LTG-STG"/>
      <sheetName val="Intro"/>
      <sheetName val="1.01-C&amp;G"/>
      <sheetName val="INPUT SHEET"/>
      <sheetName val="RES-PLANNING"/>
      <sheetName val="Macro1"/>
      <sheetName val="BOQ Distribution"/>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Code"/>
      <sheetName val="det_est"/>
      <sheetName val="Analysis-NH-Roads"/>
      <sheetName val="Analysis-NH-Culverts"/>
      <sheetName val=" AnalysisPCC"/>
      <sheetName val="Analysis-Drains &amp; Misc"/>
      <sheetName val="Lead Statement (PCC)"/>
      <sheetName val="Analysis-NH-Traf &amp; Trans"/>
      <sheetName val="footing"/>
      <sheetName val="Qty SR"/>
      <sheetName val="Cost of O &amp; O"/>
      <sheetName val="發包單價差-車站組鋼筋"/>
      <sheetName val="FORM-16"/>
      <sheetName val="lea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doq 1"/>
      <sheetName val="doq 9"/>
      <sheetName val="집계표(OPTION)"/>
      <sheetName val="Load Calculation"/>
      <sheetName val="SS MH"/>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05"/>
      <sheetName val="PRELIM5"/>
      <sheetName val="Fee Rate Summary"/>
      <sheetName val="Non debit-RMC"/>
      <sheetName val="Labour &amp; Plant"/>
      <sheetName val="RATE COMPILATION"/>
      <sheetName val="Plant &amp;  Machinery"/>
      <sheetName val="STRS"/>
      <sheetName val="Dropdown"/>
      <sheetName val="mlead"/>
      <sheetName val="abs road"/>
      <sheetName val="Abs_CD_2"/>
      <sheetName val="coverpage"/>
      <sheetName val="RMR"/>
      <sheetName val="road est"/>
      <sheetName val="Road data"/>
      <sheetName val="ECV"/>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Rate_Analysis"/>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07"/>
      <sheetName val="Voucher"/>
      <sheetName val="Assmpns"/>
      <sheetName val="DATA-DEP.(13-17)"/>
      <sheetName val="DATA-KBPL(17-25)"/>
      <sheetName val="DATA-GCC(25-34.7)"/>
      <sheetName val="St.-Con(0-17)"/>
      <sheetName val="St.-Con.(17-34)"/>
      <sheetName val="SCH 10"/>
      <sheetName val="calcul"/>
      <sheetName val="Diesel Analysis"/>
      <sheetName val="Elect."/>
      <sheetName val="SC revtrgt"/>
      <sheetName val="11-hsd"/>
      <sheetName val="13-septic"/>
      <sheetName val="7-ug"/>
      <sheetName val="2-utility"/>
      <sheetName val="18-misc"/>
      <sheetName val="5-pipe"/>
      <sheetName val="Core Data"/>
      <sheetName val="RA-markate"/>
      <sheetName val="TBEAM"/>
      <sheetName val="TS-TC"/>
      <sheetName val="ESOP ECAL TABLES"/>
      <sheetName val="Inputs"/>
      <sheetName val="precast RC element"/>
      <sheetName val="Timeshee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 "/>
      <sheetName val="bASICDATA"/>
      <sheetName val="Highway-I"/>
      <sheetName val="Structure-I"/>
      <sheetName val="QC-I"/>
      <sheetName val="Survey-I"/>
      <sheetName val="Sub con List"/>
      <sheetName val="KM wise Quantity"/>
      <sheetName val="ADMIN SHEET"/>
      <sheetName val="ANNEXURE-A"/>
      <sheetName val="Measurment"/>
      <sheetName val="NLD - Assum"/>
      <sheetName val="balance_Work3"/>
      <sheetName val="SAP架設-2005_12_314"/>
      <sheetName val="Material_3"/>
      <sheetName val="Section_by_layers_old"/>
      <sheetName val="doq"/>
      <sheetName val="Doha Farm"/>
      <sheetName val="basdat"/>
      <sheetName val="Charge"/>
      <sheetName val="Structure du projet"/>
      <sheetName val="MM2"/>
      <sheetName val="ST-O"/>
      <sheetName val="CG -St"/>
      <sheetName val="well"/>
      <sheetName val="starter"/>
      <sheetName val="factor "/>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Aggragate"/>
      <sheetName val="EqpPerfJun08"/>
      <sheetName val="ANN -V"/>
      <sheetName val="LL ABUT"/>
      <sheetName val="STR"/>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EF!"/>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Rollup Summary"/>
      <sheetName val="Sheet3 (2)"/>
      <sheetName val="BM"/>
      <sheetName val="POCOS_제출및납품일정"/>
      <sheetName val="Pile_cap"/>
      <sheetName val="PIPING_LINE_LIST"/>
      <sheetName val="Plant_&amp;__Machinery"/>
      <sheetName val="Register"/>
      <sheetName val="갑지"/>
      <sheetName val="ORDER BOOKING"/>
      <sheetName val="P-Site fac"/>
      <sheetName val="P-Clients fac"/>
      <sheetName val="Sheet1 (2)"/>
      <sheetName val="Roadlist"/>
      <sheetName val="Cal(6.3.2) GSB-T"/>
      <sheetName val="Cal(6.3.1) GSB-1(Jn.) DDA"/>
      <sheetName val="Cal(6.2.2) (b)EMB-T"/>
      <sheetName val="Cal(6.3.3) WMM-T"/>
      <sheetName val="Cal(6.2.4) SG-T"/>
      <sheetName val="CrRajWMM"/>
      <sheetName val="Sheet4"/>
      <sheetName val="Debit_Transit"/>
      <sheetName val="master"/>
      <sheetName val="RMC_Debit_Panjar_MB"/>
      <sheetName val="RMC_Debit"/>
      <sheetName val="2.2"/>
      <sheetName val="Details_RMC"/>
      <sheetName val="BATCHING PLANT PRO"/>
      <sheetName val="B2.MB_Deck"/>
      <sheetName val="Abt Foundation "/>
      <sheetName val="pier Foundation"/>
      <sheetName val="doq-10"/>
      <sheetName val="STAFFSCHED "/>
      <sheetName val="EOL"/>
      <sheetName val="other"/>
      <sheetName val="Cost_of_O_&amp;_O"/>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Field Values"/>
      <sheetName val="Desgn(zone I)"/>
      <sheetName val="Comparables"/>
      <sheetName val="BUD-8306"/>
      <sheetName val="Entry"/>
      <sheetName val="Sub_con_List"/>
      <sheetName val="KM_wise_Quantity"/>
      <sheetName val="MASTER_RATE ANALYSIS"/>
      <sheetName val="Cashflows"/>
      <sheetName val="yENİCE"/>
      <sheetName val="1St certified RA bill"/>
      <sheetName val="GSS_PSS_FEEDER"/>
      <sheetName val="BOQ (2)"/>
      <sheetName val="Config"/>
      <sheetName val="Tower Schedule"/>
      <sheetName val="CLAY"/>
      <sheetName val="Costing"/>
      <sheetName val="Abs PMRL"/>
      <sheetName val="loadcal"/>
      <sheetName val="Abstract of cost"/>
      <sheetName val="VCH-SLC"/>
      <sheetName val="Supplier"/>
      <sheetName val="IO List"/>
      <sheetName val="S2groupcode"/>
      <sheetName val="TBAL9697 -group wise  sdpl"/>
      <sheetName val="Model"/>
      <sheetName val="CONSTRUCTION COMPONENT"/>
      <sheetName val="CERT"/>
      <sheetName val="S4"/>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scatch"/>
      <sheetName val="ETC Plant Cost"/>
      <sheetName val="beam-reinft-IIInd floor"/>
      <sheetName val="Design"/>
      <sheetName val="dlvoid"/>
      <sheetName val="Labor abs-NMR"/>
      <sheetName val="Transfer"/>
      <sheetName val="공문"/>
      <sheetName val="Load_Calculation"/>
      <sheetName val="factor_"/>
      <sheetName val="SC_Cost_FEB_03"/>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Doha_Farm1"/>
      <sheetName val="INPUT_SHEET4"/>
      <sheetName val="Analysis-Drains_&amp;_Misc4"/>
      <sheetName val="Lead_Statement_(PCC)4"/>
      <sheetName val="Analysis-NH-Traf_&amp;_Trans4"/>
      <sheetName val="Cost_of_O_&amp;_O1"/>
      <sheetName val="doq_11"/>
      <sheetName val="doq_91"/>
      <sheetName val="Load_Calculation1"/>
      <sheetName val="Non_debit-RMC4"/>
      <sheetName val="RATE_COMPILATION4"/>
      <sheetName val="Plant_&amp;__Machinery2"/>
      <sheetName val="Diesel_Analysis1"/>
      <sheetName val="Elect_2"/>
      <sheetName val="abs_road4"/>
      <sheetName val="road_est4"/>
      <sheetName val="Road_data4"/>
      <sheetName val="SC_revtrgt1"/>
      <sheetName val="NLD_-_Assum1"/>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Structure_du_projet1"/>
      <sheetName val="factor_1"/>
      <sheetName val="SC_Cost_FEB_031"/>
      <sheetName val="Sub_con_List1"/>
      <sheetName val="KM_wise_Quantity1"/>
      <sheetName val="SCH_101"/>
      <sheetName val="Tower_Schedule1"/>
      <sheetName val="aoc-1"/>
      <sheetName val="aoc-10"/>
      <sheetName val="aoc-11"/>
      <sheetName val="aoc-2"/>
      <sheetName val="aoc-3"/>
      <sheetName val="aoc-4"/>
      <sheetName val="aoc-7"/>
      <sheetName val="aoc-8"/>
      <sheetName val="aoc-9"/>
      <sheetName val="Date"/>
      <sheetName val="전기"/>
      <sheetName val="BM_SF"/>
      <sheetName val="Rates_PVC"/>
      <sheetName val="Qty Report"/>
      <sheetName val="Cal"/>
      <sheetName val="maing1"/>
      <sheetName val="Cal(6_3_2)_GSB-T"/>
      <sheetName val="Cal(6_3_1)_GSB-1(Jn_)_DDA"/>
      <sheetName val="Cal(6_2_2)_(b)EMB-T"/>
      <sheetName val="Cal(6_3_3)_WMM-T"/>
      <sheetName val="Cal(6_2_4)_SG-T"/>
      <sheetName val="10-Crop_Age"/>
      <sheetName val="ADMIN_SHEET"/>
      <sheetName val="MASTER_RATE_ANALYSIS"/>
      <sheetName val="ETC_Plant_Cost"/>
      <sheetName val="beam-reinft-IIInd_floor"/>
      <sheetName val="288-1"/>
      <sheetName val="Dayworks Bill"/>
      <sheetName val="Bills of Quantities"/>
      <sheetName val="Vcap1500"/>
      <sheetName val="Back_Cal_for OMC"/>
      <sheetName val="LoadCapa"/>
      <sheetName val="AmbPtrlCrn"/>
      <sheetName val="MaintOH"/>
      <sheetName val="TollOH"/>
      <sheetName val="SKMD__32"/>
      <sheetName val="DIR_USED_ITEMS"/>
      <sheetName val="12_8_I_(M-40)"/>
      <sheetName val="CROSS-SECTION"/>
      <sheetName val="QTY-CRUST-MCW"/>
      <sheetName val="QTY-CRUST-SR"/>
      <sheetName val="banilad"/>
      <sheetName val="Mactan"/>
      <sheetName val="Mandaue"/>
      <sheetName val="BASIC RATES"/>
      <sheetName val="Project Budget Worksheet"/>
      <sheetName val="Design basis-C"/>
      <sheetName val="Sheet6"/>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type-Civil"/>
      <sheetName val="SAP架設-2005_12_319"/>
      <sheetName val="balance_Work8"/>
      <sheetName val="S-Curve_(2)8"/>
      <sheetName val="LOCAL_RATES8"/>
      <sheetName val="Material_8"/>
      <sheetName val="C_&amp;_G_RHS8"/>
      <sheetName val="21-Rate_Analysis-17"/>
      <sheetName val="final_abstract8"/>
      <sheetName val="Materials_Cost(PCC)8"/>
      <sheetName val="Final_Basic_rate7"/>
      <sheetName val="Materials_Cost7"/>
      <sheetName val="Rate_Analysis6"/>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HSD_LUB_5"/>
      <sheetName val="Mix_Design5"/>
      <sheetName val="doq-1_DOQ_Culvert5"/>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DETAILED__BOQ6"/>
      <sheetName val="UNP-NCW_5"/>
      <sheetName val="9_Major_Bridge5"/>
      <sheetName val="8__ROB5"/>
      <sheetName val="10_Minor_Structure5"/>
      <sheetName val="7__FLYOVER5"/>
      <sheetName val="2__Earthwork5"/>
      <sheetName val="schedule_nos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02_10_065"/>
      <sheetName val="P-Ins_&amp;_Bonds5"/>
      <sheetName val="BUD_07-085"/>
      <sheetName val="Materials_5"/>
      <sheetName val="01_11_20045"/>
      <sheetName val="USB_15"/>
      <sheetName val="220Kv_(2)5"/>
      <sheetName val="Input_Data5"/>
      <sheetName val="Input_Data_R5"/>
      <sheetName val="Input_Data_F5"/>
      <sheetName val="BOQ_Distribution5"/>
      <sheetName val="Fee_Rate_Summary5"/>
      <sheetName val="A_O_R_5"/>
      <sheetName val="Ave_wtd_rates5"/>
      <sheetName val="Data_Validation5"/>
      <sheetName val="MN_T_B_5"/>
      <sheetName val="Progressin_Next_mon-AP-175"/>
      <sheetName val="SPT_vs_PHI5"/>
      <sheetName val="Wind_Speed_II5"/>
      <sheetName val="Duopitch_Roof5"/>
      <sheetName val="Free-Standing_Wall5"/>
      <sheetName val="Vertical_Walls5"/>
      <sheetName val="Flat_Roof5"/>
      <sheetName val="Factor_Sb5"/>
      <sheetName val="Size_Effect_Factor5"/>
      <sheetName val="Direction_factor5"/>
      <sheetName val="Wind_Speed_I5"/>
      <sheetName val="Non_debit-RMC5"/>
      <sheetName val="Labour_&amp;_Plant5"/>
      <sheetName val="RATE_COMPILATION5"/>
      <sheetName val="Cost_of_O_&amp;_O2"/>
      <sheetName val="_AnalysisPCC5"/>
      <sheetName val="Analysis-Drains_&amp;_Misc5"/>
      <sheetName val="Lead_Statement_(PCC)5"/>
      <sheetName val="Analysis-NH-Traf_&amp;_Trans5"/>
      <sheetName val="Data_15"/>
      <sheetName val="SS_MH5"/>
      <sheetName val="Plant_&amp;__Machinery3"/>
      <sheetName val="E_&amp;_R5"/>
      <sheetName val="Qty_SR5"/>
      <sheetName val="INPUT_SHEET5"/>
      <sheetName val="Bus_Ways5"/>
      <sheetName val="Major_Br__Statement5"/>
      <sheetName val="Site_clearance5"/>
      <sheetName val="4_Annex_1_Basic_rate5"/>
      <sheetName val="gen_ledger_data5"/>
      <sheetName val="33628-Rev__A5"/>
      <sheetName val="General_input5"/>
      <sheetName val="Design_sheet5"/>
      <sheetName val="Diesel_Analysis2"/>
      <sheetName val="Elect_3"/>
      <sheetName val="RA_Civil5"/>
      <sheetName val="footing_for_SP5"/>
      <sheetName val="_1"/>
      <sheetName val="doq_12"/>
      <sheetName val="doq_92"/>
      <sheetName val="12__Ins_&amp;_Bonds5"/>
      <sheetName val="abs_road5"/>
      <sheetName val="road_est5"/>
      <sheetName val="Road_data5"/>
      <sheetName val="ESOP_ECAL_TABLES5"/>
      <sheetName val="precast_RC_element5"/>
      <sheetName val="Core_Data5"/>
      <sheetName val="GLEVEL_RHS5"/>
      <sheetName val="General_Analysis5"/>
      <sheetName val="SCH_102"/>
      <sheetName val="CG_-St1"/>
      <sheetName val="Doha_Farm2"/>
      <sheetName val="DATA-DEP_(13-17)5"/>
      <sheetName val="DATA-GCC(25-34_7)5"/>
      <sheetName val="St_-Con(0-17)5"/>
      <sheetName val="St_-Con_(17-34)5"/>
      <sheetName val="SC_revtrgt2"/>
      <sheetName val="NLD_-_Assum2"/>
      <sheetName val="Structure_du_projet2"/>
      <sheetName val="except_wiring5"/>
      <sheetName val="Appendix_A5"/>
      <sheetName val="JCR_TOP5"/>
      <sheetName val="Load_Calculation2"/>
      <sheetName val="Sub_con_List2"/>
      <sheetName val="KM_wise_Quantity2"/>
      <sheetName val="POCOS_제출및납품일정3"/>
      <sheetName val="Pile_cap3"/>
      <sheetName val="PIPING_LINE_LIST3"/>
      <sheetName val="LL_ABUT1"/>
      <sheetName val="ADMIN_SHEET1"/>
      <sheetName val="10-Crop_Age1"/>
      <sheetName val="factor_2"/>
      <sheetName val="Rollup_Summary2"/>
      <sheetName val="Sheet3_(2)2"/>
      <sheetName val="Abt_Foundation_"/>
      <sheetName val="pier_Foundation"/>
      <sheetName val="STAFFSCHED_"/>
      <sheetName val="2_2"/>
      <sheetName val="BATCHING_PLANT_PRO"/>
      <sheetName val="B2_MB_Deck"/>
      <sheetName val="SKMD__321"/>
      <sheetName val="DIR_USED_ITEMS1"/>
      <sheetName val="12_8_I_(M-40)1"/>
      <sheetName val="ANN_-V"/>
      <sheetName val="Sheet1_(2)"/>
      <sheetName val="Field_Values"/>
      <sheetName val="Desgn(zone_I)"/>
      <sheetName val="SC_Cost_FEB_032"/>
      <sheetName val="Cal(6_3_2)_GSB-T1"/>
      <sheetName val="Cal(6_3_1)_GSB-1(Jn_)_DDA1"/>
      <sheetName val="Cal(6_2_2)_(b)EMB-T1"/>
      <sheetName val="Cal(6_3_3)_WMM-T1"/>
      <sheetName val="Cal(6_2_4)_SG-T1"/>
      <sheetName val="ORDER_BOOKING"/>
      <sheetName val="MASTER_RATE_ANALYSIS1"/>
      <sheetName val="Abs_PMRL"/>
      <sheetName val="Abstract_of_cost"/>
      <sheetName val="IO_List"/>
      <sheetName val="TBAL9697_-group_wise__sdpl"/>
      <sheetName val="CONSTRUCTION_COMPONENT"/>
      <sheetName val="ETC_Plant_Cost1"/>
      <sheetName val="beam-reinft-IIInd_floor1"/>
      <sheetName val="Labor_abs-NMR"/>
      <sheetName val="1St_certified_RA_bill"/>
      <sheetName val="Tower_Schedule2"/>
      <sheetName val="BOQ_(2)"/>
      <sheetName val="Qty_Report"/>
      <sheetName val="Dayworks_Bill"/>
      <sheetName val="Bills_of_Quantities"/>
      <sheetName val="Back_Cal_for_OMC"/>
      <sheetName val="BASIC_RATES"/>
      <sheetName val="Cont.Wt."/>
      <sheetName val="estimate"/>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_2"/>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CG_-St2"/>
      <sheetName val="Doha_Farm3"/>
      <sheetName val="DATA-DEP_(13-17)6"/>
      <sheetName val="DATA-GCC(25-34_7)6"/>
      <sheetName val="St_-Con(0-17)6"/>
      <sheetName val="St_-Con_(17-34)6"/>
      <sheetName val="SC_revtrgt3"/>
      <sheetName val="NLD_-_Assum3"/>
      <sheetName val="Structure_du_projet3"/>
      <sheetName val="except_wiring6"/>
      <sheetName val="Appendix_A6"/>
      <sheetName val="JCR_TOP6"/>
      <sheetName val="Load_Calculation3"/>
      <sheetName val="Sub_con_List3"/>
      <sheetName val="KM_wise_Quantity3"/>
      <sheetName val="POCOS_제출및납품일정4"/>
      <sheetName val="Pile_cap4"/>
      <sheetName val="PIPING_LINE_LIST4"/>
      <sheetName val="LL_ABUT2"/>
      <sheetName val="ADMIN_SHEET2"/>
      <sheetName val="10-Crop_Age2"/>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Cal(6_3_2)_GSB-T2"/>
      <sheetName val="Cal(6_3_1)_GSB-1(Jn_)_DDA2"/>
      <sheetName val="Cal(6_2_2)_(b)EMB-T2"/>
      <sheetName val="Cal(6_3_3)_WMM-T2"/>
      <sheetName val="Cal(6_2_4)_SG-T2"/>
      <sheetName val="ORDER_BOOKING1"/>
      <sheetName val="MASTER_RATE_ANALYSIS2"/>
      <sheetName val="Abs_PMRL1"/>
      <sheetName val="Abstract_of_cost1"/>
      <sheetName val="IO_List1"/>
      <sheetName val="TBAL9697_-group_wise__sdpl1"/>
      <sheetName val="CONSTRUCTION_COMPONENT1"/>
      <sheetName val="ETC_Plant_Cost2"/>
      <sheetName val="beam-reinft-IIInd_floor2"/>
      <sheetName val="Labor_abs-NMR1"/>
      <sheetName val="1St_certified_RA_bill1"/>
      <sheetName val="Tower_Schedule3"/>
      <sheetName val="BOQ_(2)1"/>
      <sheetName val="Qty_Report1"/>
      <sheetName val="Dayworks_Bill1"/>
      <sheetName val="Bills_of_Quantities1"/>
      <sheetName val="Back_Cal_for_OMC1"/>
      <sheetName val="BASIC_RATES1"/>
      <sheetName val="MATERIAL COST"/>
      <sheetName val="6공구(당초)"/>
      <sheetName val="Progress"/>
      <sheetName val="no."/>
      <sheetName val="Pro Pavement"/>
      <sheetName val="Monthly Turnover (Final)"/>
      <sheetName val="Monthly Programme"/>
      <sheetName val="Sch-3"/>
      <sheetName val="Abstruct total"/>
      <sheetName val="Costing-blk-B"/>
      <sheetName val="HP(9.200)"/>
      <sheetName val="Equipment Master"/>
      <sheetName val="Pro_Pavement"/>
      <sheetName val="Monthly_Turnover_(Final)"/>
      <sheetName val="Monthly_Programme"/>
      <sheetName val="Abstruct_total"/>
      <sheetName val="HP(9_200)"/>
      <sheetName val="Equipment_Master"/>
      <sheetName val="HW-MEASURMENT"/>
      <sheetName val="doq4 "/>
      <sheetName val="C-data"/>
      <sheetName val="Lead statement"/>
      <sheetName val="Vendor Name"/>
      <sheetName val="FRL-OGL"/>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ay work"/>
      <sheetName val="SALIENT"/>
      <sheetName val="Mechanical"/>
      <sheetName val="Cover"/>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dummy"/>
      <sheetName val="AT-3"/>
      <sheetName val="CFL-KIM"/>
      <sheetName val="FORM7"/>
      <sheetName val="REGIONWISE POPULATION"/>
      <sheetName val="tower wt."/>
      <sheetName val="FOREST"/>
      <sheetName val="REGIONWISE_POPULATION"/>
      <sheetName val="tower_wt_"/>
      <sheetName val="CY4 casted"/>
      <sheetName val="PACK (B)"/>
      <sheetName val="VARIABLE"/>
      <sheetName val="BOQ DIS"/>
      <sheetName val="Quantity"/>
      <sheetName val="All Equipments"/>
      <sheetName val="ISTDUV_KUR"/>
      <sheetName val="BRIM_ICMAL"/>
      <sheetName val="TELBAĞ_KUR"/>
      <sheetName val="yoca_kur"/>
      <sheetName val="TESKAN_KUR"/>
      <sheetName val="ISITES_KUR"/>
      <sheetName val="POZLAR"/>
      <sheetName val="YOLOT_KUR"/>
      <sheetName val="Resource"/>
      <sheetName val="Not found as per ground reality"/>
      <sheetName val="Longitudinal"/>
      <sheetName val="Steel Structure"/>
      <sheetName val="IMCWSRLevels"/>
      <sheetName val="PAVEMENT MN"/>
      <sheetName val="SP Break Up"/>
      <sheetName val="Sweeper Machine"/>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Overheads"/>
      <sheetName val="Gen Info"/>
      <sheetName val="Desdat"/>
      <sheetName val="Bill-12"/>
      <sheetName val="Summary_Local"/>
      <sheetName val="TABLES"/>
      <sheetName val="Project_Budget_Worksheet"/>
      <sheetName val="no_"/>
      <sheetName val="BOQ_DIS"/>
      <sheetName val="All_Equipments"/>
      <sheetName val="PQC Design"/>
      <sheetName val="pqc check"/>
      <sheetName val="Chpt 1-4 &amp; 13"/>
      <sheetName val="AOR"/>
      <sheetName val="자바라1"/>
      <sheetName val="EDWise"/>
      <sheetName val="HB CEC schd 6.2"/>
      <sheetName val="Code03"/>
      <sheetName val="RAT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efreshError="1"/>
      <sheetData sheetId="917" refreshError="1"/>
      <sheetData sheetId="918" refreshError="1"/>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sheetData sheetId="1180" refreshError="1"/>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sheetData sheetId="1374"/>
      <sheetData sheetId="1375"/>
      <sheetData sheetId="1376"/>
      <sheetData sheetId="1377"/>
      <sheetData sheetId="1378"/>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refreshError="1"/>
      <sheetData sheetId="1622" refreshError="1"/>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SILICATE"/>
      <sheetName val="Elec. Load"/>
      <sheetName val="설산1.나"/>
      <sheetName val="본사S"/>
      <sheetName val="공통부대비"/>
      <sheetName val="GROUNDING SYSTEM"/>
      <sheetName val="OrderBM(Power)"/>
      <sheetName val="입력값"/>
      <sheetName val="도급양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BOQ"/>
      <sheetName val="L + M"/>
      <sheetName val="SCHEDULE"/>
      <sheetName val="Supply"/>
      <sheetName val="P&amp;M"/>
      <sheetName val="PR_PARTS"/>
      <sheetName val="PIPING"/>
      <sheetName val="Acid cleaning"/>
      <sheetName val="Cementmortar"/>
      <sheetName val="welding"/>
      <sheetName val="OVERHEADS"/>
      <sheetName val="PAINTING"/>
      <sheetName val="ESCALATION"/>
      <sheetName val="COSTCODE"/>
      <sheetName val="MD Rate Apr-13"/>
      <sheetName val="Sheet1"/>
      <sheetName val="DATA_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v>1000</v>
          </cell>
          <cell r="I6">
            <v>37000</v>
          </cell>
          <cell r="L6">
            <v>29600</v>
          </cell>
          <cell r="M6" t="str">
            <v>ER90SB9</v>
          </cell>
          <cell r="N6">
            <v>822.30000000000007</v>
          </cell>
          <cell r="P6">
            <v>4851570</v>
          </cell>
          <cell r="Q6" t="str">
            <v>E9018B9</v>
          </cell>
          <cell r="R6">
            <v>12388.254000000003</v>
          </cell>
          <cell r="T6">
            <v>11768841.300000003</v>
          </cell>
          <cell r="U6">
            <v>3700</v>
          </cell>
          <cell r="V6">
            <v>1850</v>
          </cell>
          <cell r="W6">
            <v>660.71428571428578</v>
          </cell>
          <cell r="AA6">
            <v>62865</v>
          </cell>
          <cell r="AC6" t="str">
            <v>AS</v>
          </cell>
        </row>
        <row r="7">
          <cell r="G7">
            <v>1</v>
          </cell>
          <cell r="I7">
            <v>37</v>
          </cell>
          <cell r="L7">
            <v>25.9</v>
          </cell>
          <cell r="M7" t="str">
            <v>ER70S2</v>
          </cell>
          <cell r="N7">
            <v>0.9</v>
          </cell>
          <cell r="P7">
            <v>405</v>
          </cell>
          <cell r="Q7" t="str">
            <v>E7018-1</v>
          </cell>
          <cell r="R7">
            <v>14.329594049999997</v>
          </cell>
          <cell r="T7">
            <v>2149.4391074999994</v>
          </cell>
          <cell r="U7">
            <v>0</v>
          </cell>
          <cell r="V7">
            <v>1.85</v>
          </cell>
          <cell r="W7">
            <v>0.66071428571428581</v>
          </cell>
          <cell r="AA7">
            <v>62.865000000000002</v>
          </cell>
          <cell r="AC7" t="str">
            <v>CS</v>
          </cell>
          <cell r="AI7">
            <v>1</v>
          </cell>
          <cell r="AJ7" t="str">
            <v>SA106GRB</v>
          </cell>
          <cell r="AK7" t="str">
            <v>SA106GRB</v>
          </cell>
          <cell r="AL7" t="str">
            <v>ER70S2</v>
          </cell>
          <cell r="AM7" t="str">
            <v>E7018</v>
          </cell>
          <cell r="AN7" t="str">
            <v>CS</v>
          </cell>
          <cell r="AR7" t="str">
            <v>ER308</v>
          </cell>
          <cell r="AS7">
            <v>1750</v>
          </cell>
          <cell r="AU7" t="str">
            <v>E308-16</v>
          </cell>
          <cell r="AV7">
            <v>500</v>
          </cell>
        </row>
        <row r="8">
          <cell r="G8">
            <v>1</v>
          </cell>
          <cell r="I8">
            <v>12</v>
          </cell>
          <cell r="L8">
            <v>10.199999999999999</v>
          </cell>
          <cell r="M8" t="str">
            <v>ER70S2</v>
          </cell>
          <cell r="N8">
            <v>0.30000000000000004</v>
          </cell>
          <cell r="P8">
            <v>135.00000000000003</v>
          </cell>
          <cell r="Q8" t="str">
            <v>E7018-1</v>
          </cell>
          <cell r="R8">
            <v>9.406916159999998</v>
          </cell>
          <cell r="T8">
            <v>1411.0374239999996</v>
          </cell>
          <cell r="U8">
            <v>0</v>
          </cell>
          <cell r="V8">
            <v>0.6</v>
          </cell>
          <cell r="W8">
            <v>0.2142857142857143</v>
          </cell>
          <cell r="AA8">
            <v>36.0426</v>
          </cell>
          <cell r="AC8" t="str">
            <v>CS</v>
          </cell>
          <cell r="AI8">
            <v>2</v>
          </cell>
          <cell r="AJ8" t="str">
            <v>SA106GRB</v>
          </cell>
          <cell r="AK8" t="str">
            <v>SA36</v>
          </cell>
          <cell r="AL8" t="str">
            <v>ER70S2</v>
          </cell>
          <cell r="AM8" t="str">
            <v>E7018</v>
          </cell>
          <cell r="AN8" t="str">
            <v>CS</v>
          </cell>
          <cell r="AR8" t="str">
            <v>ER309</v>
          </cell>
          <cell r="AS8">
            <v>1900</v>
          </cell>
          <cell r="AU8" t="str">
            <v>E308L16</v>
          </cell>
          <cell r="AV8">
            <v>650</v>
          </cell>
        </row>
        <row r="9">
          <cell r="G9">
            <v>1</v>
          </cell>
          <cell r="I9">
            <v>13</v>
          </cell>
          <cell r="L9">
            <v>11.049999999999999</v>
          </cell>
          <cell r="M9" t="str">
            <v>ER70S2</v>
          </cell>
          <cell r="N9">
            <v>0.30000000000000004</v>
          </cell>
          <cell r="P9">
            <v>135.00000000000003</v>
          </cell>
          <cell r="Q9" t="str">
            <v>E7018-1</v>
          </cell>
          <cell r="R9">
            <v>8.6869259999999979</v>
          </cell>
          <cell r="T9">
            <v>1303.0388999999998</v>
          </cell>
          <cell r="U9">
            <v>0</v>
          </cell>
          <cell r="V9">
            <v>0.65</v>
          </cell>
          <cell r="W9">
            <v>0.23214285714285718</v>
          </cell>
          <cell r="AA9">
            <v>34.414374999999993</v>
          </cell>
          <cell r="AC9" t="str">
            <v>CS</v>
          </cell>
          <cell r="AI9">
            <v>3</v>
          </cell>
          <cell r="AJ9" t="str">
            <v>SA106GRB</v>
          </cell>
          <cell r="AK9" t="str">
            <v>15NiCuMoNb5</v>
          </cell>
          <cell r="AL9">
            <v>0</v>
          </cell>
          <cell r="AM9" t="str">
            <v>E7018</v>
          </cell>
          <cell r="AN9" t="str">
            <v>CS</v>
          </cell>
          <cell r="AR9" t="str">
            <v>ER316</v>
          </cell>
          <cell r="AS9">
            <v>2250</v>
          </cell>
          <cell r="AU9" t="str">
            <v>E308L16/E308L15</v>
          </cell>
          <cell r="AV9">
            <v>650</v>
          </cell>
        </row>
        <row r="10">
          <cell r="G10">
            <v>1</v>
          </cell>
          <cell r="I10">
            <v>13</v>
          </cell>
          <cell r="L10">
            <v>11.049999999999999</v>
          </cell>
          <cell r="M10" t="str">
            <v>ER70S2</v>
          </cell>
          <cell r="N10">
            <v>0.30000000000000004</v>
          </cell>
          <cell r="P10">
            <v>135.00000000000003</v>
          </cell>
          <cell r="Q10" t="str">
            <v>E7018-1</v>
          </cell>
          <cell r="R10">
            <v>10.215825839999997</v>
          </cell>
          <cell r="T10">
            <v>1532.3738759999997</v>
          </cell>
          <cell r="U10">
            <v>0</v>
          </cell>
          <cell r="V10">
            <v>0.65</v>
          </cell>
          <cell r="W10">
            <v>0.23214285714285718</v>
          </cell>
          <cell r="AA10">
            <v>38.301174999999994</v>
          </cell>
          <cell r="AC10" t="str">
            <v>CS</v>
          </cell>
          <cell r="AI10">
            <v>4</v>
          </cell>
          <cell r="AJ10" t="str">
            <v>SA106GRC</v>
          </cell>
          <cell r="AK10" t="str">
            <v>SA106GRC</v>
          </cell>
          <cell r="AL10" t="str">
            <v>ER80SD2/ER70SA1</v>
          </cell>
          <cell r="AM10" t="str">
            <v>E7018-1/E7018A1</v>
          </cell>
          <cell r="AN10" t="str">
            <v>CS</v>
          </cell>
          <cell r="AR10" t="str">
            <v>ER316L</v>
          </cell>
          <cell r="AS10">
            <v>2500</v>
          </cell>
          <cell r="AU10" t="str">
            <v>E309</v>
          </cell>
          <cell r="AV10">
            <v>800</v>
          </cell>
        </row>
        <row r="11">
          <cell r="G11">
            <v>1</v>
          </cell>
          <cell r="I11">
            <v>16</v>
          </cell>
          <cell r="L11">
            <v>15.2</v>
          </cell>
          <cell r="M11" t="str">
            <v>ER70S2</v>
          </cell>
          <cell r="N11">
            <v>0.4</v>
          </cell>
          <cell r="P11">
            <v>180</v>
          </cell>
          <cell r="Q11" t="str">
            <v>E7018-1</v>
          </cell>
          <cell r="R11">
            <v>14.716216320000001</v>
          </cell>
          <cell r="T11">
            <v>2207.432448</v>
          </cell>
          <cell r="U11">
            <v>0</v>
          </cell>
          <cell r="V11">
            <v>0.8</v>
          </cell>
          <cell r="W11">
            <v>0.28571428571428575</v>
          </cell>
          <cell r="AA11">
            <v>53.441600000000001</v>
          </cell>
          <cell r="AC11" t="str">
            <v>CS</v>
          </cell>
          <cell r="AI11">
            <v>5</v>
          </cell>
          <cell r="AJ11" t="str">
            <v>SA106GRC</v>
          </cell>
          <cell r="AK11" t="str">
            <v>SA210GRC</v>
          </cell>
          <cell r="AL11" t="str">
            <v>ER80SD2</v>
          </cell>
          <cell r="AM11" t="str">
            <v>E7018-1</v>
          </cell>
          <cell r="AN11" t="str">
            <v>CS</v>
          </cell>
          <cell r="AR11" t="str">
            <v>ER347</v>
          </cell>
          <cell r="AS11">
            <v>1750</v>
          </cell>
          <cell r="AU11" t="str">
            <v>E309-16</v>
          </cell>
          <cell r="AV11">
            <v>750</v>
          </cell>
        </row>
        <row r="12">
          <cell r="G12">
            <v>1</v>
          </cell>
          <cell r="I12">
            <v>16</v>
          </cell>
          <cell r="L12">
            <v>15.2</v>
          </cell>
          <cell r="M12" t="str">
            <v>ER70S2</v>
          </cell>
          <cell r="N12">
            <v>0.4</v>
          </cell>
          <cell r="P12">
            <v>180</v>
          </cell>
          <cell r="Q12" t="str">
            <v>E7018-1</v>
          </cell>
          <cell r="R12">
            <v>15.519968</v>
          </cell>
          <cell r="T12">
            <v>2327.9951999999998</v>
          </cell>
          <cell r="U12">
            <v>0</v>
          </cell>
          <cell r="V12">
            <v>0.8</v>
          </cell>
          <cell r="W12">
            <v>0.28571428571428575</v>
          </cell>
          <cell r="AA12">
            <v>55.372</v>
          </cell>
          <cell r="AC12" t="str">
            <v>CS</v>
          </cell>
          <cell r="AI12">
            <v>6</v>
          </cell>
          <cell r="AJ12" t="str">
            <v>SA106GRC</v>
          </cell>
          <cell r="AK12" t="str">
            <v>SA213T12</v>
          </cell>
          <cell r="AL12" t="str">
            <v>ER80SB2</v>
          </cell>
          <cell r="AM12" t="str">
            <v>E8016B2</v>
          </cell>
          <cell r="AN12" t="str">
            <v>AS</v>
          </cell>
          <cell r="AR12" t="str">
            <v>ER70S2</v>
          </cell>
          <cell r="AS12">
            <v>450</v>
          </cell>
          <cell r="AU12" t="str">
            <v>E316-15/E316-16</v>
          </cell>
          <cell r="AV12">
            <v>750</v>
          </cell>
        </row>
        <row r="13">
          <cell r="G13">
            <v>1</v>
          </cell>
          <cell r="I13">
            <v>18</v>
          </cell>
          <cell r="L13">
            <v>17.099999999999998</v>
          </cell>
          <cell r="M13" t="str">
            <v>ER70S2</v>
          </cell>
          <cell r="N13">
            <v>0.4</v>
          </cell>
          <cell r="P13">
            <v>180</v>
          </cell>
          <cell r="Q13" t="str">
            <v>E7018-1</v>
          </cell>
          <cell r="R13">
            <v>19.809256640000001</v>
          </cell>
          <cell r="T13">
            <v>2971.388496</v>
          </cell>
          <cell r="U13">
            <v>0</v>
          </cell>
          <cell r="V13">
            <v>0.9</v>
          </cell>
          <cell r="W13">
            <v>0.32142857142857145</v>
          </cell>
          <cell r="AA13">
            <v>67.665599999999998</v>
          </cell>
          <cell r="AC13" t="str">
            <v>CS</v>
          </cell>
          <cell r="AI13">
            <v>7</v>
          </cell>
          <cell r="AJ13" t="str">
            <v>SA106GRC</v>
          </cell>
          <cell r="AK13" t="str">
            <v>SA335P12</v>
          </cell>
          <cell r="AL13" t="str">
            <v>ER80SB2</v>
          </cell>
          <cell r="AM13" t="str">
            <v>E8016B2</v>
          </cell>
          <cell r="AN13" t="str">
            <v>AS</v>
          </cell>
          <cell r="AR13" t="str">
            <v>ER70SA1</v>
          </cell>
          <cell r="AS13">
            <v>650</v>
          </cell>
          <cell r="AU13" t="str">
            <v>E316-15L/E316-16L</v>
          </cell>
          <cell r="AV13">
            <v>850</v>
          </cell>
        </row>
        <row r="14">
          <cell r="G14">
            <v>1</v>
          </cell>
          <cell r="I14">
            <v>24</v>
          </cell>
          <cell r="L14">
            <v>22.799999999999997</v>
          </cell>
          <cell r="M14" t="str">
            <v>ER70S2</v>
          </cell>
          <cell r="N14">
            <v>0.6</v>
          </cell>
          <cell r="P14">
            <v>270</v>
          </cell>
          <cell r="Q14" t="str">
            <v>E7018-1</v>
          </cell>
          <cell r="R14">
            <v>46.907711999999997</v>
          </cell>
          <cell r="T14">
            <v>7036.1567999999997</v>
          </cell>
          <cell r="U14">
            <v>0</v>
          </cell>
          <cell r="V14">
            <v>1.2</v>
          </cell>
          <cell r="W14">
            <v>0.4285714285714286</v>
          </cell>
          <cell r="AA14">
            <v>132.67500000000001</v>
          </cell>
          <cell r="AC14" t="str">
            <v>CS</v>
          </cell>
          <cell r="AI14">
            <v>8</v>
          </cell>
          <cell r="AJ14" t="str">
            <v>SA106GRC</v>
          </cell>
          <cell r="AK14" t="str">
            <v>TP304</v>
          </cell>
          <cell r="AL14" t="str">
            <v>ERNiCr3/ER309L</v>
          </cell>
          <cell r="AM14" t="str">
            <v>ENiCrMo3/E309L16</v>
          </cell>
          <cell r="AN14" t="str">
            <v>SS</v>
          </cell>
          <cell r="AR14" t="str">
            <v>ER70SB2</v>
          </cell>
          <cell r="AS14">
            <v>1400</v>
          </cell>
          <cell r="AU14" t="str">
            <v>E347-15/E347-16</v>
          </cell>
          <cell r="AV14">
            <v>600</v>
          </cell>
        </row>
        <row r="15">
          <cell r="G15">
            <v>1</v>
          </cell>
          <cell r="I15">
            <v>26</v>
          </cell>
          <cell r="L15">
            <v>15.6</v>
          </cell>
          <cell r="M15" t="str">
            <v>ER70S2</v>
          </cell>
          <cell r="N15">
            <v>0.6</v>
          </cell>
          <cell r="P15">
            <v>270</v>
          </cell>
          <cell r="Q15" t="str">
            <v>E7018-1</v>
          </cell>
          <cell r="R15">
            <v>4.29140912</v>
          </cell>
          <cell r="T15">
            <v>643.71136799999999</v>
          </cell>
          <cell r="U15">
            <v>0</v>
          </cell>
          <cell r="V15">
            <v>1.3</v>
          </cell>
          <cell r="W15">
            <v>0.46428571428571436</v>
          </cell>
          <cell r="AA15">
            <v>31.184999999999995</v>
          </cell>
          <cell r="AC15" t="str">
            <v>CS</v>
          </cell>
          <cell r="AI15">
            <v>9</v>
          </cell>
          <cell r="AJ15" t="str">
            <v>SA106GRC</v>
          </cell>
          <cell r="AK15" t="str">
            <v>TP309</v>
          </cell>
          <cell r="AL15" t="str">
            <v>ERNiCr3/ER309L</v>
          </cell>
          <cell r="AM15" t="str">
            <v>ENiCrMo3/E309L16</v>
          </cell>
          <cell r="AN15" t="str">
            <v>SS</v>
          </cell>
          <cell r="AR15" t="str">
            <v>ER70SG</v>
          </cell>
          <cell r="AS15">
            <v>1500</v>
          </cell>
          <cell r="AU15" t="str">
            <v>E6013</v>
          </cell>
          <cell r="AV15">
            <v>100</v>
          </cell>
        </row>
        <row r="16">
          <cell r="G16">
            <v>1</v>
          </cell>
          <cell r="I16">
            <v>26</v>
          </cell>
          <cell r="L16">
            <v>16.900000000000002</v>
          </cell>
          <cell r="M16" t="str">
            <v>ER70S2</v>
          </cell>
          <cell r="N16">
            <v>0.6</v>
          </cell>
          <cell r="P16">
            <v>270</v>
          </cell>
          <cell r="Q16" t="str">
            <v>E7018-1</v>
          </cell>
          <cell r="R16">
            <v>5.0758520000000003</v>
          </cell>
          <cell r="T16">
            <v>761.37780000000009</v>
          </cell>
          <cell r="U16">
            <v>0</v>
          </cell>
          <cell r="V16">
            <v>1.3</v>
          </cell>
          <cell r="W16">
            <v>0.46428571428571436</v>
          </cell>
          <cell r="AA16">
            <v>33.825000000000003</v>
          </cell>
          <cell r="AC16" t="str">
            <v>CS</v>
          </cell>
          <cell r="AI16">
            <v>10</v>
          </cell>
          <cell r="AJ16" t="str">
            <v>SA106GRC</v>
          </cell>
          <cell r="AK16" t="str">
            <v>TP310S</v>
          </cell>
          <cell r="AL16" t="str">
            <v>ERNiCr3/ER309L</v>
          </cell>
          <cell r="AM16" t="str">
            <v>ENiCrMo3/E309L16</v>
          </cell>
          <cell r="AN16" t="str">
            <v>SS</v>
          </cell>
          <cell r="AR16" t="str">
            <v>ER70SG/ER80SB2</v>
          </cell>
          <cell r="AS16">
            <v>1250</v>
          </cell>
          <cell r="AU16" t="str">
            <v>E7018</v>
          </cell>
          <cell r="AV16">
            <v>150</v>
          </cell>
        </row>
        <row r="17">
          <cell r="G17">
            <v>1</v>
          </cell>
          <cell r="I17">
            <v>37</v>
          </cell>
          <cell r="L17">
            <v>25.9</v>
          </cell>
          <cell r="M17" t="str">
            <v>ER70S2</v>
          </cell>
          <cell r="N17">
            <v>0.9</v>
          </cell>
          <cell r="P17">
            <v>405</v>
          </cell>
          <cell r="Q17" t="str">
            <v>E7018-1</v>
          </cell>
          <cell r="R17">
            <v>10.72789824</v>
          </cell>
          <cell r="T17">
            <v>1609.1847359999999</v>
          </cell>
          <cell r="U17">
            <v>0</v>
          </cell>
          <cell r="V17">
            <v>1.85</v>
          </cell>
          <cell r="W17">
            <v>0.66071428571428581</v>
          </cell>
          <cell r="AA17">
            <v>58.064399999999999</v>
          </cell>
          <cell r="AC17" t="str">
            <v>CS</v>
          </cell>
          <cell r="AI17">
            <v>11</v>
          </cell>
          <cell r="AJ17" t="str">
            <v>SA106GRC</v>
          </cell>
          <cell r="AK17" t="str">
            <v>SA430</v>
          </cell>
          <cell r="AL17" t="str">
            <v>ERNiCr3</v>
          </cell>
          <cell r="AM17" t="str">
            <v>ENiCrMo3</v>
          </cell>
          <cell r="AN17" t="str">
            <v>SS</v>
          </cell>
          <cell r="AR17" t="str">
            <v>ER80SB2</v>
          </cell>
          <cell r="AS17">
            <v>1600</v>
          </cell>
          <cell r="AU17" t="str">
            <v>E7018-1</v>
          </cell>
          <cell r="AV17">
            <v>150</v>
          </cell>
        </row>
        <row r="18">
          <cell r="G18">
            <v>1</v>
          </cell>
          <cell r="I18">
            <v>37</v>
          </cell>
          <cell r="L18">
            <v>25.9</v>
          </cell>
          <cell r="M18" t="str">
            <v>ER70S2</v>
          </cell>
          <cell r="N18">
            <v>0.9</v>
          </cell>
          <cell r="P18">
            <v>405</v>
          </cell>
          <cell r="Q18" t="str">
            <v>E7018-1</v>
          </cell>
          <cell r="R18">
            <v>10.72789824</v>
          </cell>
          <cell r="T18">
            <v>1609.1847359999999</v>
          </cell>
          <cell r="U18">
            <v>0</v>
          </cell>
          <cell r="V18">
            <v>1.85</v>
          </cell>
          <cell r="W18">
            <v>0.66071428571428581</v>
          </cell>
          <cell r="AA18">
            <v>58.064399999999999</v>
          </cell>
          <cell r="AC18" t="str">
            <v>CS</v>
          </cell>
          <cell r="AI18">
            <v>12</v>
          </cell>
          <cell r="AJ18" t="str">
            <v>SA106GRC</v>
          </cell>
          <cell r="AK18" t="str">
            <v>13MnNiMo54</v>
          </cell>
          <cell r="AL18" t="str">
            <v>ER70SA1</v>
          </cell>
          <cell r="AM18" t="str">
            <v>E7018A1</v>
          </cell>
          <cell r="AN18" t="str">
            <v>CS</v>
          </cell>
          <cell r="AR18" t="str">
            <v>ER80SB2/ER80SG</v>
          </cell>
          <cell r="AS18">
            <v>1600</v>
          </cell>
          <cell r="AU18" t="str">
            <v>E7018-1/E7018A1</v>
          </cell>
          <cell r="AV18">
            <v>250</v>
          </cell>
        </row>
        <row r="19">
          <cell r="G19">
            <v>1</v>
          </cell>
          <cell r="I19">
            <v>18</v>
          </cell>
          <cell r="L19">
            <v>18.900000000000002</v>
          </cell>
          <cell r="M19" t="str">
            <v>ER90SB3</v>
          </cell>
          <cell r="N19">
            <v>0.4</v>
          </cell>
          <cell r="P19">
            <v>660</v>
          </cell>
          <cell r="Q19" t="str">
            <v>E9018B3</v>
          </cell>
          <cell r="R19">
            <v>21.17040656</v>
          </cell>
          <cell r="T19">
            <v>8468.1626240000005</v>
          </cell>
          <cell r="U19">
            <v>1.8</v>
          </cell>
          <cell r="V19">
            <v>0.9</v>
          </cell>
          <cell r="W19">
            <v>0.32142857142857145</v>
          </cell>
          <cell r="AA19">
            <v>70.7517</v>
          </cell>
          <cell r="AC19" t="str">
            <v>AS</v>
          </cell>
          <cell r="AI19">
            <v>13</v>
          </cell>
          <cell r="AJ19" t="str">
            <v>SA210GRA1</v>
          </cell>
          <cell r="AK19" t="str">
            <v>SA210GRA1</v>
          </cell>
          <cell r="AL19" t="str">
            <v>ER70S2</v>
          </cell>
          <cell r="AM19" t="str">
            <v>E7018</v>
          </cell>
          <cell r="AN19" t="str">
            <v>CS</v>
          </cell>
          <cell r="AR19" t="str">
            <v>ER80SB6</v>
          </cell>
          <cell r="AS19">
            <v>1900</v>
          </cell>
          <cell r="AU19" t="str">
            <v>E7018A1</v>
          </cell>
          <cell r="AV19">
            <v>250</v>
          </cell>
        </row>
        <row r="20">
          <cell r="G20">
            <v>1</v>
          </cell>
          <cell r="I20">
            <v>4</v>
          </cell>
          <cell r="L20">
            <v>2.8</v>
          </cell>
          <cell r="M20" t="str">
            <v>ER90SB9</v>
          </cell>
          <cell r="N20">
            <v>0.1</v>
          </cell>
          <cell r="P20">
            <v>590</v>
          </cell>
          <cell r="Q20" t="str">
            <v>E9018B9</v>
          </cell>
          <cell r="R20">
            <v>0.38508564479999996</v>
          </cell>
          <cell r="T20">
            <v>365.83136255999995</v>
          </cell>
          <cell r="U20">
            <v>0.4</v>
          </cell>
          <cell r="V20">
            <v>0.2</v>
          </cell>
          <cell r="W20">
            <v>7.1428571428571438E-2</v>
          </cell>
          <cell r="AA20">
            <v>3.3870900000000002</v>
          </cell>
          <cell r="AC20" t="str">
            <v>AS</v>
          </cell>
          <cell r="AI20">
            <v>14</v>
          </cell>
          <cell r="AJ20" t="str">
            <v>SA210GRC</v>
          </cell>
          <cell r="AK20" t="str">
            <v>SA210GRC</v>
          </cell>
          <cell r="AL20" t="str">
            <v>ER70S2</v>
          </cell>
          <cell r="AM20" t="str">
            <v>E7018-1</v>
          </cell>
          <cell r="AN20" t="str">
            <v>CS</v>
          </cell>
          <cell r="AR20" t="str">
            <v>ER80SB8</v>
          </cell>
          <cell r="AS20">
            <v>2000</v>
          </cell>
          <cell r="AU20" t="str">
            <v>E7018B2</v>
          </cell>
          <cell r="AV20">
            <v>250</v>
          </cell>
        </row>
        <row r="21">
          <cell r="G21">
            <v>1</v>
          </cell>
          <cell r="I21">
            <v>11</v>
          </cell>
          <cell r="L21">
            <v>9.35</v>
          </cell>
          <cell r="M21" t="str">
            <v>ER90SB9</v>
          </cell>
          <cell r="N21">
            <v>0.30000000000000004</v>
          </cell>
          <cell r="P21">
            <v>1770.0000000000002</v>
          </cell>
          <cell r="Q21" t="str">
            <v>E9018B9</v>
          </cell>
          <cell r="R21">
            <v>6.4223103200000002</v>
          </cell>
          <cell r="T21">
            <v>6101.1948040000007</v>
          </cell>
          <cell r="U21">
            <v>1.1000000000000001</v>
          </cell>
          <cell r="V21">
            <v>0.55000000000000004</v>
          </cell>
          <cell r="W21">
            <v>0.19642857142857145</v>
          </cell>
          <cell r="AA21">
            <v>26.695525000000004</v>
          </cell>
          <cell r="AC21" t="str">
            <v>AS</v>
          </cell>
          <cell r="AI21">
            <v>15</v>
          </cell>
          <cell r="AJ21" t="str">
            <v>SA210GRC</v>
          </cell>
          <cell r="AK21" t="str">
            <v>SA213T12</v>
          </cell>
          <cell r="AL21" t="str">
            <v>ER80SB2</v>
          </cell>
          <cell r="AM21" t="str">
            <v>E8016B2</v>
          </cell>
          <cell r="AN21" t="str">
            <v>AS</v>
          </cell>
          <cell r="AR21" t="str">
            <v>ER80SD2</v>
          </cell>
          <cell r="AS21">
            <v>2150</v>
          </cell>
          <cell r="AU21" t="str">
            <v>E8016B2</v>
          </cell>
          <cell r="AV21">
            <v>250</v>
          </cell>
        </row>
        <row r="22">
          <cell r="G22">
            <v>1</v>
          </cell>
          <cell r="I22">
            <v>13</v>
          </cell>
          <cell r="L22">
            <v>13</v>
          </cell>
          <cell r="M22" t="str">
            <v>ER90SB9</v>
          </cell>
          <cell r="N22">
            <v>0.30000000000000004</v>
          </cell>
          <cell r="P22">
            <v>1770.0000000000002</v>
          </cell>
          <cell r="Q22" t="str">
            <v>E9018B9</v>
          </cell>
          <cell r="R22">
            <v>9.8917722399999981</v>
          </cell>
          <cell r="T22">
            <v>9397.1836279999989</v>
          </cell>
          <cell r="U22">
            <v>1.3</v>
          </cell>
          <cell r="V22">
            <v>0.65</v>
          </cell>
          <cell r="W22">
            <v>0.23214285714285718</v>
          </cell>
          <cell r="AA22">
            <v>37.491424999999992</v>
          </cell>
          <cell r="AC22" t="str">
            <v>AS</v>
          </cell>
          <cell r="AI22">
            <v>16</v>
          </cell>
          <cell r="AJ22" t="str">
            <v>SA210GRC</v>
          </cell>
          <cell r="AK22" t="str">
            <v>SA335P12</v>
          </cell>
          <cell r="AL22" t="str">
            <v>ER80SB2</v>
          </cell>
          <cell r="AM22" t="str">
            <v>E8016B2</v>
          </cell>
          <cell r="AN22" t="str">
            <v>AS</v>
          </cell>
          <cell r="AR22" t="str">
            <v>ER80SD2/ER70SA1</v>
          </cell>
          <cell r="AS22">
            <v>2250</v>
          </cell>
          <cell r="AU22" t="str">
            <v>E8016B2/E8018B2</v>
          </cell>
          <cell r="AV22">
            <v>250</v>
          </cell>
        </row>
        <row r="23">
          <cell r="G23">
            <v>1</v>
          </cell>
          <cell r="I23">
            <v>18</v>
          </cell>
          <cell r="L23">
            <v>18.900000000000002</v>
          </cell>
          <cell r="M23" t="str">
            <v>ER90SB9</v>
          </cell>
          <cell r="N23">
            <v>0.4</v>
          </cell>
          <cell r="P23">
            <v>2360</v>
          </cell>
          <cell r="Q23" t="str">
            <v>E9018B9</v>
          </cell>
          <cell r="R23">
            <v>22.821683360000002</v>
          </cell>
          <cell r="T23">
            <v>21680.599192000001</v>
          </cell>
          <cell r="U23">
            <v>1.8</v>
          </cell>
          <cell r="V23">
            <v>0.9</v>
          </cell>
          <cell r="W23">
            <v>0.32142857142857145</v>
          </cell>
          <cell r="AA23">
            <v>74.409299999999988</v>
          </cell>
          <cell r="AC23" t="str">
            <v>AS</v>
          </cell>
          <cell r="AI23">
            <v>17</v>
          </cell>
          <cell r="AJ23" t="str">
            <v>SA210GRC</v>
          </cell>
          <cell r="AK23" t="str">
            <v>TP304</v>
          </cell>
          <cell r="AL23" t="str">
            <v>ERNiCr3</v>
          </cell>
          <cell r="AM23" t="str">
            <v>ENiCrMo3</v>
          </cell>
          <cell r="AN23" t="str">
            <v>SS</v>
          </cell>
          <cell r="AR23" t="str">
            <v>ER90G</v>
          </cell>
          <cell r="AS23">
            <v>1400</v>
          </cell>
          <cell r="AU23" t="str">
            <v>E8018</v>
          </cell>
          <cell r="AV23">
            <v>200</v>
          </cell>
        </row>
        <row r="24">
          <cell r="G24">
            <v>1</v>
          </cell>
          <cell r="I24">
            <v>18</v>
          </cell>
          <cell r="L24">
            <v>18.900000000000002</v>
          </cell>
          <cell r="M24" t="str">
            <v>ER90SB9</v>
          </cell>
          <cell r="N24">
            <v>0.4</v>
          </cell>
          <cell r="P24">
            <v>2360</v>
          </cell>
          <cell r="Q24" t="str">
            <v>E9018B9</v>
          </cell>
          <cell r="R24">
            <v>25.647431360000002</v>
          </cell>
          <cell r="T24">
            <v>24365.059792000004</v>
          </cell>
          <cell r="U24">
            <v>1.8</v>
          </cell>
          <cell r="V24">
            <v>0.9</v>
          </cell>
          <cell r="W24">
            <v>0.32142857142857145</v>
          </cell>
          <cell r="AA24">
            <v>80.467200000000005</v>
          </cell>
          <cell r="AC24" t="str">
            <v>AS</v>
          </cell>
          <cell r="AI24">
            <v>18</v>
          </cell>
          <cell r="AJ24" t="str">
            <v>SA210GRC</v>
          </cell>
          <cell r="AK24" t="str">
            <v>TP309</v>
          </cell>
          <cell r="AL24" t="str">
            <v>ERNiCr3</v>
          </cell>
          <cell r="AM24" t="str">
            <v>ENiCrMo3</v>
          </cell>
          <cell r="AN24" t="str">
            <v>SS</v>
          </cell>
          <cell r="AR24" t="str">
            <v>ER90SB3</v>
          </cell>
          <cell r="AS24">
            <v>1650</v>
          </cell>
          <cell r="AU24" t="str">
            <v>E8018B2</v>
          </cell>
          <cell r="AV24">
            <v>250</v>
          </cell>
        </row>
        <row r="25">
          <cell r="G25">
            <v>1</v>
          </cell>
          <cell r="I25">
            <v>12</v>
          </cell>
          <cell r="L25">
            <v>12.600000000000001</v>
          </cell>
          <cell r="M25" t="str">
            <v>ER90SB9</v>
          </cell>
          <cell r="N25">
            <v>0.30000000000000004</v>
          </cell>
          <cell r="P25">
            <v>1770.0000000000002</v>
          </cell>
          <cell r="Q25" t="str">
            <v>E9018B9</v>
          </cell>
          <cell r="R25">
            <v>23.291197439999994</v>
          </cell>
          <cell r="T25">
            <v>22126.637567999995</v>
          </cell>
          <cell r="U25">
            <v>1.2</v>
          </cell>
          <cell r="V25">
            <v>0.6</v>
          </cell>
          <cell r="W25">
            <v>0.2142857142857143</v>
          </cell>
          <cell r="AA25">
            <v>67.114999999999995</v>
          </cell>
          <cell r="AC25" t="str">
            <v>AS</v>
          </cell>
          <cell r="AI25">
            <v>19</v>
          </cell>
          <cell r="AJ25" t="str">
            <v>SA210GRC</v>
          </cell>
          <cell r="AK25" t="str">
            <v>TP310S</v>
          </cell>
          <cell r="AL25" t="str">
            <v>ERNiCr3</v>
          </cell>
          <cell r="AM25" t="str">
            <v>ENiCrMo3</v>
          </cell>
          <cell r="AN25" t="str">
            <v>SS</v>
          </cell>
          <cell r="AR25" t="str">
            <v>ER90SB9</v>
          </cell>
          <cell r="AS25">
            <v>5900</v>
          </cell>
          <cell r="AU25" t="str">
            <v>E8018B6</v>
          </cell>
          <cell r="AV25">
            <v>250</v>
          </cell>
        </row>
        <row r="26">
          <cell r="G26">
            <v>1</v>
          </cell>
          <cell r="I26">
            <v>12</v>
          </cell>
          <cell r="L26">
            <v>12.600000000000001</v>
          </cell>
          <cell r="M26" t="str">
            <v>ER90SB9</v>
          </cell>
          <cell r="N26">
            <v>0.30000000000000004</v>
          </cell>
          <cell r="P26">
            <v>1770.0000000000002</v>
          </cell>
          <cell r="Q26" t="str">
            <v>E9018B9</v>
          </cell>
          <cell r="R26">
            <v>26.199815039999994</v>
          </cell>
          <cell r="T26">
            <v>24889.824287999993</v>
          </cell>
          <cell r="U26">
            <v>1.2</v>
          </cell>
          <cell r="V26">
            <v>0.6</v>
          </cell>
          <cell r="W26">
            <v>0.2142857142857143</v>
          </cell>
          <cell r="AA26">
            <v>72.540000000000006</v>
          </cell>
          <cell r="AC26" t="str">
            <v>AS</v>
          </cell>
          <cell r="AI26">
            <v>20</v>
          </cell>
          <cell r="AJ26" t="str">
            <v>SA210GRC</v>
          </cell>
          <cell r="AK26" t="str">
            <v>SA106GRC</v>
          </cell>
          <cell r="AL26" t="str">
            <v>ER80SD2</v>
          </cell>
          <cell r="AM26" t="str">
            <v>E7018-1</v>
          </cell>
          <cell r="AN26" t="str">
            <v>CS</v>
          </cell>
          <cell r="AR26" t="str">
            <v>ERMTS616</v>
          </cell>
          <cell r="AS26">
            <v>5000</v>
          </cell>
          <cell r="AU26" t="str">
            <v>E8018B8</v>
          </cell>
          <cell r="AV26">
            <v>500</v>
          </cell>
        </row>
        <row r="27">
          <cell r="G27">
            <v>1</v>
          </cell>
          <cell r="I27">
            <v>26</v>
          </cell>
          <cell r="L27">
            <v>19.5</v>
          </cell>
          <cell r="M27" t="str">
            <v>ER90SB9</v>
          </cell>
          <cell r="N27">
            <v>0.6</v>
          </cell>
          <cell r="P27">
            <v>3540</v>
          </cell>
          <cell r="Q27" t="str">
            <v>E9018B9</v>
          </cell>
          <cell r="R27">
            <v>7.15404032</v>
          </cell>
          <cell r="T27">
            <v>6796.3383039999999</v>
          </cell>
          <cell r="U27">
            <v>2.6</v>
          </cell>
          <cell r="V27">
            <v>1.3</v>
          </cell>
          <cell r="W27">
            <v>0.46428571428571436</v>
          </cell>
          <cell r="AA27">
            <v>40.590000000000003</v>
          </cell>
          <cell r="AC27" t="str">
            <v>AS</v>
          </cell>
          <cell r="AI27">
            <v>21</v>
          </cell>
          <cell r="AJ27" t="str">
            <v>SA210GRC</v>
          </cell>
          <cell r="AK27" t="str">
            <v>SA430</v>
          </cell>
          <cell r="AL27" t="str">
            <v>ERNiCr3</v>
          </cell>
          <cell r="AM27" t="str">
            <v>ENiCrMo3</v>
          </cell>
          <cell r="AN27" t="str">
            <v>SS</v>
          </cell>
          <cell r="AR27" t="str">
            <v>ERNiCr3</v>
          </cell>
          <cell r="AS27">
            <v>5500</v>
          </cell>
          <cell r="AU27" t="str">
            <v>E9015G</v>
          </cell>
          <cell r="AV27">
            <v>500</v>
          </cell>
        </row>
        <row r="28">
          <cell r="G28">
            <v>1</v>
          </cell>
          <cell r="I28">
            <v>26</v>
          </cell>
          <cell r="L28">
            <v>22.099999999999998</v>
          </cell>
          <cell r="M28" t="str">
            <v>ER90SB9</v>
          </cell>
          <cell r="N28">
            <v>0.6</v>
          </cell>
          <cell r="P28">
            <v>3540</v>
          </cell>
          <cell r="Q28" t="str">
            <v>E9018B9</v>
          </cell>
          <cell r="R28">
            <v>10.48262688</v>
          </cell>
          <cell r="T28">
            <v>9958.4955360000004</v>
          </cell>
          <cell r="U28">
            <v>2.6</v>
          </cell>
          <cell r="V28">
            <v>1.3</v>
          </cell>
          <cell r="W28">
            <v>0.46428571428571436</v>
          </cell>
          <cell r="AA28">
            <v>50.82</v>
          </cell>
          <cell r="AC28" t="str">
            <v>AS</v>
          </cell>
          <cell r="AI28">
            <v>22</v>
          </cell>
          <cell r="AJ28" t="str">
            <v>SA210GRC</v>
          </cell>
          <cell r="AK28" t="str">
            <v>15CrMoG</v>
          </cell>
          <cell r="AL28" t="str">
            <v>ER70SA1</v>
          </cell>
          <cell r="AM28" t="str">
            <v>E7018A1</v>
          </cell>
          <cell r="AN28" t="str">
            <v>CS</v>
          </cell>
          <cell r="AR28" t="str">
            <v>ERNiCr3/ER309L</v>
          </cell>
          <cell r="AS28">
            <v>5500</v>
          </cell>
          <cell r="AU28" t="str">
            <v>E9015G/ETHERMANITP23</v>
          </cell>
          <cell r="AV28">
            <v>750</v>
          </cell>
        </row>
        <row r="29">
          <cell r="G29">
            <v>1</v>
          </cell>
          <cell r="I29">
            <v>13</v>
          </cell>
          <cell r="L29">
            <v>11.049999999999999</v>
          </cell>
          <cell r="M29" t="str">
            <v>ER90SB9</v>
          </cell>
          <cell r="N29">
            <v>0.30000000000000004</v>
          </cell>
          <cell r="P29">
            <v>1770.0000000000002</v>
          </cell>
          <cell r="Q29" t="str">
            <v>E9018B9</v>
          </cell>
          <cell r="R29">
            <v>6.4323360000000012</v>
          </cell>
          <cell r="T29">
            <v>6110.7192000000014</v>
          </cell>
          <cell r="U29">
            <v>1.3</v>
          </cell>
          <cell r="V29">
            <v>0.65</v>
          </cell>
          <cell r="W29">
            <v>0.23214285714285718</v>
          </cell>
          <cell r="AA29">
            <v>28.341249999999999</v>
          </cell>
          <cell r="AC29" t="str">
            <v>AS</v>
          </cell>
          <cell r="AI29">
            <v>23</v>
          </cell>
          <cell r="AJ29" t="str">
            <v>SA213T5</v>
          </cell>
          <cell r="AK29" t="str">
            <v>SA213T5</v>
          </cell>
          <cell r="AL29" t="str">
            <v>ER80SB6</v>
          </cell>
          <cell r="AM29" t="str">
            <v>E8018B6</v>
          </cell>
          <cell r="AN29" t="str">
            <v>AS</v>
          </cell>
          <cell r="AR29" t="str">
            <v>ERT304H/ERT308H</v>
          </cell>
          <cell r="AS29">
            <v>5750</v>
          </cell>
          <cell r="AU29" t="str">
            <v>E9016B9/E9018B9</v>
          </cell>
          <cell r="AV29">
            <v>950</v>
          </cell>
        </row>
        <row r="30">
          <cell r="G30">
            <v>1</v>
          </cell>
          <cell r="I30">
            <v>16</v>
          </cell>
          <cell r="L30">
            <v>16</v>
          </cell>
          <cell r="M30" t="str">
            <v>ER90SB9</v>
          </cell>
          <cell r="N30">
            <v>0.4</v>
          </cell>
          <cell r="P30">
            <v>2360</v>
          </cell>
          <cell r="Q30" t="str">
            <v>E9018B9</v>
          </cell>
          <cell r="R30">
            <v>10.469567999999999</v>
          </cell>
          <cell r="T30">
            <v>9946.0895999999993</v>
          </cell>
          <cell r="U30">
            <v>1.6</v>
          </cell>
          <cell r="V30">
            <v>0.8</v>
          </cell>
          <cell r="W30">
            <v>0.28571428571428575</v>
          </cell>
          <cell r="AA30">
            <v>42.671999999999997</v>
          </cell>
          <cell r="AC30" t="str">
            <v>AS</v>
          </cell>
          <cell r="AI30">
            <v>24</v>
          </cell>
          <cell r="AJ30" t="str">
            <v>SA213T9</v>
          </cell>
          <cell r="AK30" t="str">
            <v>SA213T9</v>
          </cell>
          <cell r="AL30" t="str">
            <v>ER80SB8</v>
          </cell>
          <cell r="AM30" t="str">
            <v>E8018B8</v>
          </cell>
          <cell r="AN30" t="str">
            <v>AS</v>
          </cell>
          <cell r="AR30">
            <v>0</v>
          </cell>
          <cell r="AS30">
            <v>0</v>
          </cell>
          <cell r="AU30" t="str">
            <v>E9018B3</v>
          </cell>
          <cell r="AV30">
            <v>400</v>
          </cell>
        </row>
        <row r="31">
          <cell r="G31">
            <v>1</v>
          </cell>
          <cell r="I31">
            <v>23</v>
          </cell>
          <cell r="L31">
            <v>24.150000000000002</v>
          </cell>
          <cell r="M31" t="str">
            <v>ER90SB9</v>
          </cell>
          <cell r="N31">
            <v>0.6</v>
          </cell>
          <cell r="P31">
            <v>3540</v>
          </cell>
          <cell r="Q31" t="str">
            <v>E9018B9</v>
          </cell>
          <cell r="R31">
            <v>24.461995999999999</v>
          </cell>
          <cell r="T31">
            <v>23238.896199999999</v>
          </cell>
          <cell r="U31">
            <v>2.2999999999999998</v>
          </cell>
          <cell r="V31">
            <v>1.1499999999999999</v>
          </cell>
          <cell r="W31">
            <v>0.4107142857142857</v>
          </cell>
          <cell r="AA31">
            <v>81.78</v>
          </cell>
          <cell r="AC31" t="str">
            <v>AS</v>
          </cell>
          <cell r="AI31">
            <v>25</v>
          </cell>
          <cell r="AJ31" t="str">
            <v>SA213T11</v>
          </cell>
          <cell r="AK31" t="str">
            <v>SA213T11</v>
          </cell>
          <cell r="AL31" t="str">
            <v>ER80SB2</v>
          </cell>
          <cell r="AM31" t="str">
            <v>E7018B2</v>
          </cell>
          <cell r="AN31" t="str">
            <v>AS</v>
          </cell>
          <cell r="AU31" t="str">
            <v>E9018B9</v>
          </cell>
          <cell r="AV31">
            <v>950</v>
          </cell>
        </row>
        <row r="32">
          <cell r="G32">
            <v>1</v>
          </cell>
          <cell r="I32">
            <v>37</v>
          </cell>
          <cell r="L32">
            <v>31.45</v>
          </cell>
          <cell r="M32" t="str">
            <v>ER90SB9</v>
          </cell>
          <cell r="N32">
            <v>0.9</v>
          </cell>
          <cell r="P32">
            <v>5310</v>
          </cell>
          <cell r="Q32" t="str">
            <v>E9018B9</v>
          </cell>
          <cell r="R32">
            <v>16.952659839999999</v>
          </cell>
          <cell r="T32">
            <v>16105.026848</v>
          </cell>
          <cell r="U32">
            <v>3.7</v>
          </cell>
          <cell r="V32">
            <v>1.85</v>
          </cell>
          <cell r="W32">
            <v>0.66071428571428581</v>
          </cell>
          <cell r="AA32">
            <v>76.352400000000003</v>
          </cell>
          <cell r="AC32" t="str">
            <v>AS</v>
          </cell>
          <cell r="AI32">
            <v>26</v>
          </cell>
          <cell r="AJ32" t="str">
            <v>SA387-12</v>
          </cell>
          <cell r="AK32" t="str">
            <v>SA36</v>
          </cell>
          <cell r="AL32" t="str">
            <v>ER70S2</v>
          </cell>
          <cell r="AM32" t="str">
            <v>E7018</v>
          </cell>
          <cell r="AN32" t="str">
            <v>AS</v>
          </cell>
          <cell r="AU32" t="str">
            <v>E9018G</v>
          </cell>
          <cell r="AV32">
            <v>750</v>
          </cell>
        </row>
        <row r="33">
          <cell r="G33">
            <v>1</v>
          </cell>
          <cell r="I33">
            <v>14</v>
          </cell>
          <cell r="L33">
            <v>11.9</v>
          </cell>
          <cell r="M33" t="str">
            <v>ER90SB9</v>
          </cell>
          <cell r="N33">
            <v>0.4</v>
          </cell>
          <cell r="P33">
            <v>2360</v>
          </cell>
          <cell r="Q33" t="str">
            <v>E9018B9</v>
          </cell>
          <cell r="R33">
            <v>7.0693595199999999</v>
          </cell>
          <cell r="T33">
            <v>6715.8915440000001</v>
          </cell>
          <cell r="U33">
            <v>1.4</v>
          </cell>
          <cell r="V33">
            <v>0.7</v>
          </cell>
          <cell r="W33">
            <v>0.25</v>
          </cell>
          <cell r="AA33">
            <v>31.737300000000005</v>
          </cell>
          <cell r="AC33" t="str">
            <v>AS</v>
          </cell>
          <cell r="AI33">
            <v>27</v>
          </cell>
          <cell r="AJ33" t="str">
            <v>SA387-22</v>
          </cell>
          <cell r="AK33" t="str">
            <v>SA213T12</v>
          </cell>
          <cell r="AL33" t="str">
            <v>ER80SB2</v>
          </cell>
          <cell r="AM33" t="str">
            <v>E8016B2</v>
          </cell>
          <cell r="AN33" t="str">
            <v>AS</v>
          </cell>
          <cell r="AU33" t="str">
            <v>ENiCrFe</v>
          </cell>
          <cell r="AV33">
            <v>2500</v>
          </cell>
        </row>
        <row r="34">
          <cell r="G34">
            <v>0</v>
          </cell>
          <cell r="I34">
            <v>0</v>
          </cell>
          <cell r="L34">
            <v>0</v>
          </cell>
          <cell r="M34">
            <v>0</v>
          </cell>
          <cell r="N34">
            <v>0</v>
          </cell>
          <cell r="P34">
            <v>0</v>
          </cell>
          <cell r="Q34">
            <v>0</v>
          </cell>
          <cell r="R34">
            <v>0</v>
          </cell>
          <cell r="T34">
            <v>0</v>
          </cell>
          <cell r="U34">
            <v>0</v>
          </cell>
          <cell r="V34">
            <v>0</v>
          </cell>
          <cell r="W34">
            <v>0</v>
          </cell>
          <cell r="AA34">
            <v>0</v>
          </cell>
          <cell r="AC34">
            <v>0</v>
          </cell>
          <cell r="AI34">
            <v>28</v>
          </cell>
          <cell r="AJ34" t="str">
            <v>SA387-22</v>
          </cell>
          <cell r="AK34" t="str">
            <v>SA36</v>
          </cell>
          <cell r="AL34" t="str">
            <v>ER70S2</v>
          </cell>
          <cell r="AM34" t="str">
            <v>E7018</v>
          </cell>
          <cell r="AN34" t="str">
            <v>AS</v>
          </cell>
          <cell r="AU34" t="str">
            <v>ENiCrMo3</v>
          </cell>
          <cell r="AV34">
            <v>2500</v>
          </cell>
        </row>
        <row r="35">
          <cell r="G35">
            <v>0</v>
          </cell>
          <cell r="I35">
            <v>0</v>
          </cell>
          <cell r="L35">
            <v>0</v>
          </cell>
          <cell r="M35">
            <v>0</v>
          </cell>
          <cell r="N35">
            <v>0</v>
          </cell>
          <cell r="P35">
            <v>0</v>
          </cell>
          <cell r="Q35">
            <v>0</v>
          </cell>
          <cell r="R35">
            <v>0</v>
          </cell>
          <cell r="T35">
            <v>0</v>
          </cell>
          <cell r="U35">
            <v>0</v>
          </cell>
          <cell r="V35">
            <v>0</v>
          </cell>
          <cell r="W35">
            <v>0</v>
          </cell>
          <cell r="AA35">
            <v>0</v>
          </cell>
          <cell r="AC35">
            <v>0</v>
          </cell>
          <cell r="AI35">
            <v>29</v>
          </cell>
          <cell r="AJ35" t="str">
            <v>SA389-12</v>
          </cell>
          <cell r="AK35" t="str">
            <v>SA36</v>
          </cell>
          <cell r="AL35" t="str">
            <v>ER80SB2</v>
          </cell>
          <cell r="AM35" t="str">
            <v>E8016B2</v>
          </cell>
          <cell r="AN35" t="str">
            <v>AS</v>
          </cell>
          <cell r="AU35" t="str">
            <v>ENiCrMo3/E309L16</v>
          </cell>
          <cell r="AV35">
            <v>2500</v>
          </cell>
        </row>
        <row r="36">
          <cell r="G36">
            <v>0</v>
          </cell>
          <cell r="I36">
            <v>0</v>
          </cell>
          <cell r="L36">
            <v>0</v>
          </cell>
          <cell r="M36">
            <v>0</v>
          </cell>
          <cell r="N36">
            <v>0</v>
          </cell>
          <cell r="P36">
            <v>0</v>
          </cell>
          <cell r="Q36">
            <v>0</v>
          </cell>
          <cell r="R36">
            <v>0</v>
          </cell>
          <cell r="T36">
            <v>0</v>
          </cell>
          <cell r="U36">
            <v>0</v>
          </cell>
          <cell r="V36">
            <v>0</v>
          </cell>
          <cell r="W36">
            <v>0</v>
          </cell>
          <cell r="AA36">
            <v>0</v>
          </cell>
          <cell r="AC36">
            <v>0</v>
          </cell>
          <cell r="AI36">
            <v>30</v>
          </cell>
          <cell r="AJ36" t="str">
            <v>SA213T12</v>
          </cell>
          <cell r="AK36" t="str">
            <v>SA213T12</v>
          </cell>
          <cell r="AL36" t="str">
            <v>ER80SB2/ER80SG</v>
          </cell>
          <cell r="AM36" t="str">
            <v>E8016B2</v>
          </cell>
          <cell r="AN36" t="str">
            <v>AS</v>
          </cell>
          <cell r="AU36" t="str">
            <v>ENiCrMo3/ENiCrFe3</v>
          </cell>
          <cell r="AV36">
            <v>2500</v>
          </cell>
        </row>
        <row r="37">
          <cell r="G37">
            <v>0</v>
          </cell>
          <cell r="I37">
            <v>0</v>
          </cell>
          <cell r="L37">
            <v>0</v>
          </cell>
          <cell r="M37">
            <v>0</v>
          </cell>
          <cell r="N37">
            <v>0</v>
          </cell>
          <cell r="P37">
            <v>0</v>
          </cell>
          <cell r="Q37">
            <v>0</v>
          </cell>
          <cell r="R37">
            <v>0</v>
          </cell>
          <cell r="T37">
            <v>0</v>
          </cell>
          <cell r="U37">
            <v>0</v>
          </cell>
          <cell r="V37">
            <v>0</v>
          </cell>
          <cell r="W37">
            <v>0</v>
          </cell>
          <cell r="AA37">
            <v>0</v>
          </cell>
          <cell r="AC37">
            <v>0</v>
          </cell>
          <cell r="AI37">
            <v>31</v>
          </cell>
          <cell r="AJ37" t="str">
            <v>SA213T12</v>
          </cell>
          <cell r="AK37" t="str">
            <v>SA213T22</v>
          </cell>
          <cell r="AL37" t="str">
            <v>ER90SB3</v>
          </cell>
          <cell r="AM37" t="str">
            <v>E9018B3</v>
          </cell>
          <cell r="AN37" t="str">
            <v>AS</v>
          </cell>
          <cell r="AU37" t="str">
            <v>ET304H/ET308H16</v>
          </cell>
          <cell r="AV37">
            <v>2500</v>
          </cell>
        </row>
        <row r="38">
          <cell r="G38">
            <v>0</v>
          </cell>
          <cell r="I38">
            <v>0</v>
          </cell>
          <cell r="L38">
            <v>0</v>
          </cell>
          <cell r="M38">
            <v>0</v>
          </cell>
          <cell r="N38">
            <v>0</v>
          </cell>
          <cell r="P38">
            <v>0</v>
          </cell>
          <cell r="Q38">
            <v>0</v>
          </cell>
          <cell r="R38">
            <v>0</v>
          </cell>
          <cell r="T38">
            <v>0</v>
          </cell>
          <cell r="U38">
            <v>0</v>
          </cell>
          <cell r="V38">
            <v>0</v>
          </cell>
          <cell r="W38">
            <v>0</v>
          </cell>
          <cell r="AA38">
            <v>0</v>
          </cell>
          <cell r="AC38">
            <v>0</v>
          </cell>
          <cell r="AI38">
            <v>32</v>
          </cell>
          <cell r="AJ38" t="str">
            <v>SA213T12</v>
          </cell>
          <cell r="AK38" t="str">
            <v>SA213T23</v>
          </cell>
          <cell r="AL38" t="str">
            <v>ER80SB2</v>
          </cell>
          <cell r="AM38" t="str">
            <v>E8016B2</v>
          </cell>
          <cell r="AN38" t="str">
            <v>AS</v>
          </cell>
          <cell r="AU38" t="str">
            <v>ETHERMANITP23</v>
          </cell>
          <cell r="AV38">
            <v>2500</v>
          </cell>
        </row>
        <row r="39">
          <cell r="G39">
            <v>0</v>
          </cell>
          <cell r="I39">
            <v>0</v>
          </cell>
          <cell r="L39">
            <v>0</v>
          </cell>
          <cell r="M39">
            <v>0</v>
          </cell>
          <cell r="N39">
            <v>0</v>
          </cell>
          <cell r="P39">
            <v>0</v>
          </cell>
          <cell r="Q39">
            <v>0</v>
          </cell>
          <cell r="R39">
            <v>0</v>
          </cell>
          <cell r="T39">
            <v>0</v>
          </cell>
          <cell r="U39">
            <v>0</v>
          </cell>
          <cell r="V39">
            <v>0</v>
          </cell>
          <cell r="W39">
            <v>0</v>
          </cell>
          <cell r="AA39">
            <v>0</v>
          </cell>
          <cell r="AC39">
            <v>0</v>
          </cell>
          <cell r="AI39">
            <v>33</v>
          </cell>
          <cell r="AJ39" t="str">
            <v>SA213T12</v>
          </cell>
          <cell r="AK39" t="str">
            <v>SA213T91</v>
          </cell>
          <cell r="AL39" t="str">
            <v>ER90SB9</v>
          </cell>
          <cell r="AM39" t="str">
            <v>E9016B9/E9018B9</v>
          </cell>
          <cell r="AN39" t="str">
            <v>AS</v>
          </cell>
          <cell r="AU39">
            <v>0</v>
          </cell>
          <cell r="AV39">
            <v>0</v>
          </cell>
        </row>
        <row r="40">
          <cell r="G40">
            <v>0</v>
          </cell>
          <cell r="I40">
            <v>0</v>
          </cell>
          <cell r="L40">
            <v>0</v>
          </cell>
          <cell r="M40">
            <v>0</v>
          </cell>
          <cell r="N40">
            <v>0</v>
          </cell>
          <cell r="P40">
            <v>0</v>
          </cell>
          <cell r="Q40">
            <v>0</v>
          </cell>
          <cell r="R40">
            <v>0</v>
          </cell>
          <cell r="T40">
            <v>0</v>
          </cell>
          <cell r="U40">
            <v>0</v>
          </cell>
          <cell r="V40">
            <v>0</v>
          </cell>
          <cell r="W40">
            <v>0</v>
          </cell>
          <cell r="AA40">
            <v>0</v>
          </cell>
          <cell r="AC40">
            <v>0</v>
          </cell>
          <cell r="AI40">
            <v>34</v>
          </cell>
          <cell r="AJ40" t="str">
            <v>SA213T12</v>
          </cell>
          <cell r="AK40" t="str">
            <v>SA210GRC</v>
          </cell>
          <cell r="AL40" t="str">
            <v>ER80SB2</v>
          </cell>
          <cell r="AM40" t="str">
            <v>E8016B2</v>
          </cell>
          <cell r="AN40" t="str">
            <v>AS</v>
          </cell>
        </row>
        <row r="41">
          <cell r="G41">
            <v>0</v>
          </cell>
          <cell r="I41">
            <v>0</v>
          </cell>
          <cell r="L41">
            <v>0</v>
          </cell>
          <cell r="M41">
            <v>0</v>
          </cell>
          <cell r="N41">
            <v>0</v>
          </cell>
          <cell r="P41">
            <v>0</v>
          </cell>
          <cell r="Q41">
            <v>0</v>
          </cell>
          <cell r="R41">
            <v>0</v>
          </cell>
          <cell r="T41">
            <v>0</v>
          </cell>
          <cell r="U41">
            <v>0</v>
          </cell>
          <cell r="V41">
            <v>0</v>
          </cell>
          <cell r="W41">
            <v>0</v>
          </cell>
          <cell r="AA41">
            <v>0</v>
          </cell>
          <cell r="AC41">
            <v>0</v>
          </cell>
          <cell r="AI41">
            <v>35</v>
          </cell>
          <cell r="AJ41" t="str">
            <v>SA213T12</v>
          </cell>
          <cell r="AK41" t="str">
            <v>SA106GRC</v>
          </cell>
          <cell r="AL41" t="str">
            <v>ER80SB2</v>
          </cell>
          <cell r="AM41" t="str">
            <v>E8016B2</v>
          </cell>
          <cell r="AN41" t="str">
            <v>AS</v>
          </cell>
        </row>
        <row r="42">
          <cell r="G42">
            <v>0</v>
          </cell>
          <cell r="I42">
            <v>0</v>
          </cell>
          <cell r="L42">
            <v>0</v>
          </cell>
          <cell r="M42">
            <v>0</v>
          </cell>
          <cell r="N42">
            <v>0</v>
          </cell>
          <cell r="P42">
            <v>0</v>
          </cell>
          <cell r="Q42">
            <v>0</v>
          </cell>
          <cell r="R42">
            <v>0</v>
          </cell>
          <cell r="T42">
            <v>0</v>
          </cell>
          <cell r="U42">
            <v>0</v>
          </cell>
          <cell r="V42">
            <v>0</v>
          </cell>
          <cell r="W42">
            <v>0</v>
          </cell>
          <cell r="AA42">
            <v>0</v>
          </cell>
          <cell r="AC42">
            <v>0</v>
          </cell>
          <cell r="AI42">
            <v>36</v>
          </cell>
          <cell r="AJ42" t="str">
            <v>SA213T12</v>
          </cell>
          <cell r="AK42" t="str">
            <v>TP304</v>
          </cell>
          <cell r="AL42" t="str">
            <v>ERNiCr3</v>
          </cell>
          <cell r="AM42" t="str">
            <v>ENiCrMo3/ENiCrFe3</v>
          </cell>
          <cell r="AN42" t="str">
            <v>SS</v>
          </cell>
        </row>
        <row r="43">
          <cell r="G43">
            <v>0</v>
          </cell>
          <cell r="I43">
            <v>0</v>
          </cell>
          <cell r="L43">
            <v>0</v>
          </cell>
          <cell r="M43">
            <v>0</v>
          </cell>
          <cell r="N43">
            <v>0</v>
          </cell>
          <cell r="P43">
            <v>0</v>
          </cell>
          <cell r="Q43">
            <v>0</v>
          </cell>
          <cell r="R43">
            <v>0</v>
          </cell>
          <cell r="T43">
            <v>0</v>
          </cell>
          <cell r="U43">
            <v>0</v>
          </cell>
          <cell r="V43">
            <v>0</v>
          </cell>
          <cell r="W43">
            <v>0</v>
          </cell>
          <cell r="AA43">
            <v>0</v>
          </cell>
          <cell r="AC43">
            <v>0</v>
          </cell>
          <cell r="AI43">
            <v>37</v>
          </cell>
          <cell r="AJ43" t="str">
            <v>SA213T12</v>
          </cell>
          <cell r="AK43" t="str">
            <v>TP309</v>
          </cell>
          <cell r="AL43" t="str">
            <v>ERNiCr3</v>
          </cell>
          <cell r="AM43" t="str">
            <v>ENiCrMo3/ENiCrFe3</v>
          </cell>
          <cell r="AN43" t="str">
            <v>SS</v>
          </cell>
        </row>
        <row r="44">
          <cell r="G44">
            <v>0</v>
          </cell>
          <cell r="I44">
            <v>0</v>
          </cell>
          <cell r="L44">
            <v>0</v>
          </cell>
          <cell r="M44">
            <v>0</v>
          </cell>
          <cell r="N44">
            <v>0</v>
          </cell>
          <cell r="P44">
            <v>0</v>
          </cell>
          <cell r="Q44">
            <v>0</v>
          </cell>
          <cell r="R44">
            <v>0</v>
          </cell>
          <cell r="T44">
            <v>0</v>
          </cell>
          <cell r="U44">
            <v>0</v>
          </cell>
          <cell r="V44">
            <v>0</v>
          </cell>
          <cell r="W44">
            <v>0</v>
          </cell>
          <cell r="AA44">
            <v>0</v>
          </cell>
          <cell r="AC44">
            <v>0</v>
          </cell>
          <cell r="AI44">
            <v>38</v>
          </cell>
          <cell r="AJ44" t="str">
            <v>SA213T12</v>
          </cell>
          <cell r="AK44" t="str">
            <v>TP310S</v>
          </cell>
          <cell r="AL44" t="str">
            <v>ERNiCr3</v>
          </cell>
          <cell r="AM44" t="str">
            <v>ENiCrMo3/ENiCrFe3</v>
          </cell>
          <cell r="AN44" t="str">
            <v>SS</v>
          </cell>
        </row>
        <row r="45">
          <cell r="G45">
            <v>0</v>
          </cell>
          <cell r="I45">
            <v>0</v>
          </cell>
          <cell r="L45">
            <v>0</v>
          </cell>
          <cell r="M45">
            <v>0</v>
          </cell>
          <cell r="N45">
            <v>0</v>
          </cell>
          <cell r="P45">
            <v>0</v>
          </cell>
          <cell r="Q45">
            <v>0</v>
          </cell>
          <cell r="R45">
            <v>0</v>
          </cell>
          <cell r="T45">
            <v>0</v>
          </cell>
          <cell r="U45">
            <v>0</v>
          </cell>
          <cell r="V45">
            <v>0</v>
          </cell>
          <cell r="W45">
            <v>0</v>
          </cell>
          <cell r="AA45">
            <v>0</v>
          </cell>
          <cell r="AC45">
            <v>0</v>
          </cell>
          <cell r="AI45">
            <v>39</v>
          </cell>
          <cell r="AJ45" t="str">
            <v>SA213T12</v>
          </cell>
          <cell r="AK45" t="str">
            <v>SA387-22</v>
          </cell>
          <cell r="AL45" t="str">
            <v>ER80SB2</v>
          </cell>
          <cell r="AM45" t="str">
            <v>E8016B2</v>
          </cell>
          <cell r="AN45" t="str">
            <v>AS</v>
          </cell>
        </row>
        <row r="46">
          <cell r="G46">
            <v>0</v>
          </cell>
          <cell r="I46">
            <v>0</v>
          </cell>
          <cell r="L46">
            <v>0</v>
          </cell>
          <cell r="M46">
            <v>0</v>
          </cell>
          <cell r="N46">
            <v>0</v>
          </cell>
          <cell r="P46">
            <v>0</v>
          </cell>
          <cell r="Q46">
            <v>0</v>
          </cell>
          <cell r="R46">
            <v>0</v>
          </cell>
          <cell r="T46">
            <v>0</v>
          </cell>
          <cell r="U46">
            <v>0</v>
          </cell>
          <cell r="V46">
            <v>0</v>
          </cell>
          <cell r="W46">
            <v>0</v>
          </cell>
          <cell r="AA46">
            <v>0</v>
          </cell>
          <cell r="AC46">
            <v>0</v>
          </cell>
          <cell r="AI46">
            <v>40</v>
          </cell>
          <cell r="AJ46" t="str">
            <v>SA213T12</v>
          </cell>
          <cell r="AK46" t="str">
            <v>SA430</v>
          </cell>
          <cell r="AL46" t="str">
            <v>ERNiCr3</v>
          </cell>
          <cell r="AM46" t="str">
            <v>ENiCrMo3/ENiCrFe3</v>
          </cell>
          <cell r="AN46" t="str">
            <v>SS</v>
          </cell>
        </row>
        <row r="47">
          <cell r="G47">
            <v>0</v>
          </cell>
          <cell r="I47">
            <v>0</v>
          </cell>
          <cell r="L47">
            <v>0</v>
          </cell>
          <cell r="M47">
            <v>0</v>
          </cell>
          <cell r="N47">
            <v>0</v>
          </cell>
          <cell r="P47">
            <v>0</v>
          </cell>
          <cell r="Q47">
            <v>0</v>
          </cell>
          <cell r="R47">
            <v>0</v>
          </cell>
          <cell r="T47">
            <v>0</v>
          </cell>
          <cell r="U47">
            <v>0</v>
          </cell>
          <cell r="V47">
            <v>0</v>
          </cell>
          <cell r="W47">
            <v>0</v>
          </cell>
          <cell r="AA47">
            <v>0</v>
          </cell>
          <cell r="AC47">
            <v>0</v>
          </cell>
          <cell r="AI47">
            <v>41</v>
          </cell>
          <cell r="AJ47" t="str">
            <v>SA213T22</v>
          </cell>
          <cell r="AK47" t="str">
            <v>SA213T22</v>
          </cell>
          <cell r="AL47" t="str">
            <v>ER90SB3</v>
          </cell>
          <cell r="AM47" t="str">
            <v>E9018B3</v>
          </cell>
          <cell r="AN47" t="str">
            <v>AS</v>
          </cell>
        </row>
        <row r="48">
          <cell r="G48">
            <v>0</v>
          </cell>
          <cell r="I48">
            <v>0</v>
          </cell>
          <cell r="L48">
            <v>0</v>
          </cell>
          <cell r="M48">
            <v>0</v>
          </cell>
          <cell r="N48">
            <v>0</v>
          </cell>
          <cell r="P48">
            <v>0</v>
          </cell>
          <cell r="Q48">
            <v>0</v>
          </cell>
          <cell r="R48">
            <v>0</v>
          </cell>
          <cell r="T48">
            <v>0</v>
          </cell>
          <cell r="U48">
            <v>0</v>
          </cell>
          <cell r="V48">
            <v>0</v>
          </cell>
          <cell r="W48">
            <v>0</v>
          </cell>
          <cell r="AA48">
            <v>0</v>
          </cell>
          <cell r="AC48">
            <v>0</v>
          </cell>
          <cell r="AI48">
            <v>42</v>
          </cell>
          <cell r="AJ48" t="str">
            <v>SA213T22</v>
          </cell>
          <cell r="AK48" t="str">
            <v>SA213T12</v>
          </cell>
          <cell r="AL48" t="str">
            <v>ER90SB3</v>
          </cell>
          <cell r="AM48" t="str">
            <v>E9018B3</v>
          </cell>
          <cell r="AN48" t="str">
            <v>AS</v>
          </cell>
        </row>
        <row r="49">
          <cell r="G49">
            <v>0</v>
          </cell>
          <cell r="I49">
            <v>0</v>
          </cell>
          <cell r="L49">
            <v>0</v>
          </cell>
          <cell r="M49">
            <v>0</v>
          </cell>
          <cell r="N49">
            <v>0</v>
          </cell>
          <cell r="P49">
            <v>0</v>
          </cell>
          <cell r="Q49">
            <v>0</v>
          </cell>
          <cell r="R49">
            <v>0</v>
          </cell>
          <cell r="T49">
            <v>0</v>
          </cell>
          <cell r="U49">
            <v>0</v>
          </cell>
          <cell r="V49">
            <v>0</v>
          </cell>
          <cell r="W49">
            <v>0</v>
          </cell>
          <cell r="AA49">
            <v>0</v>
          </cell>
          <cell r="AC49">
            <v>0</v>
          </cell>
          <cell r="AI49">
            <v>43</v>
          </cell>
          <cell r="AJ49" t="str">
            <v>SA213T22</v>
          </cell>
          <cell r="AK49" t="str">
            <v>SA213T23</v>
          </cell>
          <cell r="AL49" t="str">
            <v>ER90SB3</v>
          </cell>
          <cell r="AM49" t="str">
            <v>E9018B3</v>
          </cell>
          <cell r="AN49" t="str">
            <v>AS</v>
          </cell>
        </row>
        <row r="50">
          <cell r="G50">
            <v>0</v>
          </cell>
          <cell r="I50">
            <v>0</v>
          </cell>
          <cell r="L50">
            <v>0</v>
          </cell>
          <cell r="M50">
            <v>0</v>
          </cell>
          <cell r="N50">
            <v>0</v>
          </cell>
          <cell r="P50">
            <v>0</v>
          </cell>
          <cell r="Q50">
            <v>0</v>
          </cell>
          <cell r="R50">
            <v>0</v>
          </cell>
          <cell r="T50">
            <v>0</v>
          </cell>
          <cell r="U50">
            <v>0</v>
          </cell>
          <cell r="V50">
            <v>0</v>
          </cell>
          <cell r="W50">
            <v>0</v>
          </cell>
          <cell r="AA50">
            <v>0</v>
          </cell>
          <cell r="AC50">
            <v>0</v>
          </cell>
          <cell r="AI50">
            <v>44</v>
          </cell>
          <cell r="AJ50" t="str">
            <v>SA213T22</v>
          </cell>
          <cell r="AK50" t="str">
            <v>SA213T91</v>
          </cell>
          <cell r="AL50" t="str">
            <v>ER90SB9</v>
          </cell>
          <cell r="AM50" t="str">
            <v>E9016B9/E9018B9</v>
          </cell>
          <cell r="AN50" t="str">
            <v>AS</v>
          </cell>
        </row>
        <row r="51">
          <cell r="G51">
            <v>0</v>
          </cell>
          <cell r="I51">
            <v>0</v>
          </cell>
          <cell r="L51">
            <v>0</v>
          </cell>
          <cell r="M51">
            <v>0</v>
          </cell>
          <cell r="N51">
            <v>0</v>
          </cell>
          <cell r="P51">
            <v>0</v>
          </cell>
          <cell r="Q51">
            <v>0</v>
          </cell>
          <cell r="R51">
            <v>0</v>
          </cell>
          <cell r="T51">
            <v>0</v>
          </cell>
          <cell r="U51">
            <v>0</v>
          </cell>
          <cell r="V51">
            <v>0</v>
          </cell>
          <cell r="W51">
            <v>0</v>
          </cell>
          <cell r="AA51">
            <v>0</v>
          </cell>
          <cell r="AC51">
            <v>0</v>
          </cell>
          <cell r="AI51">
            <v>45</v>
          </cell>
          <cell r="AJ51" t="str">
            <v>SA213T22</v>
          </cell>
          <cell r="AK51" t="str">
            <v>TP304</v>
          </cell>
          <cell r="AL51" t="str">
            <v>ERNiCr3</v>
          </cell>
          <cell r="AM51" t="str">
            <v>ENiCrMo3/ENiCrFe3</v>
          </cell>
          <cell r="AN51" t="str">
            <v>SS</v>
          </cell>
        </row>
        <row r="52">
          <cell r="G52">
            <v>0</v>
          </cell>
          <cell r="I52">
            <v>0</v>
          </cell>
          <cell r="L52">
            <v>0</v>
          </cell>
          <cell r="M52">
            <v>0</v>
          </cell>
          <cell r="N52">
            <v>0</v>
          </cell>
          <cell r="P52">
            <v>0</v>
          </cell>
          <cell r="Q52">
            <v>0</v>
          </cell>
          <cell r="R52">
            <v>0</v>
          </cell>
          <cell r="T52">
            <v>0</v>
          </cell>
          <cell r="U52">
            <v>0</v>
          </cell>
          <cell r="V52">
            <v>0</v>
          </cell>
          <cell r="W52">
            <v>0</v>
          </cell>
          <cell r="AA52">
            <v>0</v>
          </cell>
          <cell r="AC52">
            <v>0</v>
          </cell>
          <cell r="AI52">
            <v>46</v>
          </cell>
          <cell r="AJ52" t="str">
            <v>SA213T22</v>
          </cell>
          <cell r="AK52" t="str">
            <v>TP309</v>
          </cell>
          <cell r="AL52" t="str">
            <v>ERNiCr3</v>
          </cell>
          <cell r="AM52" t="str">
            <v>ENiCrMo3/ENiCrFe3</v>
          </cell>
          <cell r="AN52" t="str">
            <v>SS</v>
          </cell>
        </row>
        <row r="53">
          <cell r="G53">
            <v>0</v>
          </cell>
          <cell r="I53">
            <v>0</v>
          </cell>
          <cell r="L53">
            <v>0</v>
          </cell>
          <cell r="M53">
            <v>0</v>
          </cell>
          <cell r="N53">
            <v>0</v>
          </cell>
          <cell r="P53">
            <v>0</v>
          </cell>
          <cell r="Q53">
            <v>0</v>
          </cell>
          <cell r="R53">
            <v>0</v>
          </cell>
          <cell r="T53">
            <v>0</v>
          </cell>
          <cell r="U53">
            <v>0</v>
          </cell>
          <cell r="V53">
            <v>0</v>
          </cell>
          <cell r="W53">
            <v>0</v>
          </cell>
          <cell r="AA53">
            <v>0</v>
          </cell>
          <cell r="AC53">
            <v>0</v>
          </cell>
          <cell r="AI53">
            <v>47</v>
          </cell>
          <cell r="AJ53" t="str">
            <v>SA213T22</v>
          </cell>
          <cell r="AK53" t="str">
            <v>TP310S</v>
          </cell>
          <cell r="AL53" t="str">
            <v>ERNiCr3</v>
          </cell>
          <cell r="AM53" t="str">
            <v>ENiCrMo3/ENiCrFe3</v>
          </cell>
          <cell r="AN53" t="str">
            <v>SS</v>
          </cell>
        </row>
        <row r="54">
          <cell r="G54">
            <v>0</v>
          </cell>
          <cell r="I54">
            <v>0</v>
          </cell>
          <cell r="L54">
            <v>0</v>
          </cell>
          <cell r="M54">
            <v>0</v>
          </cell>
          <cell r="N54">
            <v>0</v>
          </cell>
          <cell r="P54">
            <v>0</v>
          </cell>
          <cell r="Q54">
            <v>0</v>
          </cell>
          <cell r="R54">
            <v>0</v>
          </cell>
          <cell r="T54">
            <v>0</v>
          </cell>
          <cell r="U54">
            <v>0</v>
          </cell>
          <cell r="V54">
            <v>0</v>
          </cell>
          <cell r="W54">
            <v>0</v>
          </cell>
          <cell r="AA54">
            <v>0</v>
          </cell>
          <cell r="AC54">
            <v>0</v>
          </cell>
          <cell r="AI54">
            <v>48</v>
          </cell>
          <cell r="AJ54" t="str">
            <v>SA213T22</v>
          </cell>
          <cell r="AK54" t="str">
            <v>SA430</v>
          </cell>
          <cell r="AL54" t="str">
            <v>ERNiCr3</v>
          </cell>
          <cell r="AM54" t="str">
            <v>ENiCrMo3/ENiCrFe3</v>
          </cell>
          <cell r="AN54" t="str">
            <v>SS</v>
          </cell>
        </row>
        <row r="55">
          <cell r="G55">
            <v>0</v>
          </cell>
          <cell r="I55">
            <v>0</v>
          </cell>
          <cell r="L55">
            <v>0</v>
          </cell>
          <cell r="M55">
            <v>0</v>
          </cell>
          <cell r="N55">
            <v>0</v>
          </cell>
          <cell r="P55">
            <v>0</v>
          </cell>
          <cell r="Q55">
            <v>0</v>
          </cell>
          <cell r="R55">
            <v>0</v>
          </cell>
          <cell r="T55">
            <v>0</v>
          </cell>
          <cell r="U55">
            <v>0</v>
          </cell>
          <cell r="V55">
            <v>0</v>
          </cell>
          <cell r="W55">
            <v>0</v>
          </cell>
          <cell r="AA55">
            <v>0</v>
          </cell>
          <cell r="AC55">
            <v>0</v>
          </cell>
          <cell r="AI55">
            <v>49</v>
          </cell>
          <cell r="AJ55" t="str">
            <v>SA213T22</v>
          </cell>
          <cell r="AK55" t="str">
            <v>SA36</v>
          </cell>
          <cell r="AL55" t="str">
            <v>ER70S2</v>
          </cell>
          <cell r="AM55" t="str">
            <v>E7018</v>
          </cell>
          <cell r="AN55" t="str">
            <v>AS</v>
          </cell>
        </row>
        <row r="56">
          <cell r="G56">
            <v>0</v>
          </cell>
          <cell r="I56">
            <v>0</v>
          </cell>
          <cell r="L56">
            <v>0</v>
          </cell>
          <cell r="M56">
            <v>0</v>
          </cell>
          <cell r="N56">
            <v>0</v>
          </cell>
          <cell r="P56">
            <v>0</v>
          </cell>
          <cell r="Q56">
            <v>0</v>
          </cell>
          <cell r="R56">
            <v>0</v>
          </cell>
          <cell r="T56">
            <v>0</v>
          </cell>
          <cell r="U56">
            <v>0</v>
          </cell>
          <cell r="V56">
            <v>0</v>
          </cell>
          <cell r="W56">
            <v>0</v>
          </cell>
          <cell r="AA56">
            <v>0</v>
          </cell>
          <cell r="AC56">
            <v>0</v>
          </cell>
          <cell r="AI56">
            <v>50</v>
          </cell>
          <cell r="AJ56" t="str">
            <v>SA213T23</v>
          </cell>
          <cell r="AK56" t="str">
            <v>SA213T23</v>
          </cell>
          <cell r="AL56" t="str">
            <v>ER70SG</v>
          </cell>
          <cell r="AM56" t="str">
            <v>E9015G/ETHERMANITP23</v>
          </cell>
          <cell r="AN56" t="str">
            <v>AS</v>
          </cell>
        </row>
        <row r="57">
          <cell r="G57">
            <v>0</v>
          </cell>
          <cell r="I57">
            <v>0</v>
          </cell>
          <cell r="L57">
            <v>0</v>
          </cell>
          <cell r="M57">
            <v>0</v>
          </cell>
          <cell r="N57">
            <v>0</v>
          </cell>
          <cell r="P57">
            <v>0</v>
          </cell>
          <cell r="Q57">
            <v>0</v>
          </cell>
          <cell r="R57">
            <v>0</v>
          </cell>
          <cell r="T57">
            <v>0</v>
          </cell>
          <cell r="U57">
            <v>0</v>
          </cell>
          <cell r="V57">
            <v>0</v>
          </cell>
          <cell r="W57">
            <v>0</v>
          </cell>
          <cell r="AA57">
            <v>0</v>
          </cell>
          <cell r="AC57">
            <v>0</v>
          </cell>
          <cell r="AI57">
            <v>51</v>
          </cell>
          <cell r="AJ57" t="str">
            <v>SA213T23</v>
          </cell>
          <cell r="AK57" t="str">
            <v>SA213T12</v>
          </cell>
          <cell r="AL57" t="str">
            <v>ER80SB2</v>
          </cell>
          <cell r="AM57" t="str">
            <v>E8016B2</v>
          </cell>
          <cell r="AN57" t="str">
            <v>AS</v>
          </cell>
        </row>
        <row r="58">
          <cell r="G58">
            <v>0</v>
          </cell>
          <cell r="I58">
            <v>0</v>
          </cell>
          <cell r="L58">
            <v>0</v>
          </cell>
          <cell r="M58">
            <v>0</v>
          </cell>
          <cell r="N58">
            <v>0</v>
          </cell>
          <cell r="P58">
            <v>0</v>
          </cell>
          <cell r="Q58">
            <v>0</v>
          </cell>
          <cell r="R58">
            <v>0</v>
          </cell>
          <cell r="T58">
            <v>0</v>
          </cell>
          <cell r="U58">
            <v>0</v>
          </cell>
          <cell r="V58">
            <v>0</v>
          </cell>
          <cell r="W58">
            <v>0</v>
          </cell>
          <cell r="AA58">
            <v>0</v>
          </cell>
          <cell r="AC58">
            <v>0</v>
          </cell>
          <cell r="AI58">
            <v>52</v>
          </cell>
          <cell r="AJ58" t="str">
            <v>SA213T23</v>
          </cell>
          <cell r="AK58" t="str">
            <v>SA213T22</v>
          </cell>
          <cell r="AL58" t="str">
            <v>ER90SB3</v>
          </cell>
          <cell r="AM58" t="str">
            <v>E9018B3</v>
          </cell>
          <cell r="AN58" t="str">
            <v>AS</v>
          </cell>
        </row>
        <row r="59">
          <cell r="G59">
            <v>0</v>
          </cell>
          <cell r="I59">
            <v>0</v>
          </cell>
          <cell r="L59">
            <v>0</v>
          </cell>
          <cell r="M59">
            <v>0</v>
          </cell>
          <cell r="N59">
            <v>0</v>
          </cell>
          <cell r="P59">
            <v>0</v>
          </cell>
          <cell r="Q59">
            <v>0</v>
          </cell>
          <cell r="R59">
            <v>0</v>
          </cell>
          <cell r="T59">
            <v>0</v>
          </cell>
          <cell r="U59">
            <v>0</v>
          </cell>
          <cell r="V59">
            <v>0</v>
          </cell>
          <cell r="W59">
            <v>0</v>
          </cell>
          <cell r="AA59">
            <v>0</v>
          </cell>
          <cell r="AC59">
            <v>0</v>
          </cell>
          <cell r="AI59">
            <v>53</v>
          </cell>
          <cell r="AJ59" t="str">
            <v>SA213T23</v>
          </cell>
          <cell r="AK59" t="str">
            <v>SA213T91</v>
          </cell>
          <cell r="AL59" t="str">
            <v>ER90SB9</v>
          </cell>
          <cell r="AM59" t="str">
            <v>E9018B9</v>
          </cell>
          <cell r="AN59" t="str">
            <v>AS</v>
          </cell>
        </row>
        <row r="60">
          <cell r="G60">
            <v>0</v>
          </cell>
          <cell r="I60">
            <v>0</v>
          </cell>
          <cell r="L60">
            <v>0</v>
          </cell>
          <cell r="M60">
            <v>0</v>
          </cell>
          <cell r="N60">
            <v>0</v>
          </cell>
          <cell r="P60">
            <v>0</v>
          </cell>
          <cell r="Q60">
            <v>0</v>
          </cell>
          <cell r="R60">
            <v>0</v>
          </cell>
          <cell r="T60">
            <v>0</v>
          </cell>
          <cell r="U60">
            <v>0</v>
          </cell>
          <cell r="V60">
            <v>0</v>
          </cell>
          <cell r="W60">
            <v>0</v>
          </cell>
          <cell r="AA60">
            <v>0</v>
          </cell>
          <cell r="AC60">
            <v>0</v>
          </cell>
          <cell r="AI60">
            <v>54</v>
          </cell>
          <cell r="AJ60" t="str">
            <v>SA213T23</v>
          </cell>
          <cell r="AK60" t="str">
            <v>SA213T92</v>
          </cell>
          <cell r="AL60" t="str">
            <v>ER70SG</v>
          </cell>
          <cell r="AM60" t="str">
            <v>E9015G</v>
          </cell>
          <cell r="AN60" t="str">
            <v>AS</v>
          </cell>
        </row>
        <row r="61">
          <cell r="G61">
            <v>0</v>
          </cell>
          <cell r="I61">
            <v>0</v>
          </cell>
          <cell r="L61">
            <v>0</v>
          </cell>
          <cell r="M61">
            <v>0</v>
          </cell>
          <cell r="N61">
            <v>0</v>
          </cell>
          <cell r="P61">
            <v>0</v>
          </cell>
          <cell r="Q61">
            <v>0</v>
          </cell>
          <cell r="R61">
            <v>0</v>
          </cell>
          <cell r="T61">
            <v>0</v>
          </cell>
          <cell r="U61">
            <v>0</v>
          </cell>
          <cell r="V61">
            <v>0</v>
          </cell>
          <cell r="W61">
            <v>0</v>
          </cell>
          <cell r="AA61">
            <v>0</v>
          </cell>
          <cell r="AC61">
            <v>0</v>
          </cell>
          <cell r="AI61">
            <v>55</v>
          </cell>
          <cell r="AJ61" t="str">
            <v>SA213T23</v>
          </cell>
          <cell r="AK61" t="str">
            <v>TP304</v>
          </cell>
          <cell r="AL61" t="str">
            <v>ERNiCr3</v>
          </cell>
          <cell r="AM61" t="str">
            <v>ENiCrMo3/ENiCrFe3</v>
          </cell>
          <cell r="AN61" t="str">
            <v>SS</v>
          </cell>
        </row>
        <row r="62">
          <cell r="G62">
            <v>0</v>
          </cell>
          <cell r="I62">
            <v>0</v>
          </cell>
          <cell r="L62">
            <v>0</v>
          </cell>
          <cell r="M62">
            <v>0</v>
          </cell>
          <cell r="N62">
            <v>0</v>
          </cell>
          <cell r="P62">
            <v>0</v>
          </cell>
          <cell r="Q62">
            <v>0</v>
          </cell>
          <cell r="R62">
            <v>0</v>
          </cell>
          <cell r="T62">
            <v>0</v>
          </cell>
          <cell r="U62">
            <v>0</v>
          </cell>
          <cell r="V62">
            <v>0</v>
          </cell>
          <cell r="W62">
            <v>0</v>
          </cell>
          <cell r="AA62">
            <v>0</v>
          </cell>
          <cell r="AC62">
            <v>0</v>
          </cell>
          <cell r="AI62">
            <v>56</v>
          </cell>
          <cell r="AJ62" t="str">
            <v>SA213T23</v>
          </cell>
          <cell r="AK62" t="str">
            <v>TP309</v>
          </cell>
          <cell r="AL62" t="str">
            <v>ERNiCr3</v>
          </cell>
          <cell r="AM62" t="str">
            <v>ENiCrMo3/ENiCrFe3</v>
          </cell>
          <cell r="AN62" t="str">
            <v>SS</v>
          </cell>
        </row>
        <row r="63">
          <cell r="G63">
            <v>0</v>
          </cell>
          <cell r="I63">
            <v>0</v>
          </cell>
          <cell r="L63">
            <v>0</v>
          </cell>
          <cell r="M63">
            <v>0</v>
          </cell>
          <cell r="N63">
            <v>0</v>
          </cell>
          <cell r="P63">
            <v>0</v>
          </cell>
          <cell r="Q63">
            <v>0</v>
          </cell>
          <cell r="R63">
            <v>0</v>
          </cell>
          <cell r="T63">
            <v>0</v>
          </cell>
          <cell r="U63">
            <v>0</v>
          </cell>
          <cell r="V63">
            <v>0</v>
          </cell>
          <cell r="W63">
            <v>0</v>
          </cell>
          <cell r="AA63">
            <v>0</v>
          </cell>
          <cell r="AC63">
            <v>0</v>
          </cell>
          <cell r="AI63">
            <v>57</v>
          </cell>
          <cell r="AJ63" t="str">
            <v>SA213T23</v>
          </cell>
          <cell r="AK63" t="str">
            <v>TP310S</v>
          </cell>
          <cell r="AL63" t="str">
            <v>ERNiCr3</v>
          </cell>
          <cell r="AM63" t="str">
            <v>ENiCrMo3/ENiCrFe3</v>
          </cell>
          <cell r="AN63" t="str">
            <v>SS</v>
          </cell>
        </row>
        <row r="64">
          <cell r="G64">
            <v>0</v>
          </cell>
          <cell r="I64">
            <v>0</v>
          </cell>
          <cell r="L64">
            <v>0</v>
          </cell>
          <cell r="M64">
            <v>0</v>
          </cell>
          <cell r="N64">
            <v>0</v>
          </cell>
          <cell r="P64">
            <v>0</v>
          </cell>
          <cell r="Q64">
            <v>0</v>
          </cell>
          <cell r="R64">
            <v>0</v>
          </cell>
          <cell r="T64">
            <v>0</v>
          </cell>
          <cell r="U64">
            <v>0</v>
          </cell>
          <cell r="V64">
            <v>0</v>
          </cell>
          <cell r="W64">
            <v>0</v>
          </cell>
          <cell r="AA64">
            <v>0</v>
          </cell>
          <cell r="AC64">
            <v>0</v>
          </cell>
          <cell r="AI64">
            <v>58</v>
          </cell>
          <cell r="AJ64" t="str">
            <v>SA213T23</v>
          </cell>
          <cell r="AK64" t="str">
            <v>SA430</v>
          </cell>
          <cell r="AL64" t="str">
            <v>ERNiCr3</v>
          </cell>
          <cell r="AM64" t="str">
            <v>ENiCrMo3/ENiCrFe3</v>
          </cell>
          <cell r="AN64" t="str">
            <v>SS</v>
          </cell>
        </row>
        <row r="65">
          <cell r="G65">
            <v>0</v>
          </cell>
          <cell r="I65">
            <v>0</v>
          </cell>
          <cell r="L65">
            <v>0</v>
          </cell>
          <cell r="M65">
            <v>0</v>
          </cell>
          <cell r="N65">
            <v>0</v>
          </cell>
          <cell r="P65">
            <v>0</v>
          </cell>
          <cell r="Q65">
            <v>0</v>
          </cell>
          <cell r="R65">
            <v>0</v>
          </cell>
          <cell r="T65">
            <v>0</v>
          </cell>
          <cell r="U65">
            <v>0</v>
          </cell>
          <cell r="V65">
            <v>0</v>
          </cell>
          <cell r="W65">
            <v>0</v>
          </cell>
          <cell r="AA65">
            <v>0</v>
          </cell>
          <cell r="AC65">
            <v>0</v>
          </cell>
          <cell r="AI65">
            <v>59</v>
          </cell>
          <cell r="AJ65" t="str">
            <v>SA213T91</v>
          </cell>
          <cell r="AK65" t="str">
            <v>SA213T91</v>
          </cell>
          <cell r="AL65" t="str">
            <v>ER90SB9</v>
          </cell>
          <cell r="AM65" t="str">
            <v>E9018B9</v>
          </cell>
          <cell r="AN65" t="str">
            <v>AS</v>
          </cell>
        </row>
        <row r="66">
          <cell r="G66">
            <v>0</v>
          </cell>
          <cell r="I66">
            <v>0</v>
          </cell>
          <cell r="L66">
            <v>0</v>
          </cell>
          <cell r="M66">
            <v>0</v>
          </cell>
          <cell r="N66">
            <v>0</v>
          </cell>
          <cell r="P66">
            <v>0</v>
          </cell>
          <cell r="Q66">
            <v>0</v>
          </cell>
          <cell r="R66">
            <v>0</v>
          </cell>
          <cell r="T66">
            <v>0</v>
          </cell>
          <cell r="U66">
            <v>0</v>
          </cell>
          <cell r="V66">
            <v>0</v>
          </cell>
          <cell r="W66">
            <v>0</v>
          </cell>
          <cell r="AA66">
            <v>0</v>
          </cell>
          <cell r="AC66">
            <v>0</v>
          </cell>
          <cell r="AI66">
            <v>60</v>
          </cell>
          <cell r="AJ66" t="str">
            <v>SA213T91</v>
          </cell>
          <cell r="AK66" t="str">
            <v>SA213T22</v>
          </cell>
          <cell r="AL66" t="str">
            <v>ER90SB9</v>
          </cell>
          <cell r="AM66" t="str">
            <v>E9016B9/E9018B9</v>
          </cell>
          <cell r="AN66" t="str">
            <v>AS</v>
          </cell>
        </row>
        <row r="67">
          <cell r="G67">
            <v>0</v>
          </cell>
          <cell r="I67">
            <v>0</v>
          </cell>
          <cell r="L67">
            <v>0</v>
          </cell>
          <cell r="M67">
            <v>0</v>
          </cell>
          <cell r="N67">
            <v>0</v>
          </cell>
          <cell r="P67">
            <v>0</v>
          </cell>
          <cell r="Q67">
            <v>0</v>
          </cell>
          <cell r="R67">
            <v>0</v>
          </cell>
          <cell r="T67">
            <v>0</v>
          </cell>
          <cell r="U67">
            <v>0</v>
          </cell>
          <cell r="V67">
            <v>0</v>
          </cell>
          <cell r="W67">
            <v>0</v>
          </cell>
          <cell r="AA67">
            <v>0</v>
          </cell>
          <cell r="AC67">
            <v>0</v>
          </cell>
          <cell r="AI67">
            <v>61</v>
          </cell>
          <cell r="AJ67" t="str">
            <v>SA213T91</v>
          </cell>
          <cell r="AK67" t="str">
            <v>SA213T23</v>
          </cell>
          <cell r="AL67" t="str">
            <v>ER90SB9</v>
          </cell>
          <cell r="AM67" t="str">
            <v>E9016B9/E9018B9</v>
          </cell>
          <cell r="AN67" t="str">
            <v>AS</v>
          </cell>
        </row>
        <row r="68">
          <cell r="G68">
            <v>0</v>
          </cell>
          <cell r="I68">
            <v>0</v>
          </cell>
          <cell r="L68">
            <v>0</v>
          </cell>
          <cell r="M68">
            <v>0</v>
          </cell>
          <cell r="N68">
            <v>0</v>
          </cell>
          <cell r="P68">
            <v>0</v>
          </cell>
          <cell r="Q68">
            <v>0</v>
          </cell>
          <cell r="R68">
            <v>0</v>
          </cell>
          <cell r="T68">
            <v>0</v>
          </cell>
          <cell r="U68">
            <v>0</v>
          </cell>
          <cell r="V68">
            <v>0</v>
          </cell>
          <cell r="W68">
            <v>0</v>
          </cell>
          <cell r="AA68">
            <v>0</v>
          </cell>
          <cell r="AC68">
            <v>0</v>
          </cell>
          <cell r="AI68">
            <v>62</v>
          </cell>
          <cell r="AJ68" t="str">
            <v>SA213T91</v>
          </cell>
          <cell r="AK68" t="str">
            <v>SA213T92</v>
          </cell>
          <cell r="AL68" t="str">
            <v>ERMTS616</v>
          </cell>
          <cell r="AM68">
            <v>0</v>
          </cell>
          <cell r="AN68" t="str">
            <v>AS</v>
          </cell>
        </row>
        <row r="69">
          <cell r="G69">
            <v>0</v>
          </cell>
          <cell r="I69">
            <v>0</v>
          </cell>
          <cell r="L69">
            <v>0</v>
          </cell>
          <cell r="M69">
            <v>0</v>
          </cell>
          <cell r="N69">
            <v>0</v>
          </cell>
          <cell r="P69">
            <v>0</v>
          </cell>
          <cell r="Q69">
            <v>0</v>
          </cell>
          <cell r="R69">
            <v>0</v>
          </cell>
          <cell r="T69">
            <v>0</v>
          </cell>
          <cell r="U69">
            <v>0</v>
          </cell>
          <cell r="V69">
            <v>0</v>
          </cell>
          <cell r="W69">
            <v>0</v>
          </cell>
          <cell r="AA69">
            <v>0</v>
          </cell>
          <cell r="AC69">
            <v>0</v>
          </cell>
          <cell r="AI69">
            <v>63</v>
          </cell>
          <cell r="AJ69" t="str">
            <v>SA213T91</v>
          </cell>
          <cell r="AK69" t="str">
            <v>SA213T12</v>
          </cell>
          <cell r="AL69" t="str">
            <v>ER90SB9</v>
          </cell>
          <cell r="AM69" t="str">
            <v>E9016B9/E9018B9</v>
          </cell>
          <cell r="AN69" t="str">
            <v>AS</v>
          </cell>
        </row>
        <row r="70">
          <cell r="G70">
            <v>0</v>
          </cell>
          <cell r="I70">
            <v>0</v>
          </cell>
          <cell r="L70">
            <v>0</v>
          </cell>
          <cell r="M70">
            <v>0</v>
          </cell>
          <cell r="N70">
            <v>0</v>
          </cell>
          <cell r="P70">
            <v>0</v>
          </cell>
          <cell r="Q70">
            <v>0</v>
          </cell>
          <cell r="R70">
            <v>0</v>
          </cell>
          <cell r="T70">
            <v>0</v>
          </cell>
          <cell r="U70">
            <v>0</v>
          </cell>
          <cell r="V70">
            <v>0</v>
          </cell>
          <cell r="W70">
            <v>0</v>
          </cell>
          <cell r="AA70">
            <v>0</v>
          </cell>
          <cell r="AC70">
            <v>0</v>
          </cell>
          <cell r="AI70">
            <v>64</v>
          </cell>
          <cell r="AJ70" t="str">
            <v>SA213T91</v>
          </cell>
          <cell r="AK70" t="str">
            <v>TP304</v>
          </cell>
          <cell r="AL70" t="str">
            <v>ERNiCr3</v>
          </cell>
          <cell r="AM70" t="str">
            <v>ENiCrMo3/ENiCrFe3</v>
          </cell>
          <cell r="AN70" t="str">
            <v>SS</v>
          </cell>
        </row>
        <row r="71">
          <cell r="G71">
            <v>0</v>
          </cell>
          <cell r="I71">
            <v>0</v>
          </cell>
          <cell r="L71">
            <v>0</v>
          </cell>
          <cell r="M71">
            <v>0</v>
          </cell>
          <cell r="N71">
            <v>0</v>
          </cell>
          <cell r="P71">
            <v>0</v>
          </cell>
          <cell r="Q71">
            <v>0</v>
          </cell>
          <cell r="R71">
            <v>0</v>
          </cell>
          <cell r="T71">
            <v>0</v>
          </cell>
          <cell r="U71">
            <v>0</v>
          </cell>
          <cell r="V71">
            <v>0</v>
          </cell>
          <cell r="W71">
            <v>0</v>
          </cell>
          <cell r="AA71">
            <v>0</v>
          </cell>
          <cell r="AC71">
            <v>0</v>
          </cell>
          <cell r="AI71">
            <v>65</v>
          </cell>
          <cell r="AJ71" t="str">
            <v>SA213T91</v>
          </cell>
          <cell r="AK71" t="str">
            <v>TP309</v>
          </cell>
          <cell r="AL71" t="str">
            <v>ERNiCr3</v>
          </cell>
          <cell r="AM71" t="str">
            <v>ENiCrMo3/ENiCrFe3</v>
          </cell>
          <cell r="AN71" t="str">
            <v>SS</v>
          </cell>
        </row>
        <row r="72">
          <cell r="G72">
            <v>0</v>
          </cell>
          <cell r="I72">
            <v>0</v>
          </cell>
          <cell r="L72">
            <v>0</v>
          </cell>
          <cell r="M72">
            <v>0</v>
          </cell>
          <cell r="N72">
            <v>0</v>
          </cell>
          <cell r="P72">
            <v>0</v>
          </cell>
          <cell r="Q72">
            <v>0</v>
          </cell>
          <cell r="R72">
            <v>0</v>
          </cell>
          <cell r="T72">
            <v>0</v>
          </cell>
          <cell r="U72">
            <v>0</v>
          </cell>
          <cell r="V72">
            <v>0</v>
          </cell>
          <cell r="W72">
            <v>0</v>
          </cell>
          <cell r="AA72">
            <v>0</v>
          </cell>
          <cell r="AC72">
            <v>0</v>
          </cell>
          <cell r="AI72">
            <v>66</v>
          </cell>
          <cell r="AJ72" t="str">
            <v>SA213T91</v>
          </cell>
          <cell r="AK72" t="str">
            <v>TP310S</v>
          </cell>
          <cell r="AL72" t="str">
            <v>ERNiCr3</v>
          </cell>
          <cell r="AM72" t="str">
            <v>ENiCrMo3/ENiCrFe3</v>
          </cell>
          <cell r="AN72" t="str">
            <v>SS</v>
          </cell>
        </row>
        <row r="73">
          <cell r="G73">
            <v>0</v>
          </cell>
          <cell r="I73">
            <v>0</v>
          </cell>
          <cell r="L73">
            <v>0</v>
          </cell>
          <cell r="M73">
            <v>0</v>
          </cell>
          <cell r="N73">
            <v>0</v>
          </cell>
          <cell r="P73">
            <v>0</v>
          </cell>
          <cell r="Q73">
            <v>0</v>
          </cell>
          <cell r="R73">
            <v>0</v>
          </cell>
          <cell r="T73">
            <v>0</v>
          </cell>
          <cell r="U73">
            <v>0</v>
          </cell>
          <cell r="V73">
            <v>0</v>
          </cell>
          <cell r="W73">
            <v>0</v>
          </cell>
          <cell r="AA73">
            <v>0</v>
          </cell>
          <cell r="AC73">
            <v>0</v>
          </cell>
          <cell r="AI73">
            <v>67</v>
          </cell>
          <cell r="AJ73" t="str">
            <v>SA213T91</v>
          </cell>
          <cell r="AK73" t="str">
            <v>SA430</v>
          </cell>
          <cell r="AL73" t="str">
            <v>ERNiCr3</v>
          </cell>
          <cell r="AM73" t="str">
            <v>ENiCrMo3/ENiCrFe3</v>
          </cell>
          <cell r="AN73" t="str">
            <v>SS</v>
          </cell>
        </row>
        <row r="74">
          <cell r="G74">
            <v>0</v>
          </cell>
          <cell r="I74">
            <v>0</v>
          </cell>
          <cell r="L74">
            <v>0</v>
          </cell>
          <cell r="M74">
            <v>0</v>
          </cell>
          <cell r="N74">
            <v>0</v>
          </cell>
          <cell r="P74">
            <v>0</v>
          </cell>
          <cell r="Q74">
            <v>0</v>
          </cell>
          <cell r="R74">
            <v>0</v>
          </cell>
          <cell r="T74">
            <v>0</v>
          </cell>
          <cell r="U74">
            <v>0</v>
          </cell>
          <cell r="V74">
            <v>0</v>
          </cell>
          <cell r="W74">
            <v>0</v>
          </cell>
          <cell r="AA74">
            <v>0</v>
          </cell>
          <cell r="AC74">
            <v>0</v>
          </cell>
          <cell r="AI74">
            <v>68</v>
          </cell>
          <cell r="AJ74" t="str">
            <v>SA213T91</v>
          </cell>
          <cell r="AK74" t="str">
            <v>SA213TP347H</v>
          </cell>
          <cell r="AL74" t="str">
            <v>ERNiCr3</v>
          </cell>
          <cell r="AM74" t="str">
            <v>ENiCrMo3/ENiCrFe3</v>
          </cell>
          <cell r="AN74" t="str">
            <v>SS</v>
          </cell>
        </row>
        <row r="75">
          <cell r="G75">
            <v>0</v>
          </cell>
          <cell r="I75">
            <v>0</v>
          </cell>
          <cell r="L75">
            <v>0</v>
          </cell>
          <cell r="M75">
            <v>0</v>
          </cell>
          <cell r="N75">
            <v>0</v>
          </cell>
          <cell r="P75">
            <v>0</v>
          </cell>
          <cell r="Q75">
            <v>0</v>
          </cell>
          <cell r="R75">
            <v>0</v>
          </cell>
          <cell r="T75">
            <v>0</v>
          </cell>
          <cell r="U75">
            <v>0</v>
          </cell>
          <cell r="V75">
            <v>0</v>
          </cell>
          <cell r="W75">
            <v>0</v>
          </cell>
          <cell r="AA75">
            <v>0</v>
          </cell>
          <cell r="AC75">
            <v>0</v>
          </cell>
          <cell r="AI75">
            <v>69</v>
          </cell>
          <cell r="AJ75" t="str">
            <v>SA213T92</v>
          </cell>
          <cell r="AK75" t="str">
            <v>SA213T92</v>
          </cell>
          <cell r="AL75" t="str">
            <v>ERMTS616</v>
          </cell>
          <cell r="AM75">
            <v>0</v>
          </cell>
          <cell r="AN75" t="str">
            <v>AS</v>
          </cell>
        </row>
        <row r="76">
          <cell r="G76">
            <v>0</v>
          </cell>
          <cell r="I76">
            <v>0</v>
          </cell>
          <cell r="L76">
            <v>0</v>
          </cell>
          <cell r="M76">
            <v>0</v>
          </cell>
          <cell r="N76">
            <v>0</v>
          </cell>
          <cell r="P76">
            <v>0</v>
          </cell>
          <cell r="Q76">
            <v>0</v>
          </cell>
          <cell r="R76">
            <v>0</v>
          </cell>
          <cell r="T76">
            <v>0</v>
          </cell>
          <cell r="U76">
            <v>0</v>
          </cell>
          <cell r="V76">
            <v>0</v>
          </cell>
          <cell r="W76">
            <v>0</v>
          </cell>
          <cell r="AA76">
            <v>0</v>
          </cell>
          <cell r="AC76">
            <v>0</v>
          </cell>
          <cell r="AI76">
            <v>70</v>
          </cell>
          <cell r="AJ76" t="str">
            <v>SA213T92</v>
          </cell>
          <cell r="AK76" t="str">
            <v>SA213T23</v>
          </cell>
          <cell r="AL76" t="str">
            <v>ER70SG</v>
          </cell>
          <cell r="AM76" t="str">
            <v>E9015G/ETHERMANITP23</v>
          </cell>
          <cell r="AN76" t="str">
            <v>AS</v>
          </cell>
        </row>
        <row r="77">
          <cell r="G77">
            <v>0</v>
          </cell>
          <cell r="I77">
            <v>0</v>
          </cell>
          <cell r="L77">
            <v>0</v>
          </cell>
          <cell r="M77">
            <v>0</v>
          </cell>
          <cell r="N77">
            <v>0</v>
          </cell>
          <cell r="P77">
            <v>0</v>
          </cell>
          <cell r="Q77">
            <v>0</v>
          </cell>
          <cell r="R77">
            <v>0</v>
          </cell>
          <cell r="T77">
            <v>0</v>
          </cell>
          <cell r="U77">
            <v>0</v>
          </cell>
          <cell r="V77">
            <v>0</v>
          </cell>
          <cell r="W77">
            <v>0</v>
          </cell>
          <cell r="AA77">
            <v>0</v>
          </cell>
          <cell r="AC77">
            <v>0</v>
          </cell>
          <cell r="AI77">
            <v>71</v>
          </cell>
          <cell r="AJ77" t="str">
            <v>SA213T92</v>
          </cell>
          <cell r="AK77" t="str">
            <v>SA213T91</v>
          </cell>
          <cell r="AL77" t="str">
            <v>ERMTS616</v>
          </cell>
          <cell r="AM77">
            <v>0</v>
          </cell>
          <cell r="AN77" t="str">
            <v>AS</v>
          </cell>
        </row>
        <row r="78">
          <cell r="G78">
            <v>0</v>
          </cell>
          <cell r="I78">
            <v>0</v>
          </cell>
          <cell r="L78">
            <v>0</v>
          </cell>
          <cell r="M78">
            <v>0</v>
          </cell>
          <cell r="N78">
            <v>0</v>
          </cell>
          <cell r="P78">
            <v>0</v>
          </cell>
          <cell r="Q78">
            <v>0</v>
          </cell>
          <cell r="R78">
            <v>0</v>
          </cell>
          <cell r="T78">
            <v>0</v>
          </cell>
          <cell r="U78">
            <v>0</v>
          </cell>
          <cell r="V78">
            <v>0</v>
          </cell>
          <cell r="W78">
            <v>0</v>
          </cell>
          <cell r="AA78">
            <v>0</v>
          </cell>
          <cell r="AC78">
            <v>0</v>
          </cell>
          <cell r="AI78">
            <v>72</v>
          </cell>
          <cell r="AJ78" t="str">
            <v>SA213T92</v>
          </cell>
          <cell r="AK78" t="str">
            <v>SA213T22</v>
          </cell>
          <cell r="AL78" t="str">
            <v>ER90SB9</v>
          </cell>
          <cell r="AM78" t="str">
            <v>E9016B9/E9018B9</v>
          </cell>
          <cell r="AN78" t="str">
            <v>AS</v>
          </cell>
        </row>
        <row r="79">
          <cell r="G79">
            <v>0</v>
          </cell>
          <cell r="I79">
            <v>0</v>
          </cell>
          <cell r="L79">
            <v>0</v>
          </cell>
          <cell r="M79">
            <v>0</v>
          </cell>
          <cell r="N79">
            <v>0</v>
          </cell>
          <cell r="P79">
            <v>0</v>
          </cell>
          <cell r="Q79">
            <v>0</v>
          </cell>
          <cell r="R79">
            <v>0</v>
          </cell>
          <cell r="T79">
            <v>0</v>
          </cell>
          <cell r="U79">
            <v>0</v>
          </cell>
          <cell r="V79">
            <v>0</v>
          </cell>
          <cell r="W79">
            <v>0</v>
          </cell>
          <cell r="AA79">
            <v>0</v>
          </cell>
          <cell r="AC79">
            <v>0</v>
          </cell>
          <cell r="AI79">
            <v>73</v>
          </cell>
          <cell r="AJ79" t="str">
            <v>SA335P5</v>
          </cell>
          <cell r="AK79" t="str">
            <v>SA335P5</v>
          </cell>
          <cell r="AL79" t="str">
            <v>ER80SB6</v>
          </cell>
          <cell r="AM79" t="str">
            <v>E8018B6</v>
          </cell>
          <cell r="AN79" t="str">
            <v>AS</v>
          </cell>
        </row>
        <row r="80">
          <cell r="G80">
            <v>0</v>
          </cell>
          <cell r="I80">
            <v>0</v>
          </cell>
          <cell r="L80">
            <v>0</v>
          </cell>
          <cell r="M80">
            <v>0</v>
          </cell>
          <cell r="N80">
            <v>0</v>
          </cell>
          <cell r="P80">
            <v>0</v>
          </cell>
          <cell r="Q80">
            <v>0</v>
          </cell>
          <cell r="R80">
            <v>0</v>
          </cell>
          <cell r="T80">
            <v>0</v>
          </cell>
          <cell r="U80">
            <v>0</v>
          </cell>
          <cell r="V80">
            <v>0</v>
          </cell>
          <cell r="W80">
            <v>0</v>
          </cell>
          <cell r="AA80">
            <v>0</v>
          </cell>
          <cell r="AC80">
            <v>0</v>
          </cell>
          <cell r="AI80">
            <v>74</v>
          </cell>
          <cell r="AJ80" t="str">
            <v>SA335P9</v>
          </cell>
          <cell r="AK80" t="str">
            <v>SA335P9</v>
          </cell>
          <cell r="AL80" t="str">
            <v>ER80SB8</v>
          </cell>
          <cell r="AM80" t="str">
            <v>E8018B8</v>
          </cell>
          <cell r="AN80" t="str">
            <v>AS</v>
          </cell>
        </row>
        <row r="81">
          <cell r="G81">
            <v>0</v>
          </cell>
          <cell r="I81">
            <v>0</v>
          </cell>
          <cell r="L81">
            <v>0</v>
          </cell>
          <cell r="M81">
            <v>0</v>
          </cell>
          <cell r="N81">
            <v>0</v>
          </cell>
          <cell r="P81">
            <v>0</v>
          </cell>
          <cell r="Q81">
            <v>0</v>
          </cell>
          <cell r="R81">
            <v>0</v>
          </cell>
          <cell r="T81">
            <v>0</v>
          </cell>
          <cell r="U81">
            <v>0</v>
          </cell>
          <cell r="V81">
            <v>0</v>
          </cell>
          <cell r="W81">
            <v>0</v>
          </cell>
          <cell r="AA81">
            <v>0</v>
          </cell>
          <cell r="AC81">
            <v>0</v>
          </cell>
          <cell r="AI81">
            <v>75</v>
          </cell>
          <cell r="AJ81" t="str">
            <v>SA335P11</v>
          </cell>
          <cell r="AK81" t="str">
            <v>SA335P11</v>
          </cell>
          <cell r="AL81" t="str">
            <v>ER80SB2</v>
          </cell>
          <cell r="AM81" t="str">
            <v>E7018B2</v>
          </cell>
          <cell r="AN81" t="str">
            <v>AS</v>
          </cell>
        </row>
        <row r="82">
          <cell r="G82">
            <v>0</v>
          </cell>
          <cell r="I82">
            <v>0</v>
          </cell>
          <cell r="L82">
            <v>0</v>
          </cell>
          <cell r="M82">
            <v>0</v>
          </cell>
          <cell r="N82">
            <v>0</v>
          </cell>
          <cell r="P82">
            <v>0</v>
          </cell>
          <cell r="Q82">
            <v>0</v>
          </cell>
          <cell r="R82">
            <v>0</v>
          </cell>
          <cell r="T82">
            <v>0</v>
          </cell>
          <cell r="U82">
            <v>0</v>
          </cell>
          <cell r="V82">
            <v>0</v>
          </cell>
          <cell r="W82">
            <v>0</v>
          </cell>
          <cell r="AA82">
            <v>0</v>
          </cell>
          <cell r="AC82">
            <v>0</v>
          </cell>
          <cell r="AI82">
            <v>76</v>
          </cell>
          <cell r="AJ82" t="str">
            <v>SA335P12</v>
          </cell>
          <cell r="AK82" t="str">
            <v>SA335P12</v>
          </cell>
          <cell r="AL82" t="str">
            <v>ER80SB2</v>
          </cell>
          <cell r="AM82" t="str">
            <v>E8016B2</v>
          </cell>
          <cell r="AN82" t="str">
            <v>AS</v>
          </cell>
        </row>
        <row r="83">
          <cell r="G83">
            <v>0</v>
          </cell>
          <cell r="I83">
            <v>0</v>
          </cell>
          <cell r="L83">
            <v>0</v>
          </cell>
          <cell r="M83">
            <v>0</v>
          </cell>
          <cell r="N83">
            <v>0</v>
          </cell>
          <cell r="P83">
            <v>0</v>
          </cell>
          <cell r="Q83">
            <v>0</v>
          </cell>
          <cell r="R83">
            <v>0</v>
          </cell>
          <cell r="T83">
            <v>0</v>
          </cell>
          <cell r="U83">
            <v>0</v>
          </cell>
          <cell r="V83">
            <v>0</v>
          </cell>
          <cell r="W83">
            <v>0</v>
          </cell>
          <cell r="AA83">
            <v>0</v>
          </cell>
          <cell r="AC83">
            <v>0</v>
          </cell>
          <cell r="AI83">
            <v>77</v>
          </cell>
          <cell r="AJ83" t="str">
            <v>SA335P12</v>
          </cell>
          <cell r="AK83" t="str">
            <v>SA335P22</v>
          </cell>
          <cell r="AL83" t="str">
            <v>ER90SB3</v>
          </cell>
          <cell r="AM83" t="str">
            <v>E9018B3</v>
          </cell>
          <cell r="AN83" t="str">
            <v>AS</v>
          </cell>
        </row>
        <row r="84">
          <cell r="G84">
            <v>0</v>
          </cell>
          <cell r="I84">
            <v>0</v>
          </cell>
          <cell r="L84">
            <v>0</v>
          </cell>
          <cell r="M84">
            <v>0</v>
          </cell>
          <cell r="N84">
            <v>0</v>
          </cell>
          <cell r="P84">
            <v>0</v>
          </cell>
          <cell r="Q84">
            <v>0</v>
          </cell>
          <cell r="R84">
            <v>0</v>
          </cell>
          <cell r="T84">
            <v>0</v>
          </cell>
          <cell r="U84">
            <v>0</v>
          </cell>
          <cell r="V84">
            <v>0</v>
          </cell>
          <cell r="W84">
            <v>0</v>
          </cell>
          <cell r="AA84">
            <v>0</v>
          </cell>
          <cell r="AC84">
            <v>0</v>
          </cell>
          <cell r="AI84">
            <v>78</v>
          </cell>
          <cell r="AJ84" t="str">
            <v>SA335P12</v>
          </cell>
          <cell r="AK84" t="str">
            <v>SA335P23</v>
          </cell>
          <cell r="AL84" t="str">
            <v>ER80SB2</v>
          </cell>
          <cell r="AM84" t="str">
            <v>E8016B2/E8018B2</v>
          </cell>
          <cell r="AN84" t="str">
            <v>AS</v>
          </cell>
        </row>
        <row r="85">
          <cell r="G85">
            <v>0</v>
          </cell>
          <cell r="I85">
            <v>0</v>
          </cell>
          <cell r="L85">
            <v>0</v>
          </cell>
          <cell r="M85">
            <v>0</v>
          </cell>
          <cell r="N85">
            <v>0</v>
          </cell>
          <cell r="P85">
            <v>0</v>
          </cell>
          <cell r="Q85">
            <v>0</v>
          </cell>
          <cell r="R85">
            <v>0</v>
          </cell>
          <cell r="T85">
            <v>0</v>
          </cell>
          <cell r="U85">
            <v>0</v>
          </cell>
          <cell r="V85">
            <v>0</v>
          </cell>
          <cell r="W85">
            <v>0</v>
          </cell>
          <cell r="AA85">
            <v>0</v>
          </cell>
          <cell r="AC85">
            <v>0</v>
          </cell>
          <cell r="AI85">
            <v>79</v>
          </cell>
          <cell r="AJ85" t="str">
            <v>SA335P12</v>
          </cell>
          <cell r="AK85" t="str">
            <v>SA210GRC</v>
          </cell>
          <cell r="AL85" t="str">
            <v>ER80SB2</v>
          </cell>
          <cell r="AM85" t="str">
            <v>E8016B2</v>
          </cell>
          <cell r="AN85" t="str">
            <v>AS</v>
          </cell>
        </row>
        <row r="86">
          <cell r="G86">
            <v>0</v>
          </cell>
          <cell r="I86">
            <v>0</v>
          </cell>
          <cell r="L86">
            <v>0</v>
          </cell>
          <cell r="M86">
            <v>0</v>
          </cell>
          <cell r="N86">
            <v>0</v>
          </cell>
          <cell r="P86">
            <v>0</v>
          </cell>
          <cell r="Q86">
            <v>0</v>
          </cell>
          <cell r="R86">
            <v>0</v>
          </cell>
          <cell r="T86">
            <v>0</v>
          </cell>
          <cell r="U86">
            <v>0</v>
          </cell>
          <cell r="V86">
            <v>0</v>
          </cell>
          <cell r="W86">
            <v>0</v>
          </cell>
          <cell r="AA86">
            <v>0</v>
          </cell>
          <cell r="AC86">
            <v>0</v>
          </cell>
          <cell r="AI86">
            <v>80</v>
          </cell>
          <cell r="AJ86" t="str">
            <v>SA335P12</v>
          </cell>
          <cell r="AK86" t="str">
            <v>SA106GRC</v>
          </cell>
          <cell r="AL86" t="str">
            <v>ER80SB2</v>
          </cell>
          <cell r="AM86" t="str">
            <v>E8016B2</v>
          </cell>
          <cell r="AN86" t="str">
            <v>AS</v>
          </cell>
        </row>
        <row r="87">
          <cell r="G87">
            <v>0</v>
          </cell>
          <cell r="I87">
            <v>0</v>
          </cell>
          <cell r="L87">
            <v>0</v>
          </cell>
          <cell r="M87">
            <v>0</v>
          </cell>
          <cell r="N87">
            <v>0</v>
          </cell>
          <cell r="P87">
            <v>0</v>
          </cell>
          <cell r="Q87">
            <v>0</v>
          </cell>
          <cell r="R87">
            <v>0</v>
          </cell>
          <cell r="T87">
            <v>0</v>
          </cell>
          <cell r="U87">
            <v>0</v>
          </cell>
          <cell r="V87">
            <v>0</v>
          </cell>
          <cell r="W87">
            <v>0</v>
          </cell>
          <cell r="AA87">
            <v>0</v>
          </cell>
          <cell r="AC87">
            <v>0</v>
          </cell>
          <cell r="AI87">
            <v>81</v>
          </cell>
          <cell r="AJ87" t="str">
            <v>SA335P12</v>
          </cell>
          <cell r="AK87" t="str">
            <v>TP304</v>
          </cell>
          <cell r="AL87" t="str">
            <v>ERNiCr3</v>
          </cell>
          <cell r="AM87" t="str">
            <v>ENiCrMo3/ENiCrFe3</v>
          </cell>
          <cell r="AN87" t="str">
            <v>SS</v>
          </cell>
        </row>
        <row r="88">
          <cell r="G88">
            <v>0</v>
          </cell>
          <cell r="I88">
            <v>0</v>
          </cell>
          <cell r="L88">
            <v>0</v>
          </cell>
          <cell r="M88">
            <v>0</v>
          </cell>
          <cell r="N88">
            <v>0</v>
          </cell>
          <cell r="P88">
            <v>0</v>
          </cell>
          <cell r="Q88">
            <v>0</v>
          </cell>
          <cell r="R88">
            <v>0</v>
          </cell>
          <cell r="T88">
            <v>0</v>
          </cell>
          <cell r="U88">
            <v>0</v>
          </cell>
          <cell r="V88">
            <v>0</v>
          </cell>
          <cell r="W88">
            <v>0</v>
          </cell>
          <cell r="AA88">
            <v>0</v>
          </cell>
          <cell r="AC88">
            <v>0</v>
          </cell>
          <cell r="AI88">
            <v>82</v>
          </cell>
          <cell r="AJ88" t="str">
            <v>SA335P12</v>
          </cell>
          <cell r="AK88" t="str">
            <v>TP309</v>
          </cell>
          <cell r="AL88" t="str">
            <v>ERNiCr3</v>
          </cell>
          <cell r="AM88" t="str">
            <v>ENiCrMo3/ENiCrFe3</v>
          </cell>
          <cell r="AN88" t="str">
            <v>SS</v>
          </cell>
        </row>
        <row r="89">
          <cell r="G89">
            <v>0</v>
          </cell>
          <cell r="I89">
            <v>0</v>
          </cell>
          <cell r="L89">
            <v>0</v>
          </cell>
          <cell r="M89">
            <v>0</v>
          </cell>
          <cell r="N89">
            <v>0</v>
          </cell>
          <cell r="P89">
            <v>0</v>
          </cell>
          <cell r="Q89">
            <v>0</v>
          </cell>
          <cell r="R89">
            <v>0</v>
          </cell>
          <cell r="T89">
            <v>0</v>
          </cell>
          <cell r="U89">
            <v>0</v>
          </cell>
          <cell r="V89">
            <v>0</v>
          </cell>
          <cell r="W89">
            <v>0</v>
          </cell>
          <cell r="AA89">
            <v>0</v>
          </cell>
          <cell r="AC89">
            <v>0</v>
          </cell>
          <cell r="AI89">
            <v>83</v>
          </cell>
          <cell r="AJ89" t="str">
            <v>SA335P12</v>
          </cell>
          <cell r="AK89" t="str">
            <v>TP310S</v>
          </cell>
          <cell r="AL89" t="str">
            <v>ERNiCr3</v>
          </cell>
          <cell r="AM89" t="str">
            <v>ENiCrMo3/ENiCrFe3</v>
          </cell>
          <cell r="AN89" t="str">
            <v>SS</v>
          </cell>
        </row>
        <row r="90">
          <cell r="G90">
            <v>0</v>
          </cell>
          <cell r="I90">
            <v>0</v>
          </cell>
          <cell r="L90">
            <v>0</v>
          </cell>
          <cell r="M90">
            <v>0</v>
          </cell>
          <cell r="N90">
            <v>0</v>
          </cell>
          <cell r="P90">
            <v>0</v>
          </cell>
          <cell r="Q90">
            <v>0</v>
          </cell>
          <cell r="R90">
            <v>0</v>
          </cell>
          <cell r="T90">
            <v>0</v>
          </cell>
          <cell r="U90">
            <v>0</v>
          </cell>
          <cell r="V90">
            <v>0</v>
          </cell>
          <cell r="W90">
            <v>0</v>
          </cell>
          <cell r="AA90">
            <v>0</v>
          </cell>
          <cell r="AC90">
            <v>0</v>
          </cell>
          <cell r="AI90">
            <v>84</v>
          </cell>
          <cell r="AJ90" t="str">
            <v>SA335P12</v>
          </cell>
          <cell r="AK90" t="str">
            <v>SA430</v>
          </cell>
          <cell r="AL90" t="str">
            <v>ERNiCr3</v>
          </cell>
          <cell r="AM90" t="str">
            <v>ENiCrMo3/ENiCrFe3</v>
          </cell>
          <cell r="AN90" t="str">
            <v>SS</v>
          </cell>
        </row>
        <row r="91">
          <cell r="G91">
            <v>0</v>
          </cell>
          <cell r="I91">
            <v>0</v>
          </cell>
          <cell r="L91">
            <v>0</v>
          </cell>
          <cell r="M91">
            <v>0</v>
          </cell>
          <cell r="N91">
            <v>0</v>
          </cell>
          <cell r="P91">
            <v>0</v>
          </cell>
          <cell r="Q91">
            <v>0</v>
          </cell>
          <cell r="R91">
            <v>0</v>
          </cell>
          <cell r="T91">
            <v>0</v>
          </cell>
          <cell r="U91">
            <v>0</v>
          </cell>
          <cell r="V91">
            <v>0</v>
          </cell>
          <cell r="W91">
            <v>0</v>
          </cell>
          <cell r="AA91">
            <v>0</v>
          </cell>
          <cell r="AC91">
            <v>0</v>
          </cell>
          <cell r="AI91">
            <v>85</v>
          </cell>
          <cell r="AJ91" t="str">
            <v>SA335P22</v>
          </cell>
          <cell r="AK91" t="str">
            <v>SA335P22</v>
          </cell>
          <cell r="AL91" t="str">
            <v>ER90SB3</v>
          </cell>
          <cell r="AM91" t="str">
            <v>E9018B3</v>
          </cell>
          <cell r="AN91" t="str">
            <v>AS</v>
          </cell>
        </row>
        <row r="92">
          <cell r="G92">
            <v>0</v>
          </cell>
          <cell r="I92">
            <v>0</v>
          </cell>
          <cell r="L92">
            <v>0</v>
          </cell>
          <cell r="M92">
            <v>0</v>
          </cell>
          <cell r="N92">
            <v>0</v>
          </cell>
          <cell r="P92">
            <v>0</v>
          </cell>
          <cell r="Q92">
            <v>0</v>
          </cell>
          <cell r="R92">
            <v>0</v>
          </cell>
          <cell r="T92">
            <v>0</v>
          </cell>
          <cell r="U92">
            <v>0</v>
          </cell>
          <cell r="V92">
            <v>0</v>
          </cell>
          <cell r="W92">
            <v>0</v>
          </cell>
          <cell r="AA92">
            <v>0</v>
          </cell>
          <cell r="AC92">
            <v>0</v>
          </cell>
          <cell r="AI92">
            <v>86</v>
          </cell>
          <cell r="AJ92" t="str">
            <v>SA335P22</v>
          </cell>
          <cell r="AK92" t="str">
            <v>SA335P12</v>
          </cell>
          <cell r="AL92" t="str">
            <v>ER90SB3</v>
          </cell>
          <cell r="AM92" t="str">
            <v>E9018B3</v>
          </cell>
          <cell r="AN92" t="str">
            <v>AS</v>
          </cell>
        </row>
        <row r="93">
          <cell r="G93">
            <v>0</v>
          </cell>
          <cell r="I93">
            <v>0</v>
          </cell>
          <cell r="L93">
            <v>0</v>
          </cell>
          <cell r="M93">
            <v>0</v>
          </cell>
          <cell r="N93">
            <v>0</v>
          </cell>
          <cell r="P93">
            <v>0</v>
          </cell>
          <cell r="Q93">
            <v>0</v>
          </cell>
          <cell r="R93">
            <v>0</v>
          </cell>
          <cell r="T93">
            <v>0</v>
          </cell>
          <cell r="U93">
            <v>0</v>
          </cell>
          <cell r="V93">
            <v>0</v>
          </cell>
          <cell r="W93">
            <v>0</v>
          </cell>
          <cell r="AA93">
            <v>0</v>
          </cell>
          <cell r="AC93">
            <v>0</v>
          </cell>
          <cell r="AI93">
            <v>87</v>
          </cell>
          <cell r="AJ93" t="str">
            <v>SA335P22</v>
          </cell>
          <cell r="AK93" t="str">
            <v>SA335P23</v>
          </cell>
          <cell r="AL93" t="str">
            <v>ER90SB3</v>
          </cell>
          <cell r="AM93" t="str">
            <v>E9018B3</v>
          </cell>
          <cell r="AN93" t="str">
            <v>AS</v>
          </cell>
        </row>
        <row r="94">
          <cell r="G94">
            <v>0</v>
          </cell>
          <cell r="I94">
            <v>0</v>
          </cell>
          <cell r="L94">
            <v>0</v>
          </cell>
          <cell r="M94">
            <v>0</v>
          </cell>
          <cell r="N94">
            <v>0</v>
          </cell>
          <cell r="P94">
            <v>0</v>
          </cell>
          <cell r="Q94">
            <v>0</v>
          </cell>
          <cell r="R94">
            <v>0</v>
          </cell>
          <cell r="T94">
            <v>0</v>
          </cell>
          <cell r="U94">
            <v>0</v>
          </cell>
          <cell r="V94">
            <v>0</v>
          </cell>
          <cell r="W94">
            <v>0</v>
          </cell>
          <cell r="AA94">
            <v>0</v>
          </cell>
          <cell r="AC94">
            <v>0</v>
          </cell>
          <cell r="AI94">
            <v>88</v>
          </cell>
          <cell r="AJ94" t="str">
            <v>SA335P22</v>
          </cell>
          <cell r="AK94" t="str">
            <v>SA335P91</v>
          </cell>
          <cell r="AL94" t="str">
            <v>ER90SB9</v>
          </cell>
          <cell r="AM94" t="str">
            <v>E9016B9/E9018B9</v>
          </cell>
          <cell r="AN94" t="str">
            <v>AS</v>
          </cell>
        </row>
        <row r="95">
          <cell r="G95">
            <v>0</v>
          </cell>
          <cell r="I95">
            <v>0</v>
          </cell>
          <cell r="L95">
            <v>0</v>
          </cell>
          <cell r="M95">
            <v>0</v>
          </cell>
          <cell r="N95">
            <v>0</v>
          </cell>
          <cell r="P95">
            <v>0</v>
          </cell>
          <cell r="Q95">
            <v>0</v>
          </cell>
          <cell r="R95">
            <v>0</v>
          </cell>
          <cell r="T95">
            <v>0</v>
          </cell>
          <cell r="U95">
            <v>0</v>
          </cell>
          <cell r="V95">
            <v>0</v>
          </cell>
          <cell r="W95">
            <v>0</v>
          </cell>
          <cell r="AA95">
            <v>0</v>
          </cell>
          <cell r="AC95">
            <v>0</v>
          </cell>
          <cell r="AI95">
            <v>89</v>
          </cell>
          <cell r="AJ95" t="str">
            <v>SA335P22</v>
          </cell>
          <cell r="AK95" t="str">
            <v>TP304</v>
          </cell>
          <cell r="AL95" t="str">
            <v>ERNiCr3</v>
          </cell>
          <cell r="AM95" t="str">
            <v>ENiCrMo3/ENiCrFe3</v>
          </cell>
          <cell r="AN95" t="str">
            <v>SS</v>
          </cell>
        </row>
        <row r="96">
          <cell r="G96">
            <v>0</v>
          </cell>
          <cell r="I96">
            <v>0</v>
          </cell>
          <cell r="L96">
            <v>0</v>
          </cell>
          <cell r="M96">
            <v>0</v>
          </cell>
          <cell r="N96">
            <v>0</v>
          </cell>
          <cell r="P96">
            <v>0</v>
          </cell>
          <cell r="Q96">
            <v>0</v>
          </cell>
          <cell r="R96">
            <v>0</v>
          </cell>
          <cell r="T96">
            <v>0</v>
          </cell>
          <cell r="U96">
            <v>0</v>
          </cell>
          <cell r="V96">
            <v>0</v>
          </cell>
          <cell r="W96">
            <v>0</v>
          </cell>
          <cell r="AA96">
            <v>0</v>
          </cell>
          <cell r="AC96">
            <v>0</v>
          </cell>
          <cell r="AI96">
            <v>90</v>
          </cell>
          <cell r="AJ96" t="str">
            <v>SA335P22</v>
          </cell>
          <cell r="AK96" t="str">
            <v>TP309</v>
          </cell>
          <cell r="AL96" t="str">
            <v>ERNiCr3</v>
          </cell>
          <cell r="AM96" t="str">
            <v>ENiCrMo3/ENiCrFe3</v>
          </cell>
          <cell r="AN96" t="str">
            <v>SS</v>
          </cell>
        </row>
        <row r="97">
          <cell r="G97">
            <v>0</v>
          </cell>
          <cell r="I97">
            <v>0</v>
          </cell>
          <cell r="L97">
            <v>0</v>
          </cell>
          <cell r="M97">
            <v>0</v>
          </cell>
          <cell r="N97">
            <v>0</v>
          </cell>
          <cell r="P97">
            <v>0</v>
          </cell>
          <cell r="Q97">
            <v>0</v>
          </cell>
          <cell r="R97">
            <v>0</v>
          </cell>
          <cell r="T97">
            <v>0</v>
          </cell>
          <cell r="U97">
            <v>0</v>
          </cell>
          <cell r="V97">
            <v>0</v>
          </cell>
          <cell r="W97">
            <v>0</v>
          </cell>
          <cell r="AA97">
            <v>0</v>
          </cell>
          <cell r="AC97">
            <v>0</v>
          </cell>
          <cell r="AI97">
            <v>91</v>
          </cell>
          <cell r="AJ97" t="str">
            <v>SA335P22</v>
          </cell>
          <cell r="AK97" t="str">
            <v>TP310S</v>
          </cell>
          <cell r="AL97" t="str">
            <v>ERNiCr3</v>
          </cell>
          <cell r="AM97" t="str">
            <v>ENiCrMo3/ENiCrFe3</v>
          </cell>
          <cell r="AN97" t="str">
            <v>SS</v>
          </cell>
        </row>
        <row r="98">
          <cell r="G98">
            <v>0</v>
          </cell>
          <cell r="I98">
            <v>0</v>
          </cell>
          <cell r="L98">
            <v>0</v>
          </cell>
          <cell r="M98">
            <v>0</v>
          </cell>
          <cell r="N98">
            <v>0</v>
          </cell>
          <cell r="P98">
            <v>0</v>
          </cell>
          <cell r="Q98">
            <v>0</v>
          </cell>
          <cell r="R98">
            <v>0</v>
          </cell>
          <cell r="T98">
            <v>0</v>
          </cell>
          <cell r="U98">
            <v>0</v>
          </cell>
          <cell r="V98">
            <v>0</v>
          </cell>
          <cell r="W98">
            <v>0</v>
          </cell>
          <cell r="AA98">
            <v>0</v>
          </cell>
          <cell r="AC98">
            <v>0</v>
          </cell>
          <cell r="AI98">
            <v>92</v>
          </cell>
          <cell r="AJ98" t="str">
            <v>SA335P22</v>
          </cell>
          <cell r="AK98" t="str">
            <v>SA430</v>
          </cell>
          <cell r="AL98" t="str">
            <v>ERNiCr3</v>
          </cell>
          <cell r="AM98" t="str">
            <v>ENiCrMo3/ENiCrFe3</v>
          </cell>
          <cell r="AN98" t="str">
            <v>SS</v>
          </cell>
        </row>
        <row r="99">
          <cell r="G99">
            <v>0</v>
          </cell>
          <cell r="I99">
            <v>0</v>
          </cell>
          <cell r="L99">
            <v>0</v>
          </cell>
          <cell r="M99">
            <v>0</v>
          </cell>
          <cell r="N99">
            <v>0</v>
          </cell>
          <cell r="P99">
            <v>0</v>
          </cell>
          <cell r="Q99">
            <v>0</v>
          </cell>
          <cell r="R99">
            <v>0</v>
          </cell>
          <cell r="T99">
            <v>0</v>
          </cell>
          <cell r="U99">
            <v>0</v>
          </cell>
          <cell r="V99">
            <v>0</v>
          </cell>
          <cell r="W99">
            <v>0</v>
          </cell>
          <cell r="AA99">
            <v>0</v>
          </cell>
          <cell r="AC99">
            <v>0</v>
          </cell>
          <cell r="AI99">
            <v>93</v>
          </cell>
          <cell r="AJ99" t="str">
            <v>SA335P22</v>
          </cell>
          <cell r="AK99" t="str">
            <v>12Cr1MoVG</v>
          </cell>
          <cell r="AL99">
            <v>0</v>
          </cell>
          <cell r="AM99" t="str">
            <v>E9018B3</v>
          </cell>
          <cell r="AN99" t="str">
            <v>AS</v>
          </cell>
        </row>
        <row r="100">
          <cell r="G100">
            <v>0</v>
          </cell>
          <cell r="I100">
            <v>0</v>
          </cell>
          <cell r="L100">
            <v>0</v>
          </cell>
          <cell r="M100">
            <v>0</v>
          </cell>
          <cell r="N100">
            <v>0</v>
          </cell>
          <cell r="P100">
            <v>0</v>
          </cell>
          <cell r="Q100">
            <v>0</v>
          </cell>
          <cell r="R100">
            <v>0</v>
          </cell>
          <cell r="T100">
            <v>0</v>
          </cell>
          <cell r="U100">
            <v>0</v>
          </cell>
          <cell r="V100">
            <v>0</v>
          </cell>
          <cell r="W100">
            <v>0</v>
          </cell>
          <cell r="AA100">
            <v>0</v>
          </cell>
          <cell r="AC100">
            <v>0</v>
          </cell>
          <cell r="AI100">
            <v>94</v>
          </cell>
          <cell r="AJ100" t="str">
            <v>SA335P23</v>
          </cell>
          <cell r="AK100" t="str">
            <v>SA335P23</v>
          </cell>
          <cell r="AL100" t="str">
            <v>ER70SG</v>
          </cell>
          <cell r="AM100" t="str">
            <v>ETHERMANITP23</v>
          </cell>
          <cell r="AN100" t="str">
            <v>AS</v>
          </cell>
        </row>
        <row r="101">
          <cell r="G101">
            <v>0</v>
          </cell>
          <cell r="I101">
            <v>0</v>
          </cell>
          <cell r="L101">
            <v>0</v>
          </cell>
          <cell r="M101">
            <v>0</v>
          </cell>
          <cell r="N101">
            <v>0</v>
          </cell>
          <cell r="P101">
            <v>0</v>
          </cell>
          <cell r="Q101">
            <v>0</v>
          </cell>
          <cell r="R101">
            <v>0</v>
          </cell>
          <cell r="T101">
            <v>0</v>
          </cell>
          <cell r="U101">
            <v>0</v>
          </cell>
          <cell r="V101">
            <v>0</v>
          </cell>
          <cell r="W101">
            <v>0</v>
          </cell>
          <cell r="AA101">
            <v>0</v>
          </cell>
          <cell r="AC101">
            <v>0</v>
          </cell>
          <cell r="AI101">
            <v>95</v>
          </cell>
          <cell r="AJ101" t="str">
            <v>SA335P23</v>
          </cell>
          <cell r="AK101" t="str">
            <v>SA335P12</v>
          </cell>
          <cell r="AL101" t="str">
            <v>ER80SB2</v>
          </cell>
          <cell r="AM101" t="str">
            <v>E8016B2</v>
          </cell>
          <cell r="AN101" t="str">
            <v>AS</v>
          </cell>
        </row>
        <row r="102">
          <cell r="G102">
            <v>0</v>
          </cell>
          <cell r="I102">
            <v>0</v>
          </cell>
          <cell r="L102">
            <v>0</v>
          </cell>
          <cell r="M102">
            <v>0</v>
          </cell>
          <cell r="N102">
            <v>0</v>
          </cell>
          <cell r="P102">
            <v>0</v>
          </cell>
          <cell r="Q102">
            <v>0</v>
          </cell>
          <cell r="R102">
            <v>0</v>
          </cell>
          <cell r="T102">
            <v>0</v>
          </cell>
          <cell r="U102">
            <v>0</v>
          </cell>
          <cell r="V102">
            <v>0</v>
          </cell>
          <cell r="W102">
            <v>0</v>
          </cell>
          <cell r="AA102">
            <v>0</v>
          </cell>
          <cell r="AC102">
            <v>0</v>
          </cell>
          <cell r="AI102">
            <v>96</v>
          </cell>
          <cell r="AJ102" t="str">
            <v>SA335P23</v>
          </cell>
          <cell r="AK102" t="str">
            <v>SA335P22</v>
          </cell>
          <cell r="AL102" t="str">
            <v>ER90SB3</v>
          </cell>
          <cell r="AM102" t="str">
            <v>E9018B3</v>
          </cell>
          <cell r="AN102" t="str">
            <v>AS</v>
          </cell>
        </row>
        <row r="103">
          <cell r="G103">
            <v>0</v>
          </cell>
          <cell r="I103">
            <v>0</v>
          </cell>
          <cell r="L103">
            <v>0</v>
          </cell>
          <cell r="M103">
            <v>0</v>
          </cell>
          <cell r="N103">
            <v>0</v>
          </cell>
          <cell r="P103">
            <v>0</v>
          </cell>
          <cell r="Q103">
            <v>0</v>
          </cell>
          <cell r="R103">
            <v>0</v>
          </cell>
          <cell r="T103">
            <v>0</v>
          </cell>
          <cell r="U103">
            <v>0</v>
          </cell>
          <cell r="V103">
            <v>0</v>
          </cell>
          <cell r="W103">
            <v>0</v>
          </cell>
          <cell r="AA103">
            <v>0</v>
          </cell>
          <cell r="AC103">
            <v>0</v>
          </cell>
          <cell r="AI103">
            <v>97</v>
          </cell>
          <cell r="AJ103" t="str">
            <v>SA335P23</v>
          </cell>
          <cell r="AK103" t="str">
            <v>SA335P91</v>
          </cell>
          <cell r="AL103" t="str">
            <v>ER90SB9</v>
          </cell>
          <cell r="AM103" t="str">
            <v>E9016B9/E9018B9</v>
          </cell>
          <cell r="AN103" t="str">
            <v>AS</v>
          </cell>
        </row>
        <row r="104">
          <cell r="G104">
            <v>0</v>
          </cell>
          <cell r="I104">
            <v>0</v>
          </cell>
          <cell r="L104">
            <v>0</v>
          </cell>
          <cell r="M104">
            <v>0</v>
          </cell>
          <cell r="N104">
            <v>0</v>
          </cell>
          <cell r="P104">
            <v>0</v>
          </cell>
          <cell r="Q104">
            <v>0</v>
          </cell>
          <cell r="R104">
            <v>0</v>
          </cell>
          <cell r="T104">
            <v>0</v>
          </cell>
          <cell r="U104">
            <v>0</v>
          </cell>
          <cell r="V104">
            <v>0</v>
          </cell>
          <cell r="W104">
            <v>0</v>
          </cell>
          <cell r="AA104">
            <v>0</v>
          </cell>
          <cell r="AC104">
            <v>0</v>
          </cell>
          <cell r="AI104">
            <v>98</v>
          </cell>
          <cell r="AJ104" t="str">
            <v>SA335P23</v>
          </cell>
          <cell r="AK104" t="str">
            <v>SA335P92</v>
          </cell>
          <cell r="AL104" t="str">
            <v>ER70SG</v>
          </cell>
          <cell r="AM104" t="str">
            <v>E9015G/ETHERMANITP23</v>
          </cell>
          <cell r="AN104" t="str">
            <v>AS</v>
          </cell>
        </row>
        <row r="105">
          <cell r="G105">
            <v>0</v>
          </cell>
          <cell r="I105">
            <v>0</v>
          </cell>
          <cell r="L105">
            <v>0</v>
          </cell>
          <cell r="M105">
            <v>0</v>
          </cell>
          <cell r="N105">
            <v>0</v>
          </cell>
          <cell r="P105">
            <v>0</v>
          </cell>
          <cell r="Q105">
            <v>0</v>
          </cell>
          <cell r="R105">
            <v>0</v>
          </cell>
          <cell r="T105">
            <v>0</v>
          </cell>
          <cell r="U105">
            <v>0</v>
          </cell>
          <cell r="V105">
            <v>0</v>
          </cell>
          <cell r="W105">
            <v>0</v>
          </cell>
          <cell r="AA105">
            <v>0</v>
          </cell>
          <cell r="AC105">
            <v>0</v>
          </cell>
          <cell r="AI105">
            <v>99</v>
          </cell>
          <cell r="AJ105" t="str">
            <v>SA335P23</v>
          </cell>
          <cell r="AK105" t="str">
            <v>TP304</v>
          </cell>
          <cell r="AL105" t="str">
            <v>ERNiCr3</v>
          </cell>
          <cell r="AM105" t="str">
            <v>ENiCrMo3/ENiCrFe3</v>
          </cell>
          <cell r="AN105" t="str">
            <v>SS</v>
          </cell>
        </row>
        <row r="106">
          <cell r="AI106">
            <v>100</v>
          </cell>
          <cell r="AJ106" t="str">
            <v>SA335P23</v>
          </cell>
          <cell r="AK106" t="str">
            <v>TP309</v>
          </cell>
          <cell r="AL106" t="str">
            <v>ERNiCr3</v>
          </cell>
          <cell r="AM106" t="str">
            <v>ENiCrMo3/ENiCrFe3</v>
          </cell>
          <cell r="AN106" t="str">
            <v>SS</v>
          </cell>
        </row>
        <row r="107">
          <cell r="AI107">
            <v>101</v>
          </cell>
          <cell r="AJ107" t="str">
            <v>SA335P23</v>
          </cell>
          <cell r="AK107" t="str">
            <v>TP310S</v>
          </cell>
          <cell r="AL107" t="str">
            <v>ERNiCr3</v>
          </cell>
          <cell r="AM107" t="str">
            <v>ENiCrMo3/ENiCrFe3</v>
          </cell>
          <cell r="AN107" t="str">
            <v>SS</v>
          </cell>
        </row>
        <row r="108">
          <cell r="AI108">
            <v>102</v>
          </cell>
          <cell r="AJ108" t="str">
            <v>SA335P23</v>
          </cell>
          <cell r="AK108" t="str">
            <v>SA430</v>
          </cell>
          <cell r="AL108" t="str">
            <v>ERNiCr3</v>
          </cell>
          <cell r="AM108" t="str">
            <v>ENiCrMo3/ENiCrFe3</v>
          </cell>
          <cell r="AN108" t="str">
            <v>SS</v>
          </cell>
        </row>
        <row r="109">
          <cell r="AI109">
            <v>103</v>
          </cell>
          <cell r="AJ109" t="str">
            <v>SA335P91</v>
          </cell>
          <cell r="AK109" t="str">
            <v>SA335P91</v>
          </cell>
          <cell r="AL109" t="str">
            <v>ER90SB9</v>
          </cell>
          <cell r="AM109" t="str">
            <v>E9018B9</v>
          </cell>
          <cell r="AN109" t="str">
            <v>AS</v>
          </cell>
        </row>
        <row r="110">
          <cell r="AI110">
            <v>104</v>
          </cell>
          <cell r="AJ110" t="str">
            <v>SA335P91</v>
          </cell>
          <cell r="AK110" t="str">
            <v>SA335P22</v>
          </cell>
          <cell r="AL110" t="str">
            <v>ER90SB9</v>
          </cell>
          <cell r="AM110" t="str">
            <v>E9016B9/E9018B9</v>
          </cell>
          <cell r="AN110" t="str">
            <v>AS</v>
          </cell>
        </row>
        <row r="111">
          <cell r="AI111">
            <v>105</v>
          </cell>
          <cell r="AJ111" t="str">
            <v>SA335P91</v>
          </cell>
          <cell r="AK111" t="str">
            <v>SA335P23</v>
          </cell>
          <cell r="AL111" t="str">
            <v>ER90SB9</v>
          </cell>
          <cell r="AM111" t="str">
            <v>E9016B9/E9018B9</v>
          </cell>
          <cell r="AN111" t="str">
            <v>AS</v>
          </cell>
        </row>
        <row r="112">
          <cell r="AI112">
            <v>106</v>
          </cell>
          <cell r="AJ112" t="str">
            <v>SA335P91</v>
          </cell>
          <cell r="AK112" t="str">
            <v>SA335P92</v>
          </cell>
          <cell r="AL112" t="str">
            <v>ERMTS616</v>
          </cell>
          <cell r="AM112">
            <v>0</v>
          </cell>
          <cell r="AN112" t="str">
            <v>AS</v>
          </cell>
        </row>
        <row r="113">
          <cell r="AI113">
            <v>107</v>
          </cell>
          <cell r="AJ113" t="str">
            <v>SA335P91</v>
          </cell>
          <cell r="AK113" t="str">
            <v>TP304</v>
          </cell>
          <cell r="AL113" t="str">
            <v>ERNiCr3</v>
          </cell>
          <cell r="AM113" t="str">
            <v>ENiCrMo3/ENiCrFe3</v>
          </cell>
          <cell r="AN113" t="str">
            <v>SS</v>
          </cell>
        </row>
        <row r="114">
          <cell r="AI114">
            <v>108</v>
          </cell>
          <cell r="AJ114" t="str">
            <v>SA335P91</v>
          </cell>
          <cell r="AK114" t="str">
            <v>TP309</v>
          </cell>
          <cell r="AL114" t="str">
            <v>ERNiCr3</v>
          </cell>
          <cell r="AM114" t="str">
            <v>ENiCrMo3/ENiCrFe3</v>
          </cell>
          <cell r="AN114" t="str">
            <v>SS</v>
          </cell>
        </row>
        <row r="115">
          <cell r="AI115">
            <v>109</v>
          </cell>
          <cell r="AJ115" t="str">
            <v>SA335P91</v>
          </cell>
          <cell r="AK115" t="str">
            <v>TP310S</v>
          </cell>
          <cell r="AL115" t="str">
            <v>ERNiCr3</v>
          </cell>
          <cell r="AM115" t="str">
            <v>ENiCrMo3/ENiCrFe3</v>
          </cell>
          <cell r="AN115" t="str">
            <v>SS</v>
          </cell>
        </row>
        <row r="116">
          <cell r="AI116">
            <v>110</v>
          </cell>
          <cell r="AJ116" t="str">
            <v>SA335P91</v>
          </cell>
          <cell r="AK116" t="str">
            <v>SA430</v>
          </cell>
          <cell r="AL116" t="str">
            <v>ERNiCr3</v>
          </cell>
          <cell r="AM116" t="str">
            <v>ENiCrMo3/ENiCrFe3</v>
          </cell>
          <cell r="AN116" t="str">
            <v>SS</v>
          </cell>
        </row>
        <row r="117">
          <cell r="AI117">
            <v>111</v>
          </cell>
          <cell r="AJ117" t="str">
            <v>SA335P91</v>
          </cell>
          <cell r="AK117" t="str">
            <v>1Cr18Ni9Ti</v>
          </cell>
          <cell r="AL117" t="str">
            <v>ERNiCr3</v>
          </cell>
          <cell r="AM117" t="str">
            <v>ENiCrFe</v>
          </cell>
          <cell r="AN117" t="str">
            <v>SS</v>
          </cell>
        </row>
        <row r="118">
          <cell r="AI118">
            <v>112</v>
          </cell>
          <cell r="AJ118" t="str">
            <v>SA335P91</v>
          </cell>
          <cell r="AK118" t="str">
            <v>12Cr1MoVG</v>
          </cell>
          <cell r="AL118" t="str">
            <v>ER90SB9</v>
          </cell>
          <cell r="AM118" t="str">
            <v>E9018B9</v>
          </cell>
          <cell r="AN118" t="str">
            <v>AS</v>
          </cell>
        </row>
        <row r="119">
          <cell r="AI119">
            <v>113</v>
          </cell>
          <cell r="AJ119" t="str">
            <v>SA335P92</v>
          </cell>
          <cell r="AK119" t="str">
            <v>SA335P92</v>
          </cell>
          <cell r="AL119" t="str">
            <v>ERMTS616</v>
          </cell>
          <cell r="AM119">
            <v>0</v>
          </cell>
          <cell r="AN119" t="str">
            <v>AS</v>
          </cell>
        </row>
        <row r="120">
          <cell r="AI120">
            <v>114</v>
          </cell>
          <cell r="AJ120" t="str">
            <v>SA335P92</v>
          </cell>
          <cell r="AK120" t="str">
            <v>SA335P23</v>
          </cell>
          <cell r="AL120" t="str">
            <v>ER70SG/ER80SB2</v>
          </cell>
          <cell r="AM120" t="str">
            <v>E9015G/ETHERMANITP23</v>
          </cell>
          <cell r="AN120" t="str">
            <v>AS</v>
          </cell>
        </row>
        <row r="121">
          <cell r="AI121">
            <v>115</v>
          </cell>
          <cell r="AJ121" t="str">
            <v>SA335P92</v>
          </cell>
          <cell r="AK121" t="str">
            <v>SA335P91</v>
          </cell>
          <cell r="AL121" t="str">
            <v>ER90SB9</v>
          </cell>
          <cell r="AM121" t="str">
            <v>E9018B9</v>
          </cell>
          <cell r="AN121" t="str">
            <v>AS</v>
          </cell>
        </row>
        <row r="122">
          <cell r="AI122">
            <v>116</v>
          </cell>
          <cell r="AJ122" t="str">
            <v>SA36</v>
          </cell>
          <cell r="AK122" t="str">
            <v>SA36</v>
          </cell>
          <cell r="AL122" t="str">
            <v>ER70S2</v>
          </cell>
          <cell r="AM122" t="str">
            <v>E7018</v>
          </cell>
          <cell r="AN122" t="str">
            <v>CS</v>
          </cell>
        </row>
        <row r="123">
          <cell r="AI123">
            <v>117</v>
          </cell>
          <cell r="AJ123" t="str">
            <v>SA36</v>
          </cell>
          <cell r="AK123" t="str">
            <v>SA106GRB</v>
          </cell>
          <cell r="AL123" t="str">
            <v>ER70S2</v>
          </cell>
          <cell r="AM123" t="str">
            <v>E7018</v>
          </cell>
          <cell r="AN123" t="str">
            <v>CS</v>
          </cell>
        </row>
        <row r="124">
          <cell r="AI124">
            <v>118</v>
          </cell>
          <cell r="AJ124" t="str">
            <v>SA36</v>
          </cell>
          <cell r="AK124" t="str">
            <v>SA106GRC</v>
          </cell>
          <cell r="AL124" t="str">
            <v>ER70S2</v>
          </cell>
          <cell r="AM124" t="str">
            <v>E7018</v>
          </cell>
          <cell r="AN124" t="str">
            <v>CS</v>
          </cell>
        </row>
        <row r="125">
          <cell r="AI125">
            <v>119</v>
          </cell>
          <cell r="AJ125" t="str">
            <v>SA36</v>
          </cell>
          <cell r="AK125" t="str">
            <v>SA213T12</v>
          </cell>
          <cell r="AL125" t="str">
            <v>ER80SB2</v>
          </cell>
          <cell r="AM125" t="str">
            <v>E8016B2</v>
          </cell>
          <cell r="AN125" t="str">
            <v>AS</v>
          </cell>
        </row>
        <row r="126">
          <cell r="AI126">
            <v>120</v>
          </cell>
          <cell r="AJ126" t="str">
            <v>SA36</v>
          </cell>
          <cell r="AK126" t="str">
            <v>SA213T22</v>
          </cell>
          <cell r="AL126" t="str">
            <v>ER70S2</v>
          </cell>
          <cell r="AM126" t="str">
            <v>E7018</v>
          </cell>
          <cell r="AN126" t="str">
            <v>AS</v>
          </cell>
        </row>
        <row r="127">
          <cell r="AI127">
            <v>121</v>
          </cell>
          <cell r="AJ127" t="str">
            <v>SA36</v>
          </cell>
          <cell r="AK127" t="str">
            <v>SA387-12</v>
          </cell>
          <cell r="AL127" t="str">
            <v>ER70S2</v>
          </cell>
          <cell r="AM127" t="str">
            <v>E7018</v>
          </cell>
          <cell r="AN127" t="str">
            <v>AS</v>
          </cell>
        </row>
        <row r="128">
          <cell r="AI128">
            <v>122</v>
          </cell>
          <cell r="AJ128" t="str">
            <v>SA36</v>
          </cell>
          <cell r="AK128" t="str">
            <v>SA387-22</v>
          </cell>
          <cell r="AL128" t="str">
            <v>ER70S2</v>
          </cell>
          <cell r="AM128" t="str">
            <v>E7018</v>
          </cell>
          <cell r="AN128" t="str">
            <v>AS</v>
          </cell>
        </row>
        <row r="129">
          <cell r="AI129">
            <v>123</v>
          </cell>
          <cell r="AJ129" t="str">
            <v>SA36</v>
          </cell>
          <cell r="AK129" t="str">
            <v>SA389-12</v>
          </cell>
          <cell r="AL129" t="str">
            <v>ER80SB2</v>
          </cell>
          <cell r="AM129" t="str">
            <v>E8016B2</v>
          </cell>
          <cell r="AN129" t="str">
            <v>AS</v>
          </cell>
        </row>
        <row r="130">
          <cell r="AI130">
            <v>124</v>
          </cell>
          <cell r="AJ130" t="str">
            <v>TP316</v>
          </cell>
          <cell r="AK130" t="str">
            <v>TP316</v>
          </cell>
          <cell r="AL130" t="str">
            <v>ER316</v>
          </cell>
          <cell r="AM130" t="str">
            <v>E316-15/E316-16</v>
          </cell>
          <cell r="AN130" t="str">
            <v>SS</v>
          </cell>
        </row>
        <row r="131">
          <cell r="AI131">
            <v>125</v>
          </cell>
          <cell r="AJ131" t="str">
            <v>TP316L</v>
          </cell>
          <cell r="AK131" t="str">
            <v>TP316L</v>
          </cell>
          <cell r="AL131" t="str">
            <v>ER316L</v>
          </cell>
          <cell r="AM131" t="str">
            <v>E316-15L/E316-16L</v>
          </cell>
          <cell r="AN131" t="str">
            <v>SS</v>
          </cell>
        </row>
        <row r="132">
          <cell r="AI132">
            <v>126</v>
          </cell>
          <cell r="AJ132" t="str">
            <v>TP304</v>
          </cell>
          <cell r="AK132" t="str">
            <v>TP304</v>
          </cell>
          <cell r="AL132" t="str">
            <v>ER308</v>
          </cell>
          <cell r="AM132" t="str">
            <v>E308L16</v>
          </cell>
          <cell r="AN132" t="str">
            <v>SS</v>
          </cell>
        </row>
        <row r="133">
          <cell r="AI133">
            <v>127</v>
          </cell>
          <cell r="AJ133" t="str">
            <v>TP304</v>
          </cell>
          <cell r="AK133" t="str">
            <v>TP309</v>
          </cell>
          <cell r="AL133" t="str">
            <v>ER309</v>
          </cell>
          <cell r="AM133" t="str">
            <v>E309</v>
          </cell>
          <cell r="AN133" t="str">
            <v>SS</v>
          </cell>
        </row>
        <row r="134">
          <cell r="AI134">
            <v>128</v>
          </cell>
          <cell r="AJ134" t="str">
            <v>TP304</v>
          </cell>
          <cell r="AK134" t="str">
            <v>TP310S</v>
          </cell>
          <cell r="AL134" t="str">
            <v>ER308</v>
          </cell>
          <cell r="AM134" t="str">
            <v>E308L16/E308L15</v>
          </cell>
          <cell r="AN134" t="str">
            <v>SS</v>
          </cell>
        </row>
        <row r="135">
          <cell r="AI135">
            <v>129</v>
          </cell>
          <cell r="AJ135" t="str">
            <v>TP304</v>
          </cell>
          <cell r="AK135" t="str">
            <v>SA430</v>
          </cell>
          <cell r="AL135" t="str">
            <v>ER308</v>
          </cell>
          <cell r="AM135" t="str">
            <v>E308L16/E308L15</v>
          </cell>
          <cell r="AN135" t="str">
            <v>SS</v>
          </cell>
        </row>
        <row r="136">
          <cell r="AI136">
            <v>130</v>
          </cell>
          <cell r="AJ136" t="str">
            <v>TP304</v>
          </cell>
          <cell r="AK136" t="str">
            <v>TP304H</v>
          </cell>
          <cell r="AL136" t="str">
            <v>ERT304H/ERT308H</v>
          </cell>
          <cell r="AM136" t="str">
            <v>ET304H/ET308H16</v>
          </cell>
          <cell r="AN136" t="str">
            <v>SS</v>
          </cell>
        </row>
        <row r="137">
          <cell r="AI137">
            <v>131</v>
          </cell>
          <cell r="AJ137" t="str">
            <v>TP304</v>
          </cell>
          <cell r="AK137" t="str">
            <v>SA210GRC</v>
          </cell>
          <cell r="AL137" t="str">
            <v>ERNiCr3</v>
          </cell>
          <cell r="AM137" t="str">
            <v>ENiCrMo3/ENiCrFe3</v>
          </cell>
          <cell r="AN137" t="str">
            <v>SS</v>
          </cell>
        </row>
        <row r="138">
          <cell r="AI138">
            <v>132</v>
          </cell>
          <cell r="AJ138" t="str">
            <v>TP304</v>
          </cell>
          <cell r="AK138" t="str">
            <v>SA106GRC</v>
          </cell>
          <cell r="AL138" t="str">
            <v>ERNiCr3</v>
          </cell>
          <cell r="AM138" t="str">
            <v>ENiCrMo3/ENiCrFe3</v>
          </cell>
          <cell r="AN138" t="str">
            <v>SS</v>
          </cell>
        </row>
        <row r="139">
          <cell r="AI139">
            <v>133</v>
          </cell>
          <cell r="AJ139" t="str">
            <v>TP304</v>
          </cell>
          <cell r="AK139" t="str">
            <v>SA213T12</v>
          </cell>
          <cell r="AL139" t="str">
            <v>ERNiCr3</v>
          </cell>
          <cell r="AM139" t="str">
            <v>ENiCrMo3/ENiCrFe3</v>
          </cell>
          <cell r="AN139" t="str">
            <v>SS</v>
          </cell>
        </row>
        <row r="140">
          <cell r="AI140">
            <v>134</v>
          </cell>
          <cell r="AJ140" t="str">
            <v>TP304</v>
          </cell>
          <cell r="AK140" t="str">
            <v>SA213T22</v>
          </cell>
          <cell r="AL140" t="str">
            <v>ERNiCr3</v>
          </cell>
          <cell r="AM140" t="str">
            <v>ENiCrMo3/ENiCrFe3</v>
          </cell>
          <cell r="AN140" t="str">
            <v>SS</v>
          </cell>
        </row>
        <row r="141">
          <cell r="AI141">
            <v>135</v>
          </cell>
          <cell r="AJ141" t="str">
            <v>TP304</v>
          </cell>
          <cell r="AK141" t="str">
            <v>SA213T23</v>
          </cell>
          <cell r="AL141" t="str">
            <v>ERNiCr3</v>
          </cell>
          <cell r="AM141" t="str">
            <v>ENiCrMo3/ENiCrFe3</v>
          </cell>
          <cell r="AN141" t="str">
            <v>SS</v>
          </cell>
        </row>
        <row r="142">
          <cell r="AI142">
            <v>136</v>
          </cell>
          <cell r="AJ142" t="str">
            <v>TP304</v>
          </cell>
          <cell r="AK142" t="str">
            <v>SA213T91</v>
          </cell>
          <cell r="AL142" t="str">
            <v>ERNiCr3</v>
          </cell>
          <cell r="AM142" t="str">
            <v>ENiCrMo3/ENiCrFe3</v>
          </cell>
          <cell r="AN142" t="str">
            <v>SS</v>
          </cell>
        </row>
        <row r="143">
          <cell r="AI143">
            <v>137</v>
          </cell>
          <cell r="AJ143" t="str">
            <v>TP304</v>
          </cell>
          <cell r="AK143" t="str">
            <v>SA335P12</v>
          </cell>
          <cell r="AL143" t="str">
            <v>ERNiCr3</v>
          </cell>
          <cell r="AM143" t="str">
            <v>ENiCrMo3/ENiCrFe3</v>
          </cell>
          <cell r="AN143" t="str">
            <v>SS</v>
          </cell>
        </row>
        <row r="144">
          <cell r="AI144">
            <v>138</v>
          </cell>
          <cell r="AJ144" t="str">
            <v>TP304</v>
          </cell>
          <cell r="AK144" t="str">
            <v>SA335P22</v>
          </cell>
          <cell r="AL144" t="str">
            <v>ERNiCr3</v>
          </cell>
          <cell r="AM144" t="str">
            <v>ENiCrMo3/ENiCrFe3</v>
          </cell>
          <cell r="AN144" t="str">
            <v>SS</v>
          </cell>
        </row>
        <row r="145">
          <cell r="AI145">
            <v>139</v>
          </cell>
          <cell r="AJ145" t="str">
            <v>TP304</v>
          </cell>
          <cell r="AK145" t="str">
            <v>SA335P23</v>
          </cell>
          <cell r="AL145" t="str">
            <v>ERNiCr3</v>
          </cell>
          <cell r="AM145" t="str">
            <v>ENiCrMo3/ENiCrFe3</v>
          </cell>
          <cell r="AN145" t="str">
            <v>SS</v>
          </cell>
        </row>
        <row r="146">
          <cell r="AI146">
            <v>140</v>
          </cell>
          <cell r="AJ146" t="str">
            <v>TP304</v>
          </cell>
          <cell r="AK146" t="str">
            <v>SA335P91</v>
          </cell>
          <cell r="AL146" t="str">
            <v>ERNiCr3</v>
          </cell>
          <cell r="AM146" t="str">
            <v>ENiCrMo3/ENiCrFe3</v>
          </cell>
          <cell r="AN146" t="str">
            <v>SS</v>
          </cell>
        </row>
        <row r="147">
          <cell r="AI147">
            <v>141</v>
          </cell>
          <cell r="AJ147" t="str">
            <v>TP309</v>
          </cell>
          <cell r="AK147" t="str">
            <v>TP309</v>
          </cell>
          <cell r="AL147" t="str">
            <v>ER309</v>
          </cell>
          <cell r="AM147" t="str">
            <v>E309</v>
          </cell>
          <cell r="AN147" t="str">
            <v>SS</v>
          </cell>
        </row>
        <row r="148">
          <cell r="AI148">
            <v>142</v>
          </cell>
          <cell r="AJ148" t="str">
            <v>TP309</v>
          </cell>
          <cell r="AK148" t="str">
            <v>TP304</v>
          </cell>
          <cell r="AL148" t="str">
            <v>ER309</v>
          </cell>
          <cell r="AM148" t="str">
            <v>E309</v>
          </cell>
          <cell r="AN148" t="str">
            <v>SS</v>
          </cell>
        </row>
        <row r="149">
          <cell r="AI149">
            <v>143</v>
          </cell>
          <cell r="AJ149" t="str">
            <v>TP309</v>
          </cell>
          <cell r="AK149" t="str">
            <v>TP310S</v>
          </cell>
          <cell r="AL149" t="str">
            <v>ER309</v>
          </cell>
          <cell r="AM149" t="str">
            <v>E309</v>
          </cell>
          <cell r="AN149" t="str">
            <v>SS</v>
          </cell>
        </row>
        <row r="150">
          <cell r="AI150">
            <v>144</v>
          </cell>
          <cell r="AJ150" t="str">
            <v>TP309</v>
          </cell>
          <cell r="AK150" t="str">
            <v>SA430</v>
          </cell>
          <cell r="AL150" t="str">
            <v>ER309</v>
          </cell>
          <cell r="AM150" t="str">
            <v>E309</v>
          </cell>
          <cell r="AN150" t="str">
            <v>SS</v>
          </cell>
        </row>
        <row r="151">
          <cell r="AI151">
            <v>145</v>
          </cell>
          <cell r="AJ151" t="str">
            <v>TP309</v>
          </cell>
          <cell r="AK151" t="str">
            <v>TP304H</v>
          </cell>
          <cell r="AL151" t="str">
            <v>ERT304H/ERT308H</v>
          </cell>
          <cell r="AM151" t="str">
            <v>ET304H/ET308H16</v>
          </cell>
          <cell r="AN151" t="str">
            <v>SS</v>
          </cell>
        </row>
        <row r="152">
          <cell r="AI152">
            <v>146</v>
          </cell>
          <cell r="AJ152" t="str">
            <v>TP309</v>
          </cell>
          <cell r="AK152" t="str">
            <v>SA210GRC</v>
          </cell>
          <cell r="AL152" t="str">
            <v>ERNiCr3</v>
          </cell>
          <cell r="AM152" t="str">
            <v>ENiCrMo3/ENiCrFe3</v>
          </cell>
          <cell r="AN152" t="str">
            <v>SS</v>
          </cell>
        </row>
        <row r="153">
          <cell r="AI153">
            <v>147</v>
          </cell>
          <cell r="AJ153" t="str">
            <v>TP309</v>
          </cell>
          <cell r="AK153" t="str">
            <v>SA106GRC</v>
          </cell>
          <cell r="AL153" t="str">
            <v>ERNiCr3</v>
          </cell>
          <cell r="AM153" t="str">
            <v>ENiCrMo3/ENiCrFe3</v>
          </cell>
          <cell r="AN153" t="str">
            <v>SS</v>
          </cell>
        </row>
        <row r="154">
          <cell r="AI154">
            <v>148</v>
          </cell>
          <cell r="AJ154" t="str">
            <v>TP309</v>
          </cell>
          <cell r="AK154" t="str">
            <v>SA213T12</v>
          </cell>
          <cell r="AL154" t="str">
            <v>ERNiCr3</v>
          </cell>
          <cell r="AM154" t="str">
            <v>ENiCrMo3/ENiCrFe3</v>
          </cell>
          <cell r="AN154" t="str">
            <v>SS</v>
          </cell>
        </row>
        <row r="155">
          <cell r="AI155">
            <v>149</v>
          </cell>
          <cell r="AJ155" t="str">
            <v>TP309</v>
          </cell>
          <cell r="AK155" t="str">
            <v>SA213T22</v>
          </cell>
          <cell r="AL155" t="str">
            <v>ERNiCr3</v>
          </cell>
          <cell r="AM155" t="str">
            <v>ENiCrMo3/ENiCrFe3</v>
          </cell>
          <cell r="AN155" t="str">
            <v>SS</v>
          </cell>
        </row>
        <row r="156">
          <cell r="AI156">
            <v>150</v>
          </cell>
          <cell r="AJ156" t="str">
            <v>TP309</v>
          </cell>
          <cell r="AK156" t="str">
            <v>SA213T23</v>
          </cell>
          <cell r="AL156" t="str">
            <v>ERNiCr3</v>
          </cell>
          <cell r="AM156" t="str">
            <v>ENiCrMo3/ENiCrFe3</v>
          </cell>
          <cell r="AN156" t="str">
            <v>SS</v>
          </cell>
        </row>
        <row r="157">
          <cell r="AI157">
            <v>151</v>
          </cell>
          <cell r="AJ157" t="str">
            <v>TP309</v>
          </cell>
          <cell r="AK157" t="str">
            <v>SA213T91</v>
          </cell>
          <cell r="AL157" t="str">
            <v>ERNiCr3</v>
          </cell>
          <cell r="AM157" t="str">
            <v>ENiCrMo3/ENiCrFe3</v>
          </cell>
          <cell r="AN157" t="str">
            <v>SS</v>
          </cell>
        </row>
        <row r="158">
          <cell r="AI158">
            <v>152</v>
          </cell>
          <cell r="AJ158" t="str">
            <v>TP309</v>
          </cell>
          <cell r="AK158" t="str">
            <v>SA335P12</v>
          </cell>
          <cell r="AL158" t="str">
            <v>ERNiCr3</v>
          </cell>
          <cell r="AM158" t="str">
            <v>ENiCrMo3/ENiCrFe3</v>
          </cell>
          <cell r="AN158" t="str">
            <v>SS</v>
          </cell>
        </row>
        <row r="159">
          <cell r="AI159">
            <v>153</v>
          </cell>
          <cell r="AJ159" t="str">
            <v>TP309</v>
          </cell>
          <cell r="AK159" t="str">
            <v>SA335P22</v>
          </cell>
          <cell r="AL159" t="str">
            <v>ERNiCr3</v>
          </cell>
          <cell r="AM159" t="str">
            <v>ENiCrMo3/ENiCrFe3</v>
          </cell>
          <cell r="AN159" t="str">
            <v>SS</v>
          </cell>
        </row>
        <row r="160">
          <cell r="AI160">
            <v>154</v>
          </cell>
          <cell r="AJ160" t="str">
            <v>TP309</v>
          </cell>
          <cell r="AK160" t="str">
            <v>SA335P23</v>
          </cell>
          <cell r="AL160" t="str">
            <v>ERNiCr3</v>
          </cell>
          <cell r="AM160" t="str">
            <v>ENiCrMo3/ENiCrFe3</v>
          </cell>
          <cell r="AN160" t="str">
            <v>SS</v>
          </cell>
        </row>
        <row r="161">
          <cell r="AI161">
            <v>155</v>
          </cell>
          <cell r="AJ161" t="str">
            <v>TP309</v>
          </cell>
          <cell r="AK161" t="str">
            <v>SA335P91</v>
          </cell>
          <cell r="AL161" t="str">
            <v>ERNiCr3</v>
          </cell>
          <cell r="AM161" t="str">
            <v>ENiCrMo3/ENiCrFe3</v>
          </cell>
          <cell r="AN161" t="str">
            <v>SS</v>
          </cell>
        </row>
        <row r="162">
          <cell r="AI162">
            <v>156</v>
          </cell>
          <cell r="AJ162" t="str">
            <v>TP310S</v>
          </cell>
          <cell r="AK162" t="str">
            <v>TP310S</v>
          </cell>
          <cell r="AL162" t="str">
            <v>ER308</v>
          </cell>
          <cell r="AM162" t="str">
            <v>E308L16/E308L15</v>
          </cell>
          <cell r="AN162" t="str">
            <v>SS</v>
          </cell>
        </row>
        <row r="163">
          <cell r="AI163">
            <v>157</v>
          </cell>
          <cell r="AJ163" t="str">
            <v>TP310S</v>
          </cell>
          <cell r="AK163" t="str">
            <v>TP304</v>
          </cell>
          <cell r="AL163" t="str">
            <v>ER308</v>
          </cell>
          <cell r="AM163" t="str">
            <v>E308L16/E308L15</v>
          </cell>
          <cell r="AN163" t="str">
            <v>SS</v>
          </cell>
        </row>
        <row r="164">
          <cell r="AI164">
            <v>158</v>
          </cell>
          <cell r="AJ164" t="str">
            <v>TP310S</v>
          </cell>
          <cell r="AK164" t="str">
            <v>TP309</v>
          </cell>
          <cell r="AL164" t="str">
            <v>ER309</v>
          </cell>
          <cell r="AM164" t="str">
            <v>E309</v>
          </cell>
          <cell r="AN164" t="str">
            <v>SS</v>
          </cell>
        </row>
        <row r="165">
          <cell r="AI165">
            <v>159</v>
          </cell>
          <cell r="AJ165" t="str">
            <v>TP310S</v>
          </cell>
          <cell r="AK165" t="str">
            <v>SA430</v>
          </cell>
          <cell r="AL165" t="str">
            <v>ER308</v>
          </cell>
          <cell r="AM165" t="str">
            <v>E308L16/E308L15</v>
          </cell>
          <cell r="AN165" t="str">
            <v>SS</v>
          </cell>
        </row>
        <row r="166">
          <cell r="AI166">
            <v>160</v>
          </cell>
          <cell r="AJ166" t="str">
            <v>TP310S</v>
          </cell>
          <cell r="AK166" t="str">
            <v>TP304H</v>
          </cell>
          <cell r="AL166" t="str">
            <v>ERT304H/ERT308H</v>
          </cell>
          <cell r="AM166" t="str">
            <v>ET304H/ET308H16</v>
          </cell>
          <cell r="AN166" t="str">
            <v>SS</v>
          </cell>
        </row>
        <row r="167">
          <cell r="AI167">
            <v>161</v>
          </cell>
          <cell r="AJ167" t="str">
            <v>TP310S</v>
          </cell>
          <cell r="AK167" t="str">
            <v>SA210GRC</v>
          </cell>
          <cell r="AL167" t="str">
            <v>ERNiCr3</v>
          </cell>
          <cell r="AM167" t="str">
            <v>ENiCrMo3</v>
          </cell>
          <cell r="AN167" t="str">
            <v>SS</v>
          </cell>
        </row>
        <row r="168">
          <cell r="AI168">
            <v>162</v>
          </cell>
          <cell r="AJ168" t="str">
            <v>TP310S</v>
          </cell>
          <cell r="AK168" t="str">
            <v>SA106GRC</v>
          </cell>
          <cell r="AL168" t="str">
            <v>ERNiCr3</v>
          </cell>
          <cell r="AM168" t="str">
            <v>ENiCrMo3/ENiCrFe3</v>
          </cell>
          <cell r="AN168" t="str">
            <v>SS</v>
          </cell>
        </row>
        <row r="169">
          <cell r="AI169">
            <v>163</v>
          </cell>
          <cell r="AJ169" t="str">
            <v>TP310S</v>
          </cell>
          <cell r="AK169" t="str">
            <v>SA213T12</v>
          </cell>
          <cell r="AL169" t="str">
            <v>ERNiCr3</v>
          </cell>
          <cell r="AM169" t="str">
            <v>ENiCrMo3/ENiCrFe3</v>
          </cell>
          <cell r="AN169" t="str">
            <v>SS</v>
          </cell>
        </row>
        <row r="170">
          <cell r="AI170">
            <v>164</v>
          </cell>
          <cell r="AJ170" t="str">
            <v>TP310S</v>
          </cell>
          <cell r="AK170" t="str">
            <v>SA213T22</v>
          </cell>
          <cell r="AL170" t="str">
            <v>ERNiCr3</v>
          </cell>
          <cell r="AM170" t="str">
            <v>ENiCrMo3/ENiCrFe3</v>
          </cell>
          <cell r="AN170" t="str">
            <v>SS</v>
          </cell>
        </row>
        <row r="171">
          <cell r="AI171">
            <v>165</v>
          </cell>
          <cell r="AJ171" t="str">
            <v>TP310S</v>
          </cell>
          <cell r="AK171" t="str">
            <v>SA213T23</v>
          </cell>
          <cell r="AL171" t="str">
            <v>ERNiCr3</v>
          </cell>
          <cell r="AM171" t="str">
            <v>ENiCrMo3/ENiCrFe3</v>
          </cell>
          <cell r="AN171" t="str">
            <v>SS</v>
          </cell>
        </row>
        <row r="172">
          <cell r="AI172">
            <v>166</v>
          </cell>
          <cell r="AJ172" t="str">
            <v>TP310S</v>
          </cell>
          <cell r="AK172" t="str">
            <v>SA213T91</v>
          </cell>
          <cell r="AL172" t="str">
            <v>ERNiCr3</v>
          </cell>
          <cell r="AM172" t="str">
            <v>ENiCrMo3/ENiCrFe3</v>
          </cell>
          <cell r="AN172" t="str">
            <v>SS</v>
          </cell>
        </row>
        <row r="173">
          <cell r="AI173">
            <v>167</v>
          </cell>
          <cell r="AJ173" t="str">
            <v>TP310S</v>
          </cell>
          <cell r="AK173" t="str">
            <v>SA335P12</v>
          </cell>
          <cell r="AL173" t="str">
            <v>ERNiCr3</v>
          </cell>
          <cell r="AM173" t="str">
            <v>ENiCrMo3/ENiCrFe3</v>
          </cell>
          <cell r="AN173" t="str">
            <v>SS</v>
          </cell>
        </row>
        <row r="174">
          <cell r="AI174">
            <v>168</v>
          </cell>
          <cell r="AJ174" t="str">
            <v>TP310S</v>
          </cell>
          <cell r="AK174" t="str">
            <v>SA335P22</v>
          </cell>
          <cell r="AL174" t="str">
            <v>ERNiCr3</v>
          </cell>
          <cell r="AM174" t="str">
            <v>ENiCrMo3/ENiCrFe3</v>
          </cell>
          <cell r="AN174" t="str">
            <v>SS</v>
          </cell>
        </row>
        <row r="175">
          <cell r="AI175">
            <v>169</v>
          </cell>
          <cell r="AJ175" t="str">
            <v>TP310S</v>
          </cell>
          <cell r="AK175" t="str">
            <v>SA335P23</v>
          </cell>
          <cell r="AL175" t="str">
            <v>ERNiCr3</v>
          </cell>
          <cell r="AM175" t="str">
            <v>ENiCrMo3/ENiCrFe3</v>
          </cell>
          <cell r="AN175" t="str">
            <v>SS</v>
          </cell>
        </row>
        <row r="176">
          <cell r="AI176">
            <v>170</v>
          </cell>
          <cell r="AJ176" t="str">
            <v>TP310S</v>
          </cell>
          <cell r="AK176" t="str">
            <v>SA335P91</v>
          </cell>
          <cell r="AL176" t="str">
            <v>ERNiCr3</v>
          </cell>
          <cell r="AM176" t="str">
            <v>ENiCrMo3/ENiCrFe3</v>
          </cell>
          <cell r="AN176" t="str">
            <v>SS</v>
          </cell>
        </row>
        <row r="177">
          <cell r="AI177">
            <v>171</v>
          </cell>
          <cell r="AJ177" t="str">
            <v>SA430</v>
          </cell>
          <cell r="AK177" t="str">
            <v>SA430</v>
          </cell>
          <cell r="AL177" t="str">
            <v>ER308</v>
          </cell>
          <cell r="AM177" t="str">
            <v>E308L16/E308L15</v>
          </cell>
          <cell r="AN177" t="str">
            <v>SS</v>
          </cell>
        </row>
        <row r="178">
          <cell r="AI178">
            <v>172</v>
          </cell>
          <cell r="AJ178" t="str">
            <v>SA430</v>
          </cell>
          <cell r="AK178" t="str">
            <v>TP304</v>
          </cell>
          <cell r="AL178" t="str">
            <v>ER308</v>
          </cell>
          <cell r="AM178" t="str">
            <v>E308L16/E308L15</v>
          </cell>
          <cell r="AN178" t="str">
            <v>SS</v>
          </cell>
        </row>
        <row r="179">
          <cell r="AI179">
            <v>173</v>
          </cell>
          <cell r="AJ179" t="str">
            <v>SA430</v>
          </cell>
          <cell r="AK179" t="str">
            <v>TP309</v>
          </cell>
          <cell r="AL179" t="str">
            <v>ER309</v>
          </cell>
          <cell r="AM179" t="str">
            <v>E309</v>
          </cell>
          <cell r="AN179" t="str">
            <v>SS</v>
          </cell>
        </row>
        <row r="180">
          <cell r="AI180">
            <v>174</v>
          </cell>
          <cell r="AJ180" t="str">
            <v>SA430</v>
          </cell>
          <cell r="AK180" t="str">
            <v>TP310S</v>
          </cell>
          <cell r="AL180" t="str">
            <v>ER308</v>
          </cell>
          <cell r="AM180" t="str">
            <v>E308L16/E308L15</v>
          </cell>
          <cell r="AN180" t="str">
            <v>SS</v>
          </cell>
        </row>
        <row r="181">
          <cell r="AI181">
            <v>175</v>
          </cell>
          <cell r="AJ181" t="str">
            <v>SA430</v>
          </cell>
          <cell r="AK181" t="str">
            <v>TP304H</v>
          </cell>
          <cell r="AL181" t="str">
            <v>ERT304H/ERT308H</v>
          </cell>
          <cell r="AM181" t="str">
            <v>ET304H/ET308H16</v>
          </cell>
          <cell r="AN181" t="str">
            <v>SS</v>
          </cell>
        </row>
        <row r="182">
          <cell r="AI182">
            <v>176</v>
          </cell>
          <cell r="AJ182" t="str">
            <v>SA430</v>
          </cell>
          <cell r="AK182" t="str">
            <v>SA210GRC</v>
          </cell>
          <cell r="AL182" t="str">
            <v>ERNiCr3</v>
          </cell>
          <cell r="AM182" t="str">
            <v>ENiCrMo3/ENiCrFe3</v>
          </cell>
          <cell r="AN182" t="str">
            <v>SS</v>
          </cell>
        </row>
        <row r="183">
          <cell r="AI183">
            <v>177</v>
          </cell>
          <cell r="AJ183" t="str">
            <v>SA430</v>
          </cell>
          <cell r="AK183" t="str">
            <v>SA106GRC</v>
          </cell>
          <cell r="AL183" t="str">
            <v>ERNiCr3</v>
          </cell>
          <cell r="AM183" t="str">
            <v>ENiCrMo3/ENiCrFe3</v>
          </cell>
          <cell r="AN183" t="str">
            <v>SS</v>
          </cell>
        </row>
        <row r="184">
          <cell r="AI184">
            <v>178</v>
          </cell>
          <cell r="AJ184" t="str">
            <v>SA430</v>
          </cell>
          <cell r="AK184" t="str">
            <v>SA213T12</v>
          </cell>
          <cell r="AL184" t="str">
            <v>ERNiCr3</v>
          </cell>
          <cell r="AM184" t="str">
            <v>ENiCrMo3/ENiCrFe3</v>
          </cell>
          <cell r="AN184" t="str">
            <v>SS</v>
          </cell>
        </row>
        <row r="185">
          <cell r="AI185">
            <v>179</v>
          </cell>
          <cell r="AJ185" t="str">
            <v>SA430</v>
          </cell>
          <cell r="AK185" t="str">
            <v>SA213T22</v>
          </cell>
          <cell r="AL185" t="str">
            <v>ERNiCr3</v>
          </cell>
          <cell r="AM185" t="str">
            <v>ENiCrMo3/ENiCrFe3</v>
          </cell>
          <cell r="AN185" t="str">
            <v>SS</v>
          </cell>
        </row>
        <row r="186">
          <cell r="AI186">
            <v>180</v>
          </cell>
          <cell r="AJ186" t="str">
            <v>SA430</v>
          </cell>
          <cell r="AK186" t="str">
            <v>SA213T23</v>
          </cell>
          <cell r="AL186" t="str">
            <v>ERNiCr3</v>
          </cell>
          <cell r="AM186" t="str">
            <v>ENiCrMo3/ENiCrFe3</v>
          </cell>
          <cell r="AN186" t="str">
            <v>SS</v>
          </cell>
        </row>
        <row r="187">
          <cell r="AI187">
            <v>181</v>
          </cell>
          <cell r="AJ187" t="str">
            <v>SA430</v>
          </cell>
          <cell r="AK187" t="str">
            <v>SA213T91</v>
          </cell>
          <cell r="AL187" t="str">
            <v>ERNiCr3</v>
          </cell>
          <cell r="AM187" t="str">
            <v>ENiCrMo3/ENiCrFe3</v>
          </cell>
          <cell r="AN187" t="str">
            <v>SS</v>
          </cell>
        </row>
        <row r="188">
          <cell r="AI188">
            <v>182</v>
          </cell>
          <cell r="AJ188" t="str">
            <v>SA430</v>
          </cell>
          <cell r="AK188" t="str">
            <v>SA335P12</v>
          </cell>
          <cell r="AL188" t="str">
            <v>ERNiCr3</v>
          </cell>
          <cell r="AM188" t="str">
            <v>ENiCrMo3/ENiCrFe3</v>
          </cell>
          <cell r="AN188" t="str">
            <v>SS</v>
          </cell>
        </row>
        <row r="189">
          <cell r="AI189">
            <v>183</v>
          </cell>
          <cell r="AJ189" t="str">
            <v>SA430</v>
          </cell>
          <cell r="AK189" t="str">
            <v>SA335P22</v>
          </cell>
          <cell r="AL189" t="str">
            <v>ERNiCr3</v>
          </cell>
          <cell r="AM189" t="str">
            <v>ENiCrMo3/ENiCrFe3</v>
          </cell>
          <cell r="AN189" t="str">
            <v>SS</v>
          </cell>
        </row>
        <row r="190">
          <cell r="AI190">
            <v>184</v>
          </cell>
          <cell r="AJ190" t="str">
            <v>SA430</v>
          </cell>
          <cell r="AK190" t="str">
            <v>SA335P23</v>
          </cell>
          <cell r="AL190" t="str">
            <v>ERNiCr3</v>
          </cell>
          <cell r="AM190" t="str">
            <v>ENiCrMo3/ENiCrFe3</v>
          </cell>
          <cell r="AN190" t="str">
            <v>SS</v>
          </cell>
        </row>
        <row r="191">
          <cell r="AI191">
            <v>185</v>
          </cell>
          <cell r="AJ191" t="str">
            <v>SA430</v>
          </cell>
          <cell r="AK191" t="str">
            <v>SA335P91</v>
          </cell>
          <cell r="AL191" t="str">
            <v>ERNiCr3</v>
          </cell>
          <cell r="AM191" t="str">
            <v>ENiCrMo3/ENiCrFe3</v>
          </cell>
          <cell r="AN191" t="str">
            <v>SS</v>
          </cell>
        </row>
        <row r="192">
          <cell r="AI192">
            <v>186</v>
          </cell>
          <cell r="AJ192" t="str">
            <v>TP304H</v>
          </cell>
          <cell r="AK192" t="str">
            <v>TP304H</v>
          </cell>
          <cell r="AL192" t="str">
            <v>ERT304H/ERT308H</v>
          </cell>
          <cell r="AM192" t="str">
            <v>ET304H/ET308H16</v>
          </cell>
          <cell r="AN192" t="str">
            <v>SS</v>
          </cell>
        </row>
        <row r="193">
          <cell r="AI193">
            <v>187</v>
          </cell>
          <cell r="AJ193" t="str">
            <v>TP304H</v>
          </cell>
          <cell r="AK193" t="str">
            <v>TP304</v>
          </cell>
          <cell r="AL193" t="str">
            <v>ERT304H/ERT308H</v>
          </cell>
          <cell r="AM193" t="str">
            <v>ET304H/ET308H16</v>
          </cell>
          <cell r="AN193" t="str">
            <v>SS</v>
          </cell>
        </row>
        <row r="194">
          <cell r="AI194">
            <v>188</v>
          </cell>
          <cell r="AJ194" t="str">
            <v>TP304H</v>
          </cell>
          <cell r="AK194" t="str">
            <v>TP309</v>
          </cell>
          <cell r="AL194" t="str">
            <v>ERT304H/ERT308H</v>
          </cell>
          <cell r="AM194" t="str">
            <v>ET304H/ET308H16</v>
          </cell>
          <cell r="AN194" t="str">
            <v>SS</v>
          </cell>
        </row>
        <row r="195">
          <cell r="AI195">
            <v>189</v>
          </cell>
          <cell r="AJ195" t="str">
            <v>TP304H</v>
          </cell>
          <cell r="AK195" t="str">
            <v>TP310S</v>
          </cell>
          <cell r="AL195" t="str">
            <v>ERT304H/ERT308H</v>
          </cell>
          <cell r="AM195" t="str">
            <v>ET304H/ET308H16</v>
          </cell>
          <cell r="AN195" t="str">
            <v>SS</v>
          </cell>
        </row>
        <row r="196">
          <cell r="AI196">
            <v>190</v>
          </cell>
          <cell r="AJ196" t="str">
            <v>TP304H</v>
          </cell>
          <cell r="AK196" t="str">
            <v>SA430</v>
          </cell>
          <cell r="AL196" t="str">
            <v>ERT304H/ERT308H</v>
          </cell>
          <cell r="AM196" t="str">
            <v>ET304H/ET308H16</v>
          </cell>
          <cell r="AN196" t="str">
            <v>SS</v>
          </cell>
        </row>
        <row r="197">
          <cell r="AI197">
            <v>191</v>
          </cell>
          <cell r="AJ197" t="str">
            <v>12Cr1MoVG</v>
          </cell>
          <cell r="AK197" t="str">
            <v>12Cr1MoVG</v>
          </cell>
          <cell r="AL197" t="str">
            <v>ER90SB3</v>
          </cell>
          <cell r="AM197" t="str">
            <v>E9018B3</v>
          </cell>
          <cell r="AN197" t="str">
            <v>AS</v>
          </cell>
        </row>
        <row r="198">
          <cell r="AI198">
            <v>192</v>
          </cell>
          <cell r="AJ198" t="str">
            <v>12Cr1MoVG</v>
          </cell>
          <cell r="AK198" t="str">
            <v>SA335P22</v>
          </cell>
          <cell r="AL198" t="str">
            <v>ER90SB3</v>
          </cell>
          <cell r="AM198" t="str">
            <v>E9018B3</v>
          </cell>
          <cell r="AN198" t="str">
            <v>AS</v>
          </cell>
        </row>
        <row r="199">
          <cell r="AI199">
            <v>193</v>
          </cell>
          <cell r="AJ199" t="str">
            <v>12Cr1MoVG</v>
          </cell>
          <cell r="AK199" t="str">
            <v>SA335P91</v>
          </cell>
          <cell r="AL199" t="str">
            <v>ER90SB9</v>
          </cell>
          <cell r="AM199" t="str">
            <v>E9018B9</v>
          </cell>
          <cell r="AN199" t="str">
            <v>AS</v>
          </cell>
        </row>
        <row r="200">
          <cell r="AI200">
            <v>194</v>
          </cell>
          <cell r="AJ200" t="str">
            <v>12Cr1MoVG</v>
          </cell>
          <cell r="AK200" t="str">
            <v>20G</v>
          </cell>
          <cell r="AL200" t="str">
            <v>ER80SB2</v>
          </cell>
          <cell r="AM200" t="str">
            <v>E8018</v>
          </cell>
          <cell r="AN200" t="str">
            <v>AS</v>
          </cell>
        </row>
        <row r="201">
          <cell r="AI201">
            <v>195</v>
          </cell>
          <cell r="AJ201" t="str">
            <v>12Cr1MoVG</v>
          </cell>
          <cell r="AK201" t="str">
            <v>15CrMoG</v>
          </cell>
          <cell r="AL201" t="str">
            <v>ER80SB2</v>
          </cell>
          <cell r="AM201" t="str">
            <v>E8018B2</v>
          </cell>
          <cell r="AN201" t="str">
            <v>AS</v>
          </cell>
        </row>
        <row r="202">
          <cell r="AI202">
            <v>196</v>
          </cell>
          <cell r="AJ202" t="str">
            <v>15CrMoG</v>
          </cell>
          <cell r="AK202" t="str">
            <v>SA210GRC</v>
          </cell>
          <cell r="AL202" t="str">
            <v>ER70SA1</v>
          </cell>
          <cell r="AM202" t="str">
            <v>E7018A1</v>
          </cell>
          <cell r="AN202" t="str">
            <v>CS</v>
          </cell>
        </row>
        <row r="203">
          <cell r="AI203">
            <v>197</v>
          </cell>
          <cell r="AJ203" t="str">
            <v>15CrMoG</v>
          </cell>
          <cell r="AK203" t="str">
            <v>15CrMoG</v>
          </cell>
          <cell r="AL203" t="str">
            <v>ER80SB2</v>
          </cell>
          <cell r="AM203" t="str">
            <v>E8018</v>
          </cell>
          <cell r="AN203" t="str">
            <v>CS</v>
          </cell>
        </row>
        <row r="204">
          <cell r="AI204">
            <v>198</v>
          </cell>
          <cell r="AJ204" t="str">
            <v>15CrMoG</v>
          </cell>
          <cell r="AK204" t="str">
            <v>12Cr1MoVG</v>
          </cell>
          <cell r="AL204" t="str">
            <v>ER80SB2</v>
          </cell>
          <cell r="AM204" t="str">
            <v>E8018B2</v>
          </cell>
          <cell r="AN204" t="str">
            <v>AS</v>
          </cell>
        </row>
        <row r="205">
          <cell r="AI205">
            <v>199</v>
          </cell>
          <cell r="AJ205" t="str">
            <v>SA213TP347H</v>
          </cell>
          <cell r="AK205" t="str">
            <v>SA213TP347H</v>
          </cell>
          <cell r="AL205" t="str">
            <v>ER347</v>
          </cell>
          <cell r="AM205" t="str">
            <v>E347-15/E347-16</v>
          </cell>
          <cell r="AN205" t="str">
            <v>SS</v>
          </cell>
        </row>
        <row r="206">
          <cell r="AI206">
            <v>200</v>
          </cell>
          <cell r="AJ206" t="str">
            <v>SA213TP347H</v>
          </cell>
          <cell r="AK206" t="str">
            <v>SA213T91</v>
          </cell>
          <cell r="AL206" t="str">
            <v>ERNiCr3</v>
          </cell>
          <cell r="AM206" t="str">
            <v>ENiCrMo3/ENiCrFe3</v>
          </cell>
          <cell r="AN206" t="str">
            <v>SS</v>
          </cell>
        </row>
        <row r="207">
          <cell r="AI207">
            <v>201</v>
          </cell>
          <cell r="AJ207" t="str">
            <v>20G</v>
          </cell>
          <cell r="AK207" t="str">
            <v>20G</v>
          </cell>
          <cell r="AL207" t="str">
            <v>ER70S2</v>
          </cell>
          <cell r="AM207" t="str">
            <v>E7018</v>
          </cell>
          <cell r="AN207" t="str">
            <v>CS</v>
          </cell>
        </row>
        <row r="208">
          <cell r="AI208">
            <v>202</v>
          </cell>
          <cell r="AJ208" t="str">
            <v>20G</v>
          </cell>
          <cell r="AK208" t="str">
            <v>12Cr1MoVG</v>
          </cell>
          <cell r="AL208" t="str">
            <v>ER80SB2</v>
          </cell>
          <cell r="AM208" t="str">
            <v>E8018</v>
          </cell>
          <cell r="AN208" t="str">
            <v>CS</v>
          </cell>
        </row>
        <row r="209">
          <cell r="AI209">
            <v>203</v>
          </cell>
          <cell r="AJ209" t="str">
            <v>1Cr18Ni9Ti</v>
          </cell>
          <cell r="AK209" t="str">
            <v>SA335P91</v>
          </cell>
          <cell r="AL209" t="str">
            <v>ERNiCr3</v>
          </cell>
          <cell r="AM209" t="str">
            <v>ENiCrFe</v>
          </cell>
          <cell r="AN209" t="str">
            <v>AS</v>
          </cell>
        </row>
        <row r="210">
          <cell r="AI210">
            <v>204</v>
          </cell>
          <cell r="AJ210" t="str">
            <v>1Cr8Ni9Ti (SS)</v>
          </cell>
          <cell r="AK210" t="str">
            <v>1Cr8Ni9Ti (SS)</v>
          </cell>
          <cell r="AL210" t="str">
            <v>ER309</v>
          </cell>
          <cell r="AM210" t="str">
            <v>E309</v>
          </cell>
          <cell r="AN210" t="str">
            <v>SS</v>
          </cell>
        </row>
        <row r="211">
          <cell r="AI211">
            <v>205</v>
          </cell>
          <cell r="AJ211" t="str">
            <v>15NiCuMoNb5</v>
          </cell>
          <cell r="AK211" t="str">
            <v>15NiCuMoNb5</v>
          </cell>
          <cell r="AL211" t="str">
            <v>ER90G</v>
          </cell>
          <cell r="AM211" t="str">
            <v>E9018G</v>
          </cell>
          <cell r="AN211" t="str">
            <v>AS</v>
          </cell>
        </row>
        <row r="212">
          <cell r="AI212">
            <v>206</v>
          </cell>
          <cell r="AJ212" t="str">
            <v>15NiCuMoNb5</v>
          </cell>
          <cell r="AK212" t="str">
            <v>SA106GRB</v>
          </cell>
          <cell r="AL212" t="str">
            <v>ER70S2</v>
          </cell>
          <cell r="AM212" t="str">
            <v>E7018</v>
          </cell>
          <cell r="AN212" t="str">
            <v>CS</v>
          </cell>
        </row>
        <row r="213">
          <cell r="AI213">
            <v>207</v>
          </cell>
          <cell r="AJ213" t="str">
            <v>ASTM A53</v>
          </cell>
          <cell r="AK213" t="str">
            <v>ASTM A53</v>
          </cell>
          <cell r="AL213" t="str">
            <v>ER70S2</v>
          </cell>
          <cell r="AM213" t="str">
            <v>E7018</v>
          </cell>
          <cell r="AN213" t="str">
            <v>CS</v>
          </cell>
        </row>
        <row r="214">
          <cell r="AI214">
            <v>208</v>
          </cell>
          <cell r="AJ214" t="str">
            <v>13MnNiMo54</v>
          </cell>
          <cell r="AK214" t="str">
            <v>SA106GRC</v>
          </cell>
          <cell r="AL214" t="str">
            <v>ER70SA1</v>
          </cell>
          <cell r="AM214" t="str">
            <v>E7018A1</v>
          </cell>
          <cell r="AN214" t="str">
            <v>CS</v>
          </cell>
        </row>
        <row r="215">
          <cell r="AI215">
            <v>209</v>
          </cell>
          <cell r="AJ215" t="str">
            <v>A25Cr-12Ni</v>
          </cell>
          <cell r="AK215" t="str">
            <v>A25Cr-12Ni</v>
          </cell>
          <cell r="AL215">
            <v>0</v>
          </cell>
          <cell r="AM215" t="str">
            <v>E309-16</v>
          </cell>
          <cell r="AN215" t="str">
            <v>SS</v>
          </cell>
        </row>
        <row r="216">
          <cell r="AI216">
            <v>210</v>
          </cell>
          <cell r="AJ216" t="str">
            <v>A672B70CL32</v>
          </cell>
          <cell r="AK216" t="str">
            <v>A672B70CL32</v>
          </cell>
          <cell r="AL216" t="str">
            <v>ER70S2</v>
          </cell>
          <cell r="AM216" t="str">
            <v>E7018</v>
          </cell>
          <cell r="AN216" t="str">
            <v>CS</v>
          </cell>
        </row>
        <row r="217">
          <cell r="AI217">
            <v>211</v>
          </cell>
          <cell r="AJ217" t="str">
            <v>AISI-308</v>
          </cell>
          <cell r="AK217" t="str">
            <v>AISI-308</v>
          </cell>
          <cell r="AL217">
            <v>0</v>
          </cell>
          <cell r="AM217" t="str">
            <v>E308-16</v>
          </cell>
          <cell r="AN217" t="str">
            <v>SS</v>
          </cell>
        </row>
        <row r="218">
          <cell r="AI218">
            <v>212</v>
          </cell>
          <cell r="AJ218" t="str">
            <v>CC2115</v>
          </cell>
          <cell r="AK218" t="str">
            <v>CC2115</v>
          </cell>
          <cell r="AL218" t="str">
            <v>ERNiCr3</v>
          </cell>
          <cell r="AM218" t="str">
            <v>ENiCrFe3</v>
          </cell>
          <cell r="AN218" t="str">
            <v>SS</v>
          </cell>
        </row>
        <row r="219">
          <cell r="AI219">
            <v>213</v>
          </cell>
          <cell r="AJ219" t="str">
            <v>CC2199 (T23)</v>
          </cell>
          <cell r="AK219" t="str">
            <v>CC2199 (T23)</v>
          </cell>
          <cell r="AL219" t="str">
            <v>ER70SG</v>
          </cell>
          <cell r="AM219" t="str">
            <v>E9015G/ETHERMANITP23</v>
          </cell>
          <cell r="AN219" t="str">
            <v>AS</v>
          </cell>
        </row>
        <row r="220">
          <cell r="AI220">
            <v>214</v>
          </cell>
          <cell r="AJ220" t="str">
            <v>CC2328</v>
          </cell>
          <cell r="AK220" t="str">
            <v>CC2328</v>
          </cell>
          <cell r="AL220" t="str">
            <v>ER347</v>
          </cell>
          <cell r="AM220" t="str">
            <v>E347-16</v>
          </cell>
          <cell r="AN220" t="str">
            <v>AS</v>
          </cell>
        </row>
        <row r="221">
          <cell r="AI221">
            <v>215</v>
          </cell>
          <cell r="AJ221" t="str">
            <v>CC2328-1</v>
          </cell>
          <cell r="AK221" t="str">
            <v>CC2328-1</v>
          </cell>
          <cell r="AL221">
            <v>0</v>
          </cell>
          <cell r="AM221">
            <v>0</v>
          </cell>
          <cell r="AN221" t="str">
            <v>AS</v>
          </cell>
        </row>
      </sheetData>
      <sheetData sheetId="9" refreshError="1"/>
      <sheetData sheetId="10" refreshError="1"/>
      <sheetData sheetId="11" refreshError="1"/>
      <sheetData sheetId="12" refreshError="1"/>
      <sheetData sheetId="13" refreshError="1">
        <row r="241">
          <cell r="B241" t="str">
            <v>Zinc Chromate Primer</v>
          </cell>
          <cell r="C241">
            <v>0.4</v>
          </cell>
          <cell r="D241">
            <v>25</v>
          </cell>
          <cell r="E241">
            <v>11.2</v>
          </cell>
          <cell r="F241">
            <v>104</v>
          </cell>
          <cell r="G241">
            <v>9.2999999999999989</v>
          </cell>
          <cell r="H241">
            <v>1</v>
          </cell>
          <cell r="I241">
            <v>9.2999999999999989</v>
          </cell>
          <cell r="J241">
            <v>0</v>
          </cell>
          <cell r="K241">
            <v>9.2999999999999989</v>
          </cell>
          <cell r="L241" t="str">
            <v>BP Red Oxide Zn.Cr.Primer</v>
          </cell>
          <cell r="M241">
            <v>0</v>
          </cell>
          <cell r="N241" t="str">
            <v>Berger</v>
          </cell>
        </row>
        <row r="242">
          <cell r="B242" t="str">
            <v>Synthetic Enamel</v>
          </cell>
          <cell r="C242">
            <v>0.45</v>
          </cell>
          <cell r="D242">
            <v>25</v>
          </cell>
          <cell r="E242">
            <v>12.6</v>
          </cell>
          <cell r="F242">
            <v>153</v>
          </cell>
          <cell r="G242">
            <v>12.2</v>
          </cell>
          <cell r="H242">
            <v>1</v>
          </cell>
          <cell r="I242">
            <v>12.2</v>
          </cell>
          <cell r="J242">
            <v>0</v>
          </cell>
          <cell r="K242">
            <v>12.2</v>
          </cell>
          <cell r="L242" t="str">
            <v>Luxol HB</v>
          </cell>
          <cell r="M242">
            <v>0</v>
          </cell>
          <cell r="N242" t="str">
            <v>Berger</v>
          </cell>
        </row>
        <row r="243">
          <cell r="B243" t="str">
            <v>Heat Resisting Paint-250-400 deg C</v>
          </cell>
          <cell r="C243">
            <v>0.14000000000000001</v>
          </cell>
          <cell r="D243">
            <v>25</v>
          </cell>
          <cell r="E243">
            <v>3.92</v>
          </cell>
          <cell r="F243">
            <v>306</v>
          </cell>
          <cell r="G243">
            <v>78.099999999999994</v>
          </cell>
          <cell r="H243">
            <v>1</v>
          </cell>
          <cell r="I243">
            <v>78.099999999999994</v>
          </cell>
          <cell r="J243">
            <v>0</v>
          </cell>
          <cell r="K243">
            <v>78.099999999999994</v>
          </cell>
          <cell r="L243" t="str">
            <v>HR 47</v>
          </cell>
          <cell r="M243">
            <v>20</v>
          </cell>
          <cell r="N243" t="str">
            <v>Berger</v>
          </cell>
        </row>
        <row r="244">
          <cell r="B244" t="str">
            <v>Heat Resisting Paint -400-500 deg C</v>
          </cell>
          <cell r="C244">
            <v>0.14000000000000001</v>
          </cell>
          <cell r="D244">
            <v>25</v>
          </cell>
          <cell r="E244">
            <v>3.92</v>
          </cell>
          <cell r="F244">
            <v>1044</v>
          </cell>
          <cell r="G244">
            <v>266.40000000000003</v>
          </cell>
          <cell r="H244">
            <v>1</v>
          </cell>
          <cell r="I244">
            <v>266.40000000000003</v>
          </cell>
          <cell r="J244">
            <v>0</v>
          </cell>
          <cell r="K244">
            <v>266.40000000000003</v>
          </cell>
          <cell r="L244" t="str">
            <v>HR 123</v>
          </cell>
          <cell r="M244">
            <v>20</v>
          </cell>
          <cell r="N244" t="str">
            <v>Berger</v>
          </cell>
        </row>
        <row r="245">
          <cell r="B245" t="str">
            <v>Heat Resisting Paint -500-600 deg C</v>
          </cell>
          <cell r="C245">
            <v>0.32</v>
          </cell>
          <cell r="D245">
            <v>25</v>
          </cell>
          <cell r="E245">
            <v>8.9600000000000009</v>
          </cell>
          <cell r="F245">
            <v>1440</v>
          </cell>
          <cell r="G245">
            <v>160.79999999999998</v>
          </cell>
          <cell r="H245">
            <v>1</v>
          </cell>
          <cell r="I245">
            <v>160.79999999999998</v>
          </cell>
          <cell r="J245">
            <v>0</v>
          </cell>
          <cell r="K245">
            <v>160.79999999999998</v>
          </cell>
          <cell r="L245" t="str">
            <v>HR 143</v>
          </cell>
          <cell r="M245">
            <v>20</v>
          </cell>
          <cell r="N245" t="str">
            <v>Berger</v>
          </cell>
        </row>
        <row r="246">
          <cell r="B246" t="str">
            <v>CR High Build Zinc Phosphate Primer</v>
          </cell>
          <cell r="C246">
            <v>0.44</v>
          </cell>
          <cell r="D246">
            <v>25</v>
          </cell>
          <cell r="E246">
            <v>12.32</v>
          </cell>
          <cell r="F246">
            <v>125</v>
          </cell>
          <cell r="G246">
            <v>10.199999999999999</v>
          </cell>
          <cell r="H246">
            <v>1</v>
          </cell>
          <cell r="I246">
            <v>10.199999999999999</v>
          </cell>
          <cell r="J246">
            <v>0</v>
          </cell>
          <cell r="K246">
            <v>10.199999999999999</v>
          </cell>
          <cell r="L246" t="str">
            <v>Linosol HB ZN Phs</v>
          </cell>
          <cell r="M246">
            <v>50</v>
          </cell>
          <cell r="N246" t="str">
            <v>Berger</v>
          </cell>
        </row>
        <row r="247">
          <cell r="B247" t="str">
            <v>Chlorinated Rubber Paint</v>
          </cell>
          <cell r="C247">
            <v>0.36</v>
          </cell>
          <cell r="D247">
            <v>25</v>
          </cell>
          <cell r="E247">
            <v>10.08</v>
          </cell>
          <cell r="F247">
            <v>139</v>
          </cell>
          <cell r="G247">
            <v>13.799999999999999</v>
          </cell>
          <cell r="H247">
            <v>1</v>
          </cell>
          <cell r="I247">
            <v>13.799999999999999</v>
          </cell>
          <cell r="J247">
            <v>0</v>
          </cell>
          <cell r="K247">
            <v>13.799999999999999</v>
          </cell>
          <cell r="L247" t="str">
            <v>Linosol Chl Rbr</v>
          </cell>
          <cell r="M247">
            <v>30</v>
          </cell>
          <cell r="N247" t="str">
            <v>Berger</v>
          </cell>
        </row>
        <row r="248">
          <cell r="B248" t="str">
            <v>Chlorinated Rubber HB Coating</v>
          </cell>
          <cell r="C248">
            <v>0.46</v>
          </cell>
          <cell r="D248">
            <v>25</v>
          </cell>
          <cell r="E248">
            <v>12.88</v>
          </cell>
          <cell r="F248">
            <v>181</v>
          </cell>
          <cell r="G248">
            <v>14.1</v>
          </cell>
          <cell r="H248">
            <v>1</v>
          </cell>
          <cell r="I248">
            <v>14.1</v>
          </cell>
          <cell r="J248">
            <v>0</v>
          </cell>
          <cell r="K248">
            <v>14.1</v>
          </cell>
          <cell r="L248" t="str">
            <v>Linosol HB Clh</v>
          </cell>
          <cell r="M248">
            <v>55</v>
          </cell>
          <cell r="N248" t="str">
            <v>Berger</v>
          </cell>
        </row>
        <row r="249">
          <cell r="B249" t="str">
            <v>Epoxy Zinc Phosphate Primer</v>
          </cell>
          <cell r="C249">
            <v>0.44</v>
          </cell>
          <cell r="D249">
            <v>25</v>
          </cell>
          <cell r="E249">
            <v>12.32</v>
          </cell>
          <cell r="F249">
            <v>167</v>
          </cell>
          <cell r="G249">
            <v>13.6</v>
          </cell>
          <cell r="H249">
            <v>1</v>
          </cell>
          <cell r="I249">
            <v>13.6</v>
          </cell>
          <cell r="J249">
            <v>0</v>
          </cell>
          <cell r="K249">
            <v>13.6</v>
          </cell>
          <cell r="L249" t="str">
            <v>Epilux 610</v>
          </cell>
          <cell r="M249">
            <v>35</v>
          </cell>
          <cell r="N249" t="str">
            <v>Berger</v>
          </cell>
        </row>
        <row r="250">
          <cell r="B250" t="str">
            <v>Epoxy Zinc Rich Primer</v>
          </cell>
          <cell r="C250">
            <v>0.45</v>
          </cell>
          <cell r="D250">
            <v>25</v>
          </cell>
          <cell r="E250">
            <v>12.6</v>
          </cell>
          <cell r="F250">
            <v>383</v>
          </cell>
          <cell r="G250">
            <v>30.400000000000002</v>
          </cell>
          <cell r="H250">
            <v>1</v>
          </cell>
          <cell r="I250">
            <v>30.400000000000002</v>
          </cell>
          <cell r="J250">
            <v>0</v>
          </cell>
          <cell r="K250">
            <v>30.400000000000002</v>
          </cell>
          <cell r="L250" t="str">
            <v>Epilux 4 Zn rch Z88</v>
          </cell>
          <cell r="M250">
            <v>50</v>
          </cell>
          <cell r="N250" t="str">
            <v>Berger</v>
          </cell>
        </row>
        <row r="251">
          <cell r="B251" t="str">
            <v>Epoxy Red oxide Zinc Chromate Primer</v>
          </cell>
          <cell r="C251">
            <v>0.45</v>
          </cell>
          <cell r="D251">
            <v>25</v>
          </cell>
          <cell r="E251">
            <v>12.6</v>
          </cell>
          <cell r="F251">
            <v>160</v>
          </cell>
          <cell r="G251">
            <v>12.7</v>
          </cell>
          <cell r="H251">
            <v>1</v>
          </cell>
          <cell r="I251">
            <v>12.7</v>
          </cell>
          <cell r="J251">
            <v>0</v>
          </cell>
          <cell r="K251">
            <v>12.7</v>
          </cell>
          <cell r="L251" t="str">
            <v xml:space="preserve">Epilux 4 Ro Zn </v>
          </cell>
          <cell r="M251">
            <v>0</v>
          </cell>
          <cell r="N251" t="str">
            <v>Berger</v>
          </cell>
        </row>
        <row r="252">
          <cell r="B252" t="str">
            <v>Epoxy Zinc Chromate Primer (yellow, green)</v>
          </cell>
          <cell r="C252">
            <v>0.4</v>
          </cell>
          <cell r="D252">
            <v>25</v>
          </cell>
          <cell r="E252">
            <v>11.2</v>
          </cell>
          <cell r="F252">
            <v>195</v>
          </cell>
          <cell r="G252">
            <v>17.5</v>
          </cell>
          <cell r="H252">
            <v>1</v>
          </cell>
          <cell r="I252">
            <v>17.5</v>
          </cell>
          <cell r="J252">
            <v>0</v>
          </cell>
          <cell r="K252">
            <v>17.5</v>
          </cell>
          <cell r="L252" t="str">
            <v>Epilux 4 Zn (yellow)</v>
          </cell>
          <cell r="M252">
            <v>0</v>
          </cell>
          <cell r="N252" t="str">
            <v>Berger</v>
          </cell>
        </row>
        <row r="253">
          <cell r="B253" t="str">
            <v>Epoxy HB MIO Coating</v>
          </cell>
          <cell r="C253">
            <v>0.52</v>
          </cell>
          <cell r="D253">
            <v>25</v>
          </cell>
          <cell r="E253">
            <v>14.56</v>
          </cell>
          <cell r="F253">
            <v>230</v>
          </cell>
          <cell r="G253">
            <v>15.799999999999999</v>
          </cell>
          <cell r="H253">
            <v>1</v>
          </cell>
          <cell r="I253">
            <v>15.799999999999999</v>
          </cell>
          <cell r="J253">
            <v>0</v>
          </cell>
          <cell r="K253">
            <v>15.799999999999999</v>
          </cell>
          <cell r="L253" t="str">
            <v>Epilux 4 HB MIO</v>
          </cell>
          <cell r="M253">
            <v>100</v>
          </cell>
          <cell r="N253" t="str">
            <v>Berger</v>
          </cell>
        </row>
        <row r="254">
          <cell r="B254" t="str">
            <v>HB Epoxy Polyamide cured</v>
          </cell>
          <cell r="C254">
            <v>0.6</v>
          </cell>
          <cell r="D254">
            <v>25</v>
          </cell>
          <cell r="E254">
            <v>16.8</v>
          </cell>
          <cell r="F254">
            <v>264</v>
          </cell>
          <cell r="G254">
            <v>15.799999999999999</v>
          </cell>
          <cell r="H254">
            <v>1</v>
          </cell>
          <cell r="I254">
            <v>15.799999999999999</v>
          </cell>
          <cell r="J254">
            <v>0</v>
          </cell>
          <cell r="K254">
            <v>15.799999999999999</v>
          </cell>
          <cell r="L254" t="str">
            <v>Eplilux 78 HB TL (Grey)</v>
          </cell>
          <cell r="M254">
            <v>0</v>
          </cell>
          <cell r="N254" t="str">
            <v>Berger</v>
          </cell>
        </row>
        <row r="255">
          <cell r="B255" t="str">
            <v>Epoxy Finish Paint</v>
          </cell>
          <cell r="C255">
            <v>0.6</v>
          </cell>
          <cell r="D255">
            <v>25</v>
          </cell>
          <cell r="E255">
            <v>16.8</v>
          </cell>
          <cell r="F255">
            <v>264</v>
          </cell>
          <cell r="G255">
            <v>15.799999999999999</v>
          </cell>
          <cell r="H255">
            <v>1</v>
          </cell>
          <cell r="I255">
            <v>15.799999999999999</v>
          </cell>
          <cell r="J255">
            <v>0</v>
          </cell>
          <cell r="K255">
            <v>15.799999999999999</v>
          </cell>
          <cell r="L255" t="str">
            <v>Eplilux 89 HB Finish (Grey)</v>
          </cell>
          <cell r="M255">
            <v>0</v>
          </cell>
          <cell r="N255" t="str">
            <v>Berger</v>
          </cell>
        </row>
        <row r="256">
          <cell r="B256" t="str">
            <v>Epoxy HB Enamel</v>
          </cell>
          <cell r="C256">
            <v>0.47</v>
          </cell>
          <cell r="D256">
            <v>25</v>
          </cell>
          <cell r="E256">
            <v>13.16</v>
          </cell>
          <cell r="F256">
            <v>230</v>
          </cell>
          <cell r="G256">
            <v>17.5</v>
          </cell>
          <cell r="H256">
            <v>1</v>
          </cell>
          <cell r="I256">
            <v>17.5</v>
          </cell>
          <cell r="J256">
            <v>0</v>
          </cell>
          <cell r="K256">
            <v>17.5</v>
          </cell>
          <cell r="L256" t="str">
            <v>Epilux 155</v>
          </cell>
          <cell r="M256">
            <v>60</v>
          </cell>
          <cell r="N256" t="str">
            <v>Berger</v>
          </cell>
        </row>
        <row r="257">
          <cell r="B257" t="str">
            <v>Coal Tar Epoxy</v>
          </cell>
          <cell r="C257">
            <v>0.75</v>
          </cell>
          <cell r="D257">
            <v>25</v>
          </cell>
          <cell r="E257">
            <v>21</v>
          </cell>
          <cell r="F257">
            <v>132</v>
          </cell>
          <cell r="G257">
            <v>6.3</v>
          </cell>
          <cell r="H257">
            <v>1</v>
          </cell>
          <cell r="I257">
            <v>6.3</v>
          </cell>
          <cell r="J257">
            <v>0</v>
          </cell>
          <cell r="K257">
            <v>6.3</v>
          </cell>
          <cell r="L257" t="str">
            <v>Epilux 5 CTE (Black)</v>
          </cell>
          <cell r="M257">
            <v>0</v>
          </cell>
          <cell r="N257" t="str">
            <v>Berger</v>
          </cell>
        </row>
        <row r="258">
          <cell r="B258" t="str">
            <v>Inorgonic Zinc ethyl Silicate</v>
          </cell>
          <cell r="C258">
            <v>0.6</v>
          </cell>
          <cell r="D258">
            <v>25</v>
          </cell>
          <cell r="E258">
            <v>16.8</v>
          </cell>
          <cell r="F258">
            <v>418</v>
          </cell>
          <cell r="G258">
            <v>24.900000000000002</v>
          </cell>
          <cell r="H258">
            <v>1</v>
          </cell>
          <cell r="I258">
            <v>24.900000000000002</v>
          </cell>
          <cell r="J258">
            <v>0</v>
          </cell>
          <cell r="K258">
            <v>24.900000000000002</v>
          </cell>
          <cell r="L258" t="str">
            <v>Zinc Anode 304</v>
          </cell>
          <cell r="M258">
            <v>75</v>
          </cell>
          <cell r="N258" t="str">
            <v>Berger</v>
          </cell>
        </row>
        <row r="259">
          <cell r="B259" t="str">
            <v>Epoxy Polyurethane Enamel (blue, yellow, orange)</v>
          </cell>
          <cell r="C259">
            <v>0.4</v>
          </cell>
          <cell r="D259">
            <v>25</v>
          </cell>
          <cell r="E259">
            <v>11.2</v>
          </cell>
          <cell r="F259">
            <v>473</v>
          </cell>
          <cell r="G259">
            <v>42.300000000000004</v>
          </cell>
          <cell r="H259">
            <v>1</v>
          </cell>
          <cell r="I259">
            <v>42.300000000000004</v>
          </cell>
          <cell r="J259">
            <v>0</v>
          </cell>
          <cell r="K259">
            <v>42.300000000000004</v>
          </cell>
          <cell r="L259" t="str">
            <v>Berger Epithane (Grey)</v>
          </cell>
          <cell r="M259">
            <v>0</v>
          </cell>
          <cell r="N259" t="str">
            <v>Berger</v>
          </cell>
        </row>
        <row r="260">
          <cell r="B260" t="str">
            <v>Acrylic Polyurethane</v>
          </cell>
          <cell r="C260">
            <v>0.45</v>
          </cell>
          <cell r="D260">
            <v>25</v>
          </cell>
          <cell r="E260">
            <v>12.6</v>
          </cell>
          <cell r="F260">
            <v>432</v>
          </cell>
          <cell r="G260">
            <v>34.300000000000004</v>
          </cell>
          <cell r="H260">
            <v>1</v>
          </cell>
          <cell r="I260">
            <v>34.300000000000004</v>
          </cell>
          <cell r="J260">
            <v>0</v>
          </cell>
          <cell r="K260">
            <v>34.300000000000004</v>
          </cell>
          <cell r="L260" t="str">
            <v>Bergerthane (Grey)</v>
          </cell>
          <cell r="M260">
            <v>0</v>
          </cell>
          <cell r="N260" t="str">
            <v>Berger</v>
          </cell>
        </row>
        <row r="261">
          <cell r="B261" t="str">
            <v>Black Bituminuous Paint IS 158</v>
          </cell>
          <cell r="C261">
            <v>0.37</v>
          </cell>
          <cell r="D261">
            <v>25</v>
          </cell>
          <cell r="E261">
            <v>10.36</v>
          </cell>
          <cell r="F261">
            <v>63</v>
          </cell>
          <cell r="G261">
            <v>6.1</v>
          </cell>
          <cell r="H261">
            <v>1</v>
          </cell>
          <cell r="I261">
            <v>6.1</v>
          </cell>
          <cell r="J261">
            <v>0</v>
          </cell>
          <cell r="K261">
            <v>6.1</v>
          </cell>
          <cell r="L261" t="str">
            <v>BP Bituminuous</v>
          </cell>
          <cell r="M261">
            <v>0</v>
          </cell>
          <cell r="N261" t="str">
            <v>Berger</v>
          </cell>
        </row>
        <row r="262">
          <cell r="B262" t="str">
            <v>Vinyl Chemical resitant Paint</v>
          </cell>
          <cell r="C262">
            <v>0.45</v>
          </cell>
          <cell r="D262">
            <v>25</v>
          </cell>
          <cell r="E262">
            <v>12.6</v>
          </cell>
          <cell r="F262">
            <v>195</v>
          </cell>
          <cell r="G262">
            <v>15.5</v>
          </cell>
          <cell r="H262">
            <v>1</v>
          </cell>
          <cell r="I262">
            <v>15.5</v>
          </cell>
          <cell r="J262">
            <v>0</v>
          </cell>
          <cell r="K262">
            <v>15.5</v>
          </cell>
          <cell r="L262" t="str">
            <v>Luxavin CR ENL</v>
          </cell>
          <cell r="M262">
            <v>0</v>
          </cell>
          <cell r="N262" t="str">
            <v>Berger</v>
          </cell>
        </row>
        <row r="263">
          <cell r="B263" t="str">
            <v>Anti-saline primer</v>
          </cell>
          <cell r="C263">
            <v>0.35</v>
          </cell>
          <cell r="D263">
            <v>25</v>
          </cell>
          <cell r="E263">
            <v>9.8000000000000007</v>
          </cell>
          <cell r="F263">
            <v>188</v>
          </cell>
          <cell r="G263">
            <v>19.200000000000003</v>
          </cell>
          <cell r="H263">
            <v>1</v>
          </cell>
          <cell r="I263">
            <v>19.200000000000003</v>
          </cell>
          <cell r="J263">
            <v>0</v>
          </cell>
          <cell r="K263">
            <v>19.200000000000003</v>
          </cell>
          <cell r="L263" t="str">
            <v>BP Antisaline M Pr</v>
          </cell>
          <cell r="M263">
            <v>0</v>
          </cell>
          <cell r="N263" t="str">
            <v>Berger</v>
          </cell>
        </row>
        <row r="264">
          <cell r="B264" t="str">
            <v>High Build Bitumen</v>
          </cell>
          <cell r="C264">
            <v>0.38</v>
          </cell>
          <cell r="D264">
            <v>25</v>
          </cell>
          <cell r="E264">
            <v>10.64</v>
          </cell>
          <cell r="F264">
            <v>125</v>
          </cell>
          <cell r="G264">
            <v>11.799999999999999</v>
          </cell>
          <cell r="H264">
            <v>1</v>
          </cell>
          <cell r="I264">
            <v>11.799999999999999</v>
          </cell>
          <cell r="J264">
            <v>0</v>
          </cell>
          <cell r="K264">
            <v>11.799999999999999</v>
          </cell>
          <cell r="L264" t="str">
            <v>BP HB Black</v>
          </cell>
          <cell r="M264">
            <v>0</v>
          </cell>
          <cell r="N264" t="str">
            <v>Berger</v>
          </cell>
        </row>
      </sheetData>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 val="SUMMARY"/>
    </sheetNames>
    <sheetDataSet>
      <sheetData sheetId="0"/>
      <sheetData sheetId="1"/>
      <sheetData sheetId="2"/>
      <sheetData sheetId="3"/>
      <sheetData sheetId="4" refreshError="1">
        <row r="12">
          <cell r="P12">
            <v>1311</v>
          </cell>
        </row>
      </sheetData>
      <sheetData sheetId="5"/>
      <sheetData sheetId="6"/>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8">
          <cell r="T8">
            <v>0.13196412585279399</v>
          </cell>
          <cell r="V8">
            <v>9.070369703218191E-2</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갑지"/>
      <sheetName val="Appendix A14"/>
      <sheetName val="Total"/>
      <sheetName val="M"/>
      <sheetName val="Kiss"/>
      <sheetName val="List"/>
      <sheetName val="ITI"/>
      <sheetName val="IS"/>
      <sheetName val="MCS"/>
      <sheetName val="Act"/>
      <sheetName val="Late"/>
      <sheetName val="Disc"/>
      <sheetName val="PO-MFG-CT"/>
      <sheetName val="Sheet2"/>
      <sheetName val="Input"/>
      <sheetName val="03년 현장공사비 실적 총괄"/>
      <sheetName val="03년 현장공사비 실적 상세"/>
      <sheetName val="03년 현장자재 및 장비비 실적총괄"/>
      <sheetName val="03년 현장 외주비.자재 및 장비비 실적"/>
      <sheetName val="DESCRIPTION"/>
      <sheetName val="BM DATA SHEET"/>
      <sheetName val="집계표(OPTION)"/>
      <sheetName val="Sheet1"/>
      <sheetName val="5대총괄"/>
      <sheetName val="PROPOSAL"/>
      <sheetName val="찍기"/>
      <sheetName val="환율"/>
      <sheetName val="DB_ET200(R. A)"/>
      <sheetName val="경영현황"/>
      <sheetName val="INSTR"/>
      <sheetName val="#REF"/>
      <sheetName val="설산1.나"/>
      <sheetName val="본사S"/>
      <sheetName val="INPUT DATA OF SCHEDULE"/>
      <sheetName val="예산"/>
      <sheetName val="Orbit"/>
      <sheetName val="No Inspection"/>
      <sheetName val="jobhist"/>
      <sheetName val="건내용"/>
      <sheetName val="상반기손익차2총괄"/>
      <sheetName val="Volume"/>
      <sheetName val="DB_on_off valve"/>
      <sheetName val="??"/>
      <sheetName val="Equipment"/>
      <sheetName val="TL,Termination"/>
      <sheetName val="Cable,Conduit"/>
      <sheetName val="ACTDATA"/>
      <sheetName val="공사내역"/>
      <sheetName val="자바라1"/>
      <sheetName val="해외 연수비용 계산-삭제"/>
      <sheetName val="해외 기술훈련비 (합계)"/>
      <sheetName val="A"/>
      <sheetName val="일위대가"/>
      <sheetName val="FORM-0"/>
      <sheetName val="Cash2"/>
      <sheetName val="Z"/>
      <sheetName val="dongia (2)"/>
      <sheetName val="TOEC"/>
      <sheetName val="steam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ANAL"/>
      <sheetName val="Material "/>
      <sheetName val="Ave.wtd.rates"/>
      <sheetName val=" AnalysisPCC"/>
      <sheetName val="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
          <cell r="E20">
            <v>518.02120141342755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HPs"/>
      <sheetName val="design"/>
      <sheetName val="scour depth"/>
      <sheetName val="drwing"/>
      <sheetName val="pail wall-u-S"/>
      <sheetName val="head wall u.s"/>
      <sheetName val="wing u-s"/>
      <sheetName val="head wall D-S"/>
      <sheetName val="USBR"/>
      <sheetName val="ESTIM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 val="Sump_cal"/>
      <sheetName val="Design"/>
      <sheetName val="SP Break Up"/>
      <sheetName val="Boiler&amp;TG"/>
      <sheetName val="Report"/>
      <sheetName val="loadcal"/>
      <sheetName val="ANAL-PIPE LINE"/>
      <sheetName val="Process"/>
      <sheetName val="ANALYSIS"/>
      <sheetName val="LOCAL RATES"/>
      <sheetName val="hdpe weights"/>
      <sheetName val="PVC weights"/>
      <sheetName val="Cal_(2)"/>
      <sheetName val="SOR"/>
      <sheetName val="01-04-08-30-06-08"/>
      <sheetName val="D"/>
      <sheetName val="office"/>
      <sheetName val="Lab"/>
      <sheetName val="final abstract"/>
      <sheetName val="BHANDUP"/>
      <sheetName val="FT-05-02IsoBOM"/>
      <sheetName val="Intro"/>
      <sheetName val="PLAN_FEB97"/>
      <sheetName val="Voucher paid KR3"/>
      <sheetName val="Direct cost shed A-2 "/>
      <sheetName val="upa"/>
      <sheetName val="rdamdata"/>
      <sheetName val="lead-st"/>
      <sheetName val="VISION 2000"/>
      <sheetName val="1-OBJ98 "/>
      <sheetName val="basdat"/>
      <sheetName val="Cal(6.3.2) GSB-T"/>
      <sheetName val="ENCL9"/>
      <sheetName val="Rate Analysis "/>
      <sheetName val="INPUT"/>
      <sheetName val="Headings"/>
      <sheetName val="CFForecast detail"/>
      <sheetName val="Site Dev BOQ"/>
      <sheetName val="F1a-Pile"/>
      <sheetName val="horizontal"/>
      <sheetName val="Balustrade"/>
      <sheetName val="Detail"/>
      <sheetName val="LIST OF MAKES"/>
      <sheetName val="INPUT SHEET"/>
      <sheetName val="RES-PLANNING"/>
      <sheetName val="Vehicles"/>
      <sheetName val="Lead"/>
      <sheetName val="Pay_Sep06"/>
      <sheetName val="Basement Budget"/>
      <sheetName val="INDIGINEOUS ITEMS "/>
      <sheetName val="PARASITIC"/>
      <sheetName val="Reinforcement"/>
      <sheetName val="DSLP"/>
      <sheetName val="Codes"/>
      <sheetName val="Break up Sheet"/>
      <sheetName val="Electrical"/>
      <sheetName val="factors"/>
      <sheetName val="Material "/>
      <sheetName val="Labour &amp; Plant"/>
      <sheetName val="sheeet7"/>
      <sheetName val="TBAL9697 -group wise  sdpl"/>
      <sheetName val="Boq"/>
      <sheetName val="HEAD"/>
      <sheetName val="RCC,Ret. Wall"/>
      <sheetName val="girder"/>
      <sheetName val="Supplier"/>
      <sheetName val="Building 1"/>
      <sheetName val="CFForecast_detail"/>
      <sheetName val="Site_Dev_BOQ"/>
      <sheetName val="LIST_OF_MAKES"/>
      <sheetName val="INPUT_SHEET"/>
      <sheetName val="SP_Break_Up"/>
      <sheetName val="Basement_Budget"/>
      <sheetName val="INDIGINEOUS_ITEMS_"/>
      <sheetName val="Break_up_Sheet"/>
      <sheetName val="Building_1"/>
      <sheetName val="TBAL9697_-group_wise__sdpl"/>
      <sheetName val="RCC,Ret__Wall"/>
      <sheetName val="Material_"/>
      <sheetName val="Labour_&amp;_Plant"/>
      <sheetName val="Cal_(2)1"/>
      <sheetName val="CFForecast_detail1"/>
      <sheetName val="Site_Dev_BOQ1"/>
      <sheetName val="LIST_OF_MAKES1"/>
      <sheetName val="INPUT_SHEET1"/>
      <sheetName val="SP_Break_Up1"/>
      <sheetName val="Basement_Budget1"/>
      <sheetName val="INDIGINEOUS_ITEMS_1"/>
      <sheetName val="Break_up_Sheet1"/>
      <sheetName val="Building_11"/>
      <sheetName val="TBAL9697_-group_wise__sdpl1"/>
      <sheetName val="RCC,Ret__Wall1"/>
      <sheetName val="Material_1"/>
      <sheetName val="Labour_&amp;_Plant1"/>
      <sheetName val="Cal_(2)2"/>
      <sheetName val="CFForecast_detail2"/>
      <sheetName val="Site_Dev_BOQ2"/>
      <sheetName val="LIST_OF_MAKES2"/>
      <sheetName val="INPUT_SHEET2"/>
      <sheetName val="SP_Break_Up2"/>
      <sheetName val="Basement_Budget2"/>
      <sheetName val="INDIGINEOUS_ITEMS_2"/>
      <sheetName val="Break_up_Sheet2"/>
      <sheetName val="Building_12"/>
      <sheetName val="TBAL9697_-group_wise__sdpl2"/>
      <sheetName val="RCC,Ret__Wall2"/>
      <sheetName val="Material_2"/>
      <sheetName val="Labour_&amp;_Plant2"/>
      <sheetName val="Sch. Areas"/>
      <sheetName val="Extra Item"/>
      <sheetName val="Cal_(2)3"/>
      <sheetName val="CFForecast_detail3"/>
      <sheetName val="Site_Dev_BOQ3"/>
      <sheetName val="LIST_OF_MAKES3"/>
      <sheetName val="INPUT_SHEET3"/>
      <sheetName val="SP_Break_Up3"/>
      <sheetName val="Basement_Budget3"/>
      <sheetName val="INDIGINEOUS_ITEMS_3"/>
      <sheetName val="Break_up_Sheet3"/>
      <sheetName val="Building_13"/>
      <sheetName val="TBAL9697_-group_wise__sdpl3"/>
      <sheetName val="RCC,Ret__Wall3"/>
      <sheetName val="Material_3"/>
      <sheetName val="Labour_&amp;_Plant3"/>
      <sheetName val="Cal_(2)4"/>
      <sheetName val="CFForecast_detail4"/>
      <sheetName val="Site_Dev_BOQ4"/>
      <sheetName val="LIST_OF_MAKES4"/>
      <sheetName val="INPUT_SHEET4"/>
      <sheetName val="SP_Break_Up4"/>
      <sheetName val="Basement_Budget4"/>
      <sheetName val="INDIGINEOUS_ITEMS_4"/>
      <sheetName val="Break_up_Sheet4"/>
      <sheetName val="Building_14"/>
      <sheetName val="TBAL9697_-group_wise__sdpl4"/>
      <sheetName val="RCC,Ret__Wall4"/>
      <sheetName val="Material_4"/>
      <sheetName val="Labour_&amp;_Plant4"/>
      <sheetName val="Timesheet"/>
      <sheetName val="COLUMN"/>
      <sheetName val="item"/>
      <sheetName val="HPL"/>
      <sheetName val="A.O.R r1"/>
      <sheetName val="A.O.R r1Str"/>
      <sheetName val="EST-CIVIL"/>
      <sheetName val="IO LIST"/>
      <sheetName val="Measurment"/>
      <sheetName val="Name List"/>
      <sheetName val="Formulas"/>
      <sheetName val="NPV"/>
      <sheetName val="1-Pop Proj"/>
      <sheetName val="RATIOS"/>
      <sheetName val="MRATES"/>
    </sheetNames>
    <sheetDataSet>
      <sheetData sheetId="0">
        <row r="1">
          <cell r="B1">
            <v>121</v>
          </cell>
        </row>
      </sheetData>
      <sheetData sheetId="1">
        <row r="1">
          <cell r="B1">
            <v>121</v>
          </cell>
        </row>
      </sheetData>
      <sheetData sheetId="2">
        <row r="1">
          <cell r="B1">
            <v>121</v>
          </cell>
        </row>
      </sheetData>
      <sheetData sheetId="3">
        <row r="2">
          <cell r="J2">
            <v>22</v>
          </cell>
        </row>
        <row r="3">
          <cell r="J3">
            <v>0</v>
          </cell>
        </row>
      </sheetData>
      <sheetData sheetId="4">
        <row r="1">
          <cell r="B1">
            <v>121</v>
          </cell>
          <cell r="R1">
            <v>115</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1">
          <cell r="R1">
            <v>115</v>
          </cell>
        </row>
      </sheetData>
      <sheetData sheetId="74">
        <row r="1">
          <cell r="R1">
            <v>115</v>
          </cell>
        </row>
      </sheetData>
      <sheetData sheetId="75">
        <row r="1">
          <cell r="R1">
            <v>115</v>
          </cell>
        </row>
      </sheetData>
      <sheetData sheetId="76">
        <row r="1">
          <cell r="R1">
            <v>115</v>
          </cell>
        </row>
      </sheetData>
      <sheetData sheetId="77">
        <row r="1">
          <cell r="R1">
            <v>115</v>
          </cell>
        </row>
      </sheetData>
      <sheetData sheetId="78">
        <row r="1">
          <cell r="R1">
            <v>115</v>
          </cell>
        </row>
      </sheetData>
      <sheetData sheetId="79">
        <row r="1">
          <cell r="R1">
            <v>115</v>
          </cell>
        </row>
      </sheetData>
      <sheetData sheetId="80">
        <row r="1">
          <cell r="R1">
            <v>115</v>
          </cell>
        </row>
      </sheetData>
      <sheetData sheetId="81">
        <row r="1">
          <cell r="R1">
            <v>115</v>
          </cell>
        </row>
      </sheetData>
      <sheetData sheetId="82">
        <row r="1">
          <cell r="R1">
            <v>115</v>
          </cell>
        </row>
      </sheetData>
      <sheetData sheetId="83">
        <row r="1">
          <cell r="R1">
            <v>115</v>
          </cell>
        </row>
      </sheetData>
      <sheetData sheetId="84">
        <row r="1">
          <cell r="R1">
            <v>115</v>
          </cell>
        </row>
      </sheetData>
      <sheetData sheetId="85">
        <row r="1">
          <cell r="R1">
            <v>115</v>
          </cell>
        </row>
      </sheetData>
      <sheetData sheetId="86">
        <row r="1">
          <cell r="R1">
            <v>115</v>
          </cell>
        </row>
      </sheetData>
      <sheetData sheetId="87">
        <row r="1">
          <cell r="R1">
            <v>115</v>
          </cell>
        </row>
      </sheetData>
      <sheetData sheetId="88">
        <row r="1">
          <cell r="R1">
            <v>115</v>
          </cell>
        </row>
      </sheetData>
      <sheetData sheetId="89">
        <row r="1">
          <cell r="R1">
            <v>115</v>
          </cell>
        </row>
      </sheetData>
      <sheetData sheetId="90">
        <row r="1">
          <cell r="R1">
            <v>115</v>
          </cell>
        </row>
      </sheetData>
      <sheetData sheetId="91">
        <row r="1">
          <cell r="R1">
            <v>115</v>
          </cell>
        </row>
      </sheetData>
      <sheetData sheetId="92">
        <row r="1">
          <cell r="R1">
            <v>115</v>
          </cell>
        </row>
      </sheetData>
      <sheetData sheetId="93">
        <row r="1">
          <cell r="R1">
            <v>115</v>
          </cell>
        </row>
      </sheetData>
      <sheetData sheetId="94">
        <row r="1">
          <cell r="R1">
            <v>115</v>
          </cell>
        </row>
      </sheetData>
      <sheetData sheetId="95">
        <row r="1">
          <cell r="R1">
            <v>115</v>
          </cell>
        </row>
      </sheetData>
      <sheetData sheetId="96">
        <row r="1">
          <cell r="R1">
            <v>115</v>
          </cell>
        </row>
      </sheetData>
      <sheetData sheetId="97">
        <row r="1">
          <cell r="R1">
            <v>115</v>
          </cell>
        </row>
      </sheetData>
      <sheetData sheetId="98">
        <row r="1">
          <cell r="R1">
            <v>115</v>
          </cell>
        </row>
      </sheetData>
      <sheetData sheetId="99">
        <row r="1">
          <cell r="R1">
            <v>115</v>
          </cell>
        </row>
      </sheetData>
      <sheetData sheetId="100">
        <row r="1">
          <cell r="R1">
            <v>115</v>
          </cell>
        </row>
      </sheetData>
      <sheetData sheetId="101">
        <row r="1">
          <cell r="R1">
            <v>115</v>
          </cell>
        </row>
      </sheetData>
      <sheetData sheetId="102">
        <row r="1">
          <cell r="R1">
            <v>115</v>
          </cell>
        </row>
      </sheetData>
      <sheetData sheetId="103">
        <row r="1">
          <cell r="R1">
            <v>115</v>
          </cell>
        </row>
      </sheetData>
      <sheetData sheetId="104">
        <row r="1">
          <cell r="R1">
            <v>115</v>
          </cell>
        </row>
      </sheetData>
      <sheetData sheetId="105">
        <row r="1">
          <cell r="R1">
            <v>115</v>
          </cell>
        </row>
      </sheetData>
      <sheetData sheetId="106">
        <row r="1">
          <cell r="R1">
            <v>115</v>
          </cell>
        </row>
      </sheetData>
      <sheetData sheetId="107">
        <row r="1">
          <cell r="R1">
            <v>115</v>
          </cell>
        </row>
      </sheetData>
      <sheetData sheetId="108">
        <row r="1">
          <cell r="R1">
            <v>115</v>
          </cell>
        </row>
      </sheetData>
      <sheetData sheetId="109">
        <row r="1">
          <cell r="R1">
            <v>115</v>
          </cell>
        </row>
      </sheetData>
      <sheetData sheetId="110">
        <row r="1">
          <cell r="R1">
            <v>115</v>
          </cell>
        </row>
      </sheetData>
      <sheetData sheetId="111">
        <row r="1">
          <cell r="R1">
            <v>115</v>
          </cell>
        </row>
      </sheetData>
      <sheetData sheetId="112">
        <row r="1">
          <cell r="R1">
            <v>115</v>
          </cell>
        </row>
      </sheetData>
      <sheetData sheetId="113">
        <row r="1">
          <cell r="R1">
            <v>115</v>
          </cell>
        </row>
      </sheetData>
      <sheetData sheetId="114">
        <row r="1">
          <cell r="R1">
            <v>115</v>
          </cell>
        </row>
      </sheetData>
      <sheetData sheetId="115" refreshError="1"/>
      <sheetData sheetId="116" refreshError="1"/>
      <sheetData sheetId="117">
        <row r="1">
          <cell r="R1">
            <v>115</v>
          </cell>
        </row>
      </sheetData>
      <sheetData sheetId="118">
        <row r="1">
          <cell r="R1">
            <v>115</v>
          </cell>
        </row>
      </sheetData>
      <sheetData sheetId="119">
        <row r="1">
          <cell r="R1">
            <v>115</v>
          </cell>
        </row>
      </sheetData>
      <sheetData sheetId="120">
        <row r="1">
          <cell r="R1">
            <v>115</v>
          </cell>
        </row>
      </sheetData>
      <sheetData sheetId="121">
        <row r="1">
          <cell r="R1">
            <v>115</v>
          </cell>
        </row>
      </sheetData>
      <sheetData sheetId="122">
        <row r="1">
          <cell r="R1">
            <v>115</v>
          </cell>
        </row>
      </sheetData>
      <sheetData sheetId="123">
        <row r="1">
          <cell r="R1">
            <v>115</v>
          </cell>
        </row>
      </sheetData>
      <sheetData sheetId="124">
        <row r="1">
          <cell r="R1">
            <v>115</v>
          </cell>
        </row>
      </sheetData>
      <sheetData sheetId="125">
        <row r="1">
          <cell r="R1">
            <v>115</v>
          </cell>
        </row>
      </sheetData>
      <sheetData sheetId="126">
        <row r="1">
          <cell r="R1">
            <v>115</v>
          </cell>
        </row>
      </sheetData>
      <sheetData sheetId="127">
        <row r="1">
          <cell r="R1">
            <v>115</v>
          </cell>
        </row>
      </sheetData>
      <sheetData sheetId="128">
        <row r="1">
          <cell r="R1">
            <v>115</v>
          </cell>
        </row>
      </sheetData>
      <sheetData sheetId="129">
        <row r="1">
          <cell r="R1">
            <v>115</v>
          </cell>
        </row>
      </sheetData>
      <sheetData sheetId="130">
        <row r="1">
          <cell r="R1">
            <v>115</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Rates"/>
      <sheetName val="Road"/>
      <sheetName val="Culvert"/>
      <sheetName val="Bridges"/>
      <sheetName val="Misc"/>
      <sheetName val="Labour"/>
      <sheetName val="Mtl"/>
      <sheetName val="Mcry"/>
      <sheetName val="Total"/>
      <sheetName val="Cashflow"/>
      <sheetName val="C-Flow"/>
      <sheetName val="Final"/>
      <sheetName val="Tech."/>
      <sheetName val="Lab-Survey-Furn."/>
      <sheetName val="Rate Analysis "/>
      <sheetName val="LOCAL RATES"/>
      <sheetName val="Sheet1"/>
    </sheetNames>
    <sheetDataSet>
      <sheetData sheetId="0"/>
      <sheetData sheetId="1"/>
      <sheetData sheetId="2">
        <row r="112">
          <cell r="H112">
            <v>75</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Intro"/>
      <sheetName val="GRAIN_SIZE_"/>
      <sheetName val="Sp_Gr_"/>
      <sheetName val="C_B_R"/>
      <sheetName val="sp_CBR"/>
      <sheetName val="부대내역"/>
      <sheetName val="Resource"/>
      <sheetName val="Material"/>
      <sheetName val="Labour &amp; Plant"/>
      <sheetName val="PRECAST lightconc-II"/>
      <sheetName val="Improvements"/>
      <sheetName val="Steel Structure"/>
      <sheetName val="Steel-Circular"/>
      <sheetName val="Road data"/>
      <sheetName val="purpose&amp;input"/>
      <sheetName val="유동표"/>
      <sheetName val="Sheet1"/>
      <sheetName val="제출내역 (2)"/>
      <sheetName val="Alp-cal"/>
      <sheetName val="COST"/>
      <sheetName val="3차설계"/>
      <sheetName val="PlazaElec"/>
      <sheetName val="Bill-5"/>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Analysis"/>
      <sheetName val="Mix Design"/>
      <sheetName val="Not found as per ground reality"/>
      <sheetName val="Manpower"/>
      <sheetName val="LOCAL RATES"/>
      <sheetName val="ANAL"/>
      <sheetName val="DATA"/>
      <sheetName val="GRAIN_SIZE_1"/>
      <sheetName val="Sp_Gr_1"/>
      <sheetName val="C_B_R1"/>
      <sheetName val="sp_CBR1"/>
      <sheetName val="estimate"/>
      <sheetName val="Culvert"/>
      <sheetName val="UNP-NCW "/>
      <sheetName val="SB_SCH_A3"/>
      <sheetName val="SB SCH_A7"/>
      <sheetName val="MGS"/>
      <sheetName val="Evaluate"/>
      <sheetName val="Riser-1"/>
      <sheetName val="PRELIM5"/>
      <sheetName val="HYDRAULICS"/>
    </sheetNames>
    <sheetDataSet>
      <sheetData sheetId="0"/>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CONC. ANAL"/>
      <sheetName val="Cost of O &amp; O"/>
      <sheetName val="Direct cost shed A-2 "/>
      <sheetName val="Rate Analysis"/>
      <sheetName val="Rates Basic"/>
      <sheetName val="ANAL-PIPE LINE"/>
      <sheetName val="3MLKQ"/>
      <sheetName val="Open"/>
      <sheetName val="BHANDUP"/>
      <sheetName val="Data"/>
      <sheetName val="S2groupcode"/>
      <sheetName val="Index"/>
      <sheetName val="C &amp; G RHS"/>
      <sheetName val="PLAN_FEB97"/>
      <sheetName val="Analy_7-10"/>
      <sheetName val="Data Entry Sheet_Old"/>
      <sheetName val="Lead"/>
      <sheetName val="dBase"/>
      <sheetName val="Data Base"/>
      <sheetName val="Material Rate"/>
      <sheetName val="Plastering"/>
      <sheetName val="SOR"/>
      <sheetName val="Mix Design"/>
      <sheetName val="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Working"/>
      <sheetName val="MS Pipe"/>
      <sheetName val="Hire Charges"/>
      <sheetName val="ANAL"/>
      <sheetName val="MD"/>
      <sheetName val="Sheet4"/>
      <sheetName val="Specifications"/>
      <sheetName val="ANAL (2)"/>
      <sheetName val="ANALYSIS"/>
      <sheetName val="Rates"/>
      <sheetName val="Material"/>
      <sheetName val="Plant &amp;  Machinery"/>
      <sheetName val="RA Civ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improvement works"/>
      <sheetName val="Margin incl EScalation"/>
      <sheetName val="L+M+P"/>
      <sheetName val="Cash Flow"/>
      <sheetName val="Inflow Abs"/>
      <sheetName val="Out flow Abs"/>
      <sheetName val="Escalation"/>
      <sheetName val="OH-1-Rev"/>
      <sheetName val="OH-2-Rev"/>
      <sheetName val="BG "/>
      <sheetName val="Material Rates"/>
      <sheetName val="Rate Analysis"/>
      <sheetName val="Crusher"/>
      <sheetName val="GSB &amp; WMM"/>
      <sheetName val="HMP Plant"/>
      <sheetName val="Prime coat"/>
      <sheetName val="Tack Coat @ 0.3"/>
      <sheetName val="Tack coat @ 0.25"/>
      <sheetName val="B M"/>
      <sheetName val="DBM"/>
      <sheetName val="BC"/>
      <sheetName val="Vibratory Roller "/>
      <sheetName val="PTR"/>
      <sheetName val="Tandem Roller"/>
      <sheetName val="Tractor with Ripper "/>
      <sheetName val="CONCRETE MIXER"/>
      <sheetName val="Concrete Pump"/>
      <sheetName val="Batching plant"/>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ANAL"/>
      <sheetName val="ANAL-PIPE LINE"/>
      <sheetName val="MS Pipe Working"/>
      <sheetName val="RA Civil"/>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 val="WORKING_2"/>
      <sheetName val="LOCAL RATES"/>
      <sheetName val="SUMMARY"/>
    </sheetNames>
    <sheetDataSet>
      <sheetData sheetId="0"/>
      <sheetData sheetId="1" refreshError="1"/>
      <sheetData sheetId="2"/>
      <sheetData sheetId="3"/>
      <sheetData sheetId="4" refreshError="1"/>
      <sheetData sheetId="5">
        <row r="11">
          <cell r="P11">
            <v>1056</v>
          </cell>
        </row>
        <row r="13">
          <cell r="P13">
            <v>1406</v>
          </cell>
        </row>
        <row r="14">
          <cell r="P14">
            <v>1565</v>
          </cell>
        </row>
      </sheetData>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SCH2"/>
      <sheetName val="Sheet1"/>
      <sheetName val="REG"/>
      <sheetName val="EMG"/>
      <sheetName val="EL"/>
      <sheetName val="EP"/>
      <sheetName val="RP"/>
      <sheetName val="ELSG"/>
      <sheetName val="EPSG"/>
      <sheetName val="RPSG"/>
      <sheetName val="ELNG"/>
      <sheetName val="EPNG"/>
      <sheetName val="RPNG"/>
      <sheetName val="ELS1"/>
      <sheetName val="EPS1"/>
      <sheetName val="RPS1"/>
      <sheetName val="ELN1"/>
      <sheetName val="EPN1"/>
      <sheetName val="RPN1"/>
      <sheetName val="ELS2"/>
      <sheetName val="ELN2"/>
      <sheetName val="EPS2"/>
      <sheetName val="EPN2"/>
      <sheetName val="RPS2"/>
      <sheetName val="RPN2"/>
      <sheetName val="ELS3"/>
      <sheetName val="LOAD TABLE"/>
      <sheetName val="EPS3"/>
      <sheetName val="RPS3"/>
      <sheetName val="CABLERET"/>
      <sheetName val="cable"/>
      <sheetName val="switch"/>
      <sheetName val="busbar"/>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0 SUMMARY"/>
      <sheetName val="2.0 GTC_"/>
      <sheetName val="3.0 STC"/>
      <sheetName val="4.0 DOR"/>
      <sheetName val="4.1 Safety DOR"/>
      <sheetName val="4.2 Safety Cost Guide"/>
      <sheetName val="5 Price Summary"/>
      <sheetName val="6.1 Boiler"/>
      <sheetName val="6.2 S_Structure"/>
      <sheetName val="6.3 Manning(Direct Labor)"/>
      <sheetName val="6.4 Manning(Indirect Labor)"/>
      <sheetName val="6.5 Heavy Equipment(Boiler)"/>
      <sheetName val="6.6 Heavy Equipment(S-S)"/>
      <sheetName val="6.7  Tax"/>
      <sheetName val="7.0 Schedule"/>
      <sheetName val="7.1 Const sch"/>
      <sheetName val="7.3 Wage Rate"/>
      <sheetName val="8.0 Documents"/>
      <sheetName val="8.1 Organization"/>
      <sheetName val="8.2 Bidding Cover"/>
      <sheetName val="9.Technical Specification "/>
      <sheetName val="10.Drawing"/>
      <sheetName val="11.Construction SC"/>
      <sheetName val="12.Appendix HSE Management"/>
      <sheetName val="Sheet1"/>
      <sheetName val="DCS"/>
      <sheetName val="ANALY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Bed"/>
      <sheetName val="CondPol"/>
      <sheetName val="Sheet5"/>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orm-C4"/>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TB"/>
      <sheetName val="cf"/>
      <sheetName val="orders"/>
      <sheetName val="macros"/>
      <sheetName val="strain"/>
      <sheetName val="Form_A"/>
      <sheetName val="Sheet5"/>
      <sheetName val="banilad"/>
      <sheetName val="Mactan"/>
      <sheetName val="Mandaue"/>
      <sheetName val="DSLP"/>
      <sheetName val="Purlin(7m)"/>
      <sheetName val="Key Assumptions"/>
      <sheetName val="dBase"/>
      <sheetName val="PACK (B)"/>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s"/>
      <sheetName val="Transfer"/>
      <sheetName val="S4"/>
      <sheetName val="wordsdata"/>
      <sheetName val="Intro"/>
      <sheetName val="Load Details-220kV"/>
      <sheetName val="analysis"/>
      <sheetName val="Bongaon"/>
      <sheetName val="Jeerat"/>
      <sheetName val="NJP"/>
      <sheetName val="ASSAm Gua PBC"/>
      <sheetName val="Assumptions"/>
      <sheetName val="Khalifa Parkf"/>
      <sheetName val="4 Annex 1 Basic rate"/>
      <sheetName val="SITE OVERHEADS"/>
      <sheetName val="water prop."/>
      <sheetName val="Major Br. Statement"/>
      <sheetName val="STN WISE EMR"/>
      <sheetName val="220&amp;132"/>
      <sheetName val="Civil Boq"/>
      <sheetName val="Elite 1 - MBCL"/>
      <sheetName val="FINOL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dat"/>
      <sheetName val="property"/>
      <sheetName val="tables"/>
      <sheetName val="coeff"/>
      <sheetName val="maing1"/>
      <sheetName val="sumbm"/>
      <sheetName val="maing2"/>
      <sheetName val="Shear f "/>
      <sheetName val="cross gr"/>
      <sheetName val="BHANDUP"/>
      <sheetName val="Cost of O &amp; O"/>
      <sheetName val="Analysis"/>
    </sheetNames>
    <sheetDataSet>
      <sheetData sheetId="0">
        <row r="4">
          <cell r="D4">
            <v>19.5</v>
          </cell>
        </row>
        <row r="5">
          <cell r="D5">
            <v>11</v>
          </cell>
        </row>
        <row r="8">
          <cell r="D8">
            <v>0.55000000000000004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P1"/>
      <sheetName val="P2"/>
      <sheetName val="P3"/>
      <sheetName val="P4"/>
      <sheetName val="P5"/>
      <sheetName val="P6"/>
      <sheetName val="P7"/>
      <sheetName val="P8"/>
      <sheetName val="P9"/>
      <sheetName val="P10"/>
      <sheetName val="P11"/>
      <sheetName val="P12"/>
      <sheetName val="P13"/>
      <sheetName val="P14"/>
      <sheetName val="P15"/>
      <sheetName val="Transport"/>
      <sheetName val="Civil 1"/>
      <sheetName val="Civil 2"/>
      <sheetName val="Civil 3"/>
      <sheetName val="Site 1"/>
      <sheetName val="Site 2"/>
      <sheetName val="Site 3"/>
      <sheetName val="Site Faci"/>
      <sheetName val="Engg-Exec-1"/>
      <sheetName val="Engg-Exec-2"/>
      <sheetName val="Site-Precom-1"/>
      <sheetName val="Site-Precom-2"/>
      <sheetName val="Site-Precom-Vendor"/>
      <sheetName val="Collab"/>
      <sheetName val="Cont"/>
      <sheetName val="Risk-Anal"/>
      <sheetName val="Risk-Table"/>
      <sheetName val="Risk-Graph"/>
      <sheetName val="Analysis1"/>
      <sheetName val="Analysis2"/>
      <sheetName val="Analysis3"/>
      <sheetName val="Totals-SMG"/>
      <sheetName val="Totals"/>
      <sheetName val="User"/>
      <sheetName val="Ranges"/>
      <sheetName val="For SMG"/>
      <sheetName val="calc"/>
      <sheetName val="steel"/>
      <sheetName val="pressure-parts"/>
      <sheetName val="Castings-Misc"/>
      <sheetName val="fabrn_shop"/>
      <sheetName val="constrn"/>
      <sheetName val="CONVN_FABRN_ONLY"/>
      <sheetName val="Fan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Q8">
            <v>37712</v>
          </cell>
          <cell r="AR8">
            <v>38078</v>
          </cell>
          <cell r="AS8">
            <v>38443</v>
          </cell>
        </row>
        <row r="10">
          <cell r="D10" t="str">
            <v>Tubes</v>
          </cell>
          <cell r="E10" t="str">
            <v>Fittings</v>
          </cell>
          <cell r="F10" t="str">
            <v>Flanges</v>
          </cell>
          <cell r="G10" t="str">
            <v>Welding Consumables</v>
          </cell>
        </row>
        <row r="11">
          <cell r="D11" t="str">
            <v>Fans</v>
          </cell>
          <cell r="E11" t="str">
            <v>Turbines</v>
          </cell>
          <cell r="F11" t="str">
            <v>Blowers</v>
          </cell>
          <cell r="G11" t="str">
            <v>Venturi</v>
          </cell>
          <cell r="H11" t="str">
            <v>Intake Duct</v>
          </cell>
        </row>
        <row r="12">
          <cell r="D12" t="str">
            <v>Gas Burners</v>
          </cell>
          <cell r="E12" t="str">
            <v>Oil Burners</v>
          </cell>
          <cell r="F12" t="str">
            <v>Dual Burners</v>
          </cell>
          <cell r="G12" t="str">
            <v>Fixed Ignitors</v>
          </cell>
          <cell r="H12" t="str">
            <v>Mains -Portable Ignitors</v>
          </cell>
          <cell r="I12" t="str">
            <v>Battery -Portable Ignitors</v>
          </cell>
          <cell r="J12" t="str">
            <v>Burner-performance Testing</v>
          </cell>
        </row>
        <row r="13">
          <cell r="D13" t="str">
            <v>Scanner</v>
          </cell>
          <cell r="E13" t="str">
            <v>Ionisation Rod</v>
          </cell>
          <cell r="F13" t="str">
            <v>Control Panel</v>
          </cell>
          <cell r="G13" t="str">
            <v>PLC</v>
          </cell>
          <cell r="H13" t="str">
            <v>Cabling</v>
          </cell>
        </row>
        <row r="14">
          <cell r="D14" t="str">
            <v>Cast Iron</v>
          </cell>
          <cell r="E14" t="str">
            <v>Tubular</v>
          </cell>
          <cell r="F14" t="str">
            <v>Plate</v>
          </cell>
        </row>
        <row r="15">
          <cell r="D15" t="str">
            <v>Top-Supports</v>
          </cell>
          <cell r="E15" t="str">
            <v>Int. Supports</v>
          </cell>
          <cell r="F15" t="str">
            <v>Guides</v>
          </cell>
        </row>
        <row r="16">
          <cell r="D16" t="str">
            <v>Castables</v>
          </cell>
          <cell r="E16" t="str">
            <v>Z block</v>
          </cell>
          <cell r="F16" t="str">
            <v>Bricks</v>
          </cell>
          <cell r="G16" t="str">
            <v>Blanket</v>
          </cell>
          <cell r="H16" t="str">
            <v>Min. wool</v>
          </cell>
          <cell r="I16" t="str">
            <v>Fiberglass</v>
          </cell>
          <cell r="J16" t="str">
            <v>FOAMGLAS</v>
          </cell>
          <cell r="K16" t="str">
            <v>PIR</v>
          </cell>
          <cell r="L16" t="str">
            <v>PUF</v>
          </cell>
          <cell r="M16" t="str">
            <v>Internal Paint</v>
          </cell>
        </row>
        <row r="17">
          <cell r="D17" t="str">
            <v>Steel plates</v>
          </cell>
          <cell r="E17" t="str">
            <v>Sections</v>
          </cell>
          <cell r="F17" t="str">
            <v>Grating</v>
          </cell>
          <cell r="G17" t="str">
            <v>Fdn. Bolts</v>
          </cell>
          <cell r="H17" t="str">
            <v>Plat-ladders</v>
          </cell>
          <cell r="I17" t="str">
            <v>Paints</v>
          </cell>
          <cell r="J17" t="str">
            <v>SS-Plates</v>
          </cell>
          <cell r="K17" t="str">
            <v>Fabrication</v>
          </cell>
        </row>
        <row r="18">
          <cell r="D18" t="str">
            <v>Hot Oil Package</v>
          </cell>
          <cell r="E18" t="str">
            <v>Flare</v>
          </cell>
          <cell r="F18" t="str">
            <v>Water treatm't</v>
          </cell>
          <cell r="G18" t="str">
            <v>N2 generat'n</v>
          </cell>
          <cell r="H18" t="str">
            <v>Dosing</v>
          </cell>
          <cell r="I18" t="str">
            <v>Boiler</v>
          </cell>
          <cell r="J18" t="str">
            <v>Air cond'n</v>
          </cell>
          <cell r="K18" t="str">
            <v>Catalyst loading</v>
          </cell>
          <cell r="L18" t="str">
            <v>Fire protec'n</v>
          </cell>
        </row>
        <row r="19">
          <cell r="D19" t="str">
            <v>Motors</v>
          </cell>
          <cell r="E19" t="str">
            <v>Transformers</v>
          </cell>
          <cell r="F19" t="str">
            <v>Cables</v>
          </cell>
          <cell r="G19" t="str">
            <v>MCC</v>
          </cell>
          <cell r="H19" t="str">
            <v>MMI</v>
          </cell>
          <cell r="I19" t="str">
            <v>VFD</v>
          </cell>
        </row>
        <row r="20">
          <cell r="D20" t="str">
            <v>Mod. Valves</v>
          </cell>
          <cell r="E20" t="str">
            <v>On-off valves</v>
          </cell>
          <cell r="F20" t="str">
            <v>Press. Guage</v>
          </cell>
          <cell r="G20" t="str">
            <v>Temp. Element</v>
          </cell>
          <cell r="H20" t="str">
            <v>Skin T/C</v>
          </cell>
          <cell r="I20" t="str">
            <v>Temp. Transmitters</v>
          </cell>
          <cell r="J20" t="str">
            <v>Press. Transmitters</v>
          </cell>
          <cell r="K20" t="str">
            <v>Analysers</v>
          </cell>
        </row>
        <row r="21">
          <cell r="D21" t="str">
            <v>E&amp;C Spares</v>
          </cell>
          <cell r="E21" t="str">
            <v>Mand. Spares</v>
          </cell>
          <cell r="F21" t="str">
            <v>2-year spares</v>
          </cell>
        </row>
        <row r="22">
          <cell r="D22" t="str">
            <v>Pipes</v>
          </cell>
          <cell r="E22" t="str">
            <v>Fittings</v>
          </cell>
          <cell r="F22" t="str">
            <v>Flanges</v>
          </cell>
          <cell r="G22" t="str">
            <v>Valves</v>
          </cell>
          <cell r="H22" t="str">
            <v>Gaskets</v>
          </cell>
          <cell r="I22" t="str">
            <v>Hardware</v>
          </cell>
          <cell r="J22" t="str">
            <v>Exp'n bellows</v>
          </cell>
          <cell r="K22" t="str">
            <v>Steam traps</v>
          </cell>
          <cell r="L22" t="str">
            <v>Supports</v>
          </cell>
          <cell r="M22" t="str">
            <v>Hoses</v>
          </cell>
        </row>
        <row r="23">
          <cell r="D23" t="str">
            <v>Dampers</v>
          </cell>
          <cell r="E23" t="str">
            <v>Doors</v>
          </cell>
          <cell r="F23" t="str">
            <v>Hyd. Coupling</v>
          </cell>
          <cell r="G23" t="str">
            <v>De-Coking System</v>
          </cell>
          <cell r="H23" t="str">
            <v>Other Panels</v>
          </cell>
          <cell r="I23" t="str">
            <v>KO Drums</v>
          </cell>
          <cell r="J23" t="str">
            <v>Soot-Blowers</v>
          </cell>
          <cell r="K23" t="str">
            <v>Exp. Joints</v>
          </cell>
        </row>
      </sheetData>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BOUNDARY WALL"/>
      <sheetName val="ABSTRACT - Client"/>
      <sheetName val="Turn Over"/>
      <sheetName val="Bore well Supply2022"/>
      <sheetName val="HDPE Supply for 2022"/>
      <sheetName val="MRIS"/>
      <sheetName val="Pipe laying - HDPE Pipe"/>
      <sheetName val="Sheet1"/>
      <sheetName val="Sheet2"/>
      <sheetName val="Issue Vs consuption"/>
      <sheetName val="Contractorwise issue"/>
      <sheetName val="Recon"/>
      <sheetName val="Summary tube well"/>
      <sheetName val="Borewell Report "/>
      <sheetName val="OHT Report."/>
      <sheetName val="Man Power"/>
      <sheetName val="Land issue Scheme"/>
      <sheetName val="Quality Affected Scheme"/>
      <sheetName val="Discom Details"/>
      <sheetName val="form-c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1"/>
      <sheetName val="Format 1A"/>
      <sheetName val="Format 2"/>
      <sheetName val="Format 2A"/>
      <sheetName val="Index"/>
      <sheetName val="SALARIES"/>
      <sheetName val="SITE OVERHEADS"/>
      <sheetName val="Lab Col GI Mat Req"/>
      <sheetName val="Septic Tank"/>
      <sheetName val="CABLE REQUIREMENT WIPRO"/>
      <sheetName val="dept"/>
      <sheetName val="P &amp; M ABS"/>
      <sheetName val="P&amp;M DEP"/>
      <sheetName val="P&amp;M OPER"/>
      <sheetName val="P &amp; M FUEL MAIN"/>
      <sheetName val="Basic Material Prices"/>
      <sheetName val="TOP SHEET"/>
      <sheetName val="Excavation"/>
      <sheetName val="Conc Cons"/>
      <sheetName val="Erection of P&amp;M"/>
      <sheetName val="concrete"/>
      <sheetName val="Material Prices"/>
      <sheetName val="steelworks"/>
      <sheetName val="Masonry"/>
      <sheetName val="Waterproofing"/>
      <sheetName val="Other Works"/>
      <sheetName val="Additional Wo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BP"/>
      <sheetName val="UtélityMAy04"/>
      <sheetName val="Analy"/>
      <sheetName val="BP-Other strs"/>
      <sheetName val="INPUT"/>
      <sheetName val="Rates Basic"/>
      <sheetName val="SPILL OVER PROJECTIONS"/>
      <sheetName val="SPILL OVER"/>
      <sheetName val="DETAILED  BOQ"/>
      <sheetName val="Voucher"/>
      <sheetName val="Data"/>
      <sheetName val="Cal"/>
      <sheetName val="Wearing Course"/>
      <sheetName val="ecc_res"/>
      <sheetName val="BOQ Distribution"/>
      <sheetName val="CFData"/>
      <sheetName val="HRData"/>
      <sheetName val="CapexOAdata"/>
      <sheetName val="OpexData"/>
      <sheetName val="PLData"/>
      <sheetName val="Menu"/>
      <sheetName val="CapexPMdata"/>
      <sheetName val="CapexSSdata"/>
      <sheetName val="WCData"/>
      <sheetName val="BTB"/>
      <sheetName val="cf"/>
      <sheetName val="orders"/>
      <sheetName val="BHANDUP"/>
      <sheetName val="Rate Analysis"/>
      <sheetName val="BOQ-Part1"/>
      <sheetName val="Evaluate"/>
      <sheetName val="schedule1"/>
      <sheetName val="Box- Girder"/>
      <sheetName val="Intro"/>
      <sheetName val="Index"/>
      <sheetName val="Wearing_Course"/>
      <sheetName val="Rate_Analysis"/>
      <sheetName val="BP-Other_strs"/>
      <sheetName val="Rates_Basic"/>
      <sheetName val="SPILL_OVER_PROJECTIONS"/>
      <sheetName val="SPILL_OVER"/>
      <sheetName val="DETAILED__BOQ"/>
      <sheetName val="Backup PRW - VIIA"/>
      <sheetName val="Annex"/>
      <sheetName val="Manpower"/>
      <sheetName val="DATA_PILE_BG"/>
      <sheetName val="DATA_PCC"/>
      <sheetName val="DATA_PILECAP"/>
      <sheetName val="DATA_PILE_RT2"/>
      <sheetName val="DATA_PILE_RT1 "/>
      <sheetName val="DATA_PILE _SM"/>
      <sheetName val="Material "/>
      <sheetName val="Machinery"/>
      <sheetName val="Measurment"/>
      <sheetName val="basdat"/>
      <sheetName val="A.O.R."/>
      <sheetName val="30th Sep 2011"/>
      <sheetName val="REL"/>
      <sheetName val="doq"/>
      <sheetName val="BALAN1"/>
      <sheetName val="Basic"/>
      <sheetName val="Assmpns"/>
      <sheetName val="LEGEND"/>
      <sheetName val="Detail 1A"/>
      <sheetName val="01"/>
      <sheetName val="Dayworks Bill"/>
      <sheetName val="Bills of Quantities"/>
      <sheetName val="r"/>
      <sheetName val="Flanged Beams"/>
      <sheetName val="Rectangular Beam"/>
      <sheetName val="ANAL-PIPE LINE"/>
      <sheetName val="Below_Earth"/>
      <sheetName val="DI_Pipes"/>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hitention"/>
      <sheetName val="frlshalfree"/>
      <sheetName val="CABLERET"/>
      <sheetName val="xlpe"/>
      <sheetName val="pvcxlpe2"/>
      <sheetName val="pvcxlpe"/>
      <sheetName val="cableselect"/>
      <sheetName val="switch (2)"/>
      <sheetName val="CABLERET (2)"/>
      <sheetName val="switch (1)"/>
      <sheetName val="CABLERET (1)"/>
      <sheetName val="LOAD SHEET"/>
      <sheetName val="CABLERET _2_"/>
      <sheetName val="FORM7"/>
      <sheetName val="DETAILED  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tn06"/>
      <sheetName val="Top Sheet  "/>
      <sheetName val="Top Sheet -1"/>
      <sheetName val="SUMMARY_"/>
      <sheetName val="Escalation"/>
      <sheetName val="ABS-SOH"/>
      <sheetName val="Salaries"/>
      <sheetName val="Off-Veh Exp"/>
      <sheetName val="BOQ "/>
      <sheetName val="Lead"/>
      <sheetName val="T.KM"/>
      <sheetName val="RA - WMM"/>
      <sheetName val="DC - WMM Plant"/>
      <sheetName val="DC - HMP Plant"/>
      <sheetName val="BP-Other strs"/>
      <sheetName val="BP- FOs-Itchgs"/>
      <sheetName val="DIR USED ITEMS"/>
      <sheetName val="Concrete works"/>
      <sheetName val="SUMMARY"/>
      <sheetName val="2"/>
      <sheetName val="3"/>
      <sheetName val="4"/>
      <sheetName val="5"/>
      <sheetName val="8"/>
      <sheetName val="9"/>
      <sheetName val="10"/>
      <sheetName val="12"/>
      <sheetName val="13"/>
      <sheetName val="15"/>
      <sheetName val="Exc items"/>
      <sheetName val="Hire chares of Machinery"/>
      <sheetName val="Land Lease-NH "/>
      <sheetName val="INPUT"/>
      <sheetName val="Major qty"/>
      <sheetName val="BOQ  (2)"/>
      <sheetName val="SUMMARY_ (2)"/>
      <sheetName val="Conc Qty"/>
      <sheetName val="ESC"/>
      <sheetName val="WO Rates"/>
      <sheetName val="procurement"/>
      <sheetName val="Mix Design"/>
      <sheetName val="scour depth"/>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INPUT"/>
      <sheetName val="3"/>
      <sheetName val="procurement"/>
      <sheetName val="A1-Continuous"/>
      <sheetName val="BP-Other strs"/>
      <sheetName val="Trial Balance"/>
      <sheetName val="DETAILED  BOQ"/>
      <sheetName val="Gujrat"/>
      <sheetName val="Chennai"/>
      <sheetName val="LEad Basic"/>
      <sheetName val="MECH-COST ANALYSIS"/>
      <sheetName val="Computation of WCT-04-05-old"/>
      <sheetName val="basic-data"/>
      <sheetName val="mem-property"/>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BTB"/>
      <sheetName val="cf"/>
      <sheetName val="orders"/>
      <sheetName val="Material "/>
      <sheetName val=" AnalysisPCC"/>
      <sheetName val="Transfer"/>
      <sheetName val="Gen Info"/>
      <sheetName val="Material_"/>
      <sheetName val="_AnalysisPCC"/>
      <sheetName val="s"/>
      <sheetName val="Stability"/>
      <sheetName val="RAB 12"/>
      <sheetName val="17"/>
      <sheetName val="GROUP"/>
      <sheetName val="pvc"/>
      <sheetName val="BALAN1"/>
      <sheetName val="banilad"/>
      <sheetName val="Mactan"/>
      <sheetName val="Mandaue"/>
      <sheetName val="upa"/>
      <sheetName val="analysis"/>
      <sheetName val="C-1"/>
      <sheetName val="C-10"/>
      <sheetName val="C-11"/>
      <sheetName val="C-12"/>
      <sheetName val="C-2"/>
      <sheetName val="C-3"/>
      <sheetName val="C-4"/>
      <sheetName val="C-5"/>
      <sheetName val="C-5A"/>
      <sheetName val="C-6"/>
      <sheetName val="C-6A"/>
      <sheetName val="C-7"/>
      <sheetName val="C-8"/>
      <sheetName val="C-9"/>
      <sheetName val="Bills of Quantities"/>
      <sheetName val="BP"/>
      <sheetName val="Schedule"/>
      <sheetName val="FRL-OGL"/>
      <sheetName val="CBL01"/>
      <sheetName val="BOQ Distribution"/>
      <sheetName val="Voucher"/>
      <sheetName val="Data"/>
      <sheetName val="Cal"/>
      <sheetName val="scour depth"/>
      <sheetName val="ABSTRACT"/>
      <sheetName val="Qty SR"/>
      <sheetName val="MRATES"/>
    </sheetNames>
    <sheetDataSet>
      <sheetData sheetId="0">
        <row r="5">
          <cell r="A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0">
          <cell r="A50">
            <v>0</v>
          </cell>
        </row>
      </sheetData>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number"/>
      <sheetName val="Sheet2"/>
      <sheetName val="Sheet3"/>
      <sheetName val="INPUT"/>
      <sheetName val="procurement"/>
      <sheetName val="Intro"/>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Name List"/>
      <sheetName val="TBAL9697 -group wise  sdpl"/>
      <sheetName val="Stock"/>
      <sheetName val="Assmpns"/>
      <sheetName val="PROCTOR"/>
      <sheetName val="Assumptions"/>
      <sheetName val="BOQ-Part1"/>
      <sheetName val="DATA_PILE_BG"/>
      <sheetName val="DATA_PCC"/>
      <sheetName val="DATA_PILECAP"/>
      <sheetName val="DATA_PILE_RT2"/>
      <sheetName val="DATA_PILE_RT1 "/>
      <sheetName val="DATA_PILE _SM"/>
      <sheetName val="Gen Info"/>
      <sheetName val="10"/>
      <sheetName val="5"/>
      <sheetName val="9"/>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INPUT SHEET"/>
      <sheetName val="Fin Sum"/>
      <sheetName val="col-reinft1"/>
      <sheetName val="loadcal"/>
      <sheetName val="Data sheet"/>
      <sheetName val="oresreqsum"/>
      <sheetName val="Project Budget Worksheet"/>
      <sheetName val="As per PCA"/>
      <sheetName val="Staff Acco."/>
      <sheetName val="Main"/>
      <sheetName val="Analysis-NH-Roads"/>
      <sheetName val="SUMMARY"/>
      <sheetName val="AOR"/>
      <sheetName val="Conversions Final"/>
      <sheetName val="ANAL"/>
      <sheetName val="ra bill"/>
      <sheetName val="FORM7"/>
      <sheetName val="Break_Dw"/>
      <sheetName val="Vind_-_BtB"/>
      <sheetName val="Rate_Analysis"/>
      <sheetName val="Cash_Flow_Input_Data_ISC"/>
      <sheetName val="Name_List"/>
      <sheetName val="TBAL9697_-group_wise__sdpl"/>
      <sheetName val="As_per_PCA"/>
      <sheetName val="TBD - ACCTG MANAGER HD"/>
      <sheetName val="basdat"/>
      <sheetName val="RAB 12"/>
      <sheetName val="Chevron Sign"/>
      <sheetName val="Delineators"/>
      <sheetName val="CIT(1)"/>
      <sheetName val="4 Annex 1 Basic rate"/>
      <sheetName val="appendix 2.5 final accounts"/>
      <sheetName val="Materials "/>
      <sheetName val="data"/>
      <sheetName val="master"/>
      <sheetName val="Culvert"/>
      <sheetName val="Pier Design(with offset)"/>
      <sheetName val="DATA_PRG"/>
      <sheetName val="DataInput"/>
      <sheetName val="DataInput-1"/>
      <sheetName val="DI Rate Analysis"/>
      <sheetName val="Economic RisingMain  Ph-I"/>
      <sheetName val="O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Design"/>
      <sheetName val="FT-05-02IsoBOM"/>
      <sheetName val="TBAL9697 -group wise  sdpl"/>
      <sheetName val="strain"/>
      <sheetName val="factors"/>
      <sheetName val="p&amp;m"/>
      <sheetName val="refer"/>
      <sheetName val="RCC,Ret. Wall"/>
      <sheetName val="TB-15-16"/>
      <sheetName val="Gen TB"/>
      <sheetName val="JT3.0견적-구1"/>
      <sheetName val="Direct cost shed A-2 "/>
      <sheetName val="Load Details(B2)"/>
      <sheetName val="Build-up"/>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analysis"/>
      <sheetName val="Gujrat"/>
      <sheetName val="SCHEDULE OF RATES"/>
      <sheetName val="Bill 3 - Site Works"/>
      <sheetName val="2gii"/>
      <sheetName val="schedule1"/>
      <sheetName val="Precalculation"/>
      <sheetName val="BOQ"/>
      <sheetName val="GR.slab-reinft"/>
      <sheetName val="Cable data"/>
      <sheetName val="Table"/>
      <sheetName val="Civil Works"/>
      <sheetName val="Fill this out first..."/>
      <sheetName val="3MLKQ"/>
      <sheetName val="BLOCK-A (MEA.SHEET)"/>
      <sheetName val="IO List"/>
      <sheetName val="S1BOQ"/>
      <sheetName val="Input"/>
      <sheetName val="Activity"/>
      <sheetName val="Crew"/>
      <sheetName val="Piping"/>
      <sheetName val="Pipe Supports"/>
      <sheetName val="BOQ (2)"/>
      <sheetName val="#REF"/>
      <sheetName val="Sheet3"/>
      <sheetName val="RA-markate"/>
      <sheetName val="SCHEDULE (3)"/>
      <sheetName val="Database"/>
      <sheetName val="schedule nos"/>
      <sheetName val="sumary"/>
      <sheetName val="Rate Analysis"/>
      <sheetName val="Xenon(R2)"/>
      <sheetName val="Costing"/>
      <sheetName val="INDIGINEOUS ITEMS "/>
      <sheetName val="Basement Budget"/>
      <sheetName val="INPUT-DATA"/>
      <sheetName val="Boq Block A"/>
      <sheetName val="estimate"/>
      <sheetName val="Sqn_Abs_G_6_ "/>
      <sheetName val="WO_Abs _G_2_ 6 DUs"/>
      <sheetName val="Air_Abs_G_6_ 23 DUs"/>
      <sheetName val="4-Int- ele(RA)"/>
      <sheetName val="DETAILED__BOQ"/>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Cable_data"/>
      <sheetName val="BLK2"/>
      <sheetName val="BLK3"/>
      <sheetName val="E &amp; R"/>
      <sheetName val="radar"/>
      <sheetName val="UG"/>
      <sheetName val="Box- Girder"/>
      <sheetName val="std"/>
      <sheetName val="DLC lookups"/>
      <sheetName val="SITE OVERHEADS"/>
      <sheetName val="Asia Revised 10-1-07"/>
      <sheetName val="All Capital Plan P+L 10-1-07"/>
      <sheetName val="CP08 (2)"/>
      <sheetName val="Planning File 10-1-07"/>
      <sheetName val="Parameter"/>
      <sheetName val="1_Project_Profile"/>
      <sheetName val="Detail 1A"/>
      <sheetName val="BTB"/>
      <sheetName val="cf"/>
      <sheetName val="orders"/>
      <sheetName val="Lease rents"/>
      <sheetName val="CCTV_EST1"/>
      <sheetName val="Quote Sheet"/>
      <sheetName val="labour coeff"/>
      <sheetName val="Works - Quote Sheet"/>
      <sheetName val="Gen Info"/>
      <sheetName val="Indirect expenses"/>
      <sheetName val="Mat_Cost"/>
      <sheetName val="Cost_Any."/>
      <sheetName val="LIST OF MAKES"/>
      <sheetName val="banilad"/>
      <sheetName val="Mactan"/>
      <sheetName val="Mandaue"/>
      <sheetName val="2004"/>
      <sheetName val="Detail"/>
      <sheetName val="Headings"/>
      <sheetName val="Break up Sheet"/>
      <sheetName val="SPILL OVER"/>
      <sheetName val="s"/>
      <sheetName val="Loads"/>
      <sheetName val="Codes"/>
      <sheetName val="BHANDUP"/>
      <sheetName val="macros"/>
      <sheetName val="Rate"/>
      <sheetName val="Material"/>
      <sheetName val="Zone"/>
      <sheetName val="Vendor"/>
      <sheetName val="Brand"/>
      <sheetName val="PackSize"/>
      <sheetName val="PackagingType"/>
      <sheetName val="Plant"/>
      <sheetName val="ProductHierarchy"/>
      <sheetName val="PurchGroup"/>
      <sheetName val="Sub-brand"/>
      <sheetName val="UOM"/>
      <sheetName val="Variant"/>
      <sheetName val="jobhist"/>
      <sheetName val="Pile cap"/>
      <sheetName val="ABB"/>
      <sheetName val="GE"/>
      <sheetName val="Bed Class"/>
      <sheetName val="Cd"/>
      <sheetName val="DATA"/>
      <sheetName val="DTF Summary"/>
      <sheetName val="GF Columns"/>
      <sheetName val="Basic Rates"/>
      <sheetName val="UNP-NCW "/>
      <sheetName val="Mat.Cost"/>
      <sheetName val="Intro"/>
      <sheetName val="Sheet2"/>
      <sheetName val="Cable-data"/>
      <sheetName val="Summary"/>
      <sheetName val="Form 6"/>
      <sheetName val="BOQ_Direct_selling cost"/>
      <sheetName val="#REF!"/>
      <sheetName val="VCH-SLC"/>
      <sheetName val="Supplier"/>
      <sheetName val="WWR"/>
      <sheetName val="BULook"/>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Cover"/>
      <sheetName val="ACS(1)"/>
      <sheetName val="FAS-C(4)"/>
      <sheetName val="사진"/>
      <sheetName val="Intro."/>
      <sheetName val="MASTER_RATE ANALYSIS"/>
      <sheetName val="Elite 1 - MBCL"/>
      <sheetName val="Cost summary"/>
      <sheetName val="A.O.R."/>
      <sheetName val="key dates"/>
      <sheetName val="Actuals"/>
      <sheetName val="Inventory"/>
      <sheetName val="C-1"/>
      <sheetName val="C-10"/>
      <sheetName val="C-11"/>
      <sheetName val="C-12"/>
      <sheetName val="C-2"/>
      <sheetName val="C-3"/>
      <sheetName val="C-4"/>
      <sheetName val="C-5"/>
      <sheetName val="C-5A"/>
      <sheetName val="C-6"/>
      <sheetName val="C-6A"/>
      <sheetName val="C-7"/>
      <sheetName val="C-8"/>
      <sheetName val="C-9"/>
      <sheetName val="01"/>
      <sheetName val="Assumptions"/>
      <sheetName val="specification options"/>
      <sheetName val="Estimation"/>
      <sheetName val="concrete"/>
      <sheetName val="beam-reinft-IIInd floor"/>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Transfer"/>
      <sheetName val="M+MC"/>
      <sheetName val="procurement"/>
      <sheetName val=" Resource list"/>
      <sheetName val="Labour"/>
      <sheetName val="THANE SITE"/>
      <sheetName val="BOQ Distribution"/>
      <sheetName val="SCHEDULE"/>
      <sheetName val="GBW"/>
      <sheetName val="Annex"/>
      <sheetName val="Maint"/>
      <sheetName val="Housek"/>
      <sheetName val="beam-reinft-machine rm"/>
      <sheetName val="calcul"/>
      <sheetName val="T1 WO"/>
      <sheetName val="FF Inst RA 08 Inst 03"/>
      <sheetName val="外気負荷"/>
      <sheetName val="REf"/>
      <sheetName val="saihous.ele"/>
      <sheetName val="M.R.List (2)"/>
      <sheetName val="Aseet1998"/>
      <sheetName val="Balance Sheet "/>
      <sheetName val="Cost Index"/>
      <sheetName val="Bidform"/>
      <sheetName val="Legend"/>
      <sheetName val="Basic"/>
      <sheetName val="bs BP 04 SA"/>
      <sheetName val="VIWSCo1"/>
      <sheetName val="Project_Brief"/>
      <sheetName val="SUMMARY-client"/>
      <sheetName val="RA"/>
      <sheetName val="Labels"/>
      <sheetName val=" IO List"/>
      <sheetName val="doq"/>
      <sheetName val="Indirect_x0005__x0000__x0000__x0000__x0000_쌳ᎈ駜/"/>
      <sheetName val="STAFFSCHED "/>
      <sheetName val="SSR _ NSSR Market final"/>
      <sheetName val="1-Pop Proj"/>
      <sheetName val="ecc_res"/>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col-reinft1"/>
      <sheetName val="Blr hire"/>
      <sheetName val="1.00"/>
      <sheetName val="Chennai"/>
      <sheetName val="Rollup"/>
      <sheetName val="DG Works (Supply)"/>
      <sheetName val="Lowside"/>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Elect."/>
      <sheetName val="MG"/>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PCC"/>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Annexue B"/>
      <sheetName val="Indirect_x0005_"/>
      <sheetName val="A-General"/>
      <sheetName val="SCH"/>
      <sheetName val="Cover sheet"/>
      <sheetName val="AOQ-new "/>
      <sheetName val="water prop."/>
      <sheetName val="11-hsd"/>
      <sheetName val="2-utility"/>
      <sheetName val="Lead"/>
      <sheetName val=" B3"/>
      <sheetName val=" B1"/>
      <sheetName val="FitOutConfCentre"/>
      <sheetName val="Introduction"/>
      <sheetName val="Old"/>
      <sheetName val="Operating Statistics"/>
      <sheetName val="Financials"/>
      <sheetName val="Indirect_x0005_????쌳ᎈ駜/"/>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basdat"/>
      <sheetName val="Civil BOQ"/>
      <sheetName val="BC &amp; MNB "/>
      <sheetName val="288-1"/>
      <sheetName val="Resource"/>
      <sheetName val="Indirect_x0005__x0000__x0000__x0000__x0000_쌳ᎈ駜_"/>
      <sheetName val="SC Cost MAR 02"/>
      <sheetName val="Boq (Main Building)"/>
      <sheetName val="PA- Consutant "/>
      <sheetName val="Desgn(zone I)"/>
      <sheetName val="P&amp;LSum"/>
      <sheetName val="Lstsub"/>
      <sheetName val="$ KURLARI"/>
      <sheetName val="주관사업"/>
      <sheetName val="Indirect_x0005__x0000__x0000__"/>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saihous.ele.xls]Indirect_x0005__x0000__x0000__x0000__x0000_"/>
      <sheetName val="EMLWorkstations"/>
      <sheetName val="EMLLaptops"/>
      <sheetName val="EMLServers"/>
      <sheetName val="149"/>
      <sheetName val="Timesheet"/>
      <sheetName val="Analysis-NH-Roads"/>
      <sheetName val="Materials "/>
      <sheetName val="17"/>
      <sheetName val="BOXCULVERT"/>
      <sheetName val="FORM5"/>
      <sheetName val="CERTIFICATE"/>
      <sheetName val="Names&amp;Cases"/>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Indirect_x0005_____쌳ᎈ駜_"/>
      <sheetName val="Angebot18.7."/>
      <sheetName val="[saihous.ele.xls]Indirect_x0005_????"/>
      <sheetName val="D2_CO"/>
      <sheetName val="BS1"/>
      <sheetName val="RMes"/>
      <sheetName val="SPILL OVER PROJECTIONS"/>
      <sheetName val="10. &amp; 11. Rate Code &amp; BQ"/>
      <sheetName val="Config"/>
      <sheetName val="MAIN FILE 9-24-07"/>
      <sheetName val=""/>
      <sheetName val="Basic Resources"/>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Rate Ana"/>
      <sheetName val="RIP1"/>
      <sheetName val="BM"/>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FINOLEX"/>
      <sheetName val="final abstract"/>
      <sheetName val="CLAY"/>
      <sheetName val="BM-HOOP"/>
      <sheetName val="foundation(V)"/>
      <sheetName val="Manpower"/>
      <sheetName val="BAL SHEET"/>
      <sheetName val="[saihous.ele.xls]Indirect_x0005_"/>
      <sheetName val="Indirect____쌳ᎈ駜_"/>
      <sheetName val="_saihous.ele.xls_Indirect_x0005_"/>
      <sheetName val="_saihous.ele.xls_Indirect_x0005_____"/>
      <sheetName val="DATA_PILE_BG"/>
      <sheetName val="DATA_PCC"/>
      <sheetName val="DATA_PILECAP"/>
      <sheetName val="DATA_PILE_RT2"/>
      <sheetName val="DATA_PILE_RT1 "/>
      <sheetName val="DATA_PILE _SM"/>
      <sheetName val="Set"/>
      <sheetName val="Column BBS-Block9"/>
      <sheetName val="lists"/>
      <sheetName val="#3E1_GCR"/>
      <sheetName val=" GULF"/>
      <sheetName val="Calculations"/>
      <sheetName val="Formulas"/>
      <sheetName val="Pay_Sep06"/>
      <sheetName val="DG "/>
      <sheetName val="[saihous.ele.xls]Indirect_x0005__x0000_⽼؃ᅜ"/>
      <sheetName val="Enquire"/>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AoR Finishing"/>
      <sheetName val="Measurment"/>
      <sheetName val="TOS-F"/>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Quotation"/>
      <sheetName val="Detail-Singly"/>
      <sheetName val="TORRENT CEMENT"/>
      <sheetName val="A"/>
      <sheetName val="GUT (2)"/>
      <sheetName val="ACE-OUT"/>
      <sheetName val="Basis"/>
      <sheetName val="AutoOpen Stub Data"/>
      <sheetName val="IM_Assumptions"/>
      <sheetName val="IM_SUMMARY"/>
      <sheetName val="IM_Flows"/>
      <sheetName val="RES-PLANNING"/>
      <sheetName val="INPUT SHEET"/>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dBas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REL"/>
      <sheetName val="loadcal"/>
      <sheetName val="Sweeper Machine"/>
      <sheetName val="hyperstatic"/>
      <sheetName val="LL-Normal"/>
      <sheetName val="XL4Poppy"/>
      <sheetName val="HP(9.200)"/>
      <sheetName val="Stability"/>
      <sheetName val="[saihous.ele.xls]Indirect퀀《혂൧_x0001_"/>
      <sheetName val="[saihous.ele.xls]Indirect_____2"/>
      <sheetName val="[saihous.ele.xls]Indirect_____3"/>
      <sheetName val="[saihous.ele.xls]Indirect_____4"/>
      <sheetName val="SubAnlysis"/>
      <sheetName val="MMt"/>
      <sheetName val="ANNEXURE-A"/>
      <sheetName val="부표총괄"/>
      <sheetName val="Concrete Quants"/>
      <sheetName val="Final VA"/>
      <sheetName val="MPR_PA_1"/>
      <sheetName val="oresreqsum"/>
      <sheetName val="scurve(2)"/>
      <sheetName val="PRSH"/>
      <sheetName val="saihous.ele.xls"/>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Z1_DATA"/>
      <sheetName val="MHNO_LEV"/>
      <sheetName val="PRECAST lightconc_II"/>
      <sheetName val="Sensitivity"/>
      <sheetName val="organi synthesis lab"/>
      <sheetName val="[saihous.ele.xls]Indirect_x0005__x0000_堀와6_x0000_"/>
      <sheetName val="Format 1.9 Ph-1"/>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Allg. Angaben"/>
      <sheetName val="Auswahl"/>
      <sheetName val="CABLES DATA"/>
      <sheetName val="Basic Details"/>
      <sheetName val="BS Groupings"/>
      <sheetName val="PL Groupings"/>
      <sheetName val="QAQC"/>
      <sheetName val="M.B.T-16"/>
      <sheetName val="FITZ MORT 94"/>
      <sheetName val="Beam-Schedule-1"/>
      <sheetName val="BASIC MATERIALS"/>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PHOTO(9)"/>
      <sheetName val="PHOTOCALL(8)"/>
      <sheetName val="Equipment Information"/>
      <sheetName val="Equipment Block"/>
      <sheetName val="DATA 2"/>
      <sheetName val="Ring Details"/>
      <sheetName val="Stress Calculation"/>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aihous.ele.xls]Indirect_x0005__x0000_ം핤࢐"/>
      <sheetName val="1-Excavation"/>
      <sheetName val="2-Substructure"/>
      <sheetName val="3-Concrete"/>
      <sheetName val="4-Masonry"/>
      <sheetName val="5-Thermal &amp; Moisture"/>
      <sheetName val="Col-Schedule"/>
      <sheetName val="keyword"/>
      <sheetName val="Assumption Inputs"/>
      <sheetName val="starter"/>
      <sheetName val="WORK TABLE"/>
      <sheetName val="SOA"/>
      <sheetName val="Podium Areas"/>
      <sheetName val="Options"/>
      <sheetName val="sc-mar2000"/>
      <sheetName val="sc-sepVdec99"/>
      <sheetName val="Box-Detour"/>
      <sheetName val="[saihous.ele.xls]Indirect_x0005__x0000__x0000__xdfa0_."/>
      <sheetName val="[saihous.ele.xls]Indirect_x0005__x0000__x0000__xdb20__x001f_"/>
      <sheetName val="Distribution - Qty &amp; Amount"/>
      <sheetName val="horizontal"/>
      <sheetName val="PMS"/>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Bechtel Norms"/>
      <sheetName val="CS PIPING"/>
      <sheetName val="TECH DATA"/>
      <sheetName val="STEEL"/>
      <sheetName val="LabourRates"/>
      <sheetName val="COMPS"/>
      <sheetName val="purpose&amp;input"/>
      <sheetName val="Anl"/>
      <sheetName val="Jan Volume"/>
      <sheetName val="Beam-design exp"/>
      <sheetName val="A301 Kalk"/>
      <sheetName val="Pacakges split"/>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Overall Summary"/>
      <sheetName val="Summary_CFA total - CP1 &amp; CP2"/>
      <sheetName val="SP Break Up"/>
      <sheetName val="Format - 4"/>
      <sheetName val="BP-Other strs"/>
      <sheetName val="HT Cable "/>
      <sheetName val="Rate_Ana1"/>
      <sheetName val="BAL_SHEET1"/>
      <sheetName val="Materials_1"/>
      <sheetName val="Rate_Ana"/>
      <sheetName val="(Do not delete)"/>
      <sheetName val="Beams "/>
      <sheetName val="switch"/>
      <sheetName val="ES-aLL"/>
      <sheetName val="Tong hop DT XDCT"/>
      <sheetName val="TH_CPTB"/>
      <sheetName val="TMDT"/>
      <sheetName val="Analy"/>
      <sheetName val="STATIC"/>
      <sheetName val="Summary_Transformers4"/>
      <sheetName val="Total__Amount4"/>
      <sheetName val="_GULF4"/>
      <sheetName val="DOOR-WIND"/>
      <sheetName val="_saihous.ele.xls_Indirect퀀《혂൧_x0001_"/>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APPENDIX_B-115"/>
      <sheetName val="Bill_3_115"/>
      <sheetName val="Cable_data15"/>
      <sheetName val="PRECAST_lightconc-II15"/>
      <sheetName val="BLOCK-A_(MEA_SHEET)14"/>
      <sheetName val="Asia_Revised_10-1-0714"/>
      <sheetName val="All_Capital_Plan_P+L_10-1-0714"/>
      <sheetName val="CP08_(2)14"/>
      <sheetName val="Planning_File_10-1-0714"/>
      <sheetName val="SITE_OVERHEADS14"/>
      <sheetName val="Civil_Works14"/>
      <sheetName val="Material_14"/>
      <sheetName val="SPT_vs_PHI14"/>
      <sheetName val="Fill_this_out_first___14"/>
      <sheetName val="IO_List14"/>
      <sheetName val="Pipe_Supports14"/>
      <sheetName val="BOQ_(2)14"/>
      <sheetName val="SCHEDULE_(3)14"/>
      <sheetName val="schedule_nos14"/>
      <sheetName val="Boq_Block_A14"/>
      <sheetName val="Sqn_Abs_G_6__14"/>
      <sheetName val="WO_Abs__G_2__6_DUs14"/>
      <sheetName val="Air_Abs_G_6__23_DUs14"/>
      <sheetName val="4-Int-_ele(RA)14"/>
      <sheetName val="INDIGINEOUS_ITEMS_14"/>
      <sheetName val="Box-_Girder14"/>
      <sheetName val="Lease_rents14"/>
      <sheetName val="DLC_lookups14"/>
      <sheetName val="Quote_Sheet14"/>
      <sheetName val="labour_coeff14"/>
      <sheetName val="Works_-_Quote_Sheet14"/>
      <sheetName val="Gen_Info14"/>
      <sheetName val="Indirect_expenses14"/>
      <sheetName val="Cost_Any_14"/>
      <sheetName val="LIST_OF_MAKES14"/>
      <sheetName val="Detail_1A14"/>
      <sheetName val="Basement_Budget14"/>
      <sheetName val="Break_up_Sheet14"/>
      <sheetName val="E_&amp;_R14"/>
      <sheetName val="Bed_Class13"/>
      <sheetName val="Pile_cap13"/>
      <sheetName val="Mat_Cost14"/>
      <sheetName val="SPILL_OVER14"/>
      <sheetName val="DTF_Summary13"/>
      <sheetName val="UNP-NCW_13"/>
      <sheetName val="GF_Columns13"/>
      <sheetName val="Form_613"/>
      <sheetName val="BOQ_Direct_selling_cost13"/>
      <sheetName val="MASTER_RATE_ANALYSIS13"/>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8"/>
      <sheetName val="M_R_List_(2)8"/>
      <sheetName val="Balance_Sheet_8"/>
      <sheetName val="A_O_R_9"/>
      <sheetName val="M_R_List_(2)9"/>
      <sheetName val="Balance_Sheet_9"/>
      <sheetName val="A_O_R_10"/>
      <sheetName val="M_R_List_(2)10"/>
      <sheetName val="Balance_Sheet_10"/>
      <sheetName val="A_O_R_11"/>
      <sheetName val="M_R_List_(2)11"/>
      <sheetName val="Balance_Sheet_11"/>
      <sheetName val="Intro_12"/>
      <sheetName val="A_O_R_12"/>
      <sheetName val="Cost_summary12"/>
      <sheetName val="Direct_cost_shed_A-2_12"/>
      <sheetName val="_Resource_list12"/>
      <sheetName val="THANE_SITE12"/>
      <sheetName val="BOQ_Distribution12"/>
      <sheetName val="key_dates12"/>
      <sheetName val="specification_options12"/>
      <sheetName val="Elite_1_-_MBCL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6"/>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beam-reinft-IIInd_floor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Contract_BOQ12"/>
      <sheetName val="beam-reinft-IIInd_floor12"/>
      <sheetName val="FF_Inst_RA_08_Inst_0312"/>
      <sheetName val="beam-reinft-machine_rm12"/>
      <sheetName val="T1_WO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Indirect_x0005_쌳ᎈ駜/"/>
      <sheetName val="Indirect_x0005_쌳ᎈ駜_"/>
      <sheetName val="Indirect_x0005__"/>
      <sheetName val="[saihous.ele.xls]Indirect_x0005_"/>
      <sheetName val="[saihous.ele.xls]Indirect_x0005__xdfa0_."/>
      <sheetName val="[saihous.ele.xls]Indirect_x0005__xdb20__x001f_"/>
      <sheetName val="OverviewBarmer"/>
      <sheetName val="rdamdata"/>
      <sheetName val="G_R_P1"/>
    </sheetNames>
    <sheetDataSet>
      <sheetData sheetId="0">
        <row r="1">
          <cell r="B1" t="str">
            <v>220 kV SUB-STATION</v>
          </cell>
        </row>
      </sheetData>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sheetData sheetId="440"/>
      <sheetData sheetId="441">
        <row r="1">
          <cell r="B1" t="str">
            <v>220 kV SUB-STATION</v>
          </cell>
        </row>
      </sheetData>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row r="1">
          <cell r="B1" t="str">
            <v>220 kV SUB-STATION</v>
          </cell>
        </row>
      </sheetData>
      <sheetData sheetId="544">
        <row r="1">
          <cell r="B1" t="str">
            <v>220 kV SUB-STATION</v>
          </cell>
        </row>
      </sheetData>
      <sheetData sheetId="545">
        <row r="1">
          <cell r="B1" t="str">
            <v>220 kV SUB-STATION</v>
          </cell>
        </row>
      </sheetData>
      <sheetData sheetId="546">
        <row r="1">
          <cell r="B1" t="str">
            <v>220 kV SUB-STATION</v>
          </cell>
        </row>
      </sheetData>
      <sheetData sheetId="547">
        <row r="1">
          <cell r="B1" t="str">
            <v>220 kV SUB-STATION</v>
          </cell>
        </row>
      </sheetData>
      <sheetData sheetId="548">
        <row r="1">
          <cell r="B1" t="str">
            <v>220 kV SUB-STATION</v>
          </cell>
        </row>
      </sheetData>
      <sheetData sheetId="549">
        <row r="1">
          <cell r="B1" t="str">
            <v>220 kV SUB-STATION</v>
          </cell>
        </row>
      </sheetData>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efreshError="1"/>
      <sheetData sheetId="715" refreshError="1"/>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row r="1">
          <cell r="B1" t="str">
            <v>220 kV SUB-STATION</v>
          </cell>
        </row>
      </sheetData>
      <sheetData sheetId="991">
        <row r="1">
          <cell r="B1" t="str">
            <v>220 kV SUB-STATION</v>
          </cell>
        </row>
      </sheetData>
      <sheetData sheetId="992">
        <row r="1">
          <cell r="B1" t="str">
            <v>220 kV SUB-STATION</v>
          </cell>
        </row>
      </sheetData>
      <sheetData sheetId="993">
        <row r="1">
          <cell r="B1" t="str">
            <v>220 kV SUB-STATION</v>
          </cell>
        </row>
      </sheetData>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efreshError="1"/>
      <sheetData sheetId="1142"/>
      <sheetData sheetId="1143">
        <row r="1">
          <cell r="B1" t="str">
            <v>220 kV SUB-STATION</v>
          </cell>
        </row>
      </sheetData>
      <sheetData sheetId="1144"/>
      <sheetData sheetId="1145"/>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efreshError="1"/>
      <sheetData sheetId="1278" refreshError="1"/>
      <sheetData sheetId="1279" refreshError="1"/>
      <sheetData sheetId="1280" refreshError="1"/>
      <sheetData sheetId="1281"/>
      <sheetData sheetId="1282"/>
      <sheetData sheetId="1283"/>
      <sheetData sheetId="1284">
        <row r="1">
          <cell r="B1" t="str">
            <v>220 kV SUB-STATION</v>
          </cell>
        </row>
      </sheetData>
      <sheetData sheetId="1285">
        <row r="1">
          <cell r="B1" t="str">
            <v>220 kV SUB-STATION</v>
          </cell>
        </row>
      </sheetData>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sheetData sheetId="1301"/>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efreshError="1"/>
      <sheetData sheetId="1345">
        <row r="1">
          <cell r="B1" t="str">
            <v>220 kV SUB-STATION</v>
          </cell>
        </row>
      </sheetData>
      <sheetData sheetId="1346">
        <row r="1">
          <cell r="B1" t="str">
            <v>220 kV SUB-STATION</v>
          </cell>
        </row>
      </sheetData>
      <sheetData sheetId="1347"/>
      <sheetData sheetId="1348">
        <row r="1">
          <cell r="B1" t="str">
            <v>220 kV SUB-STATION</v>
          </cell>
        </row>
      </sheetData>
      <sheetData sheetId="1349">
        <row r="1">
          <cell r="B1" t="str">
            <v>220 kV SUB-STATION</v>
          </cell>
        </row>
      </sheetData>
      <sheetData sheetId="1350">
        <row r="1">
          <cell r="B1" t="str">
            <v>220 kV SUB-STATION</v>
          </cell>
        </row>
      </sheetData>
      <sheetData sheetId="1351" refreshError="1"/>
      <sheetData sheetId="1352" refreshError="1"/>
      <sheetData sheetId="1353" refreshError="1"/>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sheetData sheetId="1391"/>
      <sheetData sheetId="1392">
        <row r="1">
          <cell r="B1" t="str">
            <v>220 kV SUB-STATION</v>
          </cell>
        </row>
      </sheetData>
      <sheetData sheetId="1393"/>
      <sheetData sheetId="1394"/>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efreshError="1"/>
      <sheetData sheetId="1409">
        <row r="1">
          <cell r="B1" t="str">
            <v>220 kV SUB-STATION</v>
          </cell>
        </row>
      </sheetData>
      <sheetData sheetId="1410">
        <row r="1">
          <cell r="B1" t="str">
            <v>220 kV SUB-STATION</v>
          </cell>
        </row>
      </sheetData>
      <sheetData sheetId="1411"/>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row r="1">
          <cell r="B1" t="str">
            <v>220 kV SUB-STATION</v>
          </cell>
        </row>
      </sheetData>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row r="1">
          <cell r="B1" t="str">
            <v>220 kV SUB-STATION</v>
          </cell>
        </row>
      </sheetData>
      <sheetData sheetId="1425">
        <row r="1">
          <cell r="B1" t="str">
            <v>220 kV SUB-STATION</v>
          </cell>
        </row>
      </sheetData>
      <sheetData sheetId="1426">
        <row r="1">
          <cell r="B1" t="str">
            <v>220 kV SUB-STATION</v>
          </cell>
        </row>
      </sheetData>
      <sheetData sheetId="1427">
        <row r="1">
          <cell r="B1" t="str">
            <v>220 kV SUB-STATION</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sheetData sheetId="1474"/>
      <sheetData sheetId="1475"/>
      <sheetData sheetId="1476">
        <row r="1">
          <cell r="B1" t="str">
            <v>220 kV SUB-STATION</v>
          </cell>
        </row>
      </sheetData>
      <sheetData sheetId="1477">
        <row r="1">
          <cell r="B1" t="str">
            <v>220 kV SUB-STATION</v>
          </cell>
        </row>
      </sheetData>
      <sheetData sheetId="1478" refreshError="1"/>
      <sheetData sheetId="1479">
        <row r="1">
          <cell r="B1" t="str">
            <v>220 kV SUB-STATION</v>
          </cell>
        </row>
      </sheetData>
      <sheetData sheetId="1480"/>
      <sheetData sheetId="1481"/>
      <sheetData sheetId="1482" refreshError="1"/>
      <sheetData sheetId="1483" refreshError="1"/>
      <sheetData sheetId="1484" refreshError="1"/>
      <sheetData sheetId="1485"/>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sheetData sheetId="1495"/>
      <sheetData sheetId="1496"/>
      <sheetData sheetId="1497"/>
      <sheetData sheetId="1498">
        <row r="1">
          <cell r="B1" t="str">
            <v>220 kV SUB-STATION</v>
          </cell>
        </row>
      </sheetData>
      <sheetData sheetId="1499">
        <row r="1">
          <cell r="B1" t="str">
            <v>220 kV SUB-STATION</v>
          </cell>
        </row>
      </sheetData>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sheetData sheetId="1519"/>
      <sheetData sheetId="1520"/>
      <sheetData sheetId="1521"/>
      <sheetData sheetId="1522" refreshError="1"/>
      <sheetData sheetId="1523" refreshError="1"/>
      <sheetData sheetId="1524" refreshError="1"/>
      <sheetData sheetId="1525" refreshError="1"/>
      <sheetData sheetId="1526">
        <row r="1">
          <cell r="B1" t="str">
            <v>220 kV SUB-STATION</v>
          </cell>
        </row>
      </sheetData>
      <sheetData sheetId="1527"/>
      <sheetData sheetId="1528"/>
      <sheetData sheetId="1529"/>
      <sheetData sheetId="1530"/>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ow r="1">
          <cell r="B1" t="str">
            <v>220 kV SUB-STATION</v>
          </cell>
        </row>
      </sheetData>
      <sheetData sheetId="1569">
        <row r="1">
          <cell r="B1" t="str">
            <v>220 kV SUB-STATION</v>
          </cell>
        </row>
      </sheetData>
      <sheetData sheetId="1570">
        <row r="1">
          <cell r="B1" t="str">
            <v>220 kV SUB-STATION</v>
          </cell>
        </row>
      </sheetData>
      <sheetData sheetId="1571">
        <row r="1">
          <cell r="B1" t="str">
            <v>220 kV SUB-STATION</v>
          </cell>
        </row>
      </sheetData>
      <sheetData sheetId="1572">
        <row r="1">
          <cell r="B1" t="str">
            <v>220 kV SUB-STATION</v>
          </cell>
        </row>
      </sheetData>
      <sheetData sheetId="1573">
        <row r="1">
          <cell r="B1" t="str">
            <v>220 kV SUB-STATION</v>
          </cell>
        </row>
      </sheetData>
      <sheetData sheetId="1574">
        <row r="1">
          <cell r="B1" t="str">
            <v>220 kV SUB-STATION</v>
          </cell>
        </row>
      </sheetData>
      <sheetData sheetId="1575">
        <row r="1">
          <cell r="B1" t="str">
            <v>220 kV SUB-STATION</v>
          </cell>
        </row>
      </sheetData>
      <sheetData sheetId="1576">
        <row r="1">
          <cell r="B1" t="str">
            <v>220 kV SUB-STATION</v>
          </cell>
        </row>
      </sheetData>
      <sheetData sheetId="1577">
        <row r="1">
          <cell r="B1" t="str">
            <v>220 kV SUB-STATION</v>
          </cell>
        </row>
      </sheetData>
      <sheetData sheetId="1578">
        <row r="1">
          <cell r="B1" t="str">
            <v>220 kV SUB-STATION</v>
          </cell>
        </row>
      </sheetData>
      <sheetData sheetId="1579">
        <row r="1">
          <cell r="B1" t="str">
            <v>220 kV SUB-STATION</v>
          </cell>
        </row>
      </sheetData>
      <sheetData sheetId="1580">
        <row r="1">
          <cell r="B1" t="str">
            <v>220 kV SUB-STATION</v>
          </cell>
        </row>
      </sheetData>
      <sheetData sheetId="1581">
        <row r="1">
          <cell r="B1" t="str">
            <v>220 kV SUB-STATION</v>
          </cell>
        </row>
      </sheetData>
      <sheetData sheetId="1582">
        <row r="1">
          <cell r="B1" t="str">
            <v>220 kV SUB-STATION</v>
          </cell>
        </row>
      </sheetData>
      <sheetData sheetId="1583">
        <row r="1">
          <cell r="B1" t="str">
            <v>220 kV SUB-STATION</v>
          </cell>
        </row>
      </sheetData>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ow r="1">
          <cell r="B1" t="str">
            <v>220 kV SUB-STATION</v>
          </cell>
        </row>
      </sheetData>
      <sheetData sheetId="1595">
        <row r="1">
          <cell r="B1" t="str">
            <v>220 kV SUB-STATION</v>
          </cell>
        </row>
      </sheetData>
      <sheetData sheetId="1596">
        <row r="1">
          <cell r="B1" t="str">
            <v>220 kV SUB-STATION</v>
          </cell>
        </row>
      </sheetData>
      <sheetData sheetId="1597">
        <row r="1">
          <cell r="B1" t="str">
            <v>220 kV SUB-STATION</v>
          </cell>
        </row>
      </sheetData>
      <sheetData sheetId="1598">
        <row r="1">
          <cell r="B1" t="str">
            <v>220 kV SUB-STATION</v>
          </cell>
        </row>
      </sheetData>
      <sheetData sheetId="1599">
        <row r="1">
          <cell r="B1" t="str">
            <v>220 kV SUB-STATION</v>
          </cell>
        </row>
      </sheetData>
      <sheetData sheetId="1600">
        <row r="1">
          <cell r="B1" t="str">
            <v>220 kV SUB-STATION</v>
          </cell>
        </row>
      </sheetData>
      <sheetData sheetId="1601">
        <row r="1">
          <cell r="B1" t="str">
            <v>220 kV SUB-STATION</v>
          </cell>
        </row>
      </sheetData>
      <sheetData sheetId="1602">
        <row r="1">
          <cell r="B1" t="str">
            <v>220 kV SUB-STATION</v>
          </cell>
        </row>
      </sheetData>
      <sheetData sheetId="1603">
        <row r="1">
          <cell r="B1" t="str">
            <v>220 kV SUB-STATION</v>
          </cell>
        </row>
      </sheetData>
      <sheetData sheetId="1604">
        <row r="1">
          <cell r="B1" t="str">
            <v>220 kV SUB-STATION</v>
          </cell>
        </row>
      </sheetData>
      <sheetData sheetId="1605">
        <row r="1">
          <cell r="B1" t="str">
            <v>220 kV SUB-STATION</v>
          </cell>
        </row>
      </sheetData>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refreshError="1"/>
      <sheetData sheetId="1644"/>
      <sheetData sheetId="1645"/>
      <sheetData sheetId="1646"/>
      <sheetData sheetId="1647">
        <row r="1">
          <cell r="B1" t="str">
            <v>220 kV SUB-STATION</v>
          </cell>
        </row>
      </sheetData>
      <sheetData sheetId="1648"/>
      <sheetData sheetId="1649"/>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sheetData sheetId="1696"/>
      <sheetData sheetId="1697"/>
      <sheetData sheetId="1698"/>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ow r="1">
          <cell r="B1" t="str">
            <v>220 kV SUB-STATION</v>
          </cell>
        </row>
      </sheetData>
      <sheetData sheetId="1843">
        <row r="1">
          <cell r="B1" t="str">
            <v>220 kV SUB-STATION</v>
          </cell>
        </row>
      </sheetData>
      <sheetData sheetId="1844">
        <row r="1">
          <cell r="B1" t="str">
            <v>220 kV SUB-STATION</v>
          </cell>
        </row>
      </sheetData>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row r="1">
          <cell r="B1" t="str">
            <v>220 kV SUB-STATION</v>
          </cell>
        </row>
      </sheetData>
      <sheetData sheetId="1861">
        <row r="1">
          <cell r="B1" t="str">
            <v>220 kV SUB-STATION</v>
          </cell>
        </row>
      </sheetData>
      <sheetData sheetId="1862">
        <row r="1">
          <cell r="B1" t="str">
            <v>220 kV SUB-STATION</v>
          </cell>
        </row>
      </sheetData>
      <sheetData sheetId="1863">
        <row r="1">
          <cell r="B1" t="str">
            <v>220 kV SUB-STATION</v>
          </cell>
        </row>
      </sheetData>
      <sheetData sheetId="1864">
        <row r="1">
          <cell r="B1" t="str">
            <v>220 kV SUB-STATION</v>
          </cell>
        </row>
      </sheetData>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ow r="1">
          <cell r="B1" t="str">
            <v>220 kV SUB-STATION</v>
          </cell>
        </row>
      </sheetData>
      <sheetData sheetId="1882">
        <row r="1">
          <cell r="B1" t="str">
            <v>220 kV SUB-STATION</v>
          </cell>
        </row>
      </sheetData>
      <sheetData sheetId="1883">
        <row r="1">
          <cell r="B1" t="str">
            <v>220 kV SUB-STATION</v>
          </cell>
        </row>
      </sheetData>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row r="1">
          <cell r="B1" t="str">
            <v>220 kV SUB-STATION</v>
          </cell>
        </row>
      </sheetData>
      <sheetData sheetId="1889">
        <row r="1">
          <cell r="B1" t="str">
            <v>220 kV SUB-STATION</v>
          </cell>
        </row>
      </sheetData>
      <sheetData sheetId="1890">
        <row r="1">
          <cell r="B1" t="str">
            <v>220 kV SUB-STATION</v>
          </cell>
        </row>
      </sheetData>
      <sheetData sheetId="1891" refreshError="1"/>
      <sheetData sheetId="1892">
        <row r="1">
          <cell r="B1" t="str">
            <v>220 kV SUB-STATION</v>
          </cell>
        </row>
      </sheetData>
      <sheetData sheetId="1893">
        <row r="1">
          <cell r="B1" t="str">
            <v>220 kV SUB-STATION</v>
          </cell>
        </row>
      </sheetData>
      <sheetData sheetId="1894">
        <row r="1">
          <cell r="B1" t="str">
            <v>220 kV SUB-STATION</v>
          </cell>
        </row>
      </sheetData>
      <sheetData sheetId="1895">
        <row r="1">
          <cell r="B1" t="str">
            <v>220 kV SUB-STATION</v>
          </cell>
        </row>
      </sheetData>
      <sheetData sheetId="1896"/>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efreshError="1"/>
      <sheetData sheetId="1904" refreshError="1"/>
      <sheetData sheetId="1905" refreshError="1"/>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sheetData sheetId="1917" refreshError="1"/>
      <sheetData sheetId="1918" refreshError="1"/>
      <sheetData sheetId="1919" refreshError="1"/>
      <sheetData sheetId="1920" refreshError="1"/>
      <sheetData sheetId="1921" refreshError="1"/>
      <sheetData sheetId="1922" refreshError="1"/>
      <sheetData sheetId="1923"/>
      <sheetData sheetId="1924" refreshError="1"/>
      <sheetData sheetId="1925" refreshError="1"/>
      <sheetData sheetId="1926" refreshError="1"/>
      <sheetData sheetId="1927" refreshError="1"/>
      <sheetData sheetId="1928">
        <row r="1">
          <cell r="B1" t="str">
            <v>220 kV SUB-STATION</v>
          </cell>
        </row>
      </sheetData>
      <sheetData sheetId="1929"/>
      <sheetData sheetId="1930"/>
      <sheetData sheetId="1931"/>
      <sheetData sheetId="1932"/>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ow r="1">
          <cell r="B1" t="str">
            <v>220 kV SUB-STATION</v>
          </cell>
        </row>
      </sheetData>
      <sheetData sheetId="1949">
        <row r="1">
          <cell r="B1" t="str">
            <v>220 kV SUB-STATION</v>
          </cell>
        </row>
      </sheetData>
      <sheetData sheetId="1950">
        <row r="1">
          <cell r="B1" t="str">
            <v>220 kV SUB-STATION</v>
          </cell>
        </row>
      </sheetData>
      <sheetData sheetId="1951">
        <row r="1">
          <cell r="B1" t="str">
            <v>220 kV SUB-STATION</v>
          </cell>
        </row>
      </sheetData>
      <sheetData sheetId="1952">
        <row r="1">
          <cell r="B1" t="str">
            <v>220 kV SUB-STATION</v>
          </cell>
        </row>
      </sheetData>
      <sheetData sheetId="1953">
        <row r="1">
          <cell r="B1" t="str">
            <v>220 kV SUB-STATION</v>
          </cell>
        </row>
      </sheetData>
      <sheetData sheetId="1954">
        <row r="1">
          <cell r="B1" t="str">
            <v>220 kV SUB-STATION</v>
          </cell>
        </row>
      </sheetData>
      <sheetData sheetId="1955">
        <row r="1">
          <cell r="B1" t="str">
            <v>220 kV SUB-STATION</v>
          </cell>
        </row>
      </sheetData>
      <sheetData sheetId="1956">
        <row r="1">
          <cell r="B1" t="str">
            <v>220 kV SUB-STATION</v>
          </cell>
        </row>
      </sheetData>
      <sheetData sheetId="1957">
        <row r="1">
          <cell r="B1" t="str">
            <v>220 kV SUB-STATION</v>
          </cell>
        </row>
      </sheetData>
      <sheetData sheetId="1958">
        <row r="1">
          <cell r="B1" t="str">
            <v>220 kV SUB-STATION</v>
          </cell>
        </row>
      </sheetData>
      <sheetData sheetId="1959">
        <row r="1">
          <cell r="B1" t="str">
            <v>220 kV SUB-STATION</v>
          </cell>
        </row>
      </sheetData>
      <sheetData sheetId="1960">
        <row r="1">
          <cell r="B1" t="str">
            <v>220 kV SUB-STATION</v>
          </cell>
        </row>
      </sheetData>
      <sheetData sheetId="1961">
        <row r="1">
          <cell r="B1" t="str">
            <v>220 kV SUB-STATION</v>
          </cell>
        </row>
      </sheetData>
      <sheetData sheetId="1962">
        <row r="1">
          <cell r="B1" t="str">
            <v>220 kV SUB-STATION</v>
          </cell>
        </row>
      </sheetData>
      <sheetData sheetId="1963">
        <row r="1">
          <cell r="B1" t="str">
            <v>220 kV SUB-STATION</v>
          </cell>
        </row>
      </sheetData>
      <sheetData sheetId="1964">
        <row r="1">
          <cell r="B1" t="str">
            <v>220 kV SUB-STATION</v>
          </cell>
        </row>
      </sheetData>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sheetData sheetId="2045"/>
      <sheetData sheetId="2046"/>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sheetData sheetId="2060"/>
      <sheetData sheetId="2061"/>
      <sheetData sheetId="2062" refreshError="1"/>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refreshError="1"/>
      <sheetData sheetId="2193" refreshError="1"/>
      <sheetData sheetId="2194" refreshError="1"/>
      <sheetData sheetId="2195" refreshError="1"/>
      <sheetData sheetId="2196" refreshError="1"/>
      <sheetData sheetId="2197" refreshError="1"/>
      <sheetData sheetId="2198"/>
      <sheetData sheetId="2199"/>
      <sheetData sheetId="2200"/>
      <sheetData sheetId="2201" refreshError="1"/>
      <sheetData sheetId="2202" refreshError="1"/>
      <sheetData sheetId="2203" refreshError="1"/>
      <sheetData sheetId="2204"/>
      <sheetData sheetId="2205"/>
      <sheetData sheetId="2206">
        <row r="1">
          <cell r="B1" t="str">
            <v>220 kV SUB-STATION</v>
          </cell>
        </row>
      </sheetData>
      <sheetData sheetId="2207">
        <row r="1">
          <cell r="B1" t="str">
            <v>220 kV SUB-STATION</v>
          </cell>
        </row>
      </sheetData>
      <sheetData sheetId="2208">
        <row r="1">
          <cell r="B1" t="str">
            <v>220 kV SUB-STATION</v>
          </cell>
        </row>
      </sheetData>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refreshError="1"/>
      <sheetData sheetId="223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sheetData sheetId="2256"/>
      <sheetData sheetId="2257"/>
      <sheetData sheetId="2258"/>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sheetData sheetId="3565"/>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sheetData sheetId="3597"/>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sheetData sheetId="6346"/>
      <sheetData sheetId="6347"/>
      <sheetData sheetId="6348" refreshError="1"/>
      <sheetData sheetId="6349" refreshError="1"/>
      <sheetData sheetId="635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 val="Code 02"/>
      <sheetName val="Code 03"/>
      <sheetName val="Code 04"/>
      <sheetName val="Code 05"/>
      <sheetName val="Code 06"/>
      <sheetName val="Code 07"/>
      <sheetName val="Code 09"/>
      <sheetName val="csdim"/>
      <sheetName val="cdsload"/>
      <sheetName val="chsload"/>
      <sheetName val="CLAMP"/>
      <sheetName val="cvsload"/>
      <sheetName val="pipe"/>
      <sheetName val="PBS"/>
      <sheetName val="Cash2"/>
      <sheetName val="Z"/>
      <sheetName val="환산표"/>
      <sheetName val="eq_data"/>
      <sheetName val="간접비내역-1"/>
      <sheetName val="GM_0001"/>
      <sheetName val="GENERAL_SERVICES1"/>
      <sheetName val="GM_0011"/>
      <sheetName val="GM_0111"/>
      <sheetName val="GM_0231"/>
      <sheetName val="GM_0241"/>
      <sheetName val="GM_0251"/>
      <sheetName val="GM_0261"/>
      <sheetName val="GM_0271"/>
      <sheetName val="GM_0281"/>
      <sheetName val="GM_0311"/>
      <sheetName val="GM_0321"/>
      <sheetName val="GM_0411"/>
      <sheetName val="GM_0421"/>
      <sheetName val="GM_0431"/>
      <sheetName val="GM_0441"/>
      <sheetName val="GM_000"/>
      <sheetName val="GENERAL_SERVICES"/>
      <sheetName val="GM_001"/>
      <sheetName val="GM_011"/>
      <sheetName val="GM_023"/>
      <sheetName val="GM_024"/>
      <sheetName val="GM_025"/>
      <sheetName val="GM_026"/>
      <sheetName val="GM_027"/>
      <sheetName val="GM_028"/>
      <sheetName val="GM_031"/>
      <sheetName val="GM_032"/>
      <sheetName val="GM_041"/>
      <sheetName val="GM_042"/>
      <sheetName val="GM_043"/>
      <sheetName val="GM_044"/>
      <sheetName val="노임단가"/>
      <sheetName val="Sheet1"/>
      <sheetName val="자재단가"/>
      <sheetName val="prc_sch"/>
      <sheetName val="36신설수량"/>
      <sheetName val="물가대비표"/>
      <sheetName val="1-1"/>
      <sheetName val="MCI"/>
      <sheetName val="MixBed"/>
      <sheetName val="CondPol"/>
      <sheetName val="GM_0002"/>
      <sheetName val="GENERAL_SERVICES2"/>
      <sheetName val="GM_0012"/>
      <sheetName val="GM_0112"/>
      <sheetName val="GM_0232"/>
      <sheetName val="GM_0242"/>
      <sheetName val="GM_0252"/>
      <sheetName val="GM_0262"/>
      <sheetName val="GM_0272"/>
      <sheetName val="GM_0282"/>
      <sheetName val="GM_0312"/>
      <sheetName val="GM_0322"/>
      <sheetName val="GM_0412"/>
      <sheetName val="GM_0422"/>
      <sheetName val="GM_0432"/>
      <sheetName val="GM_0442"/>
      <sheetName val="Conversions"/>
      <sheetName val="예가표"/>
      <sheetName val="Testing"/>
    </sheetNames>
    <sheetDataSet>
      <sheetData sheetId="0">
        <row r="1">
          <cell r="C1" t="str">
            <v>ERECTION PRICE BREAKDOWN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ow r="1">
          <cell r="C1" t="str">
            <v>ERECTION PRICE BREAKDOWN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5"/>
      <sheetName val="Module4"/>
      <sheetName val="Module3"/>
      <sheetName val="Module7"/>
      <sheetName val="Module6"/>
      <sheetName val="Module8"/>
      <sheetName val="Module9"/>
      <sheetName val="R1"/>
      <sheetName val="R2"/>
      <sheetName val="R3"/>
      <sheetName val="Abstract"/>
      <sheetName val="Module2"/>
      <sheetName val="Module1"/>
      <sheetName val="BOQ"/>
    </sheetNames>
    <sheetDataSet>
      <sheetData sheetId="0"/>
      <sheetData sheetId="1"/>
      <sheetData sheetId="2"/>
      <sheetData sheetId="3"/>
      <sheetData sheetId="4"/>
      <sheetData sheetId="5"/>
      <sheetData sheetId="6"/>
      <sheetData sheetId="7"/>
      <sheetData sheetId="8">
        <row r="5">
          <cell r="C5">
            <v>10974245</v>
          </cell>
        </row>
        <row r="6">
          <cell r="C6">
            <v>0.12</v>
          </cell>
        </row>
        <row r="7">
          <cell r="C7">
            <v>1316910</v>
          </cell>
        </row>
        <row r="9">
          <cell r="C9">
            <v>0</v>
          </cell>
        </row>
        <row r="10">
          <cell r="C10">
            <v>12291155</v>
          </cell>
        </row>
        <row r="11">
          <cell r="C11">
            <v>0.15</v>
          </cell>
        </row>
        <row r="12">
          <cell r="C12">
            <v>2169028</v>
          </cell>
        </row>
        <row r="13">
          <cell r="C13">
            <v>14460183</v>
          </cell>
        </row>
        <row r="14">
          <cell r="C14">
            <v>0</v>
          </cell>
        </row>
        <row r="15">
          <cell r="C15">
            <v>14460183</v>
          </cell>
        </row>
        <row r="16">
          <cell r="C16">
            <v>1.317647182106833</v>
          </cell>
        </row>
        <row r="20">
          <cell r="C20" t="str">
            <v/>
          </cell>
        </row>
        <row r="21">
          <cell r="F21">
            <v>1.35</v>
          </cell>
          <cell r="G21">
            <v>1.7788236958442245</v>
          </cell>
          <cell r="H21">
            <v>254635</v>
          </cell>
          <cell r="I21">
            <v>452950.7717912941</v>
          </cell>
        </row>
        <row r="22">
          <cell r="F22">
            <v>0.95</v>
          </cell>
          <cell r="G22">
            <v>1.2517648230014913</v>
          </cell>
          <cell r="H22">
            <v>2394460</v>
          </cell>
          <cell r="I22">
            <v>2997300.798084151</v>
          </cell>
        </row>
        <row r="23">
          <cell r="F23">
            <v>0.9</v>
          </cell>
          <cell r="G23">
            <v>1.1858824638961496</v>
          </cell>
          <cell r="H23">
            <v>1836232</v>
          </cell>
          <cell r="I23">
            <v>2177555.3284449545</v>
          </cell>
        </row>
        <row r="24">
          <cell r="F24">
            <v>0.9</v>
          </cell>
          <cell r="G24">
            <v>1.1858824638961496</v>
          </cell>
          <cell r="H24">
            <v>761300</v>
          </cell>
          <cell r="I24">
            <v>902812.31976413867</v>
          </cell>
        </row>
        <row r="25">
          <cell r="F25">
            <v>1.1248</v>
          </cell>
          <cell r="G25">
            <v>1.4820895504337657</v>
          </cell>
          <cell r="H25">
            <v>917813</v>
          </cell>
          <cell r="I25">
            <v>1360281.0565522658</v>
          </cell>
        </row>
        <row r="26">
          <cell r="F26">
            <v>1.054</v>
          </cell>
          <cell r="G26">
            <v>1.3888001299406021</v>
          </cell>
          <cell r="H26">
            <v>3255805</v>
          </cell>
          <cell r="I26">
            <v>4521662.4070612621</v>
          </cell>
        </row>
        <row r="27">
          <cell r="F27">
            <v>1</v>
          </cell>
          <cell r="G27">
            <v>1.317647182106833</v>
          </cell>
          <cell r="H27">
            <v>1554000</v>
          </cell>
          <cell r="I27">
            <v>2047623.7209940185</v>
          </cell>
        </row>
        <row r="28">
          <cell r="F28">
            <v>0.78</v>
          </cell>
          <cell r="G28">
            <v>1.0277648020433297</v>
          </cell>
        </row>
        <row r="29">
          <cell r="G29">
            <v>0</v>
          </cell>
        </row>
        <row r="30">
          <cell r="G30">
            <v>0</v>
          </cell>
        </row>
        <row r="31">
          <cell r="G31">
            <v>0</v>
          </cell>
        </row>
        <row r="32">
          <cell r="G32">
            <v>0</v>
          </cell>
        </row>
        <row r="33">
          <cell r="H33">
            <v>10974245</v>
          </cell>
          <cell r="I33">
            <v>14460186.402692083</v>
          </cell>
        </row>
        <row r="39">
          <cell r="C39">
            <v>6</v>
          </cell>
          <cell r="D39">
            <v>2048</v>
          </cell>
          <cell r="F39">
            <v>425</v>
          </cell>
          <cell r="G39">
            <v>870400</v>
          </cell>
          <cell r="H39">
            <v>591</v>
          </cell>
          <cell r="I39">
            <v>1210368</v>
          </cell>
        </row>
        <row r="40">
          <cell r="C40">
            <v>1</v>
          </cell>
          <cell r="D40">
            <v>945</v>
          </cell>
          <cell r="F40">
            <v>126</v>
          </cell>
          <cell r="G40">
            <v>119070</v>
          </cell>
          <cell r="H40">
            <v>225</v>
          </cell>
          <cell r="I40">
            <v>212625</v>
          </cell>
        </row>
        <row r="41">
          <cell r="C41">
            <v>1</v>
          </cell>
          <cell r="D41">
            <v>2048</v>
          </cell>
          <cell r="F41">
            <v>50</v>
          </cell>
          <cell r="G41">
            <v>102400</v>
          </cell>
          <cell r="H41">
            <v>89</v>
          </cell>
          <cell r="I41">
            <v>182272</v>
          </cell>
        </row>
        <row r="42">
          <cell r="C42">
            <v>1</v>
          </cell>
          <cell r="D42">
            <v>99</v>
          </cell>
          <cell r="F42">
            <v>335</v>
          </cell>
          <cell r="G42">
            <v>33165</v>
          </cell>
          <cell r="H42">
            <v>596</v>
          </cell>
          <cell r="I42">
            <v>59004</v>
          </cell>
        </row>
        <row r="43">
          <cell r="C43">
            <v>5</v>
          </cell>
          <cell r="D43">
            <v>830</v>
          </cell>
          <cell r="F43">
            <v>385</v>
          </cell>
          <cell r="G43">
            <v>319550</v>
          </cell>
          <cell r="H43">
            <v>571</v>
          </cell>
          <cell r="I43">
            <v>473930</v>
          </cell>
        </row>
        <row r="44">
          <cell r="C44">
            <v>2</v>
          </cell>
          <cell r="D44">
            <v>85</v>
          </cell>
          <cell r="F44">
            <v>1580</v>
          </cell>
          <cell r="G44">
            <v>134300</v>
          </cell>
          <cell r="H44">
            <v>1978</v>
          </cell>
          <cell r="I44">
            <v>168130</v>
          </cell>
        </row>
        <row r="45">
          <cell r="C45">
            <v>2</v>
          </cell>
          <cell r="D45">
            <v>44</v>
          </cell>
          <cell r="F45">
            <v>1535</v>
          </cell>
          <cell r="G45">
            <v>67540</v>
          </cell>
          <cell r="H45">
            <v>1922</v>
          </cell>
          <cell r="I45">
            <v>84568</v>
          </cell>
        </row>
        <row r="46">
          <cell r="C46">
            <v>2</v>
          </cell>
          <cell r="D46">
            <v>116</v>
          </cell>
          <cell r="F46">
            <v>1800</v>
          </cell>
          <cell r="G46">
            <v>208800</v>
          </cell>
          <cell r="H46">
            <v>2254</v>
          </cell>
          <cell r="I46">
            <v>261464</v>
          </cell>
        </row>
        <row r="47">
          <cell r="C47">
            <v>2</v>
          </cell>
          <cell r="D47">
            <v>786</v>
          </cell>
          <cell r="F47">
            <v>1870</v>
          </cell>
          <cell r="G47">
            <v>1469820</v>
          </cell>
          <cell r="H47">
            <v>2341</v>
          </cell>
          <cell r="I47">
            <v>1840026</v>
          </cell>
        </row>
        <row r="48">
          <cell r="C48">
            <v>2</v>
          </cell>
          <cell r="D48">
            <v>220</v>
          </cell>
          <cell r="F48">
            <v>2300</v>
          </cell>
          <cell r="G48">
            <v>506000</v>
          </cell>
          <cell r="H48">
            <v>2880</v>
          </cell>
          <cell r="I48">
            <v>633600</v>
          </cell>
        </row>
        <row r="49">
          <cell r="C49">
            <v>4</v>
          </cell>
          <cell r="D49">
            <v>4336</v>
          </cell>
          <cell r="F49">
            <v>175</v>
          </cell>
          <cell r="G49">
            <v>758800</v>
          </cell>
          <cell r="H49">
            <v>208</v>
          </cell>
          <cell r="I49">
            <v>901888</v>
          </cell>
        </row>
        <row r="50">
          <cell r="C50">
            <v>3</v>
          </cell>
          <cell r="D50">
            <v>83.9</v>
          </cell>
          <cell r="F50">
            <v>21710</v>
          </cell>
          <cell r="G50">
            <v>1821469</v>
          </cell>
          <cell r="H50">
            <v>25746</v>
          </cell>
          <cell r="I50">
            <v>2160089.4000000004</v>
          </cell>
        </row>
        <row r="51">
          <cell r="C51">
            <v>3</v>
          </cell>
          <cell r="D51">
            <v>0.68</v>
          </cell>
          <cell r="F51">
            <v>21710</v>
          </cell>
          <cell r="G51">
            <v>14763</v>
          </cell>
          <cell r="H51">
            <v>25746</v>
          </cell>
          <cell r="I51">
            <v>17507.280000000002</v>
          </cell>
        </row>
        <row r="52">
          <cell r="C52">
            <v>8</v>
          </cell>
          <cell r="D52">
            <v>29.5</v>
          </cell>
          <cell r="F52">
            <v>65800</v>
          </cell>
          <cell r="G52">
            <v>1941100</v>
          </cell>
          <cell r="H52">
            <v>67627</v>
          </cell>
          <cell r="I52">
            <v>1994996.5</v>
          </cell>
        </row>
        <row r="53">
          <cell r="C53">
            <v>7</v>
          </cell>
          <cell r="D53">
            <v>44.4</v>
          </cell>
          <cell r="F53">
            <v>35000</v>
          </cell>
          <cell r="G53">
            <v>1554000</v>
          </cell>
          <cell r="H53">
            <v>46118</v>
          </cell>
          <cell r="I53">
            <v>2047639.2</v>
          </cell>
        </row>
        <row r="54">
          <cell r="C54">
            <v>5</v>
          </cell>
          <cell r="D54">
            <v>1</v>
          </cell>
          <cell r="F54">
            <v>30000</v>
          </cell>
          <cell r="G54">
            <v>30000</v>
          </cell>
          <cell r="H54">
            <v>44463</v>
          </cell>
          <cell r="I54">
            <v>44463</v>
          </cell>
        </row>
        <row r="55">
          <cell r="C55">
            <v>5</v>
          </cell>
          <cell r="D55">
            <v>182</v>
          </cell>
          <cell r="F55">
            <v>1000</v>
          </cell>
          <cell r="G55">
            <v>182000</v>
          </cell>
          <cell r="H55">
            <v>1483</v>
          </cell>
          <cell r="I55">
            <v>269906</v>
          </cell>
        </row>
        <row r="56">
          <cell r="C56">
            <v>5</v>
          </cell>
          <cell r="D56">
            <v>31</v>
          </cell>
          <cell r="F56">
            <v>1600</v>
          </cell>
          <cell r="G56">
            <v>49600</v>
          </cell>
          <cell r="H56">
            <v>2372</v>
          </cell>
          <cell r="I56">
            <v>73532</v>
          </cell>
        </row>
        <row r="57">
          <cell r="C57">
            <v>5</v>
          </cell>
          <cell r="D57">
            <v>1629</v>
          </cell>
          <cell r="F57">
            <v>52</v>
          </cell>
          <cell r="G57">
            <v>84708</v>
          </cell>
          <cell r="H57">
            <v>78</v>
          </cell>
          <cell r="I57">
            <v>127062</v>
          </cell>
        </row>
        <row r="58">
          <cell r="C58">
            <v>5</v>
          </cell>
          <cell r="D58">
            <v>935</v>
          </cell>
          <cell r="F58">
            <v>67</v>
          </cell>
          <cell r="G58">
            <v>62645</v>
          </cell>
          <cell r="H58">
            <v>100</v>
          </cell>
          <cell r="I58">
            <v>93500</v>
          </cell>
        </row>
        <row r="59">
          <cell r="C59">
            <v>6</v>
          </cell>
          <cell r="D59">
            <v>1729</v>
          </cell>
          <cell r="F59">
            <v>50</v>
          </cell>
          <cell r="G59">
            <v>86450</v>
          </cell>
          <cell r="H59">
            <v>70</v>
          </cell>
          <cell r="I59">
            <v>121030</v>
          </cell>
        </row>
        <row r="60">
          <cell r="C60">
            <v>6</v>
          </cell>
          <cell r="D60">
            <v>859</v>
          </cell>
          <cell r="F60">
            <v>40</v>
          </cell>
          <cell r="G60">
            <v>34360</v>
          </cell>
          <cell r="H60">
            <v>56</v>
          </cell>
          <cell r="I60">
            <v>48104</v>
          </cell>
        </row>
        <row r="61">
          <cell r="C61">
            <v>6</v>
          </cell>
          <cell r="D61">
            <v>10</v>
          </cell>
          <cell r="F61">
            <v>2000</v>
          </cell>
          <cell r="G61">
            <v>20000</v>
          </cell>
          <cell r="H61">
            <v>2778</v>
          </cell>
          <cell r="I61">
            <v>27780</v>
          </cell>
        </row>
        <row r="62">
          <cell r="C62">
            <v>5</v>
          </cell>
          <cell r="D62">
            <v>238</v>
          </cell>
          <cell r="F62">
            <v>220</v>
          </cell>
          <cell r="G62">
            <v>52360</v>
          </cell>
          <cell r="H62">
            <v>327</v>
          </cell>
          <cell r="I62">
            <v>77826</v>
          </cell>
        </row>
        <row r="63">
          <cell r="C63">
            <v>6</v>
          </cell>
          <cell r="D63">
            <v>1190</v>
          </cell>
          <cell r="F63">
            <v>450</v>
          </cell>
          <cell r="G63">
            <v>535500</v>
          </cell>
          <cell r="H63">
            <v>625</v>
          </cell>
          <cell r="I63">
            <v>743750</v>
          </cell>
        </row>
        <row r="64">
          <cell r="C64">
            <v>6</v>
          </cell>
          <cell r="D64">
            <v>78</v>
          </cell>
          <cell r="F64">
            <v>350</v>
          </cell>
          <cell r="G64">
            <v>27300</v>
          </cell>
          <cell r="H64">
            <v>487</v>
          </cell>
          <cell r="I64">
            <v>37986</v>
          </cell>
        </row>
        <row r="65">
          <cell r="C65">
            <v>6</v>
          </cell>
          <cell r="D65">
            <v>250</v>
          </cell>
          <cell r="F65">
            <v>3300</v>
          </cell>
          <cell r="G65">
            <v>825000</v>
          </cell>
          <cell r="H65">
            <v>4584</v>
          </cell>
          <cell r="I65">
            <v>1146000</v>
          </cell>
        </row>
        <row r="66">
          <cell r="C66">
            <v>6</v>
          </cell>
          <cell r="D66">
            <v>31</v>
          </cell>
          <cell r="F66">
            <v>4500</v>
          </cell>
          <cell r="G66">
            <v>139500</v>
          </cell>
          <cell r="H66">
            <v>6250</v>
          </cell>
          <cell r="I66">
            <v>193750</v>
          </cell>
        </row>
        <row r="67">
          <cell r="C67">
            <v>6</v>
          </cell>
          <cell r="D67">
            <v>68</v>
          </cell>
          <cell r="F67">
            <v>2200</v>
          </cell>
          <cell r="G67">
            <v>149600</v>
          </cell>
          <cell r="H67">
            <v>3056</v>
          </cell>
          <cell r="I67">
            <v>207808</v>
          </cell>
        </row>
        <row r="68">
          <cell r="C68">
            <v>6</v>
          </cell>
          <cell r="D68">
            <v>27</v>
          </cell>
          <cell r="F68">
            <v>3000</v>
          </cell>
          <cell r="G68">
            <v>81000</v>
          </cell>
          <cell r="H68">
            <v>4167</v>
          </cell>
          <cell r="I68">
            <v>112509</v>
          </cell>
        </row>
        <row r="69">
          <cell r="C69">
            <v>6</v>
          </cell>
          <cell r="D69">
            <v>88</v>
          </cell>
          <cell r="F69">
            <v>400</v>
          </cell>
          <cell r="G69">
            <v>35200</v>
          </cell>
          <cell r="H69">
            <v>556</v>
          </cell>
          <cell r="I69">
            <v>48928</v>
          </cell>
        </row>
        <row r="70">
          <cell r="C70">
            <v>5</v>
          </cell>
          <cell r="D70">
            <v>153</v>
          </cell>
          <cell r="F70">
            <v>250</v>
          </cell>
          <cell r="G70">
            <v>38250</v>
          </cell>
          <cell r="H70">
            <v>371</v>
          </cell>
          <cell r="I70">
            <v>56763</v>
          </cell>
        </row>
        <row r="71">
          <cell r="C71">
            <v>6</v>
          </cell>
          <cell r="D71">
            <v>306</v>
          </cell>
          <cell r="F71">
            <v>205</v>
          </cell>
          <cell r="G71">
            <v>62730</v>
          </cell>
          <cell r="H71">
            <v>285</v>
          </cell>
          <cell r="I71">
            <v>87210</v>
          </cell>
        </row>
        <row r="72">
          <cell r="C72">
            <v>6</v>
          </cell>
          <cell r="D72">
            <v>298</v>
          </cell>
          <cell r="F72">
            <v>400</v>
          </cell>
          <cell r="G72">
            <v>119200</v>
          </cell>
          <cell r="H72">
            <v>556</v>
          </cell>
          <cell r="I72">
            <v>165688</v>
          </cell>
        </row>
        <row r="73">
          <cell r="C73">
            <v>6</v>
          </cell>
          <cell r="D73">
            <v>34</v>
          </cell>
          <cell r="F73">
            <v>400</v>
          </cell>
          <cell r="G73">
            <v>13600</v>
          </cell>
          <cell r="H73">
            <v>556</v>
          </cell>
          <cell r="I73">
            <v>18904</v>
          </cell>
        </row>
        <row r="74">
          <cell r="C74">
            <v>6</v>
          </cell>
          <cell r="D74">
            <v>61</v>
          </cell>
          <cell r="F74">
            <v>65</v>
          </cell>
          <cell r="G74">
            <v>3965</v>
          </cell>
          <cell r="H74">
            <v>91</v>
          </cell>
          <cell r="I74">
            <v>5551</v>
          </cell>
        </row>
        <row r="75">
          <cell r="C75">
            <v>6</v>
          </cell>
          <cell r="D75">
            <v>68</v>
          </cell>
          <cell r="F75">
            <v>500</v>
          </cell>
          <cell r="G75">
            <v>34000</v>
          </cell>
          <cell r="H75">
            <v>695</v>
          </cell>
          <cell r="I75">
            <v>47260</v>
          </cell>
        </row>
        <row r="76">
          <cell r="C76">
            <v>6</v>
          </cell>
          <cell r="D76">
            <v>1</v>
          </cell>
          <cell r="F76">
            <v>200000</v>
          </cell>
          <cell r="G76">
            <v>200000</v>
          </cell>
          <cell r="H76">
            <v>277761</v>
          </cell>
          <cell r="I76">
            <v>277761</v>
          </cell>
        </row>
        <row r="77">
          <cell r="C77">
            <v>8</v>
          </cell>
          <cell r="D77">
            <v>1</v>
          </cell>
          <cell r="F77">
            <v>0</v>
          </cell>
          <cell r="G77">
            <v>0</v>
          </cell>
          <cell r="H77">
            <v>0</v>
          </cell>
          <cell r="I77">
            <v>0</v>
          </cell>
        </row>
        <row r="78">
          <cell r="C78">
            <v>8</v>
          </cell>
          <cell r="D78">
            <v>1</v>
          </cell>
          <cell r="F78">
            <v>96500</v>
          </cell>
          <cell r="G78">
            <v>96500</v>
          </cell>
          <cell r="H78">
            <v>99180</v>
          </cell>
          <cell r="I78">
            <v>99180</v>
          </cell>
        </row>
        <row r="79">
          <cell r="C79">
            <v>8</v>
          </cell>
          <cell r="D79">
            <v>244</v>
          </cell>
          <cell r="F79">
            <v>0</v>
          </cell>
          <cell r="G79">
            <v>0</v>
          </cell>
          <cell r="H79">
            <v>0</v>
          </cell>
          <cell r="I79">
            <v>0</v>
          </cell>
        </row>
        <row r="80">
          <cell r="C80">
            <v>8</v>
          </cell>
          <cell r="D80">
            <v>244</v>
          </cell>
          <cell r="F80">
            <v>0</v>
          </cell>
          <cell r="G80">
            <v>0</v>
          </cell>
          <cell r="H80">
            <v>0</v>
          </cell>
          <cell r="I80">
            <v>0</v>
          </cell>
        </row>
        <row r="81">
          <cell r="C81">
            <v>5</v>
          </cell>
          <cell r="D81">
            <v>88</v>
          </cell>
          <cell r="F81">
            <v>350</v>
          </cell>
          <cell r="G81">
            <v>30800</v>
          </cell>
          <cell r="H81">
            <v>519</v>
          </cell>
          <cell r="I81">
            <v>45672</v>
          </cell>
        </row>
        <row r="82">
          <cell r="C82">
            <v>5</v>
          </cell>
          <cell r="D82">
            <v>97</v>
          </cell>
          <cell r="F82">
            <v>250</v>
          </cell>
          <cell r="G82">
            <v>24250</v>
          </cell>
          <cell r="H82">
            <v>371</v>
          </cell>
          <cell r="I82">
            <v>35987</v>
          </cell>
        </row>
        <row r="83">
          <cell r="C83">
            <v>5</v>
          </cell>
          <cell r="D83">
            <v>97</v>
          </cell>
          <cell r="F83">
            <v>450</v>
          </cell>
          <cell r="G83">
            <v>43650</v>
          </cell>
          <cell r="H83">
            <v>667</v>
          </cell>
          <cell r="I83">
            <v>64699</v>
          </cell>
        </row>
        <row r="84">
          <cell r="C84">
            <v>2</v>
          </cell>
          <cell r="D84">
            <v>2</v>
          </cell>
          <cell r="F84">
            <v>4000</v>
          </cell>
          <cell r="G84">
            <v>8000</v>
          </cell>
          <cell r="H84">
            <v>5008</v>
          </cell>
          <cell r="I84">
            <v>10016</v>
          </cell>
        </row>
        <row r="85">
          <cell r="C85">
            <v>4</v>
          </cell>
          <cell r="D85">
            <v>20</v>
          </cell>
          <cell r="F85">
            <v>125</v>
          </cell>
          <cell r="G85">
            <v>2500</v>
          </cell>
          <cell r="H85">
            <v>149</v>
          </cell>
          <cell r="I85">
            <v>2980</v>
          </cell>
        </row>
        <row r="86">
          <cell r="C86">
            <v>6</v>
          </cell>
          <cell r="D86">
            <v>40</v>
          </cell>
          <cell r="F86">
            <v>450</v>
          </cell>
          <cell r="G86">
            <v>18000</v>
          </cell>
          <cell r="H86">
            <v>625</v>
          </cell>
          <cell r="I86">
            <v>25000</v>
          </cell>
        </row>
        <row r="87">
          <cell r="G87">
            <v>10974245</v>
          </cell>
        </row>
      </sheetData>
      <sheetData sheetId="9"/>
      <sheetData sheetId="10"/>
      <sheetData sheetId="11"/>
      <sheetData sheetId="12"/>
      <sheetData sheetId="1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AULICS"/>
      <sheetName val="PARAMETER"/>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PROCTOR"/>
      <sheetName val="Census_of_India_2001"/>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gen"/>
      <sheetName val="R2"/>
      <sheetName val="Sheet2"/>
      <sheetName val="basdat"/>
      <sheetName val="Material "/>
      <sheetName val="Labour &amp; Plant"/>
    </sheetNames>
    <sheetDataSet>
      <sheetData sheetId="0" refreshError="1">
        <row r="2">
          <cell r="H2">
            <v>11900</v>
          </cell>
        </row>
      </sheetData>
      <sheetData sheetId="1">
        <row r="2">
          <cell r="H2">
            <v>11900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DETAILED"/>
      <sheetName val="PARAMETER"/>
      <sheetName val="HYDRAULICS"/>
      <sheetName val="SLAB"/>
      <sheetName val="ABUTMENT"/>
      <sheetName val="WINGWALL"/>
      <sheetName val="BAR-BEND"/>
      <sheetName val="STAAD DRAWING "/>
      <sheetName val="Cost of O &amp; O"/>
      <sheetName val="Pier Design(with offset)"/>
      <sheetName val="STAAD_DRAWING_"/>
      <sheetName val="STAAD_DRAWING_1"/>
      <sheetName val="STAAD_DRAWING_2"/>
      <sheetName val="STAAD_DRAWING_3"/>
      <sheetName val="gen"/>
      <sheetName val="basdat"/>
      <sheetName val="B"/>
      <sheetName val="A"/>
      <sheetName val="Deg_Sluice"/>
      <sheetName val="Sheet4"/>
      <sheetName val="Ave.wtd.rates"/>
      <sheetName val="Analysis-NH-Roads"/>
      <sheetName val="Analysis-NH-Bridges"/>
      <sheetName val=" AnalysisPCC"/>
      <sheetName val="Analysis-NH-Culverts"/>
      <sheetName val="Analysis-NH-Drains &amp; Misc"/>
      <sheetName val="P-Ins &amp; Bonds"/>
      <sheetName val="發包單價差-車站組鋼筋"/>
      <sheetName val="Below_Earth"/>
      <sheetName val="Values"/>
      <sheetName val="Voucher"/>
      <sheetName val="Data"/>
      <sheetName val="Cal"/>
      <sheetName val="Unit-I"/>
      <sheetName val="Area_Capacity"/>
      <sheetName val="IWR_Rabi_CP1_Barwani_CWR"/>
      <sheetName val="UH"/>
      <sheetName val="Routing"/>
      <sheetName val="CONNEC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제점"/>
      <sheetName val="DCS"/>
      <sheetName val="CMS"/>
      <sheetName val="INSTRUMENT"/>
      <sheetName val="VALVE"/>
      <sheetName val="CABLETRN"/>
      <sheetName val="CBLINJ"/>
      <sheetName val="F.O CABLE TERMI"/>
      <sheetName val="TRAY&amp;LADDER"/>
      <sheetName val="BULK"/>
      <sheetName val="LOCAL INDICATION"/>
      <sheetName val="ANALYSER"/>
      <sheetName val="F&amp;G"/>
      <sheetName val="CABLE"/>
      <sheetName val="ANALYSIS SYS"/>
      <sheetName val="XXXXXX"/>
      <sheetName val="결재용 대비 금액"/>
      <sheetName val="견적대비 시행 "/>
      <sheetName val="FWBS7000,8000"/>
      <sheetName val="비교표"/>
      <sheetName val="MANPOWER"/>
      <sheetName val="CONSUMABLE"/>
      <sheetName val="산출근거"/>
      <sheetName val="TOOL"/>
      <sheetName val="TEST"/>
      <sheetName val="Sheet1"/>
      <sheetName val="condition"/>
      <sheetName val="견적근거"/>
      <sheetName val="DCS ESD 3RD FG"/>
      <sheetName val="F&amp;G DETECTOR"/>
      <sheetName val="LOCAL FIELD"/>
      <sheetName val="FO RO VALVE"/>
      <sheetName val="package"/>
      <sheetName val="CABLErev1"/>
      <sheetName val="CABLE TC rev1"/>
      <sheetName val="TUBE"/>
      <sheetName val="TFTG"/>
      <sheetName val="PIPE"/>
      <sheetName val="PFTrev"/>
      <sheetName val="VLVrev1"/>
      <sheetName val="GLDrev1"/>
      <sheetName val="JB"/>
      <sheetName val="TRAY"/>
      <sheetName val="SUPPrev1"/>
      <sheetName val="CABLE TRAY"/>
      <sheetName val="Inputs"/>
      <sheetName val="BD"/>
      <sheetName val="시행금액"/>
      <sheetName val="XZLC004_PART2"/>
      <sheetName val="XZLC003_PART1"/>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CAT_5"/>
      <sheetName val="mech"/>
      <sheetName val="환산표"/>
      <sheetName val="갑지"/>
      <sheetName val="기계내역서"/>
      <sheetName val="Curves"/>
      <sheetName val="Note"/>
      <sheetName val="Heads"/>
      <sheetName val="Dbase"/>
      <sheetName val="Tables"/>
      <sheetName val="Page 2"/>
      <sheetName val="steam table"/>
    </sheetNames>
    <definedNames>
      <definedName name="CLEAR"/>
      <definedName name="モドス"/>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LOCAL RAT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22-MD"/>
      <sheetName val="Preamble"/>
      <sheetName val="Man Power cost"/>
      <sheetName val="Site Infrastructure"/>
      <sheetName val="Site Infra-Unit"/>
      <sheetName val="Prilim"/>
      <sheetName val="Cost of O &amp; O"/>
      <sheetName val="LOCAL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9">
          <cell r="E39">
            <v>39</v>
          </cell>
        </row>
      </sheetData>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八幡"/>
      <sheetName val="重量のみ"/>
      <sheetName val="CAT_5"/>
      <sheetName val="GM 000"/>
      <sheetName val="적용환율"/>
      <sheetName val="A"/>
      <sheetName val="Equipment"/>
      <sheetName val="Piping"/>
      <sheetName val="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cost"/>
      <sheetName val="all"/>
      <sheetName val="Sheet1"/>
      <sheetName val="RPG"/>
      <sheetName val="FINNOR"/>
      <sheetName val="FINOLEX"/>
      <sheetName val="POLYNOR"/>
      <sheetName val="POLYCAB"/>
      <sheetName val="Sheet3"/>
      <sheetName val="pointrate"/>
      <sheetName val="CABLERET"/>
      <sheetName val="boq h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amp;ash"/>
      <sheetName val="mech_rev"/>
      <sheetName val="total"/>
      <sheetName val="indirect_total"/>
      <sheetName val="estm_total"/>
      <sheetName val="boiler"/>
      <sheetName val="indirect_boiler"/>
      <sheetName val="estm_boiler"/>
      <sheetName val="mech"/>
      <sheetName val="indirect_mech"/>
      <sheetName val="estm_mech"/>
      <sheetName val="elect"/>
      <sheetName val="indirect_elect"/>
      <sheetName val="estm_elect"/>
      <sheetName val="八幡"/>
      <sheetName val="SILICATE"/>
      <sheetName val="VIJ Indirect alternatives"/>
      <sheetName val="GM 000"/>
      <sheetName val="csdim"/>
      <sheetName val="cdsload"/>
      <sheetName val="chsload"/>
      <sheetName val="CLAMP"/>
      <sheetName val="cvsload"/>
      <sheetName val="pi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 val="estm_mech"/>
      <sheetName val="八幡"/>
      <sheetName val="GM 000"/>
      <sheetName val="eq_data"/>
      <sheetName val="Testing"/>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 val="data"/>
      <sheetName val="Ag LF"/>
      <sheetName val="C.S.GENERATION"/>
      <sheetName val="Addl.40"/>
      <sheetName val="General"/>
      <sheetName val="agl-pump-sets"/>
      <sheetName val="EG"/>
      <sheetName val="pump-sets(AI)"/>
      <sheetName val="installes-capacity"/>
      <sheetName val="per-capita"/>
      <sheetName val="towns&amp;villages"/>
      <sheetName val="A2-02-03"/>
      <sheetName val="all"/>
      <sheetName val="Executive Summary -Thermal"/>
      <sheetName val="04REL"/>
      <sheetName val="A 3.7"/>
      <sheetName val="1"/>
      <sheetName val="Index Feb 09"/>
      <sheetName val="Data base Feb 09"/>
      <sheetName val="D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대비내역"/>
      <sheetName val="TOEC"/>
      <sheetName val="BLR 1"/>
      <sheetName val="GEN"/>
      <sheetName val="GAS"/>
      <sheetName val="DEAE"/>
      <sheetName val="BLR2"/>
      <sheetName val="BLR3"/>
      <sheetName val="BLR4"/>
      <sheetName val="BLR5"/>
      <sheetName val="DEM"/>
      <sheetName val="SAM"/>
      <sheetName val="CHEM"/>
      <sheetName val="COP"/>
      <sheetName val="dongia (2)"/>
      <sheetName val="Y-WORK"/>
      <sheetName val="estm_mech"/>
      <sheetName val="八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DATA"/>
    </sheetNames>
    <sheetDataSet>
      <sheetData sheetId="0" refreshError="1"/>
      <sheetData sheetId="1"/>
      <sheetData sheetId="2">
        <row r="4">
          <cell r="A4" t="str">
            <v>Months</v>
          </cell>
          <cell r="B4" t="str">
            <v>Total</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row>
        <row r="5">
          <cell r="A5">
            <v>1</v>
          </cell>
          <cell r="B5">
            <v>1</v>
          </cell>
          <cell r="C5">
            <v>1</v>
          </cell>
        </row>
        <row r="6">
          <cell r="A6">
            <v>2</v>
          </cell>
          <cell r="B6">
            <v>1</v>
          </cell>
          <cell r="C6">
            <v>0.5</v>
          </cell>
          <cell r="D6">
            <v>0.5</v>
          </cell>
        </row>
        <row r="7">
          <cell r="A7">
            <v>3</v>
          </cell>
          <cell r="B7">
            <v>1</v>
          </cell>
          <cell r="C7">
            <v>0.27500000000000002</v>
          </cell>
          <cell r="D7">
            <v>0.45</v>
          </cell>
          <cell r="E7">
            <v>0.27499999999999991</v>
          </cell>
        </row>
        <row r="8">
          <cell r="A8">
            <v>4</v>
          </cell>
          <cell r="B8">
            <v>1</v>
          </cell>
          <cell r="C8">
            <v>0.17499999999999999</v>
          </cell>
          <cell r="D8">
            <v>0.34</v>
          </cell>
          <cell r="E8">
            <v>0.32500000000000001</v>
          </cell>
          <cell r="F8">
            <v>0.15999999999999992</v>
          </cell>
        </row>
        <row r="9">
          <cell r="A9">
            <v>5</v>
          </cell>
          <cell r="B9">
            <v>1</v>
          </cell>
          <cell r="C9">
            <v>0.14000000000000001</v>
          </cell>
          <cell r="D9">
            <v>0.22500000000000001</v>
          </cell>
          <cell r="E9">
            <v>0.3</v>
          </cell>
          <cell r="F9">
            <v>0.22500000000000001</v>
          </cell>
          <cell r="G9">
            <v>0.10999999999999999</v>
          </cell>
        </row>
        <row r="10">
          <cell r="A10">
            <v>6</v>
          </cell>
          <cell r="B10">
            <v>1</v>
          </cell>
          <cell r="C10">
            <v>0.1</v>
          </cell>
          <cell r="D10">
            <v>0.18</v>
          </cell>
          <cell r="E10">
            <v>0.23</v>
          </cell>
          <cell r="F10">
            <v>0.23</v>
          </cell>
          <cell r="G10">
            <v>0.18</v>
          </cell>
          <cell r="H10">
            <v>8.0000000000000071E-2</v>
          </cell>
        </row>
        <row r="11">
          <cell r="A11">
            <v>7</v>
          </cell>
          <cell r="B11">
            <v>1</v>
          </cell>
          <cell r="C11">
            <v>7.0000000000000007E-2</v>
          </cell>
          <cell r="D11">
            <v>0.14000000000000001</v>
          </cell>
          <cell r="E11">
            <v>0.2</v>
          </cell>
          <cell r="F11">
            <v>0.2</v>
          </cell>
          <cell r="G11">
            <v>0.2</v>
          </cell>
          <cell r="H11">
            <v>0.12</v>
          </cell>
          <cell r="I11">
            <v>6.9999999999999951E-2</v>
          </cell>
        </row>
        <row r="12">
          <cell r="A12">
            <v>8</v>
          </cell>
          <cell r="B12">
            <v>1</v>
          </cell>
          <cell r="C12">
            <v>6.5000000000000002E-2</v>
          </cell>
          <cell r="D12">
            <v>0.1</v>
          </cell>
          <cell r="E12">
            <v>0.14000000000000001</v>
          </cell>
          <cell r="F12">
            <v>0.19</v>
          </cell>
          <cell r="G12">
            <v>0.19</v>
          </cell>
          <cell r="H12">
            <v>0.19</v>
          </cell>
          <cell r="I12">
            <v>0.08</v>
          </cell>
          <cell r="J12">
            <v>4.500000000000004E-2</v>
          </cell>
        </row>
        <row r="13">
          <cell r="A13">
            <v>9</v>
          </cell>
          <cell r="B13">
            <v>1</v>
          </cell>
          <cell r="C13">
            <v>0.05</v>
          </cell>
          <cell r="D13">
            <v>0.09</v>
          </cell>
          <cell r="E13">
            <v>0.13</v>
          </cell>
          <cell r="F13">
            <v>0.16</v>
          </cell>
          <cell r="G13">
            <v>0.16</v>
          </cell>
          <cell r="H13">
            <v>0.16</v>
          </cell>
          <cell r="I13">
            <v>0.12</v>
          </cell>
          <cell r="J13">
            <v>0.08</v>
          </cell>
          <cell r="K13">
            <v>4.9999999999999933E-2</v>
          </cell>
        </row>
        <row r="14">
          <cell r="A14">
            <v>10</v>
          </cell>
          <cell r="B14">
            <v>1</v>
          </cell>
          <cell r="C14">
            <v>0.05</v>
          </cell>
          <cell r="D14">
            <v>8.5000000000000006E-2</v>
          </cell>
          <cell r="E14">
            <v>0.125</v>
          </cell>
          <cell r="F14">
            <v>0.155</v>
          </cell>
          <cell r="G14">
            <v>0.155</v>
          </cell>
          <cell r="H14">
            <v>0.155</v>
          </cell>
          <cell r="I14">
            <v>0.11</v>
          </cell>
          <cell r="J14">
            <v>7.4999999999999997E-2</v>
          </cell>
          <cell r="K14">
            <v>0.06</v>
          </cell>
          <cell r="L14">
            <v>3.0000000000000027E-2</v>
          </cell>
        </row>
        <row r="15">
          <cell r="A15">
            <v>11</v>
          </cell>
          <cell r="B15">
            <v>1</v>
          </cell>
          <cell r="C15">
            <v>0.04</v>
          </cell>
          <cell r="D15">
            <v>0.06</v>
          </cell>
          <cell r="E15">
            <v>0.09</v>
          </cell>
          <cell r="F15">
            <v>0.12</v>
          </cell>
          <cell r="G15">
            <v>0.13500000000000001</v>
          </cell>
          <cell r="H15">
            <v>0.13500000000000001</v>
          </cell>
          <cell r="I15">
            <v>0.13500000000000001</v>
          </cell>
          <cell r="J15">
            <v>0.13</v>
          </cell>
          <cell r="K15">
            <v>0.08</v>
          </cell>
          <cell r="L15">
            <v>0.05</v>
          </cell>
          <cell r="M15">
            <v>2.4999999999999911E-2</v>
          </cell>
        </row>
        <row r="16">
          <cell r="A16">
            <v>12</v>
          </cell>
          <cell r="B16">
            <v>1</v>
          </cell>
          <cell r="C16">
            <v>1.4999999999999999E-2</v>
          </cell>
          <cell r="D16">
            <v>0.05</v>
          </cell>
          <cell r="E16">
            <v>7.4999999999999997E-2</v>
          </cell>
          <cell r="F16">
            <v>9.5000000000000001E-2</v>
          </cell>
          <cell r="G16">
            <v>0.128</v>
          </cell>
          <cell r="H16">
            <v>0.128</v>
          </cell>
          <cell r="I16">
            <v>0.128</v>
          </cell>
          <cell r="J16">
            <v>0.128</v>
          </cell>
          <cell r="K16">
            <v>0.115</v>
          </cell>
          <cell r="L16">
            <v>0.08</v>
          </cell>
          <cell r="M16">
            <v>0.05</v>
          </cell>
          <cell r="N16">
            <v>8.0000000000000071E-3</v>
          </cell>
        </row>
        <row r="17">
          <cell r="A17">
            <v>13</v>
          </cell>
          <cell r="B17">
            <v>1</v>
          </cell>
          <cell r="C17">
            <v>0.02</v>
          </cell>
          <cell r="D17">
            <v>0.05</v>
          </cell>
          <cell r="E17">
            <v>0.08</v>
          </cell>
          <cell r="F17">
            <v>0.12</v>
          </cell>
          <cell r="G17">
            <v>0.12</v>
          </cell>
          <cell r="H17">
            <v>0.12</v>
          </cell>
          <cell r="I17">
            <v>0.12</v>
          </cell>
          <cell r="J17">
            <v>0.12</v>
          </cell>
          <cell r="K17">
            <v>0.1</v>
          </cell>
          <cell r="L17">
            <v>7.0000000000000007E-2</v>
          </cell>
          <cell r="M17">
            <v>0.05</v>
          </cell>
          <cell r="N17">
            <v>0.02</v>
          </cell>
          <cell r="O17">
            <v>1.0000000000000009E-2</v>
          </cell>
        </row>
        <row r="18">
          <cell r="A18">
            <v>14</v>
          </cell>
          <cell r="B18">
            <v>1</v>
          </cell>
          <cell r="C18">
            <v>2.5000000000000001E-2</v>
          </cell>
          <cell r="D18">
            <v>0.04</v>
          </cell>
          <cell r="E18">
            <v>0.06</v>
          </cell>
          <cell r="F18">
            <v>7.4999999999999997E-2</v>
          </cell>
          <cell r="G18">
            <v>0.11</v>
          </cell>
          <cell r="H18">
            <v>0.11</v>
          </cell>
          <cell r="I18">
            <v>0.11</v>
          </cell>
          <cell r="J18">
            <v>0.11</v>
          </cell>
          <cell r="K18">
            <v>0.11</v>
          </cell>
          <cell r="L18">
            <v>0.08</v>
          </cell>
          <cell r="M18">
            <v>7.0000000000000007E-2</v>
          </cell>
          <cell r="N18">
            <v>0.05</v>
          </cell>
          <cell r="O18">
            <v>0.03</v>
          </cell>
          <cell r="P18">
            <v>2.0000000000000018E-2</v>
          </cell>
        </row>
        <row r="19">
          <cell r="A19">
            <v>15</v>
          </cell>
          <cell r="B19">
            <v>1</v>
          </cell>
          <cell r="C19">
            <v>0.02</v>
          </cell>
          <cell r="D19">
            <v>0.04</v>
          </cell>
          <cell r="E19">
            <v>0.06</v>
          </cell>
          <cell r="F19">
            <v>7.0000000000000007E-2</v>
          </cell>
          <cell r="G19">
            <v>8.5000000000000006E-2</v>
          </cell>
          <cell r="H19">
            <v>0.1</v>
          </cell>
          <cell r="I19">
            <v>0.1</v>
          </cell>
          <cell r="J19">
            <v>0.1</v>
          </cell>
          <cell r="K19">
            <v>0.1</v>
          </cell>
          <cell r="L19">
            <v>0.1</v>
          </cell>
          <cell r="M19">
            <v>0.08</v>
          </cell>
          <cell r="N19">
            <v>0.06</v>
          </cell>
          <cell r="O19">
            <v>4.4999999999999998E-2</v>
          </cell>
          <cell r="P19">
            <v>2.5000000000000001E-2</v>
          </cell>
          <cell r="Q19">
            <v>1.5000000000000124E-2</v>
          </cell>
        </row>
        <row r="20">
          <cell r="A20">
            <v>16</v>
          </cell>
          <cell r="B20">
            <v>1</v>
          </cell>
          <cell r="C20">
            <v>0.02</v>
          </cell>
          <cell r="D20">
            <v>0.03</v>
          </cell>
          <cell r="E20">
            <v>4.4999999999999998E-2</v>
          </cell>
          <cell r="F20">
            <v>6.5000000000000002E-2</v>
          </cell>
          <cell r="G20">
            <v>0.09</v>
          </cell>
          <cell r="H20">
            <v>0.09</v>
          </cell>
          <cell r="I20">
            <v>0.09</v>
          </cell>
          <cell r="J20">
            <v>0.09</v>
          </cell>
          <cell r="K20">
            <v>0.09</v>
          </cell>
          <cell r="L20">
            <v>0.09</v>
          </cell>
          <cell r="M20">
            <v>0.08</v>
          </cell>
          <cell r="N20">
            <v>7.0000000000000007E-2</v>
          </cell>
          <cell r="O20">
            <v>5.5E-2</v>
          </cell>
          <cell r="P20">
            <v>4.4999999999999998E-2</v>
          </cell>
          <cell r="Q20">
            <v>0.03</v>
          </cell>
          <cell r="R20">
            <v>2.0000000000000018E-2</v>
          </cell>
        </row>
        <row r="21">
          <cell r="A21">
            <v>17</v>
          </cell>
          <cell r="B21">
            <v>1</v>
          </cell>
          <cell r="C21">
            <v>2.5000000000000001E-2</v>
          </cell>
          <cell r="D21">
            <v>3.5000000000000003E-2</v>
          </cell>
          <cell r="E21">
            <v>4.4999999999999998E-2</v>
          </cell>
          <cell r="F21">
            <v>0.06</v>
          </cell>
          <cell r="G21">
            <v>7.0000000000000007E-2</v>
          </cell>
          <cell r="H21">
            <v>0.08</v>
          </cell>
          <cell r="I21">
            <v>0.08</v>
          </cell>
          <cell r="J21">
            <v>0.08</v>
          </cell>
          <cell r="K21">
            <v>0.08</v>
          </cell>
          <cell r="L21">
            <v>0.08</v>
          </cell>
          <cell r="M21">
            <v>0.08</v>
          </cell>
          <cell r="N21">
            <v>0.08</v>
          </cell>
          <cell r="O21">
            <v>7.0000000000000007E-2</v>
          </cell>
          <cell r="P21">
            <v>5.5E-2</v>
          </cell>
          <cell r="Q21">
            <v>0.04</v>
          </cell>
          <cell r="R21">
            <v>2.5000000000000001E-2</v>
          </cell>
          <cell r="S21">
            <v>1.4999999999999902E-2</v>
          </cell>
        </row>
        <row r="22">
          <cell r="A22">
            <v>18</v>
          </cell>
          <cell r="B22">
            <v>1</v>
          </cell>
          <cell r="C22">
            <v>0.02</v>
          </cell>
          <cell r="D22">
            <v>0.03</v>
          </cell>
          <cell r="E22">
            <v>0.04</v>
          </cell>
          <cell r="F22">
            <v>0.06</v>
          </cell>
          <cell r="G22">
            <v>7.0000000000000007E-2</v>
          </cell>
          <cell r="H22">
            <v>0.08</v>
          </cell>
          <cell r="I22">
            <v>0.08</v>
          </cell>
          <cell r="J22">
            <v>0.08</v>
          </cell>
          <cell r="K22">
            <v>0.08</v>
          </cell>
          <cell r="L22">
            <v>0.08</v>
          </cell>
          <cell r="M22">
            <v>0.08</v>
          </cell>
          <cell r="N22">
            <v>0.08</v>
          </cell>
          <cell r="O22">
            <v>7.0000000000000007E-2</v>
          </cell>
          <cell r="P22">
            <v>5.5E-2</v>
          </cell>
          <cell r="Q22">
            <v>0.04</v>
          </cell>
          <cell r="R22">
            <v>2.5000000000000001E-2</v>
          </cell>
          <cell r="S22">
            <v>0.02</v>
          </cell>
          <cell r="T22">
            <v>1.0000000000000009E-2</v>
          </cell>
        </row>
        <row r="23">
          <cell r="A23">
            <v>19</v>
          </cell>
          <cell r="B23">
            <v>1</v>
          </cell>
          <cell r="C23">
            <v>1.4999999999999999E-2</v>
          </cell>
          <cell r="D23">
            <v>2.5000000000000001E-2</v>
          </cell>
          <cell r="E23">
            <v>3.5000000000000003E-2</v>
          </cell>
          <cell r="F23">
            <v>5.5E-2</v>
          </cell>
          <cell r="G23">
            <v>6.5000000000000002E-2</v>
          </cell>
          <cell r="H23">
            <v>7.4999999999999997E-2</v>
          </cell>
          <cell r="I23">
            <v>7.4999999999999997E-2</v>
          </cell>
          <cell r="J23">
            <v>7.4999999999999997E-2</v>
          </cell>
          <cell r="K23">
            <v>7.4999999999999997E-2</v>
          </cell>
          <cell r="L23">
            <v>7.4999999999999997E-2</v>
          </cell>
          <cell r="M23">
            <v>7.4999999999999997E-2</v>
          </cell>
          <cell r="N23">
            <v>7.4999999999999997E-2</v>
          </cell>
          <cell r="O23">
            <v>7.4999999999999997E-2</v>
          </cell>
          <cell r="P23">
            <v>0.06</v>
          </cell>
          <cell r="Q23">
            <v>0.05</v>
          </cell>
          <cell r="R23">
            <v>0.04</v>
          </cell>
          <cell r="S23">
            <v>0.03</v>
          </cell>
          <cell r="T23">
            <v>0.02</v>
          </cell>
          <cell r="U23">
            <v>4.9999999999998934E-3</v>
          </cell>
        </row>
        <row r="24">
          <cell r="A24">
            <v>20</v>
          </cell>
          <cell r="B24">
            <v>1</v>
          </cell>
          <cell r="C24">
            <v>1.4999999999999999E-2</v>
          </cell>
          <cell r="D24">
            <v>0.02</v>
          </cell>
          <cell r="E24">
            <v>0.03</v>
          </cell>
          <cell r="F24">
            <v>3.5000000000000003E-2</v>
          </cell>
          <cell r="G24">
            <v>4.4999999999999998E-2</v>
          </cell>
          <cell r="H24">
            <v>5.5E-2</v>
          </cell>
          <cell r="I24">
            <v>7.2999999999999995E-2</v>
          </cell>
          <cell r="J24">
            <v>7.2999999999999995E-2</v>
          </cell>
          <cell r="K24">
            <v>7.2999999999999995E-2</v>
          </cell>
          <cell r="L24">
            <v>7.2999999999999995E-2</v>
          </cell>
          <cell r="M24">
            <v>7.2999999999999995E-2</v>
          </cell>
          <cell r="N24">
            <v>7.2999999999999995E-2</v>
          </cell>
          <cell r="O24">
            <v>7.2999999999999995E-2</v>
          </cell>
          <cell r="P24">
            <v>7.2999999999999995E-2</v>
          </cell>
          <cell r="Q24">
            <v>7.0000000000000007E-2</v>
          </cell>
          <cell r="R24">
            <v>0.06</v>
          </cell>
          <cell r="S24">
            <v>0.04</v>
          </cell>
          <cell r="T24">
            <v>2.5000000000000001E-2</v>
          </cell>
          <cell r="U24">
            <v>1.4999999999999999E-2</v>
          </cell>
          <cell r="V24">
            <v>6.0000000000000053E-3</v>
          </cell>
        </row>
        <row r="25">
          <cell r="A25">
            <v>21</v>
          </cell>
          <cell r="B25">
            <v>1</v>
          </cell>
          <cell r="C25">
            <v>1.4E-2</v>
          </cell>
          <cell r="D25">
            <v>1.7999999999999999E-2</v>
          </cell>
          <cell r="E25">
            <v>2.8000000000000001E-2</v>
          </cell>
          <cell r="F25">
            <v>3.4000000000000002E-2</v>
          </cell>
          <cell r="G25">
            <v>4.3999999999999997E-2</v>
          </cell>
          <cell r="H25">
            <v>5.3999999999999999E-2</v>
          </cell>
          <cell r="I25">
            <v>7.1999999999999995E-2</v>
          </cell>
          <cell r="J25">
            <v>7.1999999999999995E-2</v>
          </cell>
          <cell r="K25">
            <v>7.1999999999999995E-2</v>
          </cell>
          <cell r="L25">
            <v>7.1999999999999995E-2</v>
          </cell>
          <cell r="M25">
            <v>7.1999999999999995E-2</v>
          </cell>
          <cell r="N25">
            <v>7.1999999999999995E-2</v>
          </cell>
          <cell r="O25">
            <v>7.1999999999999995E-2</v>
          </cell>
          <cell r="P25">
            <v>7.1999999999999995E-2</v>
          </cell>
          <cell r="Q25">
            <v>7.0000000000000007E-2</v>
          </cell>
          <cell r="R25">
            <v>5.5E-2</v>
          </cell>
          <cell r="S25">
            <v>4.4999999999999998E-2</v>
          </cell>
          <cell r="T25">
            <v>0.03</v>
          </cell>
          <cell r="U25">
            <v>1.7999999999999999E-2</v>
          </cell>
          <cell r="V25">
            <v>0.01</v>
          </cell>
          <cell r="W25">
            <v>4.0000000000000036E-3</v>
          </cell>
        </row>
        <row r="26">
          <cell r="A26">
            <v>22</v>
          </cell>
          <cell r="B26">
            <v>1</v>
          </cell>
          <cell r="C26">
            <v>1.2999999999999999E-2</v>
          </cell>
          <cell r="D26">
            <v>1.7000000000000001E-2</v>
          </cell>
          <cell r="E26">
            <v>2.7E-2</v>
          </cell>
          <cell r="F26">
            <v>3.3000000000000002E-2</v>
          </cell>
          <cell r="G26">
            <v>4.2999999999999997E-2</v>
          </cell>
          <cell r="H26">
            <v>5.2999999999999999E-2</v>
          </cell>
          <cell r="I26">
            <v>7.0000000000000007E-2</v>
          </cell>
          <cell r="J26">
            <v>7.0000000000000007E-2</v>
          </cell>
          <cell r="K26">
            <v>7.0000000000000007E-2</v>
          </cell>
          <cell r="L26">
            <v>7.0000000000000007E-2</v>
          </cell>
          <cell r="M26">
            <v>7.0000000000000007E-2</v>
          </cell>
          <cell r="N26">
            <v>7.0000000000000007E-2</v>
          </cell>
          <cell r="O26">
            <v>7.0000000000000007E-2</v>
          </cell>
          <cell r="P26">
            <v>7.0000000000000007E-2</v>
          </cell>
          <cell r="Q26">
            <v>7.0000000000000007E-2</v>
          </cell>
          <cell r="R26">
            <v>0.06</v>
          </cell>
          <cell r="S26">
            <v>4.4999999999999998E-2</v>
          </cell>
          <cell r="T26">
            <v>0.03</v>
          </cell>
          <cell r="U26">
            <v>0.02</v>
          </cell>
          <cell r="V26">
            <v>1.4999999999999999E-2</v>
          </cell>
          <cell r="W26">
            <v>0.01</v>
          </cell>
          <cell r="X26">
            <v>3.9999999999995595E-3</v>
          </cell>
        </row>
        <row r="27">
          <cell r="A27">
            <v>23</v>
          </cell>
          <cell r="B27">
            <v>1</v>
          </cell>
          <cell r="C27">
            <v>1.2E-2</v>
          </cell>
          <cell r="D27">
            <v>1.6E-2</v>
          </cell>
          <cell r="E27">
            <v>2.5999999999999999E-2</v>
          </cell>
          <cell r="F27">
            <v>3.2000000000000001E-2</v>
          </cell>
          <cell r="G27">
            <v>4.2000000000000003E-2</v>
          </cell>
          <cell r="H27">
            <v>5.1999999999999998E-2</v>
          </cell>
          <cell r="I27">
            <v>6.7000000000000004E-2</v>
          </cell>
          <cell r="J27">
            <v>6.7000000000000004E-2</v>
          </cell>
          <cell r="K27">
            <v>6.7000000000000004E-2</v>
          </cell>
          <cell r="L27">
            <v>6.7000000000000004E-2</v>
          </cell>
          <cell r="M27">
            <v>6.7000000000000004E-2</v>
          </cell>
          <cell r="N27">
            <v>6.7000000000000004E-2</v>
          </cell>
          <cell r="O27">
            <v>6.7000000000000004E-2</v>
          </cell>
          <cell r="P27">
            <v>6.7000000000000004E-2</v>
          </cell>
          <cell r="Q27">
            <v>6.7000000000000004E-2</v>
          </cell>
          <cell r="R27">
            <v>6.7000000000000004E-2</v>
          </cell>
          <cell r="S27">
            <v>5.5E-2</v>
          </cell>
          <cell r="T27">
            <v>3.5000000000000003E-2</v>
          </cell>
          <cell r="U27">
            <v>2.1999999999999999E-2</v>
          </cell>
          <cell r="V27">
            <v>1.4999999999999999E-2</v>
          </cell>
          <cell r="W27">
            <v>0.01</v>
          </cell>
          <cell r="X27">
            <v>8.0000000000000002E-3</v>
          </cell>
          <cell r="Y27">
            <v>5.0000000000000044E-3</v>
          </cell>
        </row>
        <row r="28">
          <cell r="A28">
            <v>24</v>
          </cell>
          <cell r="B28">
            <v>1</v>
          </cell>
          <cell r="C28">
            <v>0.01</v>
          </cell>
          <cell r="D28">
            <v>1.4E-2</v>
          </cell>
          <cell r="E28">
            <v>2.4E-2</v>
          </cell>
          <cell r="F28">
            <v>0.03</v>
          </cell>
          <cell r="G28">
            <v>0.04</v>
          </cell>
          <cell r="H28">
            <v>0.05</v>
          </cell>
          <cell r="I28">
            <v>6.4000000000000001E-2</v>
          </cell>
          <cell r="J28">
            <v>6.4000000000000001E-2</v>
          </cell>
          <cell r="K28">
            <v>6.4000000000000001E-2</v>
          </cell>
          <cell r="L28">
            <v>6.4000000000000001E-2</v>
          </cell>
          <cell r="M28">
            <v>6.4000000000000001E-2</v>
          </cell>
          <cell r="N28">
            <v>6.4000000000000001E-2</v>
          </cell>
          <cell r="O28">
            <v>6.4000000000000001E-2</v>
          </cell>
          <cell r="P28">
            <v>6.4000000000000001E-2</v>
          </cell>
          <cell r="Q28">
            <v>6.4000000000000001E-2</v>
          </cell>
          <cell r="R28">
            <v>6.4000000000000001E-2</v>
          </cell>
          <cell r="S28">
            <v>5.2999999999999999E-2</v>
          </cell>
          <cell r="T28">
            <v>4.2999999999999997E-2</v>
          </cell>
          <cell r="U28">
            <v>2.8000000000000001E-2</v>
          </cell>
          <cell r="V28">
            <v>2.3E-2</v>
          </cell>
          <cell r="W28">
            <v>1.7999999999999999E-2</v>
          </cell>
          <cell r="X28">
            <v>1.2999999999999999E-2</v>
          </cell>
          <cell r="Y28">
            <v>8.0000000000000002E-3</v>
          </cell>
          <cell r="Z28">
            <v>5.9999999999995612E-3</v>
          </cell>
        </row>
        <row r="29">
          <cell r="A29">
            <v>25</v>
          </cell>
          <cell r="B29">
            <v>1</v>
          </cell>
          <cell r="C29">
            <v>6.0000000000000001E-3</v>
          </cell>
          <cell r="D29">
            <v>1.2E-2</v>
          </cell>
          <cell r="E29">
            <v>1.9E-2</v>
          </cell>
          <cell r="F29">
            <v>2.7E-2</v>
          </cell>
          <cell r="G29">
            <v>3.5000000000000003E-2</v>
          </cell>
          <cell r="H29">
            <v>0.04</v>
          </cell>
          <cell r="I29">
            <v>4.5999999999999999E-2</v>
          </cell>
          <cell r="J29">
            <v>5.2999999999999999E-2</v>
          </cell>
          <cell r="K29">
            <v>5.8000000000000003E-2</v>
          </cell>
          <cell r="L29">
            <v>6.2E-2</v>
          </cell>
          <cell r="M29">
            <v>6.2E-2</v>
          </cell>
          <cell r="N29">
            <v>6.2E-2</v>
          </cell>
          <cell r="O29">
            <v>6.2E-2</v>
          </cell>
          <cell r="P29">
            <v>6.2E-2</v>
          </cell>
          <cell r="Q29">
            <v>6.2E-2</v>
          </cell>
          <cell r="R29">
            <v>6.2E-2</v>
          </cell>
          <cell r="S29">
            <v>5.8000000000000003E-2</v>
          </cell>
          <cell r="T29">
            <v>0.05</v>
          </cell>
          <cell r="U29">
            <v>4.4999999999999998E-2</v>
          </cell>
          <cell r="V29">
            <v>3.6999999999999998E-2</v>
          </cell>
          <cell r="W29">
            <v>0.03</v>
          </cell>
          <cell r="X29">
            <v>2.5000000000000001E-2</v>
          </cell>
          <cell r="Y29">
            <v>1.4E-2</v>
          </cell>
          <cell r="Z29">
            <v>7.0000000000000001E-3</v>
          </cell>
          <cell r="AA29">
            <v>3.9999999999995595E-3</v>
          </cell>
        </row>
        <row r="30">
          <cell r="A30">
            <v>26</v>
          </cell>
          <cell r="B30">
            <v>1</v>
          </cell>
          <cell r="C30">
            <v>5.0000000000000001E-3</v>
          </cell>
          <cell r="D30">
            <v>8.9999999999999993E-3</v>
          </cell>
          <cell r="E30">
            <v>1.6E-2</v>
          </cell>
          <cell r="F30">
            <v>2.1999999999999999E-2</v>
          </cell>
          <cell r="G30">
            <v>0.03</v>
          </cell>
          <cell r="H30">
            <v>3.5999999999999997E-2</v>
          </cell>
          <cell r="I30">
            <v>4.2000000000000003E-2</v>
          </cell>
          <cell r="J30">
            <v>4.7E-2</v>
          </cell>
          <cell r="K30">
            <v>5.5E-2</v>
          </cell>
          <cell r="L30">
            <v>0.06</v>
          </cell>
          <cell r="M30">
            <v>0.06</v>
          </cell>
          <cell r="N30">
            <v>0.06</v>
          </cell>
          <cell r="O30">
            <v>0.06</v>
          </cell>
          <cell r="P30">
            <v>0.06</v>
          </cell>
          <cell r="Q30">
            <v>0.06</v>
          </cell>
          <cell r="R30">
            <v>0.06</v>
          </cell>
          <cell r="S30">
            <v>0.06</v>
          </cell>
          <cell r="T30">
            <v>5.5E-2</v>
          </cell>
          <cell r="U30">
            <v>5.0999999999999997E-2</v>
          </cell>
          <cell r="V30">
            <v>4.4999999999999998E-2</v>
          </cell>
          <cell r="W30">
            <v>3.6999999999999998E-2</v>
          </cell>
          <cell r="X30">
            <v>2.9000000000000001E-2</v>
          </cell>
          <cell r="Y30">
            <v>0.02</v>
          </cell>
          <cell r="Z30">
            <v>1.2E-2</v>
          </cell>
          <cell r="AA30">
            <v>6.0000000000000001E-3</v>
          </cell>
          <cell r="AB30">
            <v>2.9999999999995586E-3</v>
          </cell>
        </row>
        <row r="31">
          <cell r="A31">
            <v>27</v>
          </cell>
          <cell r="B31">
            <v>1</v>
          </cell>
          <cell r="C31">
            <v>8.0000000000000002E-3</v>
          </cell>
          <cell r="D31">
            <v>1.2E-2</v>
          </cell>
          <cell r="E31">
            <v>2.1000000000000001E-2</v>
          </cell>
          <cell r="F31">
            <v>2.8000000000000001E-2</v>
          </cell>
          <cell r="G31">
            <v>3.7999999999999999E-2</v>
          </cell>
          <cell r="H31">
            <v>4.5999999999999999E-2</v>
          </cell>
          <cell r="I31">
            <v>5.5E-2</v>
          </cell>
          <cell r="J31">
            <v>5.7000000000000002E-2</v>
          </cell>
          <cell r="K31">
            <v>5.7000000000000002E-2</v>
          </cell>
          <cell r="L31">
            <v>5.7000000000000002E-2</v>
          </cell>
          <cell r="M31">
            <v>5.7000000000000002E-2</v>
          </cell>
          <cell r="N31">
            <v>5.7000000000000002E-2</v>
          </cell>
          <cell r="O31">
            <v>5.7000000000000002E-2</v>
          </cell>
          <cell r="P31">
            <v>5.7000000000000002E-2</v>
          </cell>
          <cell r="Q31">
            <v>5.7000000000000002E-2</v>
          </cell>
          <cell r="R31">
            <v>5.7000000000000002E-2</v>
          </cell>
          <cell r="S31">
            <v>5.7000000000000002E-2</v>
          </cell>
          <cell r="T31">
            <v>0.05</v>
          </cell>
          <cell r="U31">
            <v>4.4999999999999998E-2</v>
          </cell>
          <cell r="V31">
            <v>0.04</v>
          </cell>
          <cell r="W31">
            <v>0.03</v>
          </cell>
          <cell r="X31">
            <v>0.02</v>
          </cell>
          <cell r="Y31">
            <v>1.4999999999999999E-2</v>
          </cell>
          <cell r="Z31">
            <v>0.01</v>
          </cell>
          <cell r="AA31">
            <v>6.0000000000000001E-3</v>
          </cell>
          <cell r="AB31">
            <v>4.0000000000000001E-3</v>
          </cell>
          <cell r="AC31">
            <v>1.9999999999995577E-3</v>
          </cell>
        </row>
        <row r="32">
          <cell r="A32">
            <v>28</v>
          </cell>
          <cell r="B32">
            <v>1</v>
          </cell>
          <cell r="C32">
            <v>5.0000000000000001E-3</v>
          </cell>
          <cell r="D32">
            <v>0.01</v>
          </cell>
          <cell r="E32">
            <v>0.02</v>
          </cell>
          <cell r="F32">
            <v>2.5000000000000001E-2</v>
          </cell>
          <cell r="G32">
            <v>3.5000000000000003E-2</v>
          </cell>
          <cell r="H32">
            <v>4.2999999999999997E-2</v>
          </cell>
          <cell r="I32">
            <v>4.8000000000000001E-2</v>
          </cell>
          <cell r="J32">
            <v>5.7000000000000002E-2</v>
          </cell>
          <cell r="K32">
            <v>5.7000000000000002E-2</v>
          </cell>
          <cell r="L32">
            <v>5.7000000000000002E-2</v>
          </cell>
          <cell r="M32">
            <v>5.7000000000000002E-2</v>
          </cell>
          <cell r="N32">
            <v>5.7000000000000002E-2</v>
          </cell>
          <cell r="O32">
            <v>5.7000000000000002E-2</v>
          </cell>
          <cell r="P32">
            <v>5.7000000000000002E-2</v>
          </cell>
          <cell r="Q32">
            <v>5.7000000000000002E-2</v>
          </cell>
          <cell r="R32">
            <v>5.7000000000000002E-2</v>
          </cell>
          <cell r="S32">
            <v>5.7000000000000002E-2</v>
          </cell>
          <cell r="T32">
            <v>0.05</v>
          </cell>
          <cell r="U32">
            <v>0.04</v>
          </cell>
          <cell r="V32">
            <v>3.5000000000000003E-2</v>
          </cell>
          <cell r="W32">
            <v>0.03</v>
          </cell>
          <cell r="X32">
            <v>2.5000000000000001E-2</v>
          </cell>
          <cell r="Y32">
            <v>0.02</v>
          </cell>
          <cell r="Z32">
            <v>1.6E-2</v>
          </cell>
          <cell r="AA32">
            <v>1.2E-2</v>
          </cell>
          <cell r="AB32">
            <v>8.0000000000000002E-3</v>
          </cell>
          <cell r="AC32">
            <v>5.0000000000000001E-3</v>
          </cell>
          <cell r="AD32">
            <v>2.9999999999995586E-3</v>
          </cell>
        </row>
        <row r="33">
          <cell r="A33">
            <v>29</v>
          </cell>
          <cell r="B33">
            <v>1</v>
          </cell>
          <cell r="C33">
            <v>3.0000000000000001E-3</v>
          </cell>
          <cell r="D33">
            <v>7.0000000000000001E-3</v>
          </cell>
          <cell r="E33">
            <v>1.7000000000000001E-2</v>
          </cell>
          <cell r="F33">
            <v>2.1999999999999999E-2</v>
          </cell>
          <cell r="G33">
            <v>3.2000000000000001E-2</v>
          </cell>
          <cell r="H33">
            <v>0.04</v>
          </cell>
          <cell r="I33">
            <v>4.3999999999999997E-2</v>
          </cell>
          <cell r="J33">
            <v>5.2999999999999999E-2</v>
          </cell>
          <cell r="K33">
            <v>5.2999999999999999E-2</v>
          </cell>
          <cell r="L33">
            <v>5.2999999999999999E-2</v>
          </cell>
          <cell r="M33">
            <v>5.2999999999999999E-2</v>
          </cell>
          <cell r="N33">
            <v>5.2999999999999999E-2</v>
          </cell>
          <cell r="O33">
            <v>5.2999999999999999E-2</v>
          </cell>
          <cell r="P33">
            <v>5.2999999999999999E-2</v>
          </cell>
          <cell r="Q33">
            <v>5.2999999999999999E-2</v>
          </cell>
          <cell r="R33">
            <v>5.2999999999999999E-2</v>
          </cell>
          <cell r="S33">
            <v>5.2999999999999999E-2</v>
          </cell>
          <cell r="T33">
            <v>5.2999999999999999E-2</v>
          </cell>
          <cell r="U33">
            <v>4.8000000000000001E-2</v>
          </cell>
          <cell r="V33">
            <v>0.04</v>
          </cell>
          <cell r="W33">
            <v>3.7999999999999999E-2</v>
          </cell>
          <cell r="X33">
            <v>3.1E-2</v>
          </cell>
          <cell r="Y33">
            <v>2.7E-2</v>
          </cell>
          <cell r="Z33">
            <v>2.3E-2</v>
          </cell>
          <cell r="AA33">
            <v>1.7999999999999999E-2</v>
          </cell>
          <cell r="AB33">
            <v>1.2999999999999999E-2</v>
          </cell>
          <cell r="AC33">
            <v>7.0000000000000001E-3</v>
          </cell>
          <cell r="AD33">
            <v>4.0000000000000001E-3</v>
          </cell>
          <cell r="AE33">
            <v>2.9999999999996696E-3</v>
          </cell>
        </row>
        <row r="34">
          <cell r="A34">
            <v>30</v>
          </cell>
          <cell r="B34">
            <v>1</v>
          </cell>
          <cell r="C34">
            <v>2E-3</v>
          </cell>
          <cell r="D34">
            <v>5.0000000000000001E-3</v>
          </cell>
          <cell r="E34">
            <v>1.2E-2</v>
          </cell>
          <cell r="F34">
            <v>1.7000000000000001E-2</v>
          </cell>
          <cell r="G34">
            <v>2.3E-2</v>
          </cell>
          <cell r="H34">
            <v>2.7E-2</v>
          </cell>
          <cell r="I34">
            <v>3.5000000000000003E-2</v>
          </cell>
          <cell r="J34">
            <v>0.04</v>
          </cell>
          <cell r="K34">
            <v>4.4999999999999998E-2</v>
          </cell>
          <cell r="L34">
            <v>4.8000000000000001E-2</v>
          </cell>
          <cell r="M34">
            <v>0.05</v>
          </cell>
          <cell r="N34">
            <v>5.0999999999999997E-2</v>
          </cell>
          <cell r="O34">
            <v>5.0999999999999997E-2</v>
          </cell>
          <cell r="P34">
            <v>5.0999999999999997E-2</v>
          </cell>
          <cell r="Q34">
            <v>5.0999999999999997E-2</v>
          </cell>
          <cell r="R34">
            <v>5.0999999999999997E-2</v>
          </cell>
          <cell r="S34">
            <v>5.0999999999999997E-2</v>
          </cell>
          <cell r="T34">
            <v>5.0999999999999997E-2</v>
          </cell>
          <cell r="U34">
            <v>5.0999999999999997E-2</v>
          </cell>
          <cell r="V34">
            <v>4.5999999999999999E-2</v>
          </cell>
          <cell r="W34">
            <v>4.2999999999999997E-2</v>
          </cell>
          <cell r="X34">
            <v>0.04</v>
          </cell>
          <cell r="Y34">
            <v>3.5999999999999997E-2</v>
          </cell>
          <cell r="Z34">
            <v>3.3000000000000002E-2</v>
          </cell>
          <cell r="AA34">
            <v>2.8000000000000001E-2</v>
          </cell>
          <cell r="AB34">
            <v>2.5000000000000001E-2</v>
          </cell>
          <cell r="AC34">
            <v>1.7999999999999999E-2</v>
          </cell>
          <cell r="AD34">
            <v>1.2E-2</v>
          </cell>
          <cell r="AE34">
            <v>5.0000000000000001E-3</v>
          </cell>
          <cell r="AF34">
            <v>1.9999999999995577E-3</v>
          </cell>
        </row>
        <row r="35">
          <cell r="A35">
            <v>31</v>
          </cell>
          <cell r="B35">
            <v>1</v>
          </cell>
          <cell r="C35">
            <v>2E-3</v>
          </cell>
          <cell r="D35">
            <v>4.0000000000000001E-3</v>
          </cell>
          <cell r="E35">
            <v>1.0999999999999999E-2</v>
          </cell>
          <cell r="F35">
            <v>1.4999999999999999E-2</v>
          </cell>
          <cell r="G35">
            <v>0.02</v>
          </cell>
          <cell r="H35">
            <v>2.4E-2</v>
          </cell>
          <cell r="I35">
            <v>3.3000000000000002E-2</v>
          </cell>
          <cell r="J35">
            <v>3.6999999999999998E-2</v>
          </cell>
          <cell r="K35">
            <v>4.2000000000000003E-2</v>
          </cell>
          <cell r="L35">
            <v>4.7E-2</v>
          </cell>
          <cell r="M35">
            <v>4.8000000000000001E-2</v>
          </cell>
          <cell r="N35">
            <v>4.8000000000000001E-2</v>
          </cell>
          <cell r="O35">
            <v>4.8000000000000001E-2</v>
          </cell>
          <cell r="P35">
            <v>4.8000000000000001E-2</v>
          </cell>
          <cell r="Q35">
            <v>4.8000000000000001E-2</v>
          </cell>
          <cell r="R35">
            <v>4.8000000000000001E-2</v>
          </cell>
          <cell r="S35">
            <v>4.8000000000000001E-2</v>
          </cell>
          <cell r="T35">
            <v>4.8000000000000001E-2</v>
          </cell>
          <cell r="U35">
            <v>4.8000000000000001E-2</v>
          </cell>
          <cell r="V35">
            <v>4.8000000000000001E-2</v>
          </cell>
          <cell r="W35">
            <v>4.8000000000000001E-2</v>
          </cell>
          <cell r="X35">
            <v>4.5999999999999999E-2</v>
          </cell>
          <cell r="Y35">
            <v>0.04</v>
          </cell>
          <cell r="Z35">
            <v>3.5000000000000003E-2</v>
          </cell>
          <cell r="AA35">
            <v>0.03</v>
          </cell>
          <cell r="AB35">
            <v>2.5999999999999999E-2</v>
          </cell>
          <cell r="AC35">
            <v>2.3E-2</v>
          </cell>
          <cell r="AD35">
            <v>0.02</v>
          </cell>
          <cell r="AE35">
            <v>1.0999999999999999E-2</v>
          </cell>
          <cell r="AF35">
            <v>4.0000000000000001E-3</v>
          </cell>
          <cell r="AG35">
            <v>1.9999999999995577E-3</v>
          </cell>
        </row>
        <row r="36">
          <cell r="A36">
            <v>32</v>
          </cell>
          <cell r="B36">
            <v>1</v>
          </cell>
          <cell r="C36">
            <v>2E-3</v>
          </cell>
          <cell r="D36">
            <v>3.0000000000000001E-3</v>
          </cell>
          <cell r="E36">
            <v>0.01</v>
          </cell>
          <cell r="F36">
            <v>1.2999999999999999E-2</v>
          </cell>
          <cell r="G36">
            <v>0.02</v>
          </cell>
          <cell r="H36">
            <v>2.5999999999999999E-2</v>
          </cell>
          <cell r="I36">
            <v>3.2000000000000001E-2</v>
          </cell>
          <cell r="J36">
            <v>3.5999999999999997E-2</v>
          </cell>
          <cell r="K36">
            <v>0.04</v>
          </cell>
          <cell r="L36">
            <v>4.2000000000000003E-2</v>
          </cell>
          <cell r="M36">
            <v>4.5999999999999999E-2</v>
          </cell>
          <cell r="N36">
            <v>4.5999999999999999E-2</v>
          </cell>
          <cell r="O36">
            <v>4.5999999999999999E-2</v>
          </cell>
          <cell r="P36">
            <v>4.5999999999999999E-2</v>
          </cell>
          <cell r="Q36">
            <v>4.5999999999999999E-2</v>
          </cell>
          <cell r="R36">
            <v>4.5999999999999999E-2</v>
          </cell>
          <cell r="S36">
            <v>4.5999999999999999E-2</v>
          </cell>
          <cell r="T36">
            <v>4.5999999999999999E-2</v>
          </cell>
          <cell r="U36">
            <v>4.5999999999999999E-2</v>
          </cell>
          <cell r="V36">
            <v>4.5999999999999999E-2</v>
          </cell>
          <cell r="W36">
            <v>4.5999999999999999E-2</v>
          </cell>
          <cell r="X36">
            <v>4.5999999999999999E-2</v>
          </cell>
          <cell r="Y36">
            <v>4.4999999999999998E-2</v>
          </cell>
          <cell r="Z36">
            <v>3.9E-2</v>
          </cell>
          <cell r="AA36">
            <v>3.3000000000000002E-2</v>
          </cell>
          <cell r="AB36">
            <v>2.9000000000000001E-2</v>
          </cell>
          <cell r="AC36">
            <v>2.5000000000000001E-2</v>
          </cell>
          <cell r="AD36">
            <v>0.02</v>
          </cell>
          <cell r="AE36">
            <v>1.7999999999999999E-2</v>
          </cell>
          <cell r="AF36">
            <v>1.0999999999999999E-2</v>
          </cell>
          <cell r="AG36">
            <v>3.0000000000000001E-3</v>
          </cell>
          <cell r="AH36">
            <v>9.9999999999966782E-4</v>
          </cell>
        </row>
        <row r="37">
          <cell r="A37">
            <v>33</v>
          </cell>
          <cell r="B37">
            <v>1</v>
          </cell>
          <cell r="C37">
            <v>1E-3</v>
          </cell>
          <cell r="D37">
            <v>3.0000000000000001E-3</v>
          </cell>
          <cell r="E37">
            <v>8.9999999999999993E-3</v>
          </cell>
          <cell r="F37">
            <v>1.2999999999999999E-2</v>
          </cell>
          <cell r="G37">
            <v>0.02</v>
          </cell>
          <cell r="H37">
            <v>2.5000000000000001E-2</v>
          </cell>
          <cell r="I37">
            <v>3.1E-2</v>
          </cell>
          <cell r="J37">
            <v>3.4000000000000002E-2</v>
          </cell>
          <cell r="K37">
            <v>0.04</v>
          </cell>
          <cell r="L37">
            <v>4.2000000000000003E-2</v>
          </cell>
          <cell r="M37">
            <v>4.2999999999999997E-2</v>
          </cell>
          <cell r="N37">
            <v>4.3999999999999997E-2</v>
          </cell>
          <cell r="O37">
            <v>4.3999999999999997E-2</v>
          </cell>
          <cell r="P37">
            <v>4.3999999999999997E-2</v>
          </cell>
          <cell r="Q37">
            <v>4.3999999999999997E-2</v>
          </cell>
          <cell r="R37">
            <v>4.3999999999999997E-2</v>
          </cell>
          <cell r="S37">
            <v>4.3999999999999997E-2</v>
          </cell>
          <cell r="T37">
            <v>4.3999999999999997E-2</v>
          </cell>
          <cell r="U37">
            <v>4.3999999999999997E-2</v>
          </cell>
          <cell r="V37">
            <v>4.3999999999999997E-2</v>
          </cell>
          <cell r="W37">
            <v>4.3999999999999997E-2</v>
          </cell>
          <cell r="X37">
            <v>4.3999999999999997E-2</v>
          </cell>
          <cell r="Y37">
            <v>4.3999999999999997E-2</v>
          </cell>
          <cell r="Z37">
            <v>4.2000000000000003E-2</v>
          </cell>
          <cell r="AA37">
            <v>3.5000000000000003E-2</v>
          </cell>
          <cell r="AB37">
            <v>3.2000000000000001E-2</v>
          </cell>
          <cell r="AC37">
            <v>2.7E-2</v>
          </cell>
          <cell r="AD37">
            <v>2.4E-2</v>
          </cell>
          <cell r="AE37">
            <v>1.9E-2</v>
          </cell>
          <cell r="AF37">
            <v>1.7000000000000001E-2</v>
          </cell>
          <cell r="AG37">
            <v>0.01</v>
          </cell>
          <cell r="AH37">
            <v>4.0000000000000001E-3</v>
          </cell>
          <cell r="AI37">
            <v>9.9999999999966782E-4</v>
          </cell>
        </row>
        <row r="38">
          <cell r="A38">
            <v>34</v>
          </cell>
          <cell r="B38">
            <v>1</v>
          </cell>
          <cell r="C38">
            <v>1E-3</v>
          </cell>
          <cell r="D38">
            <v>3.0000000000000001E-3</v>
          </cell>
          <cell r="E38">
            <v>8.0000000000000002E-3</v>
          </cell>
          <cell r="F38">
            <v>1.2E-2</v>
          </cell>
          <cell r="G38">
            <v>1.7999999999999999E-2</v>
          </cell>
          <cell r="H38">
            <v>2.3E-2</v>
          </cell>
          <cell r="I38">
            <v>2.9000000000000001E-2</v>
          </cell>
          <cell r="J38">
            <v>3.1E-2</v>
          </cell>
          <cell r="K38">
            <v>3.6999999999999998E-2</v>
          </cell>
          <cell r="L38">
            <v>4.1000000000000002E-2</v>
          </cell>
          <cell r="M38">
            <v>4.2000000000000003E-2</v>
          </cell>
          <cell r="N38">
            <v>4.2000000000000003E-2</v>
          </cell>
          <cell r="O38">
            <v>4.2000000000000003E-2</v>
          </cell>
          <cell r="P38">
            <v>4.2000000000000003E-2</v>
          </cell>
          <cell r="Q38">
            <v>4.2000000000000003E-2</v>
          </cell>
          <cell r="R38">
            <v>4.2000000000000003E-2</v>
          </cell>
          <cell r="S38">
            <v>4.2000000000000003E-2</v>
          </cell>
          <cell r="T38">
            <v>4.2000000000000003E-2</v>
          </cell>
          <cell r="U38">
            <v>4.2000000000000003E-2</v>
          </cell>
          <cell r="V38">
            <v>4.2000000000000003E-2</v>
          </cell>
          <cell r="W38">
            <v>4.2000000000000003E-2</v>
          </cell>
          <cell r="X38">
            <v>4.2000000000000003E-2</v>
          </cell>
          <cell r="Y38">
            <v>4.2000000000000003E-2</v>
          </cell>
          <cell r="Z38">
            <v>4.2000000000000003E-2</v>
          </cell>
          <cell r="AA38">
            <v>4.1000000000000002E-2</v>
          </cell>
          <cell r="AB38">
            <v>3.6999999999999998E-2</v>
          </cell>
          <cell r="AC38">
            <v>3.1E-2</v>
          </cell>
          <cell r="AD38">
            <v>2.7E-2</v>
          </cell>
          <cell r="AE38">
            <v>2.3E-2</v>
          </cell>
          <cell r="AF38">
            <v>0.02</v>
          </cell>
          <cell r="AG38">
            <v>1.4999999999999999E-2</v>
          </cell>
          <cell r="AH38">
            <v>8.9999999999999993E-3</v>
          </cell>
          <cell r="AI38">
            <v>4.0000000000000001E-3</v>
          </cell>
          <cell r="AJ38">
            <v>1.9999999999996687E-3</v>
          </cell>
        </row>
        <row r="39">
          <cell r="A39">
            <v>35</v>
          </cell>
          <cell r="B39">
            <v>1</v>
          </cell>
          <cell r="C39">
            <v>1E-3</v>
          </cell>
          <cell r="D39">
            <v>3.0000000000000001E-3</v>
          </cell>
          <cell r="E39">
            <v>8.9999999999999993E-3</v>
          </cell>
          <cell r="F39">
            <v>1.2E-2</v>
          </cell>
          <cell r="G39">
            <v>1.7000000000000001E-2</v>
          </cell>
          <cell r="H39">
            <v>2.1999999999999999E-2</v>
          </cell>
          <cell r="I39">
            <v>2.8000000000000001E-2</v>
          </cell>
          <cell r="J39">
            <v>3.1E-2</v>
          </cell>
          <cell r="K39">
            <v>3.5999999999999997E-2</v>
          </cell>
          <cell r="L39">
            <v>0.04</v>
          </cell>
          <cell r="M39">
            <v>4.1000000000000002E-2</v>
          </cell>
          <cell r="N39">
            <v>4.1000000000000002E-2</v>
          </cell>
          <cell r="O39">
            <v>4.1000000000000002E-2</v>
          </cell>
          <cell r="P39">
            <v>4.1000000000000002E-2</v>
          </cell>
          <cell r="Q39">
            <v>4.1000000000000002E-2</v>
          </cell>
          <cell r="R39">
            <v>4.1000000000000002E-2</v>
          </cell>
          <cell r="S39">
            <v>4.1000000000000002E-2</v>
          </cell>
          <cell r="T39">
            <v>4.1000000000000002E-2</v>
          </cell>
          <cell r="U39">
            <v>4.1000000000000002E-2</v>
          </cell>
          <cell r="V39">
            <v>4.1000000000000002E-2</v>
          </cell>
          <cell r="W39">
            <v>4.1000000000000002E-2</v>
          </cell>
          <cell r="X39">
            <v>4.1000000000000002E-2</v>
          </cell>
          <cell r="Y39">
            <v>4.1000000000000002E-2</v>
          </cell>
          <cell r="Z39">
            <v>4.1000000000000002E-2</v>
          </cell>
          <cell r="AA39">
            <v>4.1000000000000002E-2</v>
          </cell>
          <cell r="AB39">
            <v>3.6999999999999998E-2</v>
          </cell>
          <cell r="AC39">
            <v>3.3000000000000002E-2</v>
          </cell>
          <cell r="AD39">
            <v>2.9000000000000001E-2</v>
          </cell>
          <cell r="AE39">
            <v>2.4E-2</v>
          </cell>
          <cell r="AF39">
            <v>2.1999999999999999E-2</v>
          </cell>
          <cell r="AG39">
            <v>1.7000000000000001E-2</v>
          </cell>
          <cell r="AH39">
            <v>1.2E-2</v>
          </cell>
          <cell r="AI39">
            <v>7.0000000000000001E-3</v>
          </cell>
          <cell r="AJ39">
            <v>3.0000000000000001E-3</v>
          </cell>
          <cell r="AK39">
            <v>1.9999999999996687E-3</v>
          </cell>
        </row>
        <row r="40">
          <cell r="A40">
            <v>36</v>
          </cell>
          <cell r="B40">
            <v>1</v>
          </cell>
          <cell r="C40">
            <v>1E-3</v>
          </cell>
          <cell r="D40">
            <v>4.0000000000000001E-3</v>
          </cell>
          <cell r="E40">
            <v>8.0000000000000002E-3</v>
          </cell>
          <cell r="F40">
            <v>1.2999999999999999E-2</v>
          </cell>
          <cell r="G40">
            <v>1.7000000000000001E-2</v>
          </cell>
          <cell r="H40">
            <v>2.3E-2</v>
          </cell>
          <cell r="I40">
            <v>2.8000000000000001E-2</v>
          </cell>
          <cell r="J40">
            <v>3.1E-2</v>
          </cell>
          <cell r="K40">
            <v>3.5999999999999997E-2</v>
          </cell>
          <cell r="L40">
            <v>3.6999999999999998E-2</v>
          </cell>
          <cell r="M40">
            <v>3.9E-2</v>
          </cell>
          <cell r="N40">
            <v>3.9E-2</v>
          </cell>
          <cell r="O40">
            <v>3.9E-2</v>
          </cell>
          <cell r="P40">
            <v>3.9E-2</v>
          </cell>
          <cell r="Q40">
            <v>3.9E-2</v>
          </cell>
          <cell r="R40">
            <v>3.9E-2</v>
          </cell>
          <cell r="S40">
            <v>3.9E-2</v>
          </cell>
          <cell r="T40">
            <v>3.9E-2</v>
          </cell>
          <cell r="U40">
            <v>3.9E-2</v>
          </cell>
          <cell r="V40">
            <v>3.9E-2</v>
          </cell>
          <cell r="W40">
            <v>3.9E-2</v>
          </cell>
          <cell r="X40">
            <v>3.9E-2</v>
          </cell>
          <cell r="Y40">
            <v>3.9E-2</v>
          </cell>
          <cell r="Z40">
            <v>3.9E-2</v>
          </cell>
          <cell r="AA40">
            <v>3.9E-2</v>
          </cell>
          <cell r="AB40">
            <v>3.6999999999999998E-2</v>
          </cell>
          <cell r="AC40">
            <v>3.5000000000000003E-2</v>
          </cell>
          <cell r="AD40">
            <v>3.1E-2</v>
          </cell>
          <cell r="AE40">
            <v>2.5999999999999999E-2</v>
          </cell>
          <cell r="AF40">
            <v>2.5000000000000001E-2</v>
          </cell>
          <cell r="AG40">
            <v>0.02</v>
          </cell>
          <cell r="AH40">
            <v>1.6E-2</v>
          </cell>
          <cell r="AI40">
            <v>1.2999999999999999E-2</v>
          </cell>
          <cell r="AJ40">
            <v>8.0000000000000002E-3</v>
          </cell>
          <cell r="AK40">
            <v>4.0000000000000001E-3</v>
          </cell>
          <cell r="AL40">
            <v>1.9999999999996687E-3</v>
          </cell>
        </row>
        <row r="41">
          <cell r="A41">
            <v>37</v>
          </cell>
          <cell r="B41">
            <v>1</v>
          </cell>
          <cell r="C41">
            <v>1E-3</v>
          </cell>
          <cell r="D41">
            <v>4.0000000000000001E-3</v>
          </cell>
          <cell r="E41">
            <v>8.0000000000000002E-3</v>
          </cell>
          <cell r="F41">
            <v>1.2999999999999999E-2</v>
          </cell>
          <cell r="G41">
            <v>1.7000000000000001E-2</v>
          </cell>
          <cell r="H41">
            <v>2.3E-2</v>
          </cell>
          <cell r="I41">
            <v>2.7E-2</v>
          </cell>
          <cell r="J41">
            <v>0.03</v>
          </cell>
          <cell r="K41">
            <v>3.1E-2</v>
          </cell>
          <cell r="L41">
            <v>3.5999999999999997E-2</v>
          </cell>
          <cell r="M41">
            <v>3.6999999999999998E-2</v>
          </cell>
          <cell r="N41">
            <v>3.7999999999999999E-2</v>
          </cell>
          <cell r="O41">
            <v>3.7999999999999999E-2</v>
          </cell>
          <cell r="P41">
            <v>3.7999999999999999E-2</v>
          </cell>
          <cell r="Q41">
            <v>3.7999999999999999E-2</v>
          </cell>
          <cell r="R41">
            <v>3.7999999999999999E-2</v>
          </cell>
          <cell r="S41">
            <v>3.7999999999999999E-2</v>
          </cell>
          <cell r="T41">
            <v>3.7999999999999999E-2</v>
          </cell>
          <cell r="U41">
            <v>3.7999999999999999E-2</v>
          </cell>
          <cell r="V41">
            <v>3.7999999999999999E-2</v>
          </cell>
          <cell r="W41">
            <v>3.7999999999999999E-2</v>
          </cell>
          <cell r="X41">
            <v>3.7999999999999999E-2</v>
          </cell>
          <cell r="Y41">
            <v>3.7999999999999999E-2</v>
          </cell>
          <cell r="Z41">
            <v>3.7999999999999999E-2</v>
          </cell>
          <cell r="AA41">
            <v>3.7999999999999999E-2</v>
          </cell>
          <cell r="AB41">
            <v>3.7999999999999999E-2</v>
          </cell>
          <cell r="AC41">
            <v>3.5999999999999997E-2</v>
          </cell>
          <cell r="AD41">
            <v>3.2000000000000001E-2</v>
          </cell>
          <cell r="AE41">
            <v>2.7E-2</v>
          </cell>
          <cell r="AF41">
            <v>2.5000000000000001E-2</v>
          </cell>
          <cell r="AG41">
            <v>2.1999999999999999E-2</v>
          </cell>
          <cell r="AH41">
            <v>1.9E-2</v>
          </cell>
          <cell r="AI41">
            <v>1.7000000000000001E-2</v>
          </cell>
          <cell r="AJ41">
            <v>1.4E-2</v>
          </cell>
          <cell r="AK41">
            <v>7.0000000000000001E-3</v>
          </cell>
          <cell r="AL41">
            <v>3.0000000000000001E-3</v>
          </cell>
          <cell r="AM41">
            <v>9.9999999999966782E-4</v>
          </cell>
        </row>
        <row r="42">
          <cell r="A42">
            <v>38</v>
          </cell>
          <cell r="B42">
            <v>1</v>
          </cell>
          <cell r="C42">
            <v>1E-3</v>
          </cell>
          <cell r="D42">
            <v>3.0000000000000001E-3</v>
          </cell>
          <cell r="E42">
            <v>7.0000000000000001E-3</v>
          </cell>
          <cell r="F42">
            <v>1.2E-2</v>
          </cell>
          <cell r="G42">
            <v>1.6E-2</v>
          </cell>
          <cell r="H42">
            <v>0.02</v>
          </cell>
          <cell r="I42">
            <v>2.5000000000000001E-2</v>
          </cell>
          <cell r="J42">
            <v>2.8000000000000001E-2</v>
          </cell>
          <cell r="K42">
            <v>3.1E-2</v>
          </cell>
          <cell r="L42">
            <v>3.3000000000000002E-2</v>
          </cell>
          <cell r="M42">
            <v>3.5000000000000003E-2</v>
          </cell>
          <cell r="N42">
            <v>3.6999999999999998E-2</v>
          </cell>
          <cell r="O42">
            <v>3.6999999999999998E-2</v>
          </cell>
          <cell r="P42">
            <v>3.6999999999999998E-2</v>
          </cell>
          <cell r="Q42">
            <v>3.6999999999999998E-2</v>
          </cell>
          <cell r="R42">
            <v>3.6999999999999998E-2</v>
          </cell>
          <cell r="S42">
            <v>3.6999999999999998E-2</v>
          </cell>
          <cell r="T42">
            <v>3.6999999999999998E-2</v>
          </cell>
          <cell r="U42">
            <v>3.6999999999999998E-2</v>
          </cell>
          <cell r="V42">
            <v>3.6999999999999998E-2</v>
          </cell>
          <cell r="W42">
            <v>3.6999999999999998E-2</v>
          </cell>
          <cell r="X42">
            <v>3.6999999999999998E-2</v>
          </cell>
          <cell r="Y42">
            <v>3.6999999999999998E-2</v>
          </cell>
          <cell r="Z42">
            <v>3.6999999999999998E-2</v>
          </cell>
          <cell r="AA42">
            <v>3.6999999999999998E-2</v>
          </cell>
          <cell r="AB42">
            <v>3.6999999999999998E-2</v>
          </cell>
          <cell r="AC42">
            <v>3.6999999999999998E-2</v>
          </cell>
          <cell r="AD42">
            <v>3.2000000000000001E-2</v>
          </cell>
          <cell r="AE42">
            <v>2.9000000000000001E-2</v>
          </cell>
          <cell r="AF42">
            <v>2.7E-2</v>
          </cell>
          <cell r="AG42">
            <v>2.4E-2</v>
          </cell>
          <cell r="AH42">
            <v>2.1999999999999999E-2</v>
          </cell>
          <cell r="AI42">
            <v>1.9E-2</v>
          </cell>
          <cell r="AJ42">
            <v>1.6E-2</v>
          </cell>
          <cell r="AK42">
            <v>1.4E-2</v>
          </cell>
          <cell r="AL42">
            <v>8.0000000000000002E-3</v>
          </cell>
          <cell r="AM42">
            <v>4.0000000000000001E-3</v>
          </cell>
          <cell r="AN42">
            <v>1.9999999999996687E-3</v>
          </cell>
        </row>
        <row r="43">
          <cell r="A43">
            <v>39</v>
          </cell>
          <cell r="B43">
            <v>1</v>
          </cell>
          <cell r="C43">
            <v>1E-3</v>
          </cell>
          <cell r="D43">
            <v>3.0000000000000001E-3</v>
          </cell>
          <cell r="E43">
            <v>6.0000000000000001E-3</v>
          </cell>
          <cell r="F43">
            <v>1.0999999999999999E-2</v>
          </cell>
          <cell r="G43">
            <v>1.4999999999999999E-2</v>
          </cell>
          <cell r="H43">
            <v>1.7000000000000001E-2</v>
          </cell>
          <cell r="I43">
            <v>2.1000000000000001E-2</v>
          </cell>
          <cell r="J43">
            <v>2.5999999999999999E-2</v>
          </cell>
          <cell r="K43">
            <v>2.9000000000000001E-2</v>
          </cell>
          <cell r="L43">
            <v>3.1E-2</v>
          </cell>
          <cell r="M43">
            <v>3.3000000000000002E-2</v>
          </cell>
          <cell r="N43">
            <v>3.6999999999999998E-2</v>
          </cell>
          <cell r="O43">
            <v>3.6999999999999998E-2</v>
          </cell>
          <cell r="P43">
            <v>3.6999999999999998E-2</v>
          </cell>
          <cell r="Q43">
            <v>3.6999999999999998E-2</v>
          </cell>
          <cell r="R43">
            <v>3.6999999999999998E-2</v>
          </cell>
          <cell r="S43">
            <v>3.6999999999999998E-2</v>
          </cell>
          <cell r="T43">
            <v>3.6999999999999998E-2</v>
          </cell>
          <cell r="U43">
            <v>3.6999999999999998E-2</v>
          </cell>
          <cell r="V43">
            <v>3.6999999999999998E-2</v>
          </cell>
          <cell r="W43">
            <v>3.6999999999999998E-2</v>
          </cell>
          <cell r="X43">
            <v>3.6999999999999998E-2</v>
          </cell>
          <cell r="Y43">
            <v>3.6999999999999998E-2</v>
          </cell>
          <cell r="Z43">
            <v>3.6999999999999998E-2</v>
          </cell>
          <cell r="AA43">
            <v>3.6999999999999998E-2</v>
          </cell>
          <cell r="AB43">
            <v>3.6999999999999998E-2</v>
          </cell>
          <cell r="AC43">
            <v>3.6999999999999998E-2</v>
          </cell>
          <cell r="AD43">
            <v>3.4000000000000002E-2</v>
          </cell>
          <cell r="AE43">
            <v>3.1E-2</v>
          </cell>
          <cell r="AF43">
            <v>0.03</v>
          </cell>
          <cell r="AG43">
            <v>2.7E-2</v>
          </cell>
          <cell r="AH43">
            <v>2.1999999999999999E-2</v>
          </cell>
          <cell r="AI43">
            <v>1.9E-2</v>
          </cell>
          <cell r="AJ43">
            <v>1.6E-2</v>
          </cell>
          <cell r="AK43">
            <v>1.4E-2</v>
          </cell>
          <cell r="AL43">
            <v>1.0999999999999999E-2</v>
          </cell>
          <cell r="AM43">
            <v>7.0000000000000001E-3</v>
          </cell>
          <cell r="AN43">
            <v>3.0000000000000001E-3</v>
          </cell>
          <cell r="AO43">
            <v>9.9999999999966782E-4</v>
          </cell>
        </row>
        <row r="44">
          <cell r="A44">
            <v>40</v>
          </cell>
          <cell r="B44">
            <v>1</v>
          </cell>
          <cell r="C44">
            <v>1E-3</v>
          </cell>
          <cell r="D44">
            <v>2E-3</v>
          </cell>
          <cell r="E44">
            <v>5.0000000000000001E-3</v>
          </cell>
          <cell r="F44">
            <v>1.0999999999999999E-2</v>
          </cell>
          <cell r="G44">
            <v>1.2999999999999999E-2</v>
          </cell>
          <cell r="H44">
            <v>1.7000000000000001E-2</v>
          </cell>
          <cell r="I44">
            <v>2.1999999999999999E-2</v>
          </cell>
          <cell r="J44">
            <v>2.4E-2</v>
          </cell>
          <cell r="K44">
            <v>2.7E-2</v>
          </cell>
          <cell r="L44">
            <v>3.1E-2</v>
          </cell>
          <cell r="M44">
            <v>3.3000000000000002E-2</v>
          </cell>
          <cell r="N44">
            <v>3.5999999999999997E-2</v>
          </cell>
          <cell r="O44">
            <v>3.5999999999999997E-2</v>
          </cell>
          <cell r="P44">
            <v>3.5999999999999997E-2</v>
          </cell>
          <cell r="Q44">
            <v>3.5999999999999997E-2</v>
          </cell>
          <cell r="R44">
            <v>3.5999999999999997E-2</v>
          </cell>
          <cell r="S44">
            <v>3.5999999999999997E-2</v>
          </cell>
          <cell r="T44">
            <v>3.5999999999999997E-2</v>
          </cell>
          <cell r="U44">
            <v>3.5999999999999997E-2</v>
          </cell>
          <cell r="V44">
            <v>3.5999999999999997E-2</v>
          </cell>
          <cell r="W44">
            <v>3.5999999999999997E-2</v>
          </cell>
          <cell r="X44">
            <v>3.5999999999999997E-2</v>
          </cell>
          <cell r="Y44">
            <v>3.5999999999999997E-2</v>
          </cell>
          <cell r="Z44">
            <v>3.5999999999999997E-2</v>
          </cell>
          <cell r="AA44">
            <v>3.5999999999999997E-2</v>
          </cell>
          <cell r="AB44">
            <v>3.5999999999999997E-2</v>
          </cell>
          <cell r="AC44">
            <v>3.5999999999999997E-2</v>
          </cell>
          <cell r="AD44">
            <v>3.5999999999999997E-2</v>
          </cell>
          <cell r="AE44">
            <v>3.3000000000000002E-2</v>
          </cell>
          <cell r="AF44">
            <v>0.03</v>
          </cell>
          <cell r="AG44">
            <v>2.7E-2</v>
          </cell>
          <cell r="AH44">
            <v>2.4E-2</v>
          </cell>
          <cell r="AI44">
            <v>2.1999999999999999E-2</v>
          </cell>
          <cell r="AJ44">
            <v>1.7999999999999999E-2</v>
          </cell>
          <cell r="AK44">
            <v>1.6E-2</v>
          </cell>
          <cell r="AL44">
            <v>1.2999999999999999E-2</v>
          </cell>
          <cell r="AM44">
            <v>8.9999999999999993E-3</v>
          </cell>
          <cell r="AN44">
            <v>6.0000000000000001E-3</v>
          </cell>
          <cell r="AO44">
            <v>3.0000000000000001E-3</v>
          </cell>
          <cell r="AP44">
            <v>9.9999999999966782E-4</v>
          </cell>
        </row>
        <row r="45">
          <cell r="A45">
            <v>41</v>
          </cell>
          <cell r="B45">
            <v>1</v>
          </cell>
          <cell r="C45">
            <v>5.0000000000000001E-4</v>
          </cell>
          <cell r="D45">
            <v>2E-3</v>
          </cell>
          <cell r="E45">
            <v>6.0000000000000001E-3</v>
          </cell>
          <cell r="F45">
            <v>8.9999999999999993E-3</v>
          </cell>
          <cell r="G45">
            <v>1.0999999999999999E-2</v>
          </cell>
          <cell r="H45">
            <v>1.4999999999999999E-2</v>
          </cell>
          <cell r="I45">
            <v>1.7999999999999999E-2</v>
          </cell>
          <cell r="J45">
            <v>2.1999999999999999E-2</v>
          </cell>
          <cell r="K45">
            <v>2.4E-2</v>
          </cell>
          <cell r="L45">
            <v>2.7E-2</v>
          </cell>
          <cell r="M45">
            <v>3.1E-2</v>
          </cell>
          <cell r="N45">
            <v>3.3000000000000002E-2</v>
          </cell>
          <cell r="O45">
            <v>3.4000000000000002E-2</v>
          </cell>
          <cell r="P45">
            <v>3.5000000000000003E-2</v>
          </cell>
          <cell r="Q45">
            <v>3.5000000000000003E-2</v>
          </cell>
          <cell r="R45">
            <v>3.5000000000000003E-2</v>
          </cell>
          <cell r="S45">
            <v>3.5000000000000003E-2</v>
          </cell>
          <cell r="T45">
            <v>3.5000000000000003E-2</v>
          </cell>
          <cell r="U45">
            <v>3.5000000000000003E-2</v>
          </cell>
          <cell r="V45">
            <v>3.5000000000000003E-2</v>
          </cell>
          <cell r="W45">
            <v>3.5000000000000003E-2</v>
          </cell>
          <cell r="X45">
            <v>3.5000000000000003E-2</v>
          </cell>
          <cell r="Y45">
            <v>3.5000000000000003E-2</v>
          </cell>
          <cell r="Z45">
            <v>3.5000000000000003E-2</v>
          </cell>
          <cell r="AA45">
            <v>3.5000000000000003E-2</v>
          </cell>
          <cell r="AB45">
            <v>3.5000000000000003E-2</v>
          </cell>
          <cell r="AC45">
            <v>3.5000000000000003E-2</v>
          </cell>
          <cell r="AD45">
            <v>3.5000000000000003E-2</v>
          </cell>
          <cell r="AE45">
            <v>3.4000000000000002E-2</v>
          </cell>
          <cell r="AF45">
            <v>3.3000000000000002E-2</v>
          </cell>
          <cell r="AG45">
            <v>0.03</v>
          </cell>
          <cell r="AH45">
            <v>2.8000000000000001E-2</v>
          </cell>
          <cell r="AI45">
            <v>2.5000000000000001E-2</v>
          </cell>
          <cell r="AJ45">
            <v>2.1999999999999999E-2</v>
          </cell>
          <cell r="AK45">
            <v>1.9E-2</v>
          </cell>
          <cell r="AL45">
            <v>1.7000000000000001E-2</v>
          </cell>
          <cell r="AM45">
            <v>1.2999999999999999E-2</v>
          </cell>
          <cell r="AN45">
            <v>0.01</v>
          </cell>
          <cell r="AO45">
            <v>7.0000000000000001E-3</v>
          </cell>
          <cell r="AP45">
            <v>3.0000000000000001E-3</v>
          </cell>
          <cell r="AQ45">
            <v>1.4999999999993907E-3</v>
          </cell>
        </row>
        <row r="46">
          <cell r="A46">
            <v>42</v>
          </cell>
          <cell r="B46">
            <v>1</v>
          </cell>
          <cell r="C46">
            <v>5.0000000000000001E-4</v>
          </cell>
          <cell r="D46">
            <v>3.0000000000000001E-3</v>
          </cell>
          <cell r="E46">
            <v>6.0000000000000001E-3</v>
          </cell>
          <cell r="F46">
            <v>8.9999999999999993E-3</v>
          </cell>
          <cell r="G46">
            <v>1.2999999999999999E-2</v>
          </cell>
          <cell r="H46">
            <v>1.4999999999999999E-2</v>
          </cell>
          <cell r="I46">
            <v>1.7999999999999999E-2</v>
          </cell>
          <cell r="J46">
            <v>2.3E-2</v>
          </cell>
          <cell r="K46">
            <v>2.4E-2</v>
          </cell>
          <cell r="L46">
            <v>2.7E-2</v>
          </cell>
          <cell r="M46">
            <v>3.1E-2</v>
          </cell>
          <cell r="N46">
            <v>3.3000000000000002E-2</v>
          </cell>
          <cell r="O46">
            <v>3.4000000000000002E-2</v>
          </cell>
          <cell r="P46">
            <v>3.4000000000000002E-2</v>
          </cell>
          <cell r="Q46">
            <v>3.4000000000000002E-2</v>
          </cell>
          <cell r="R46">
            <v>3.4000000000000002E-2</v>
          </cell>
          <cell r="S46">
            <v>3.4000000000000002E-2</v>
          </cell>
          <cell r="T46">
            <v>3.4000000000000002E-2</v>
          </cell>
          <cell r="U46">
            <v>3.4000000000000002E-2</v>
          </cell>
          <cell r="V46">
            <v>3.4000000000000002E-2</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3.3000000000000002E-2</v>
          </cell>
          <cell r="AG46">
            <v>0.03</v>
          </cell>
          <cell r="AH46">
            <v>2.8000000000000001E-2</v>
          </cell>
          <cell r="AI46">
            <v>2.4E-2</v>
          </cell>
          <cell r="AJ46">
            <v>2.1999999999999999E-2</v>
          </cell>
          <cell r="AK46">
            <v>1.9E-2</v>
          </cell>
          <cell r="AL46">
            <v>1.7000000000000001E-2</v>
          </cell>
          <cell r="AM46">
            <v>1.4999999999999999E-2</v>
          </cell>
          <cell r="AN46">
            <v>1.2999999999999999E-2</v>
          </cell>
          <cell r="AO46">
            <v>8.9999999999999993E-3</v>
          </cell>
          <cell r="AP46">
            <v>6.0000000000000001E-3</v>
          </cell>
          <cell r="AQ46">
            <v>2E-3</v>
          </cell>
          <cell r="AR46">
            <v>1.4999999999993907E-3</v>
          </cell>
        </row>
        <row r="47">
          <cell r="A47">
            <v>43</v>
          </cell>
          <cell r="B47">
            <v>1</v>
          </cell>
          <cell r="C47">
            <v>5.0000000000000001E-4</v>
          </cell>
          <cell r="D47">
            <v>3.0000000000000001E-3</v>
          </cell>
          <cell r="E47">
            <v>5.0000000000000001E-3</v>
          </cell>
          <cell r="F47">
            <v>8.9999999999999993E-3</v>
          </cell>
          <cell r="G47">
            <v>1.2E-2</v>
          </cell>
          <cell r="H47">
            <v>1.4999999999999999E-2</v>
          </cell>
          <cell r="I47">
            <v>1.7999999999999999E-2</v>
          </cell>
          <cell r="J47">
            <v>2.1999999999999999E-2</v>
          </cell>
          <cell r="K47">
            <v>2.4E-2</v>
          </cell>
          <cell r="L47">
            <v>2.7E-2</v>
          </cell>
          <cell r="M47">
            <v>3.1E-2</v>
          </cell>
          <cell r="N47">
            <v>3.2000000000000001E-2</v>
          </cell>
          <cell r="O47">
            <v>3.3000000000000002E-2</v>
          </cell>
          <cell r="P47">
            <v>3.3000000000000002E-2</v>
          </cell>
          <cell r="Q47">
            <v>3.3000000000000002E-2</v>
          </cell>
          <cell r="R47">
            <v>3.3000000000000002E-2</v>
          </cell>
          <cell r="S47">
            <v>3.3000000000000002E-2</v>
          </cell>
          <cell r="T47">
            <v>3.3000000000000002E-2</v>
          </cell>
          <cell r="U47">
            <v>3.3000000000000002E-2</v>
          </cell>
          <cell r="V47">
            <v>3.3000000000000002E-2</v>
          </cell>
          <cell r="W47">
            <v>3.3000000000000002E-2</v>
          </cell>
          <cell r="X47">
            <v>3.3000000000000002E-2</v>
          </cell>
          <cell r="Y47">
            <v>3.3000000000000002E-2</v>
          </cell>
          <cell r="Z47">
            <v>3.3000000000000002E-2</v>
          </cell>
          <cell r="AA47">
            <v>3.3000000000000002E-2</v>
          </cell>
          <cell r="AB47">
            <v>3.3000000000000002E-2</v>
          </cell>
          <cell r="AC47">
            <v>3.3000000000000002E-2</v>
          </cell>
          <cell r="AD47">
            <v>3.3000000000000002E-2</v>
          </cell>
          <cell r="AE47">
            <v>3.3000000000000002E-2</v>
          </cell>
          <cell r="AF47">
            <v>3.3000000000000002E-2</v>
          </cell>
          <cell r="AG47">
            <v>0.03</v>
          </cell>
          <cell r="AH47">
            <v>2.8000000000000001E-2</v>
          </cell>
          <cell r="AI47">
            <v>2.5000000000000001E-2</v>
          </cell>
          <cell r="AJ47">
            <v>2.3E-2</v>
          </cell>
          <cell r="AK47">
            <v>2.1999999999999999E-2</v>
          </cell>
          <cell r="AL47">
            <v>0.02</v>
          </cell>
          <cell r="AM47">
            <v>1.7999999999999999E-2</v>
          </cell>
          <cell r="AN47">
            <v>1.4E-2</v>
          </cell>
          <cell r="AO47">
            <v>1.0999999999999999E-2</v>
          </cell>
          <cell r="AP47">
            <v>8.0000000000000002E-3</v>
          </cell>
          <cell r="AQ47">
            <v>5.0000000000000001E-3</v>
          </cell>
          <cell r="AR47">
            <v>2E-3</v>
          </cell>
          <cell r="AS47">
            <v>1.4999999999993907E-3</v>
          </cell>
        </row>
        <row r="48">
          <cell r="A48">
            <v>44</v>
          </cell>
          <cell r="B48">
            <v>1</v>
          </cell>
          <cell r="C48">
            <v>5.0000000000000001E-4</v>
          </cell>
          <cell r="D48">
            <v>3.0000000000000001E-3</v>
          </cell>
          <cell r="E48">
            <v>6.0000000000000001E-3</v>
          </cell>
          <cell r="F48">
            <v>8.9999999999999993E-3</v>
          </cell>
          <cell r="G48">
            <v>1.0999999999999999E-2</v>
          </cell>
          <cell r="H48">
            <v>1.4999999999999999E-2</v>
          </cell>
          <cell r="I48">
            <v>1.7000000000000001E-2</v>
          </cell>
          <cell r="J48">
            <v>0.02</v>
          </cell>
          <cell r="K48">
            <v>2.4E-2</v>
          </cell>
          <cell r="L48">
            <v>2.5999999999999999E-2</v>
          </cell>
          <cell r="M48">
            <v>2.8000000000000001E-2</v>
          </cell>
          <cell r="N48">
            <v>0.03</v>
          </cell>
          <cell r="O48">
            <v>3.1E-2</v>
          </cell>
          <cell r="P48">
            <v>3.2000000000000001E-2</v>
          </cell>
          <cell r="Q48">
            <v>3.3000000000000002E-2</v>
          </cell>
          <cell r="R48">
            <v>3.3000000000000002E-2</v>
          </cell>
          <cell r="S48">
            <v>3.3000000000000002E-2</v>
          </cell>
          <cell r="T48">
            <v>3.3000000000000002E-2</v>
          </cell>
          <cell r="U48">
            <v>3.3000000000000002E-2</v>
          </cell>
          <cell r="V48">
            <v>3.3000000000000002E-2</v>
          </cell>
          <cell r="W48">
            <v>3.3000000000000002E-2</v>
          </cell>
          <cell r="X48">
            <v>3.3000000000000002E-2</v>
          </cell>
          <cell r="Y48">
            <v>3.3000000000000002E-2</v>
          </cell>
          <cell r="Z48">
            <v>3.3000000000000002E-2</v>
          </cell>
          <cell r="AA48">
            <v>3.3000000000000002E-2</v>
          </cell>
          <cell r="AB48">
            <v>3.3000000000000002E-2</v>
          </cell>
          <cell r="AC48">
            <v>3.3000000000000002E-2</v>
          </cell>
          <cell r="AD48">
            <v>3.3000000000000002E-2</v>
          </cell>
          <cell r="AE48">
            <v>3.3000000000000002E-2</v>
          </cell>
          <cell r="AF48">
            <v>3.3000000000000002E-2</v>
          </cell>
          <cell r="AG48">
            <v>3.1E-2</v>
          </cell>
          <cell r="AH48">
            <v>2.8000000000000001E-2</v>
          </cell>
          <cell r="AI48">
            <v>2.5000000000000001E-2</v>
          </cell>
          <cell r="AJ48">
            <v>2.3E-2</v>
          </cell>
          <cell r="AK48">
            <v>2.1000000000000001E-2</v>
          </cell>
          <cell r="AL48">
            <v>0.02</v>
          </cell>
          <cell r="AM48">
            <v>1.7999999999999999E-2</v>
          </cell>
          <cell r="AN48">
            <v>1.4999999999999999E-2</v>
          </cell>
          <cell r="AO48">
            <v>1.2999999999999999E-2</v>
          </cell>
          <cell r="AP48">
            <v>0.01</v>
          </cell>
          <cell r="AQ48">
            <v>8.0000000000000002E-3</v>
          </cell>
          <cell r="AR48">
            <v>4.0000000000000001E-3</v>
          </cell>
          <cell r="AS48">
            <v>2E-3</v>
          </cell>
          <cell r="AT48">
            <v>1.4999999999993907E-3</v>
          </cell>
        </row>
        <row r="49">
          <cell r="A49">
            <v>45</v>
          </cell>
          <cell r="B49">
            <v>1</v>
          </cell>
          <cell r="C49">
            <v>5.0000000000000001E-4</v>
          </cell>
          <cell r="D49">
            <v>3.0000000000000001E-3</v>
          </cell>
          <cell r="E49">
            <v>6.0000000000000001E-3</v>
          </cell>
          <cell r="F49">
            <v>8.0000000000000002E-3</v>
          </cell>
          <cell r="G49">
            <v>0.01</v>
          </cell>
          <cell r="H49">
            <v>1.4E-2</v>
          </cell>
          <cell r="I49">
            <v>1.7000000000000001E-2</v>
          </cell>
          <cell r="J49">
            <v>0.02</v>
          </cell>
          <cell r="K49">
            <v>2.1999999999999999E-2</v>
          </cell>
          <cell r="L49">
            <v>2.4E-2</v>
          </cell>
          <cell r="M49">
            <v>2.7E-2</v>
          </cell>
          <cell r="N49">
            <v>2.9000000000000001E-2</v>
          </cell>
          <cell r="O49">
            <v>3.1E-2</v>
          </cell>
          <cell r="P49">
            <v>3.2000000000000001E-2</v>
          </cell>
          <cell r="Q49">
            <v>3.2000000000000001E-2</v>
          </cell>
          <cell r="R49">
            <v>3.2000000000000001E-2</v>
          </cell>
          <cell r="S49">
            <v>3.2000000000000001E-2</v>
          </cell>
          <cell r="T49">
            <v>3.2000000000000001E-2</v>
          </cell>
          <cell r="U49">
            <v>3.2000000000000001E-2</v>
          </cell>
          <cell r="V49">
            <v>3.2000000000000001E-2</v>
          </cell>
          <cell r="W49">
            <v>3.2000000000000001E-2</v>
          </cell>
          <cell r="X49">
            <v>3.2000000000000001E-2</v>
          </cell>
          <cell r="Y49">
            <v>3.2000000000000001E-2</v>
          </cell>
          <cell r="Z49">
            <v>3.2000000000000001E-2</v>
          </cell>
          <cell r="AA49">
            <v>3.2000000000000001E-2</v>
          </cell>
          <cell r="AB49">
            <v>3.2000000000000001E-2</v>
          </cell>
          <cell r="AC49">
            <v>3.2000000000000001E-2</v>
          </cell>
          <cell r="AD49">
            <v>3.2000000000000001E-2</v>
          </cell>
          <cell r="AE49">
            <v>3.2000000000000001E-2</v>
          </cell>
          <cell r="AF49">
            <v>3.2000000000000001E-2</v>
          </cell>
          <cell r="AG49">
            <v>3.1E-2</v>
          </cell>
          <cell r="AH49">
            <v>2.8000000000000001E-2</v>
          </cell>
          <cell r="AI49">
            <v>2.5999999999999999E-2</v>
          </cell>
          <cell r="AJ49">
            <v>2.5000000000000001E-2</v>
          </cell>
          <cell r="AK49">
            <v>2.3E-2</v>
          </cell>
          <cell r="AL49">
            <v>2.1000000000000001E-2</v>
          </cell>
          <cell r="AM49">
            <v>0.02</v>
          </cell>
          <cell r="AN49">
            <v>1.7000000000000001E-2</v>
          </cell>
          <cell r="AO49">
            <v>1.4999999999999999E-2</v>
          </cell>
          <cell r="AP49">
            <v>1.2999999999999999E-2</v>
          </cell>
          <cell r="AQ49">
            <v>0.01</v>
          </cell>
          <cell r="AR49">
            <v>8.0000000000000002E-3</v>
          </cell>
          <cell r="AS49">
            <v>4.0000000000000001E-3</v>
          </cell>
          <cell r="AT49">
            <v>2E-3</v>
          </cell>
          <cell r="AU49">
            <v>1.4999999999993907E-3</v>
          </cell>
        </row>
        <row r="50">
          <cell r="A50">
            <v>46</v>
          </cell>
          <cell r="B50">
            <v>1</v>
          </cell>
          <cell r="C50">
            <v>5.0000000000000001E-4</v>
          </cell>
          <cell r="D50">
            <v>3.0000000000000001E-3</v>
          </cell>
          <cell r="E50">
            <v>6.0000000000000001E-3</v>
          </cell>
          <cell r="F50">
            <v>8.0000000000000002E-3</v>
          </cell>
          <cell r="G50">
            <v>1.2E-2</v>
          </cell>
          <cell r="H50">
            <v>1.4E-2</v>
          </cell>
          <cell r="I50">
            <v>1.7000000000000001E-2</v>
          </cell>
          <cell r="J50">
            <v>0.02</v>
          </cell>
          <cell r="K50">
            <v>2.1000000000000001E-2</v>
          </cell>
          <cell r="L50">
            <v>2.4E-2</v>
          </cell>
          <cell r="M50">
            <v>2.7E-2</v>
          </cell>
          <cell r="N50">
            <v>2.9000000000000001E-2</v>
          </cell>
          <cell r="O50">
            <v>0.03</v>
          </cell>
          <cell r="P50">
            <v>3.1E-2</v>
          </cell>
          <cell r="Q50">
            <v>3.1E-2</v>
          </cell>
          <cell r="R50">
            <v>3.1E-2</v>
          </cell>
          <cell r="S50">
            <v>3.1E-2</v>
          </cell>
          <cell r="T50">
            <v>3.1E-2</v>
          </cell>
          <cell r="U50">
            <v>3.1E-2</v>
          </cell>
          <cell r="V50">
            <v>3.1E-2</v>
          </cell>
          <cell r="W50">
            <v>3.1E-2</v>
          </cell>
          <cell r="X50">
            <v>3.1E-2</v>
          </cell>
          <cell r="Y50">
            <v>3.1E-2</v>
          </cell>
          <cell r="Z50">
            <v>3.1E-2</v>
          </cell>
          <cell r="AA50">
            <v>3.1E-2</v>
          </cell>
          <cell r="AB50">
            <v>3.1E-2</v>
          </cell>
          <cell r="AC50">
            <v>3.1E-2</v>
          </cell>
          <cell r="AD50">
            <v>3.1E-2</v>
          </cell>
          <cell r="AE50">
            <v>3.1E-2</v>
          </cell>
          <cell r="AF50">
            <v>3.1E-2</v>
          </cell>
          <cell r="AG50">
            <v>3.1E-2</v>
          </cell>
          <cell r="AH50">
            <v>3.1E-2</v>
          </cell>
          <cell r="AI50">
            <v>2.9000000000000001E-2</v>
          </cell>
          <cell r="AJ50">
            <v>2.7E-2</v>
          </cell>
          <cell r="AK50">
            <v>2.4E-2</v>
          </cell>
          <cell r="AL50">
            <v>2.1000000000000001E-2</v>
          </cell>
          <cell r="AM50">
            <v>0.02</v>
          </cell>
          <cell r="AN50">
            <v>1.7000000000000001E-2</v>
          </cell>
          <cell r="AO50">
            <v>1.6E-2</v>
          </cell>
          <cell r="AP50">
            <v>1.2999999999999999E-2</v>
          </cell>
          <cell r="AQ50">
            <v>1.0999999999999999E-2</v>
          </cell>
          <cell r="AR50">
            <v>8.0000000000000002E-3</v>
          </cell>
          <cell r="AS50">
            <v>7.0000000000000001E-3</v>
          </cell>
          <cell r="AT50">
            <v>3.0000000000000001E-3</v>
          </cell>
          <cell r="AU50">
            <v>2E-3</v>
          </cell>
          <cell r="AV50">
            <v>1.4999999999993907E-3</v>
          </cell>
        </row>
        <row r="51">
          <cell r="A51">
            <v>47</v>
          </cell>
          <cell r="B51">
            <v>1</v>
          </cell>
          <cell r="C51">
            <v>5.0000000000000001E-4</v>
          </cell>
          <cell r="D51">
            <v>3.0000000000000001E-3</v>
          </cell>
          <cell r="E51">
            <v>6.0000000000000001E-3</v>
          </cell>
          <cell r="F51">
            <v>8.0000000000000002E-3</v>
          </cell>
          <cell r="G51">
            <v>1.0999999999999999E-2</v>
          </cell>
          <cell r="H51">
            <v>1.4E-2</v>
          </cell>
          <cell r="I51">
            <v>1.7000000000000001E-2</v>
          </cell>
          <cell r="J51">
            <v>1.9E-2</v>
          </cell>
          <cell r="K51">
            <v>0.02</v>
          </cell>
          <cell r="L51">
            <v>2.1999999999999999E-2</v>
          </cell>
          <cell r="M51">
            <v>2.4E-2</v>
          </cell>
          <cell r="N51">
            <v>2.7E-2</v>
          </cell>
          <cell r="O51">
            <v>2.8000000000000001E-2</v>
          </cell>
          <cell r="P51">
            <v>2.9000000000000001E-2</v>
          </cell>
          <cell r="Q51">
            <v>0.03</v>
          </cell>
          <cell r="R51">
            <v>0.03</v>
          </cell>
          <cell r="S51">
            <v>0.03</v>
          </cell>
          <cell r="T51">
            <v>0.03</v>
          </cell>
          <cell r="U51">
            <v>0.03</v>
          </cell>
          <cell r="V51">
            <v>0.03</v>
          </cell>
          <cell r="W51">
            <v>0.03</v>
          </cell>
          <cell r="X51">
            <v>0.03</v>
          </cell>
          <cell r="Y51">
            <v>0.03</v>
          </cell>
          <cell r="Z51">
            <v>0.03</v>
          </cell>
          <cell r="AA51">
            <v>0.03</v>
          </cell>
          <cell r="AB51">
            <v>0.03</v>
          </cell>
          <cell r="AC51">
            <v>0.03</v>
          </cell>
          <cell r="AD51">
            <v>0.03</v>
          </cell>
          <cell r="AE51">
            <v>0.03</v>
          </cell>
          <cell r="AF51">
            <v>0.03</v>
          </cell>
          <cell r="AG51">
            <v>0.03</v>
          </cell>
          <cell r="AH51">
            <v>0.03</v>
          </cell>
          <cell r="AI51">
            <v>0.03</v>
          </cell>
          <cell r="AJ51">
            <v>2.7E-2</v>
          </cell>
          <cell r="AK51">
            <v>2.5999999999999999E-2</v>
          </cell>
          <cell r="AL51">
            <v>2.3E-2</v>
          </cell>
          <cell r="AM51">
            <v>2.1999999999999999E-2</v>
          </cell>
          <cell r="AN51">
            <v>0.02</v>
          </cell>
          <cell r="AO51">
            <v>0.02</v>
          </cell>
          <cell r="AP51">
            <v>1.6E-2</v>
          </cell>
          <cell r="AQ51">
            <v>1.4E-2</v>
          </cell>
          <cell r="AR51">
            <v>1.2E-2</v>
          </cell>
          <cell r="AS51">
            <v>8.9999999999999993E-3</v>
          </cell>
          <cell r="AT51">
            <v>6.0000000000000001E-3</v>
          </cell>
          <cell r="AU51">
            <v>3.0000000000000001E-3</v>
          </cell>
          <cell r="AV51">
            <v>2E-3</v>
          </cell>
          <cell r="AW51">
            <v>1.4999999999993907E-3</v>
          </cell>
        </row>
        <row r="52">
          <cell r="A52">
            <v>48</v>
          </cell>
          <cell r="B52">
            <v>1</v>
          </cell>
          <cell r="C52">
            <v>5.0000000000000001E-4</v>
          </cell>
          <cell r="D52">
            <v>2E-3</v>
          </cell>
          <cell r="E52">
            <v>5.0000000000000001E-3</v>
          </cell>
          <cell r="F52">
            <v>8.0000000000000002E-3</v>
          </cell>
          <cell r="G52">
            <v>1.0999999999999999E-2</v>
          </cell>
          <cell r="H52">
            <v>1.4E-2</v>
          </cell>
          <cell r="I52">
            <v>1.6E-2</v>
          </cell>
          <cell r="J52">
            <v>1.9E-2</v>
          </cell>
          <cell r="K52">
            <v>0.02</v>
          </cell>
          <cell r="L52">
            <v>2.1999999999999999E-2</v>
          </cell>
          <cell r="M52">
            <v>2.4E-2</v>
          </cell>
          <cell r="N52">
            <v>2.5000000000000001E-2</v>
          </cell>
          <cell r="O52">
            <v>2.5999999999999999E-2</v>
          </cell>
          <cell r="P52">
            <v>2.8000000000000001E-2</v>
          </cell>
          <cell r="Q52">
            <v>2.9000000000000001E-2</v>
          </cell>
          <cell r="R52">
            <v>0.03</v>
          </cell>
          <cell r="S52">
            <v>0.03</v>
          </cell>
          <cell r="T52">
            <v>0.03</v>
          </cell>
          <cell r="U52">
            <v>0.03</v>
          </cell>
          <cell r="V52">
            <v>0.03</v>
          </cell>
          <cell r="W52">
            <v>0.03</v>
          </cell>
          <cell r="X52">
            <v>0.03</v>
          </cell>
          <cell r="Y52">
            <v>0.03</v>
          </cell>
          <cell r="Z52">
            <v>0.03</v>
          </cell>
          <cell r="AA52">
            <v>0.03</v>
          </cell>
          <cell r="AB52">
            <v>0.03</v>
          </cell>
          <cell r="AC52">
            <v>0.03</v>
          </cell>
          <cell r="AD52">
            <v>0.03</v>
          </cell>
          <cell r="AE52">
            <v>0.03</v>
          </cell>
          <cell r="AF52">
            <v>0.03</v>
          </cell>
          <cell r="AG52">
            <v>0.03</v>
          </cell>
          <cell r="AH52">
            <v>0.03</v>
          </cell>
          <cell r="AI52">
            <v>0.03</v>
          </cell>
          <cell r="AJ52">
            <v>2.8000000000000001E-2</v>
          </cell>
          <cell r="AK52">
            <v>2.5999999999999999E-2</v>
          </cell>
          <cell r="AL52">
            <v>2.3E-2</v>
          </cell>
          <cell r="AM52">
            <v>2.1999999999999999E-2</v>
          </cell>
          <cell r="AN52">
            <v>0.02</v>
          </cell>
          <cell r="AO52">
            <v>0.02</v>
          </cell>
          <cell r="AP52">
            <v>1.6E-2</v>
          </cell>
          <cell r="AQ52">
            <v>1.4E-2</v>
          </cell>
          <cell r="AR52">
            <v>1.2E-2</v>
          </cell>
          <cell r="AS52">
            <v>0.01</v>
          </cell>
          <cell r="AT52">
            <v>7.0000000000000001E-3</v>
          </cell>
          <cell r="AU52">
            <v>6.0000000000000001E-3</v>
          </cell>
          <cell r="AV52">
            <v>3.0000000000000001E-3</v>
          </cell>
          <cell r="AW52">
            <v>2E-3</v>
          </cell>
          <cell r="AX52">
            <v>1.4999999999993907E-3</v>
          </cell>
        </row>
        <row r="53">
          <cell r="A53">
            <v>49</v>
          </cell>
          <cell r="B53">
            <v>1</v>
          </cell>
          <cell r="C53">
            <v>5.0000000000000001E-4</v>
          </cell>
          <cell r="D53">
            <v>2E-3</v>
          </cell>
          <cell r="E53">
            <v>5.0000000000000001E-3</v>
          </cell>
          <cell r="F53">
            <v>8.0000000000000002E-3</v>
          </cell>
          <cell r="G53">
            <v>1.0999999999999999E-2</v>
          </cell>
          <cell r="H53">
            <v>1.4E-2</v>
          </cell>
          <cell r="I53">
            <v>1.6E-2</v>
          </cell>
          <cell r="J53">
            <v>1.7000000000000001E-2</v>
          </cell>
          <cell r="K53">
            <v>1.9E-2</v>
          </cell>
          <cell r="L53">
            <v>2.1000000000000001E-2</v>
          </cell>
          <cell r="M53">
            <v>2.3E-2</v>
          </cell>
          <cell r="N53">
            <v>2.4E-2</v>
          </cell>
          <cell r="O53">
            <v>2.5000000000000001E-2</v>
          </cell>
          <cell r="P53">
            <v>2.5999999999999999E-2</v>
          </cell>
          <cell r="Q53">
            <v>2.8000000000000001E-2</v>
          </cell>
          <cell r="R53">
            <v>2.9000000000000001E-2</v>
          </cell>
          <cell r="S53">
            <v>2.9000000000000001E-2</v>
          </cell>
          <cell r="T53">
            <v>2.9000000000000001E-2</v>
          </cell>
          <cell r="U53">
            <v>2.9000000000000001E-2</v>
          </cell>
          <cell r="V53">
            <v>2.9000000000000001E-2</v>
          </cell>
          <cell r="W53">
            <v>2.9000000000000001E-2</v>
          </cell>
          <cell r="X53">
            <v>2.9000000000000001E-2</v>
          </cell>
          <cell r="Y53">
            <v>2.9000000000000001E-2</v>
          </cell>
          <cell r="Z53">
            <v>2.9000000000000001E-2</v>
          </cell>
          <cell r="AA53">
            <v>2.9000000000000001E-2</v>
          </cell>
          <cell r="AB53">
            <v>2.9000000000000001E-2</v>
          </cell>
          <cell r="AC53">
            <v>2.9000000000000001E-2</v>
          </cell>
          <cell r="AD53">
            <v>2.9000000000000001E-2</v>
          </cell>
          <cell r="AE53">
            <v>2.9000000000000001E-2</v>
          </cell>
          <cell r="AF53">
            <v>2.9000000000000001E-2</v>
          </cell>
          <cell r="AG53">
            <v>2.9000000000000001E-2</v>
          </cell>
          <cell r="AH53">
            <v>2.9000000000000001E-2</v>
          </cell>
          <cell r="AI53">
            <v>2.9000000000000001E-2</v>
          </cell>
          <cell r="AJ53">
            <v>2.8000000000000001E-2</v>
          </cell>
          <cell r="AK53">
            <v>2.5999999999999999E-2</v>
          </cell>
          <cell r="AL53">
            <v>2.4E-2</v>
          </cell>
          <cell r="AM53">
            <v>2.1999999999999999E-2</v>
          </cell>
          <cell r="AN53">
            <v>2.1000000000000001E-2</v>
          </cell>
          <cell r="AO53">
            <v>0.02</v>
          </cell>
          <cell r="AP53">
            <v>1.9E-2</v>
          </cell>
          <cell r="AQ53">
            <v>1.7000000000000001E-2</v>
          </cell>
          <cell r="AR53">
            <v>1.4999999999999999E-2</v>
          </cell>
          <cell r="AS53">
            <v>1.2999999999999999E-2</v>
          </cell>
          <cell r="AT53">
            <v>1.2E-2</v>
          </cell>
          <cell r="AU53">
            <v>8.9999999999999993E-3</v>
          </cell>
          <cell r="AV53">
            <v>6.0000000000000001E-3</v>
          </cell>
          <cell r="AW53">
            <v>3.0000000000000001E-3</v>
          </cell>
          <cell r="AX53">
            <v>2E-3</v>
          </cell>
          <cell r="AY53">
            <v>1.4999999999993907E-3</v>
          </cell>
        </row>
        <row r="54">
          <cell r="A54">
            <v>50</v>
          </cell>
          <cell r="B54">
            <v>1</v>
          </cell>
          <cell r="C54">
            <v>5.0000000000000001E-4</v>
          </cell>
          <cell r="D54">
            <v>2E-3</v>
          </cell>
          <cell r="E54">
            <v>5.0000000000000001E-3</v>
          </cell>
          <cell r="F54">
            <v>7.0000000000000001E-3</v>
          </cell>
          <cell r="G54">
            <v>0.01</v>
          </cell>
          <cell r="H54">
            <v>1.2999999999999999E-2</v>
          </cell>
          <cell r="I54">
            <v>1.4E-2</v>
          </cell>
          <cell r="J54">
            <v>1.6E-2</v>
          </cell>
          <cell r="K54">
            <v>1.7999999999999999E-2</v>
          </cell>
          <cell r="L54">
            <v>0.02</v>
          </cell>
          <cell r="M54">
            <v>2.1000000000000001E-2</v>
          </cell>
          <cell r="N54">
            <v>2.3E-2</v>
          </cell>
          <cell r="O54">
            <v>2.4E-2</v>
          </cell>
          <cell r="P54">
            <v>2.5999999999999999E-2</v>
          </cell>
          <cell r="Q54">
            <v>2.7E-2</v>
          </cell>
          <cell r="R54">
            <v>2.8000000000000001E-2</v>
          </cell>
          <cell r="S54">
            <v>2.9000000000000001E-2</v>
          </cell>
          <cell r="T54">
            <v>2.9000000000000001E-2</v>
          </cell>
          <cell r="U54">
            <v>2.9000000000000001E-2</v>
          </cell>
          <cell r="V54">
            <v>2.9000000000000001E-2</v>
          </cell>
          <cell r="W54">
            <v>2.9000000000000001E-2</v>
          </cell>
          <cell r="X54">
            <v>2.9000000000000001E-2</v>
          </cell>
          <cell r="Y54">
            <v>2.9000000000000001E-2</v>
          </cell>
          <cell r="Z54">
            <v>2.9000000000000001E-2</v>
          </cell>
          <cell r="AA54">
            <v>2.9000000000000001E-2</v>
          </cell>
          <cell r="AB54">
            <v>2.9000000000000001E-2</v>
          </cell>
          <cell r="AC54">
            <v>2.9000000000000001E-2</v>
          </cell>
          <cell r="AD54">
            <v>2.9000000000000001E-2</v>
          </cell>
          <cell r="AE54">
            <v>2.9000000000000001E-2</v>
          </cell>
          <cell r="AF54">
            <v>2.9000000000000001E-2</v>
          </cell>
          <cell r="AG54">
            <v>2.9000000000000001E-2</v>
          </cell>
          <cell r="AH54">
            <v>2.9000000000000001E-2</v>
          </cell>
          <cell r="AI54">
            <v>2.9000000000000001E-2</v>
          </cell>
          <cell r="AJ54">
            <v>2.8000000000000001E-2</v>
          </cell>
          <cell r="AK54">
            <v>2.5999999999999999E-2</v>
          </cell>
          <cell r="AL54">
            <v>2.4E-2</v>
          </cell>
          <cell r="AM54">
            <v>2.3E-2</v>
          </cell>
          <cell r="AN54">
            <v>2.1999999999999999E-2</v>
          </cell>
          <cell r="AO54">
            <v>2.1000000000000001E-2</v>
          </cell>
          <cell r="AP54">
            <v>1.9E-2</v>
          </cell>
          <cell r="AQ54">
            <v>1.7999999999999999E-2</v>
          </cell>
          <cell r="AR54">
            <v>1.7000000000000001E-2</v>
          </cell>
          <cell r="AS54">
            <v>1.2999999999999999E-2</v>
          </cell>
          <cell r="AT54">
            <v>1.2E-2</v>
          </cell>
          <cell r="AU54">
            <v>0.01</v>
          </cell>
          <cell r="AV54">
            <v>8.0000000000000002E-3</v>
          </cell>
          <cell r="AW54">
            <v>5.0000000000000001E-3</v>
          </cell>
          <cell r="AX54">
            <v>3.0000000000000001E-3</v>
          </cell>
          <cell r="AY54">
            <v>2E-3</v>
          </cell>
          <cell r="AZ54">
            <v>1.4999999999993907E-3</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보온재 TOTAL BM"/>
      <sheetName val="견적가검토(1)"/>
      <sheetName val="견적가검토(2)"/>
      <sheetName val="PC 여유율"/>
      <sheetName val="Chiet tinh dz35"/>
      <sheetName val="물량산출용BM(원본)"/>
      <sheetName val="Sheet1"/>
      <sheetName val="대비내역"/>
      <sheetName val="BLR 1"/>
      <sheetName val="GEN"/>
      <sheetName val="GAS"/>
      <sheetName val="DEAE"/>
      <sheetName val="BLR2"/>
      <sheetName val="BLR3"/>
      <sheetName val="BLR4"/>
      <sheetName val="BLR5"/>
      <sheetName val="DEM"/>
      <sheetName val="SAM"/>
      <sheetName val="CHEM"/>
      <sheetName val="COP"/>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mp;L (Consol)"/>
      <sheetName val="Co.1"/>
      <sheetName val="P&amp;L-EH"/>
      <sheetName val="P&amp;L-GDP"/>
      <sheetName val="P&amp;L-EL"/>
      <sheetName val="P&amp;L-DM"/>
      <sheetName val="P&amp;L-lab"/>
      <sheetName val="BS"/>
      <sheetName val="Notes"/>
    </sheetNames>
    <sheetDataSet>
      <sheetData sheetId="0">
        <row r="22">
          <cell r="D22">
            <v>37135</v>
          </cell>
        </row>
      </sheetData>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Mix Design"/>
      <sheetName val="Equipment  Output"/>
      <sheetName val="Cost of O &amp; O"/>
      <sheetName val="Barrier, Railings"/>
      <sheetName val="VARIOUS STONES"/>
      <sheetName val="Catch Pit"/>
      <sheetName val="KERBS"/>
      <sheetName val="Lead"/>
      <sheetName val="ANAL"/>
      <sheetName val="INPUT"/>
      <sheetName val="DETAILED"/>
    </sheetNames>
    <sheetDataSet>
      <sheetData sheetId="0"/>
      <sheetData sheetId="1"/>
      <sheetData sheetId="2"/>
      <sheetData sheetId="3"/>
      <sheetData sheetId="4">
        <row r="13">
          <cell r="F13">
            <v>28.941176470588236</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2"/>
      <sheetName val="Format 2A"/>
      <sheetName val="Index"/>
      <sheetName val="TOP SHEET"/>
      <sheetName val="S4"/>
      <sheetName val="SITE OVERHEADS"/>
      <sheetName val="dept"/>
      <sheetName val="P &amp; M ABS"/>
      <sheetName val="P &amp; M DEP"/>
      <sheetName val="P &amp; M OPER"/>
      <sheetName val="P &amp; M FUEL MAIN"/>
      <sheetName val="Basic Material Prices"/>
      <sheetName val="EW &amp; BF"/>
      <sheetName val="concrete"/>
      <sheetName val="Formwork costing"/>
      <sheetName val="formwork"/>
      <sheetName val="FloorBeam"/>
      <sheetName val="Costing for FW"/>
      <sheetName val="steelworks"/>
      <sheetName val="Masonry"/>
      <sheetName val="Flooring &amp; Painting"/>
      <sheetName val="Toilet WP"/>
      <sheetName val="Site Toilet Facilities"/>
      <sheetName val="Sanitary works"/>
      <sheetName val="Miscellaneous"/>
      <sheetName val="ACE-Top"/>
      <sheetName val="Working-Fab,Erec etc"/>
      <sheetName val="list"/>
      <sheetName val="Fill this out first..."/>
      <sheetName val="DetEst"/>
      <sheetName val="labo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OEC"/>
      <sheetName val="CABLE BULK"/>
      <sheetName val="BLR 1"/>
      <sheetName val="GEN"/>
      <sheetName val="GAS"/>
      <sheetName val="DEAE"/>
      <sheetName val="BLR2"/>
      <sheetName val="BLR3"/>
      <sheetName val="BLR4"/>
      <sheetName val="BLR5"/>
      <sheetName val="DEM"/>
      <sheetName val="SAM"/>
      <sheetName val="CHEM"/>
      <sheetName val="COP"/>
      <sheetName val="6-2차"/>
      <sheetName val="MC-01"/>
      <sheetName val="SUMMARY (0)"/>
      <sheetName val="COA-17"/>
      <sheetName val="C-18"/>
      <sheetName val="Rev P"/>
      <sheetName val="WORKING"/>
      <sheetName val="BQ List MNHRS"/>
      <sheetName val="PipWT"/>
      <sheetName val="97 사업추정(WEKI)"/>
      <sheetName val="eq_data"/>
      <sheetName val="ELEC_DCI"/>
      <sheetName val="INST_DCI"/>
      <sheetName val="장비비-관세+운반비+가설발전-동원계획"/>
      <sheetName val="ANALYSER"/>
      <sheetName val="FWBS7000,8000"/>
      <sheetName val="INS"/>
      <sheetName val="갑지"/>
      <sheetName val="Resource"/>
      <sheetName val="환율표"/>
      <sheetName val="h-013211-2"/>
      <sheetName val="가도공"/>
      <sheetName val="대비내역"/>
      <sheetName val="일위대가"/>
      <sheetName val="전기일위대가"/>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Cost of O &amp; O"/>
      <sheetName val="Analysis"/>
      <sheetName val="Analy_7-10"/>
      <sheetName val="basdat"/>
      <sheetName val="S2groupcod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PRECAST lightconc_II"/>
      <sheetName val="Friends"/>
      <sheetName val="College Details"/>
      <sheetName val="Personal "/>
      <sheetName val="Office"/>
      <sheetName val="CF-det"/>
      <sheetName val="Cleaning &amp; Grubbing"/>
      <sheetName val="GN_ST_10"/>
      <sheetName val="ORDER BOOKING"/>
      <sheetName val="IHC"/>
      <sheetName val="bhilai"/>
      <sheetName val="jidal dam"/>
      <sheetName val="delo"/>
      <sheetName val="fran temp"/>
      <sheetName val="gagan"/>
      <sheetName val="hsbc"/>
      <sheetName val="jeedi"/>
      <sheetName val="kona swit"/>
      <sheetName val="template (8)"/>
      <sheetName val="template (9)"/>
      <sheetName val="Design"/>
      <sheetName val="TBAL9697 -group wise  sdpl"/>
      <sheetName val="OVER HEADS"/>
      <sheetName val="Cover Sheet"/>
      <sheetName val="BOQ REV A"/>
      <sheetName val="BOQ"/>
      <sheetName val="PTB (IO)"/>
      <sheetName val="BMS "/>
      <sheetName val="SPT vs PHI"/>
      <sheetName val="PIPING"/>
      <sheetName val="八幡"/>
      <sheetName val="300x500"/>
      <sheetName val="scurve calc (2)"/>
      <sheetName val="Direct cost shed A-2 "/>
      <sheetName val="#REF!"/>
      <sheetName val="Boq Block A"/>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ITE OVERHEADS"/>
      <sheetName val="labour coeff"/>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Civil Boq"/>
      <sheetName val="dBase"/>
      <sheetName val="SUMMARY(E)"/>
      <sheetName val="List"/>
      <sheetName val="Meas.-Hotel Part"/>
      <sheetName val="Contract Night Staff"/>
      <sheetName val="Contract Day Staff"/>
      <sheetName val="Day Shift"/>
      <sheetName val="Night Shift"/>
      <sheetName val="Headings"/>
      <sheetName val="22.12.2011"/>
      <sheetName val="Fee Rate Summary"/>
      <sheetName val="BOQ_Direct_selling cost"/>
      <sheetName val="factors"/>
      <sheetName val=" 09.07.10 M顅ᎆ뤀ᨇ԰_x0000_缀_x0000_"/>
      <sheetName val="beam-reinft"/>
      <sheetName val="Build-up"/>
      <sheetName val="BOQ (2)"/>
      <sheetName val="2gii"/>
      <sheetName val="Meas__Hotel Part"/>
      <sheetName val="St.co.91.5lvl"/>
      <sheetName val="Data"/>
      <sheetName val="Lead"/>
      <sheetName val="Sheet2"/>
      <sheetName val="Sales &amp; Prod"/>
      <sheetName val="IO List"/>
      <sheetName val="Detail"/>
      <sheetName val="final abstract"/>
      <sheetName val="Fill this out first..."/>
      <sheetName val="INPUT SHEET"/>
      <sheetName val="temp"/>
      <sheetName val="GBW"/>
      <sheetName val="HEAD"/>
      <sheetName val="Labour productivity"/>
      <sheetName val="SP Break Up"/>
      <sheetName val="공장별판관비배부"/>
      <sheetName val="Staff Acco."/>
      <sheetName val="Costing"/>
      <sheetName val=" 09.07.10 M顅ᎆ뤀ᨇ԰?缀?"/>
      <sheetName val="TBAL9697 _group wise  sdpl"/>
      <sheetName val="Intake"/>
      <sheetName val="inWords"/>
      <sheetName val="Ave.wtd.rates"/>
      <sheetName val="Material "/>
      <sheetName val="Labour &amp; Plant"/>
      <sheetName val="Cashflow projection"/>
      <sheetName val="Item- Compact"/>
      <sheetName val="PA- Consutant "/>
      <sheetName val="HVAC"/>
      <sheetName val="BS8007"/>
      <sheetName val="Civil Works"/>
      <sheetName val="DataInput"/>
      <sheetName val="DataInput-1"/>
      <sheetName val="DI Rate Analysis"/>
      <sheetName val="Economic RisingMain  Ph-I"/>
      <sheetName val="master"/>
      <sheetName val="Assumptions"/>
      <sheetName val="col-reinft1"/>
      <sheetName val="section"/>
      <sheetName val="MN T.B."/>
      <sheetName val="Structure Bills Qty"/>
      <sheetName val="dlvoid"/>
      <sheetName val="UnitPrices"/>
      <sheetName val="MASTER_OE"/>
      <sheetName val="cash in flow Summary JV "/>
      <sheetName val="water prop."/>
      <sheetName val="GR.slab-reinft"/>
      <sheetName val="AOR"/>
      <sheetName val="Cost Index"/>
      <sheetName val="sheeet7"/>
      <sheetName val="Rate analysis- BOQ 1 "/>
      <sheetName val="box-12"/>
      <sheetName val="08.07.10헾】_x0005__x0000__x0000__x0000__x0000_ꎋ"/>
      <sheetName val="Voucher"/>
      <sheetName val="3cd Annexure"/>
      <sheetName val="Fin. Assumpt. - Sensitivities"/>
      <sheetName val="Bill 1"/>
      <sheetName val="Bill 2"/>
      <sheetName val="Bill 3"/>
      <sheetName val="Bill 4"/>
      <sheetName val="Bill 5"/>
      <sheetName val="Bill 6"/>
      <sheetName val="Bill 7"/>
      <sheetName val="T-P1, FINISHES WORKING "/>
      <sheetName val="Assumption &amp; Exclusion"/>
      <sheetName val="querries"/>
      <sheetName val="1.Civil-RA"/>
      <sheetName val="08.07.10헾】_x0005_????ꎋ"/>
      <sheetName val="wordsdata"/>
      <sheetName val="Labour"/>
      <sheetName val="INDIGINEOUS ITEMS "/>
      <sheetName val="gen"/>
      <sheetName val="Project Details.."/>
      <sheetName val="F20 Risk Analysis"/>
      <sheetName val="Change Order Log"/>
      <sheetName val="lookups"/>
      <sheetName val="ref"/>
      <sheetName val="Bin"/>
      <sheetName val="2000 MOR"/>
      <sheetName val="estm_mech"/>
      <sheetName val="DI_Rate_Analysis"/>
      <sheetName val="Economic_RisingMain__Ph-I"/>
      <sheetName val="TAX_BILLS"/>
      <sheetName val="CASH_BILLS"/>
      <sheetName val="LABOUR_BILLS"/>
      <sheetName val="puch_order"/>
      <sheetName val="Sheet1_(2)"/>
      <sheetName val=" 09.07.10 M顅ᎆ뤀ᨇ԰"/>
      <sheetName val=" 09.07.10 M顅ᎆ뤀ᨇ԰_缀_"/>
      <sheetName val="FT-05-02IsoBOM"/>
      <sheetName val="CT"/>
      <sheetName val="PT"/>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Expenditure_plan"/>
      <sheetName val="ORDER_BOOKING"/>
      <sheetName val="M-Book_for_Conc"/>
      <sheetName val="M-Book_for_FW"/>
      <sheetName val="22_12_2011"/>
      <sheetName val="BOQ_(2)"/>
      <sheetName val="Prelims Breakup"/>
      <sheetName val="B3-B4-B5-B6"/>
      <sheetName val="Boq_Block_A"/>
      <sheetName val="_24_07_10_RS_&amp;_SECURITY"/>
      <sheetName val="24_07_10_CIVIL_WET"/>
      <sheetName val="_24_07_10_CIVIL"/>
      <sheetName val="analysis"/>
      <sheetName val=" _x000a_¢_x0002_&amp;_x0000__x0000__x0000_ú5#_x0000__x0000__x0000__x0000__x0000__x0000__x0000_"/>
      <sheetName val=""/>
      <sheetName val="Driveway Beams"/>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PRELIM5"/>
      <sheetName val="Rate Analysis"/>
      <sheetName val="Prelims_Breakup"/>
      <sheetName val="PIPELINE"/>
      <sheetName val="CIVIL"/>
      <sheetName val="_22_07_10_MECH-TANK"/>
      <sheetName val="_21_07_10_N_SHIFT_MECH-FAB"/>
      <sheetName val="_21_07_10_N_SHIFT_MECH-TANK"/>
      <sheetName val="_21_07_10_RS_&amp;_SECURITY"/>
      <sheetName val="21_07_10_CIVIL_WET"/>
      <sheetName val="x-items"/>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BHANDUP"/>
      <sheetName val="Quote Sheet"/>
      <sheetName val="External Doors"/>
      <sheetName val="T&amp;M"/>
      <sheetName val="RA-markate"/>
      <sheetName val="PROCTOR"/>
      <sheetName val="Theo Cons-June'10"/>
      <sheetName val="Eqpmnt Plng"/>
      <sheetName val="LABOUR RATE"/>
      <sheetName val="Material Rate"/>
      <sheetName val="Admin"/>
      <sheetName val=" _x000a_¢_x0002_&amp;???ú5#???????"/>
      <sheetName val="AFAS "/>
      <sheetName val="RDS &amp; WLD"/>
      <sheetName val="PA System"/>
      <sheetName val="ACC"/>
      <sheetName val="CCTV"/>
      <sheetName val="Server &amp; PAC Room"/>
      <sheetName val="BMS"/>
      <sheetName val="HVAC BOQ"/>
      <sheetName val="Assumption Inputs"/>
      <sheetName val="DEINKING(ANNEX 1)"/>
      <sheetName val="COST"/>
      <sheetName val="Grade Slab -1"/>
      <sheetName val="Grade Slab -2"/>
      <sheetName val="Grade slab-3"/>
      <sheetName val="Grade slab -4"/>
      <sheetName val="Grade slab -5"/>
      <sheetName val="Grade slab -6"/>
      <sheetName val="08.07.10헾】_x0005_????菈_x0013_"/>
      <sheetName val="COLUMN"/>
      <sheetName val="ACS(1)"/>
      <sheetName val="FAS-C(4)"/>
      <sheetName val="CCTV(old)"/>
      <sheetName val="Makro1"/>
      <sheetName val="Final"/>
      <sheetName val="Summary-Price_New"/>
      <sheetName val="AN-2K"/>
      <sheetName val="Switch V16"/>
      <sheetName val="08.07.10헾】_x0005__x0000__x0000"/>
      <sheetName val="08.07.10헾】_x0005_____ꎋ"/>
      <sheetName val="Cover"/>
      <sheetName val="Data Sheet"/>
      <sheetName val="Background"/>
      <sheetName val="Summary WG"/>
      <sheetName val="L+M"/>
      <sheetName val="Debits as on 12.04.08"/>
      <sheetName val="detail'02"/>
      <sheetName val="Cal"/>
      <sheetName val="Phase 1"/>
      <sheetName val="Pacakges split"/>
      <sheetName val="run"/>
      <sheetName val="AutoOpen Stub Data"/>
      <sheetName val="Code"/>
      <sheetName val="환율"/>
      <sheetName val="Wire"/>
      <sheetName val="pol-60"/>
      <sheetName val="STAFFSCHED "/>
      <sheetName val="08.07.10헾】_x0005_"/>
      <sheetName val="InputPO_Del"/>
      <sheetName val="Factor Sheet"/>
      <sheetName val="Cat A Change Control"/>
      <sheetName val="Deduction of assets"/>
      <sheetName val="India F&amp;S Template"/>
      <sheetName val=" bus bay"/>
      <sheetName val="doq-10"/>
      <sheetName val="doq-I"/>
      <sheetName val="doq 4"/>
      <sheetName val="doq 2"/>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_16_07_10_RS_&amp;_SECURITY"/>
      <sheetName val="16_07_10_CIVIL_WET"/>
      <sheetName val="_16_07_10_CIVIL"/>
      <sheetName val="_16_07_10_MECH-FAB"/>
      <sheetName val="_16_07_10_MECH-TANK"/>
      <sheetName val="_15_07_10_N_SHIFT_MECH-FAB"/>
      <sheetName val="_15_07_10_N_SHIFT_MECH-TANK"/>
      <sheetName val="CABLERET"/>
      <sheetName val="B'Sheet"/>
      <sheetName val="Asmp"/>
      <sheetName val="DP"/>
      <sheetName val="currency"/>
      <sheetName val="BLOCK-A (MEA.SHEET)"/>
      <sheetName val="Income Statement"/>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Intro."/>
      <sheetName val="Gate 2"/>
      <sheetName val="Lab"/>
      <sheetName val="BOQ_Direct_selling_cost"/>
      <sheetName val="SEW4"/>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UNIT"/>
      <sheetName val="CCY"/>
      <sheetName val="starter"/>
      <sheetName val="FORM7"/>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easurements"/>
      <sheetName val="Tables"/>
      <sheetName val="Flooring"/>
      <sheetName val="Ceilings"/>
      <sheetName val="ACAD Finishes"/>
      <sheetName val="Site Details"/>
      <sheetName val="Chair"/>
      <sheetName val="Site Area Statement"/>
      <sheetName val="Doors"/>
      <sheetName val="Estimate"/>
      <sheetName val="Index"/>
      <sheetName val="BOQ LT"/>
      <sheetName val="LMP"/>
      <sheetName val="sc-mar2000"/>
      <sheetName val="DSLP"/>
      <sheetName val="Load Details(B2)"/>
      <sheetName val="Works - Quote Sheet"/>
      <sheetName val="MG"/>
      <sheetName val="VALIDATIONS"/>
      <sheetName val="Mat_Cost"/>
      <sheetName val="MASTER_RATE ANALYSIS"/>
      <sheetName val="08.07.10헾】_x0005_??_x0005__x0000__x0000_"/>
      <sheetName val="08.07.10헾】_x0005_??壀&quot;夌&quot;"/>
      <sheetName val="_21_07_10_N_SHIFT_MECH-FA"/>
      <sheetName val="Report"/>
      <sheetName val="Name List"/>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REF"/>
      <sheetName val="Main-Material"/>
      <sheetName val="Form-B"/>
      <sheetName val="Blr hire"/>
      <sheetName val="PRECAST-conc-AI"/>
      <sheetName val="Miscellan%ous_x0008_civil"/>
      <sheetName val="b`sic"/>
      <sheetName val="PRECAST lig(tconc_II"/>
      <sheetName val="目录"/>
      <sheetName val="F&amp;B"/>
      <sheetName val="Kitchen"/>
      <sheetName val="segment_topsheet"/>
      <sheetName val="Cost Basis"/>
      <sheetName val="CON"/>
      <sheetName val="girder"/>
      <sheetName val="Rocker"/>
      <sheetName val="08.07.10헾】_x0005_??헾⿂_x0005__x0000_"/>
      <sheetName val="08.07.10헾】_x0005_????懇"/>
      <sheetName val=" _¢_x0002_&amp;"/>
      <sheetName val=" _¢_x0002_&amp;___ú5#_______"/>
      <sheetName val="预算"/>
      <sheetName val="電気設備表"/>
      <sheetName val="Projects"/>
      <sheetName val="Project Ignite"/>
      <sheetName val="08.07.10헾】_x0005_??ꮸ⽚_x0005__x0000_"/>
      <sheetName val="08.07.10헾】_x0005_??丵⼽_x0005__x0000_"/>
      <sheetName val="08.07.10헾】_x0005_????癠'"/>
      <sheetName val="Sqn_Abs"/>
      <sheetName val="calcul"/>
      <sheetName val="98Price"/>
      <sheetName val="9"/>
      <sheetName val="VF Full Recon"/>
      <sheetName val="PITP3 COPY"/>
      <sheetName val="Meas."/>
      <sheetName val="Expenses Actual Vs. Budgeted"/>
      <sheetName val="Col up to plinth"/>
      <sheetName val="Footing"/>
      <sheetName val="Inputs"/>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_x0000__x0000__x0000_ú5#_x0000__x0000__x0000__x0000__x0000__x0000__x0000_"/>
      <sheetName val="08.07.10헾】_x0005_??헾⽀_x0005__x0000_"/>
      <sheetName val="INTRO"/>
      <sheetName val="2.civil-RA"/>
      <sheetName val="08.07.10_x0000__x0000_ⴠ_x0000__x0000__x0000_㭮㢝輜_x0018_"/>
      <sheetName val="Misc. Data"/>
      <sheetName val="eq"/>
      <sheetName val=" _x000d_¢_x0002_&amp;???ú5#???????"/>
      <sheetName val="Customize Your Invoice"/>
      <sheetName val="Rate analysis civil"/>
      <sheetName val="경비공통"/>
      <sheetName val="Conc&amp;steel-assets"/>
      <sheetName val="STP"/>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ETC Plant Cost"/>
      <sheetName val="_ ¢&amp;ú5#"/>
      <sheetName val="_ ¢&amp;???ú5#???????"/>
      <sheetName val="C-12"/>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Deprec."/>
      <sheetName val="CCTV_EST1"/>
      <sheetName val="KSt - Analysis "/>
      <sheetName val="Section Catalogue"/>
      <sheetName val=" _x000a_¢_x0002_&amp;"/>
      <sheetName val="공사비 내역 (가)"/>
      <sheetName val="CIF COST ITEM"/>
      <sheetName val="Fin. Assumpt. - SensitivitieH"/>
      <sheetName val="08.07.10 CIVIՌ_x0000_缀_x0000__x0000_"/>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Material&amp;equipment"/>
      <sheetName val="DOOR-WIND"/>
      <sheetName val="Form 6"/>
      <sheetName val="_x0000__x0017__x0000__x0012__x0000__x000f__x0000__x0012__x0000__x0013__x0000_ _x0000__x001a__x0000__x001b__x0000__x0017__x0000_"/>
      <sheetName val="Guide"/>
      <sheetName val="PRECAST_lightconc_II7"/>
      <sheetName val="PRECAST_lightconc-II7"/>
      <sheetName val="jidal_dam7"/>
      <sheetName val="fran_temp7"/>
      <sheetName val="kona_swit7"/>
      <sheetName val="template_(8)7"/>
      <sheetName val="template_(9)7"/>
      <sheetName val="College_Details7"/>
      <sheetName val="Personal_7"/>
      <sheetName val="Cleaning_&amp;_Grubbing7"/>
      <sheetName val="OVER_HEADS7"/>
      <sheetName val="Cover_Sheet7"/>
      <sheetName val="BOQ_REV_A7"/>
      <sheetName val="PTB_(IO)7"/>
      <sheetName val="BMS_7"/>
      <sheetName val="SPT_vs_PHI7"/>
      <sheetName val="TBAL9697_-group_wise__sdpl7"/>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Quantity_Schedule6"/>
      <sheetName val="Revenue__Schedule_6"/>
      <sheetName val="Balance_works_-_Direct_Cost6"/>
      <sheetName val="Balance_works_-_Indirect_Cost6"/>
      <sheetName val="Fund_Plan6"/>
      <sheetName val="Bill_of_Resources6"/>
      <sheetName val="beam-reinft-IIInd_floor5"/>
      <sheetName val="Expenditure_plan5"/>
      <sheetName val="ORDER_BOOKING5"/>
      <sheetName val="Boq_Block_A5"/>
      <sheetName val="SITE_OVERHEADS5"/>
      <sheetName val="labour_coeff5"/>
      <sheetName val="Site_Dev_BOQ5"/>
      <sheetName val="Costing_Upto_Mar'11_(2)5"/>
      <sheetName val="Tender_Summary5"/>
      <sheetName val="M-Book_for_Conc5"/>
      <sheetName val="M-Book_for_FW5"/>
      <sheetName val="TAX_BILLS5"/>
      <sheetName val="CASH_BILLS5"/>
      <sheetName val="LABOUR_BILLS5"/>
      <sheetName val="puch_order5"/>
      <sheetName val="Sheet1_(2)5"/>
      <sheetName val="BOQ_Direct_selling_cost4"/>
      <sheetName val="Meas_-Hotel_Part5"/>
      <sheetName val="scurve_calc_(2)4"/>
      <sheetName val="Contract_Night_Staff4"/>
      <sheetName val="Contract_Day_Staff4"/>
      <sheetName val="Day_Shift4"/>
      <sheetName val="Night_Shift4"/>
      <sheetName val="Direct_cost_shed_A-2_4"/>
      <sheetName val="Fee_Rate_Summary4"/>
      <sheetName val="Civil_Boq4"/>
      <sheetName val="TBAL9697__group_wise__sdpl4"/>
      <sheetName val="final_abstract4"/>
      <sheetName val="22_12_20115"/>
      <sheetName val="BOQ_(2)5"/>
      <sheetName val="Fill_this_out_first___4"/>
      <sheetName val="INPUT_SHEET4"/>
      <sheetName val="St_co_91_5lvl4"/>
      <sheetName val="Ave_wtd_rates4"/>
      <sheetName val="Material_4"/>
      <sheetName val="Labour_&amp;_Plant4"/>
      <sheetName val="Cashflow_projection4"/>
      <sheetName val="PA-_Consutant_4"/>
      <sheetName val="Item-_Compact4"/>
      <sheetName val="Civil_Works4"/>
      <sheetName val="_09_07_10_M顅ᎆ뤀ᨇ԰?缀?4"/>
      <sheetName val="Meas__Hotel_Part4"/>
      <sheetName val="cash_in_flow_Summary_JV_4"/>
      <sheetName val="Cost_Index4"/>
      <sheetName val="1_Civil-RA3"/>
      <sheetName val="water_prop_4"/>
      <sheetName val="GR_slab-reinft4"/>
      <sheetName val="Sales_&amp;_Prod4"/>
      <sheetName val="IO_List4"/>
      <sheetName val="DI_Rate_Analysis5"/>
      <sheetName val="Economic_RisingMain__Ph-I5"/>
      <sheetName val="MN_T_B_4"/>
      <sheetName val="F20_Risk_Analysis3"/>
      <sheetName val="Change_Order_Log3"/>
      <sheetName val="2000_MOR3"/>
      <sheetName val="Staff_Acco_4"/>
      <sheetName val="3cd_Annexure3"/>
      <sheetName val="SP_Break_Up4"/>
      <sheetName val="Labour_productivity4"/>
      <sheetName val="Fin__Assumpt__-_Sensitivities3"/>
      <sheetName val="Bill_13"/>
      <sheetName val="Bill_23"/>
      <sheetName val="Bill_33"/>
      <sheetName val="Bill_43"/>
      <sheetName val="Bill_53"/>
      <sheetName val="Bill_63"/>
      <sheetName val="Bill_73"/>
      <sheetName val="INDIGINEOUS_ITEMS_3"/>
      <sheetName val="T-P1,_FINISHES_WORKING_3"/>
      <sheetName val="Assumption_&amp;_Exclusion3"/>
      <sheetName val="Project_Details__4"/>
      <sheetName val="Rate_analysis-_BOQ_1_4"/>
      <sheetName val="Driveway_Beams3"/>
      <sheetName val="Prelims_Breakup5"/>
      <sheetName val="_09_07_10_M顅ᎆ뤀ᨇ԰3"/>
      <sheetName val="_09_07_10_M顅ᎆ뤀ᨇ԰_缀_3"/>
      <sheetName val="Structure_Bills_Qty3"/>
      <sheetName val="Rate_Analysis3"/>
      <sheetName val="Eqpmnt_Plng3"/>
      <sheetName val="LABOUR_RATE3"/>
      <sheetName val="Material_Rate3"/>
      <sheetName val="Switch_V163"/>
      <sheetName val="Assumption_Inputs3"/>
      <sheetName val="Debits_as_on_12_04_082"/>
      <sheetName val="Cat_A_Change_Control3"/>
      <sheetName val="Phase_13"/>
      <sheetName val="Pacakges_split3"/>
      <sheetName val="AutoOpen_Stub_Data3"/>
      <sheetName val="DEINKING(ANNEX_1)3"/>
      <sheetName val="External_Doors3"/>
      <sheetName val="Theo_Cons-June'102"/>
      <sheetName val="BLOCK-A_(MEA_SHEET)2"/>
      <sheetName val="Income_Statement2"/>
      <sheetName val="Invoice_Tracker2"/>
      <sheetName val="_bus_bay2"/>
      <sheetName val="doq_42"/>
      <sheetName val="doq_22"/>
      <sheetName val="Grade_Slab_-13"/>
      <sheetName val="Grade_Slab_-23"/>
      <sheetName val="Grade_slab-33"/>
      <sheetName val="Grade_slab_-43"/>
      <sheetName val="Grade_slab_-53"/>
      <sheetName val="Grade_slab_-63"/>
      <sheetName val="Data_Sheet2"/>
      <sheetName val="STAFFSCHED_2"/>
      <sheetName val="India_F&amp;S_Template2"/>
      <sheetName val="Factor_Sheet3"/>
      <sheetName val="Quote_Sheet2"/>
      <sheetName val="AFAS_2"/>
      <sheetName val="RDS_&amp;_WLD2"/>
      <sheetName val="PA_System2"/>
      <sheetName val="Server_&amp;_PAC_Room2"/>
      <sheetName val="HVAC_BOQ2"/>
      <sheetName val="Summary_WG2"/>
      <sheetName val="08_07_10헾】"/>
      <sheetName val="Deduction_of_assets2"/>
      <sheetName val="d-safe_specs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11B_2"/>
      <sheetName val="Intro_1"/>
      <sheetName val="Gate_21"/>
      <sheetName val="ACAD_Finishes2"/>
      <sheetName val="Site_Details2"/>
      <sheetName val="Site_Area_Statement2"/>
      <sheetName val="Blr_hire2"/>
      <sheetName val="PRECAST_lig(tconc_II2"/>
      <sheetName val="14_07_10_CIVIL_W [2"/>
      <sheetName val="Cost_Basis1"/>
      <sheetName val="08_07_10헾】??헾⿂"/>
      <sheetName val="08_07_10헾】????懇"/>
      <sheetName val="__¢&amp;"/>
      <sheetName val="__¢&amp;___ú5#_______"/>
      <sheetName val="BOQ_LT2"/>
      <sheetName val="08_07_10헾】??ꮸ⽚"/>
      <sheetName val="08_07_10헾】??丵⼽"/>
      <sheetName val="08_07_10헾】????癠'"/>
      <sheetName val="08_07_10헾】??헾⽀"/>
      <sheetName val="B3-B4-B5-"/>
      <sheetName val="_x000a_"/>
      <sheetName val="ᬀᜀሀༀሀ"/>
      <sheetName val="VF_Full_Recon1"/>
      <sheetName val="Load_Details(B2)2"/>
      <sheetName val="Works_-_Quote_Sheet2"/>
      <sheetName val="MASTER_RATE_ANALYSIS2"/>
      <sheetName val="Name_List1"/>
      <sheetName val="Misc__Data1"/>
      <sheetName val="__¢&amp;ú5#2"/>
      <sheetName val="__¢&amp;???ú5#???????2"/>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PITP3_COPY1"/>
      <sheetName val="Meas_1"/>
      <sheetName val="Expenses_Actual_Vs__Budgeted1"/>
      <sheetName val="Col_up_to_plinth1"/>
      <sheetName val="RCC,Ret__Wall2"/>
      <sheetName val="Deprec_1"/>
      <sheetName val="KSt_-_Analysis_1"/>
      <sheetName val="Section_Catalogue1"/>
      <sheetName val="08_07_10헾】??壀$夌$"/>
      <sheetName val="Customize_Your_Invoice1"/>
      <sheetName val="__x000a_¢&amp;"/>
      <sheetName val="PRECAST_lightconc-II6"/>
      <sheetName val="jidal_dam6"/>
      <sheetName val="fran_temp6"/>
      <sheetName val="kona_swit6"/>
      <sheetName val="template_(8)6"/>
      <sheetName val="template_(9)6"/>
      <sheetName val="PRECAST_lightconc_II6"/>
      <sheetName val="College_Details6"/>
      <sheetName val="Personal_6"/>
      <sheetName val="Cleaning_&amp;_Grubbing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Boq_Block_A4"/>
      <sheetName val="beam-reinft-IIInd_floor4"/>
      <sheetName val="Expenditure_plan4"/>
      <sheetName val="ORDER_BOOKING4"/>
      <sheetName val="M-Book_for_Conc4"/>
      <sheetName val="M-Book_for_FW4"/>
      <sheetName val="SITE_OVERHEADS4"/>
      <sheetName val="labour_coeff4"/>
      <sheetName val="TAX_BILLS4"/>
      <sheetName val="CASH_BILLS4"/>
      <sheetName val="LABOUR_BILLS4"/>
      <sheetName val="puch_order4"/>
      <sheetName val="Sheet1_(2)4"/>
      <sheetName val="Site_Dev_BOQ4"/>
      <sheetName val="Costing_Upto_Mar'11_(2)4"/>
      <sheetName val="Tender_Summary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Meas_-Hotel_Part4"/>
      <sheetName val="TBAL9697__group_wise__sdpl3"/>
      <sheetName val="final_abstract3"/>
      <sheetName val="scurve_calc_(2)3"/>
      <sheetName val="Direct_cost_shed_A-2_3"/>
      <sheetName val="Fee_Rate_Summary3"/>
      <sheetName val="Civil_Boq3"/>
      <sheetName val="BOQ_Direct_selling_cost3"/>
      <sheetName val="22_12_20114"/>
      <sheetName val="Contract_Night_Staff3"/>
      <sheetName val="Contract_Day_Staff3"/>
      <sheetName val="Day_Shift3"/>
      <sheetName val="Night_Shift3"/>
      <sheetName val="BOQ_(2)4"/>
      <sheetName val="Fill_this_out_first___3"/>
      <sheetName val="INPUT_SHEET3"/>
      <sheetName val="Civil_Works3"/>
      <sheetName val="Cashflow_projection3"/>
      <sheetName val="Ave_wtd_rates3"/>
      <sheetName val="Material_3"/>
      <sheetName val="Labour_&amp;_Plant3"/>
      <sheetName val="PA-_Consutant_3"/>
      <sheetName val="Item-_Compact3"/>
      <sheetName val="Meas__Hotel_Part3"/>
      <sheetName val="cash_in_flow_Summary_JV_3"/>
      <sheetName val="Cost_Index3"/>
      <sheetName val="1_Civil-RA2"/>
      <sheetName val="St_co_91_5lvl3"/>
      <sheetName val="water_prop_3"/>
      <sheetName val="GR_slab-reinft3"/>
      <sheetName val="Sales_&amp;_Prod3"/>
      <sheetName val="IO_List3"/>
      <sheetName val="DI_Rate_Analysis4"/>
      <sheetName val="Economic_RisingMain__Ph-I4"/>
      <sheetName val="MN_T_B_3"/>
      <sheetName val="F20_Risk_Analysis2"/>
      <sheetName val="Change_Order_Log2"/>
      <sheetName val="2000_MOR2"/>
      <sheetName val="_09_07_10_M顅ᎆ뤀ᨇ԰?缀?3"/>
      <sheetName val="Staff_Acco_3"/>
      <sheetName val="3cd_Annexure2"/>
      <sheetName val="SP_Break_Up3"/>
      <sheetName val="Labour_productivity3"/>
      <sheetName val="Fin__Assumpt__-_Sensitivities2"/>
      <sheetName val="Bill_12"/>
      <sheetName val="Bill_22"/>
      <sheetName val="Bill_32"/>
      <sheetName val="Bill_42"/>
      <sheetName val="Bill_52"/>
      <sheetName val="Bill_62"/>
      <sheetName val="Bill_72"/>
      <sheetName val="INDIGINEOUS_ITEMS_2"/>
      <sheetName val="T-P1,_FINISHES_WORKING_2"/>
      <sheetName val="Assumption_&amp;_Exclusion2"/>
      <sheetName val="Project_Details__3"/>
      <sheetName val="Rate_analysis-_BOQ_1_3"/>
      <sheetName val="Driveway_Beams2"/>
      <sheetName val="Prelims_Breakup4"/>
      <sheetName val="_09_07_10_M顅ᎆ뤀ᨇ԰2"/>
      <sheetName val="_09_07_10_M顅ᎆ뤀ᨇ԰_缀_2"/>
      <sheetName val="Structure_Bills_Qty2"/>
      <sheetName val="Rate_Analysis2"/>
      <sheetName val="Quote_Sheet1"/>
      <sheetName val="External_Doors2"/>
      <sheetName val="Theo_Cons-June'101"/>
      <sheetName val="Eqpmnt_Plng2"/>
      <sheetName val="LABOUR_RATE2"/>
      <sheetName val="Material_Rate2"/>
      <sheetName val="AFAS_1"/>
      <sheetName val="RDS_&amp;_WLD1"/>
      <sheetName val="PA_System1"/>
      <sheetName val="Server_&amp;_PAC_Room1"/>
      <sheetName val="HVAC_BOQ1"/>
      <sheetName val="Assumption_Inputs2"/>
      <sheetName val="DEINKING(ANNEX_1)2"/>
      <sheetName val="Grade_Slab_-12"/>
      <sheetName val="Grade_Slab_-22"/>
      <sheetName val="Grade_slab-32"/>
      <sheetName val="Grade_slab_-42"/>
      <sheetName val="Grade_slab_-52"/>
      <sheetName val="Grade_slab_-62"/>
      <sheetName val="Switch_V162"/>
      <sheetName val="Data_Sheet1"/>
      <sheetName val="Summary_WG1"/>
      <sheetName val="Debits_as_on_12_04_081"/>
      <sheetName val="Phase_12"/>
      <sheetName val="Pacakges_split2"/>
      <sheetName val="AutoOpen_Stub_Data2"/>
      <sheetName val="STAFFSCHED_1"/>
      <sheetName val="Factor_Sheet2"/>
      <sheetName val="Cat_A_Change_Control2"/>
      <sheetName val="Deduction_of_assets1"/>
      <sheetName val="India_F&amp;S_Template1"/>
      <sheetName val="_bus_bay1"/>
      <sheetName val="doq_41"/>
      <sheetName val="doq_21"/>
      <sheetName val="d-safe_specs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BLOCK-A_(MEA_SHEET)1"/>
      <sheetName val="Income_Statement1"/>
      <sheetName val="Invoice_Tracker1"/>
      <sheetName val="11B_1"/>
      <sheetName val="Intro_"/>
      <sheetName val="Gate_2"/>
      <sheetName val="ACAD_Finishes1"/>
      <sheetName val="Site_Details1"/>
      <sheetName val="Site_Area_Statement1"/>
      <sheetName val="Blr_hire1"/>
      <sheetName val="PRECAST_lig(tconc_II1"/>
      <sheetName val="14_07_10_CIVIL_W [1"/>
      <sheetName val="Cost_Basis"/>
      <sheetName val="BOQ_LT1"/>
      <sheetName val="VF_Full_Recon"/>
      <sheetName val="Load_Details(B2)1"/>
      <sheetName val="Works_-_Quote_Sheet1"/>
      <sheetName val="MASTER_RATE_ANALYSIS1"/>
      <sheetName val="Name_List"/>
      <sheetName val="Misc__Data"/>
      <sheetName val="__¢&amp;ú5#1"/>
      <sheetName val="__¢&amp;???ú5#???????1"/>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PITP3_COPY"/>
      <sheetName val="Meas_"/>
      <sheetName val="Expenses_Actual_Vs__Budgeted"/>
      <sheetName val="Col_up_to_plinth"/>
      <sheetName val="RCC,Ret__Wall1"/>
      <sheetName val="Deprec_"/>
      <sheetName val="KSt_-_Analysis_"/>
      <sheetName val="Section_Catalogue"/>
      <sheetName val="Customize_Your_Invoice"/>
      <sheetName val="Project_Ignite"/>
      <sheetName val="Raw_Data"/>
      <sheetName val="2_civil-RA"/>
      <sheetName val="08_07_10ⴠ㭮㢝輜"/>
      <sheetName val="Rate_analysis_civil"/>
      <sheetName val="08_07_10헾】??헾⾑"/>
      <sheetName val="Lifts_&amp;_Escal-BOQ"/>
      <sheetName val="FIRE_BOQ"/>
      <sheetName val="ETC_Plant_Cost"/>
      <sheetName val="공사비_내역_(가)"/>
      <sheetName val="CIF_COST_ITEM"/>
      <sheetName val="Fin__Assumpt__-_SensitivitieH"/>
      <sheetName val="08_07_10_CIVIՌ缀"/>
      <sheetName val="Fin__Assumpt__-_Sensitivitie"/>
      <sheetName val="Frango_Work_sheet"/>
      <sheetName val="TCMO_(2)"/>
      <sheetName val="Advance_tax"/>
      <sheetName val="Cashflow_"/>
      <sheetName val="ITDEP_revised"/>
      <sheetName val="Deferred_tax"/>
      <sheetName val="grp_"/>
      <sheetName val="Debtors_Ageing_"/>
      <sheetName val="R_A_"/>
      <sheetName val="Form_6"/>
      <sheetName val="_"/>
      <sheetName val="Array"/>
      <sheetName val="Array (2)"/>
      <sheetName val="_22_07_10_MECH-FþÕ"/>
      <sheetName val="precast RC element"/>
      <sheetName val="beam-reinft-machine rm"/>
      <sheetName val="08.07.10헾】_x0005_??苈ô헾⼤"/>
      <sheetName val="08.07.10헾】_x0005_??헾　_x0005__x0000_"/>
      <sheetName val="RA BILL - 1"/>
      <sheetName val="Tax Inv"/>
      <sheetName val="Tax Inv (Client)"/>
      <sheetName val="abst-of -cost"/>
      <sheetName val="Cash Flow Input Data_ISC"/>
      <sheetName val="Interface_SC"/>
      <sheetName val="Calc_ISC"/>
      <sheetName val="Calc_SC"/>
      <sheetName val="Interface_ISC"/>
      <sheetName val="GD"/>
      <sheetName val="Con0304"/>
      <sheetName val="LEVEL SHEET"/>
      <sheetName val="Eqpmnt Pln_x0000_"/>
      <sheetName val="Eqpmnt PlnH"/>
      <sheetName val="Eqpmnt PlnÄ"/>
      <sheetName val="Master data"/>
      <sheetName val="Codes"/>
      <sheetName val="CPIPE2"/>
      <sheetName val="BLK2"/>
      <sheetName val="BLK3"/>
      <sheetName val="E &amp; R"/>
      <sheetName val="radar"/>
      <sheetName val="UG"/>
      <sheetName val="SOR"/>
      <sheetName val=" _x000a_¢_x0002_&amp;_x0000__x0000_"/>
      <sheetName val="14.07.10@"/>
      <sheetName val="14.07.10Á_x000c__x0003_&amp;"/>
      <sheetName val="08.07.10헾】_x0005_____菈_x0013_"/>
      <sheetName val="  ¢_x0002_&amp;"/>
      <sheetName val="  ¢_x0002_&amp;___ú5#_______"/>
      <sheetName val="14.07.10 CIVIL W _"/>
      <sheetName val="14.07.10@^__x0001_&amp;"/>
      <sheetName val="_x0001_"/>
      <sheetName val="Footing "/>
      <sheetName val="MS Loan repayments"/>
      <sheetName val="Detail In Door Stad"/>
      <sheetName val="월선수금"/>
      <sheetName val="Basement Budget"/>
      <sheetName val="RES-PLANNING"/>
      <sheetName val=" _¢_x0002_&amp;_x0000__x0000__x0000"/>
      <sheetName val="PROG_DATA"/>
      <sheetName val="Input"/>
      <sheetName val="basdat"/>
      <sheetName val="maing1"/>
      <sheetName val="S1BOQ"/>
      <sheetName val="WORK TABLE"/>
      <sheetName val="TEXT"/>
      <sheetName val="sept-plan"/>
      <sheetName val="sheet6"/>
      <sheetName val="7 Other Costs"/>
      <sheetName val="Vind - BtB"/>
      <sheetName val="inter"/>
      <sheetName val="foot-slab reinft"/>
      <sheetName val="General Input"/>
      <sheetName val="E_&amp;_R"/>
      <sheetName val="beam-reinft-machine_rm"/>
      <sheetName val="Cash_Flow_Input_Data_ISC"/>
      <sheetName val="F20_Risk_Analysis4"/>
      <sheetName val="Change_Order_Log4"/>
      <sheetName val="2000_MOR4"/>
      <sheetName val="Driveway_Beams4"/>
      <sheetName val="Structure_Bills_Qty4"/>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VF_Full_Recon2"/>
      <sheetName val="PITP3_COPY2"/>
      <sheetName val="Meas_2"/>
      <sheetName val="Expenses_Actual_Vs__Budgeted2"/>
      <sheetName val="Col_up_to_plinth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oject_Ignite1"/>
      <sheetName val="E_&amp;_R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ALA-002"/>
      <sheetName val="ST CODE"/>
      <sheetName val="Jafiliya"/>
      <sheetName val="Oud Metha"/>
      <sheetName val="Port Saeed"/>
      <sheetName val="Al Wasl"/>
      <sheetName val="Zabeel"/>
      <sheetName val="measure"/>
      <sheetName val="Material List "/>
      <sheetName val="Progress"/>
      <sheetName val="OpTrack"/>
      <sheetName val="Erection"/>
      <sheetName val="PointNo.5"/>
      <sheetName val="Cumulative Karnatka Purchase"/>
      <sheetName val="Purchase---"/>
      <sheetName val="Reco- Project wise"/>
      <sheetName val="Purchase head Wise"/>
      <sheetName val="Reco"/>
      <sheetName val="List of Project"/>
      <sheetName val="Sheet5"/>
      <sheetName val="Cumulative Karnatka Purchas (2"/>
      <sheetName val="Pivot table"/>
      <sheetName val="Balustrade"/>
      <sheetName val="Varthur 1"/>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CLAY"/>
      <sheetName val="BALAN1"/>
      <sheetName val="HDPE"/>
      <sheetName val="pvc"/>
      <sheetName val="pvc_basic"/>
      <sheetName val="DI"/>
      <sheetName val="hdpe_basic"/>
      <sheetName val="Adimi bldg"/>
      <sheetName val="Pump House"/>
      <sheetName val="Fuel Regu Station"/>
      <sheetName val="0200 Siteworks"/>
      <sheetName val="Basic Data"/>
      <sheetName val="SC Cost FEB 03"/>
      <sheetName val="Design of SF"/>
      <sheetName val="Process"/>
      <sheetName val="PIPING LINE LIST"/>
      <sheetName val="Bank Guarantee"/>
      <sheetName val="Crane List General"/>
      <sheetName val="기안"/>
      <sheetName val="출금실적"/>
      <sheetName val="Polythene sheet"/>
      <sheetName val="Output"/>
      <sheetName val="UNP-NCW "/>
      <sheetName val="WB0203-OLDLOAN"/>
      <sheetName val="XR"/>
      <sheetName val="Form_61"/>
      <sheetName val="Lifts_&amp;_Escal-BOQ1"/>
      <sheetName val="FIRE_BOQ1"/>
      <sheetName val=" 09.07.10 M顅ᎆ뤀ᨇ԰_x0000_v喐"/>
      <sheetName val=" 09.07.10 M顅ᎆ뤀ᨇ԰_x0000_È盰"/>
      <sheetName val="old_serial no."/>
      <sheetName val="tot_ass_9697"/>
      <sheetName val="Keyword"/>
      <sheetName val="SALE&amp;COST"/>
      <sheetName val="GEN_LOOKUPS"/>
      <sheetName val="BL Staff"/>
      <sheetName val=" "/>
      <sheetName val="  ¢_x0002_&amp;_x0000__x0000_"/>
      <sheetName val="œheet3"/>
      <sheetName val="P-II_Cement_Reconkiliation2"/>
      <sheetName val="Temporary"/>
      <sheetName val="ABB"/>
      <sheetName val="GE"/>
      <sheetName val="SC Cost MAR 02"/>
      <sheetName val="Combined Results "/>
      <sheetName val="Cashflow"/>
      <sheetName val="PriceSummary"/>
      <sheetName val="HK"/>
      <sheetName val="Calendar"/>
      <sheetName val="TBEAM"/>
      <sheetName val="Ring Details"/>
      <sheetName val="MFG"/>
      <sheetName val=" _x000a_¢_x0002_&amp;___ú5#_______"/>
      <sheetName val="14.07.10@_x0000__x0003_&amp;_x0000"/>
      <sheetName val="_x0000__x0000__x0000__x0000__x0"/>
      <sheetName val="14.07.10Á_x000c__x0003_&amp;_x0000"/>
      <sheetName val="  ¢_x0002_&amp;_x0000__x0000__x0000"/>
      <sheetName val="14.07.10@^__x0001_&amp;_x0000__x000"/>
      <sheetName val="08.07.10헾】_x0005____x0005__x00"/>
      <sheetName val="08.07.10헾】_x0005___壀&quot;夌&quot;"/>
      <sheetName val="08.07.10헾】_x0005___헾⿂_x0005__x"/>
      <sheetName val="08.07.10헾】_x0005_____懇"/>
      <sheetName val="08.07.10헾】_x0005___ꮸ⽚_x0005__x"/>
      <sheetName val="08.07.10헾】_x0005___丵⼽_x0005__x"/>
      <sheetName val="08.07.10헾】_x0005_____癠_"/>
      <sheetName val="__x000a_¢&amp;___ú5#_______"/>
      <sheetName val="08.07.10헾】_x0005___헾⽀_x0005__x"/>
      <sheetName val="08.07.10헾】_x0005___헾⾑_x0005__x"/>
      <sheetName val="_x0000__x0017__x0000__x0012__x0"/>
      <sheetName val="ᬀᜀሀༀሀ_x0000__x0000__x0000__x000"/>
      <sheetName val="14_07_10@&amp;Ò_"/>
      <sheetName val="¸_;b+_î&lt;î_&amp;&amp;"/>
      <sheetName val="14_07_10_CIVIL_W _"/>
      <sheetName val="08_07_10헾】____菈"/>
      <sheetName val="08_07_10헾】__"/>
      <sheetName val="14_07_10@^_&amp;8"/>
      <sheetName val="Ü5)bÝ_8)6)&amp;&amp;"/>
      <sheetName val="08_07_10헾】__壀&quot;夌&quot;"/>
      <sheetName val=" _x000d_¢_x0002_&amp;_x0000__x0000_"/>
      <sheetName val="08.07.10헾】_x0005___壀$夌$"/>
      <sheetName val=" _x000d_¢_x0002_&amp;___ú5#_______"/>
      <sheetName val="w't table"/>
      <sheetName val="cover page"/>
      <sheetName val="Equipment Master"/>
      <sheetName val="Material Master"/>
      <sheetName val="08.07.10헾】_x0005_??睮は_x0005__x0000_"/>
      <sheetName val="Shuttering Material"/>
      <sheetName val="BBS-Residential"/>
      <sheetName val="Basi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Material"/>
      <sheetName val="Plant &amp;  Machinery"/>
      <sheetName val="Deprec_2"/>
      <sheetName val="Form_62"/>
      <sheetName val="Lifts_&amp;_Escal-BOQ2"/>
      <sheetName val="FIRE_BOQ2"/>
      <sheetName val="leads"/>
      <sheetName val="08.07.10헾】_x0005_?︀ᇕ԰_x0000_缀"/>
      <sheetName val="08.07.10헾】_x0005_?蠄ሹꠀ䁮_xdc02_"/>
      <sheetName val="08.07.10헾】_x0005_?/_x0000_退Ý_x0000_"/>
      <sheetName val="08.07.10헾】_x0005_?蠌ሹ⠀䁫_xdc02_"/>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_ ¢&amp;___ú5#______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_x0017__x0000__x0012__x0000__x000f__x0000__x0012__x0000__x0013__x0000__x001a__x0000__x0013__x0000__x000b__x0000__x0006__x0000__x0011__x0000__x0010__x0000__x0007__x0000__x0003__x0000__x0003_"/>
      <sheetName val="Contract Status"/>
      <sheetName val="Reinforcement"/>
      <sheetName val="Pilling_24"/>
      <sheetName val="Steel-Circular"/>
      <sheetName val="FINOLEX"/>
      <sheetName val="Sheet7"/>
      <sheetName val="08.07.10_x0000__x0000_쪸_x0000__x0000__x0000_㱗褰譬'"/>
      <sheetName val="Model"/>
      <sheetName val="CONSTRUCTION COMPONENT"/>
      <sheetName val="wordsdatþ"/>
      <sheetName val="Summary output"/>
      <sheetName val="ITB COST"/>
      <sheetName val="Interior"/>
      <sheetName val="Electrical"/>
      <sheetName val="Mechanical"/>
      <sheetName val="Fire Hydrant"/>
      <sheetName val="Material Spec."/>
      <sheetName val="Terms &amp; conditions"/>
      <sheetName val="WORD"/>
      <sheetName val="Forecast"/>
      <sheetName val="Database"/>
      <sheetName val="Abstract"/>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08.07.10_x0000__x0000_ⴠ_x0000__"/>
      <sheetName val="08.07.10 CIVIՌ_x0000_缀_x0000__x"/>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Cable Data"/>
      <sheetName val="Sheet"/>
      <sheetName val="macros"/>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BLR 1"/>
      <sheetName val="GAS"/>
      <sheetName val="DEAE"/>
      <sheetName val="BLR2"/>
      <sheetName val="BLR3"/>
      <sheetName val="BLR4"/>
      <sheetName val="BLR5"/>
      <sheetName val="DEM"/>
      <sheetName val="SAM"/>
      <sheetName val="CHEM"/>
      <sheetName val="COP"/>
      <sheetName val="Proposal"/>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banilad"/>
      <sheetName val="Mactan"/>
      <sheetName val="Mandaue"/>
      <sheetName val="DM tANK Allow"/>
      <sheetName val="CMSBM"/>
      <sheetName val="MSU"/>
      <sheetName val="Eqpmnt Pln"/>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 _¢_x0002_&amp;_x0000__x0000_"/>
      <sheetName val="activit-graph  "/>
      <sheetName val="AREAS"/>
      <sheetName val="Sch-3"/>
      <sheetName val="Theme"/>
      <sheetName val="Measurment"/>
      <sheetName val="Material recovery"/>
      <sheetName val="Basic Rates"/>
      <sheetName val="3LBHK RA"/>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 _x000d_¢_x0002_&amp;"/>
      <sheetName val="08.07.10헾】_x0005_??헾　_x0005_"/>
      <sheetName val="Structure Bills Q_x0011__x0000_"/>
      <sheetName val="ༀሀጀᨀᬀᜀ"/>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SPT_vs_PHI30"/>
      <sheetName val="TBAL9697_-group_wise__sdpl30"/>
      <sheetName val="Quantity_Schedule29"/>
      <sheetName val="Revenue__Schedule_29"/>
      <sheetName val="Balance_works_-_Direct_Cost29"/>
      <sheetName val="Balance_works_-_Indirect_Cost29"/>
      <sheetName val="Fund_Plan29"/>
      <sheetName val="Bill_of_Resources29"/>
      <sheetName val="beam-reinft-IIInd_floor28"/>
      <sheetName val="Expenditure_plan28"/>
      <sheetName val="ORDER_BOOKING28"/>
      <sheetName val="SITE_OVERHEADS28"/>
      <sheetName val="labour_coeff28"/>
      <sheetName val="Site_Dev_BOQ28"/>
      <sheetName val="Costing_Upto_Mar'11_(2)28"/>
      <sheetName val="Tender_Summary28"/>
      <sheetName val="Boq_Block_A28"/>
      <sheetName val="M-Book_for_Conc28"/>
      <sheetName val="M-Book_for_FW28"/>
      <sheetName val="TAX_BILLS28"/>
      <sheetName val="CASH_BILLS28"/>
      <sheetName val="LABOUR_BILLS28"/>
      <sheetName val="puch_order28"/>
      <sheetName val="Sheet1_(2)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Meas_-Hotel_Part28"/>
      <sheetName val="scurve_calc_(2)27"/>
      <sheetName val="Contract_Night_Staff27"/>
      <sheetName val="Contract_Day_Staff27"/>
      <sheetName val="Day_Shift27"/>
      <sheetName val="Night_Shift27"/>
      <sheetName val="Direct_cost_shed_A-2_27"/>
      <sheetName val="22_12_201128"/>
      <sheetName val="final_abstract27"/>
      <sheetName val="Fee_Rate_Summary27"/>
      <sheetName val="Civil_Boq27"/>
      <sheetName val="BOQ_(2)28"/>
      <sheetName val="INPUT_SHEET27"/>
      <sheetName val="Ave_wtd_rates27"/>
      <sheetName val="Material_27"/>
      <sheetName val="Labour_&amp;_Plant27"/>
      <sheetName val="Cashflow_projection27"/>
      <sheetName val="PA-_Consutant_27"/>
      <sheetName val="Item-_Compact27"/>
      <sheetName val="Cost_Index27"/>
      <sheetName val="St_co_91_5lvl27"/>
      <sheetName val="Fill_this_out_first___27"/>
      <sheetName val="Meas__Hotel_Part27"/>
      <sheetName val="cash_in_flow_Summary_JV_27"/>
      <sheetName val="water_prop_27"/>
      <sheetName val="GR_slab-reinft27"/>
      <sheetName val="1_Civil-RA27"/>
      <sheetName val="Civil_Works27"/>
      <sheetName val="Sales_&amp;_Prod27"/>
      <sheetName val="IO_List27"/>
      <sheetName val="DI_Rate_Analysis28"/>
      <sheetName val="Economic_RisingMain__Ph-I28"/>
      <sheetName val="TBAL9697__group_wise__sdpl27"/>
      <sheetName val="MN_T_B_27"/>
      <sheetName val="SP_Break_Up27"/>
      <sheetName val="Fin__Assumpt__-_Sensitivities27"/>
      <sheetName val="Bill_127"/>
      <sheetName val="Bill_227"/>
      <sheetName val="Bill_327"/>
      <sheetName val="Bill_427"/>
      <sheetName val="Bill_527"/>
      <sheetName val="Bill_627"/>
      <sheetName val="Bill_727"/>
      <sheetName val="F20_Risk_Analysis27"/>
      <sheetName val="Change_Order_Log27"/>
      <sheetName val="2000_MOR27"/>
      <sheetName val="_09_07_10_M顅ᎆ뤀ᨇ԰?缀?27"/>
      <sheetName val="Staff_Acco_27"/>
      <sheetName val="3cd_Annexure27"/>
      <sheetName val="Labour_productivity27"/>
      <sheetName val="T-P1,_FINISHES_WORKING_27"/>
      <sheetName val="Assumption_&amp;_Exclusion27"/>
      <sheetName val="_09_07_10_M顅ᎆ뤀ᨇ԰27"/>
      <sheetName val="_09_07_10_M顅ᎆ뤀ᨇ԰_缀_27"/>
      <sheetName val="INDIGINEOUS_ITEMS_27"/>
      <sheetName val="Structure_Bills_Qty27"/>
      <sheetName val="Project_Details__27"/>
      <sheetName val="Prelims_Breakup28"/>
      <sheetName val="Rate_analysis-_BOQ_1_27"/>
      <sheetName val="External_Doors27"/>
      <sheetName val="Eqpmnt_Plng27"/>
      <sheetName val="LABOUR_RATE27"/>
      <sheetName val="Material_Rate27"/>
      <sheetName val="Switch_V1627"/>
      <sheetName val="Assumption_Inputs27"/>
      <sheetName val="Driveway_Beams27"/>
      <sheetName val="Rate_Analysis27"/>
      <sheetName val="Phase_127"/>
      <sheetName val="Pacakges_split27"/>
      <sheetName val="DEINKING(ANNEX_1)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Factor_Sheet27"/>
      <sheetName val="AutoOpen_Stub_Data27"/>
      <sheetName val="Debits_as_on_12_04_0826"/>
      <sheetName val="Data_Sheet26"/>
      <sheetName val="Cat_A_Change_Control27"/>
      <sheetName val="Summary_WG26"/>
      <sheetName val="STAFFSCHED_26"/>
      <sheetName val="Deduction_of_assets25"/>
      <sheetName val="India_F&amp;S_Template26"/>
      <sheetName val="_bus_bay26"/>
      <sheetName val="doq_426"/>
      <sheetName val="doq_226"/>
      <sheetName val="d-safe_specs25"/>
      <sheetName val="Invoice_Tracker26"/>
      <sheetName val="Intro_25"/>
      <sheetName val="Gate_225"/>
      <sheetName val="BLOCK-A_(MEA_SHEET)26"/>
      <sheetName val="11B_26"/>
      <sheetName val="ACAD_Finishes26"/>
      <sheetName val="Site_Details26"/>
      <sheetName val="Site_Area_Statement26"/>
      <sheetName val="BOQ_LT26"/>
      <sheetName val="14_07_10_CIVIL_W [26"/>
      <sheetName val="Load_Details(B2)26"/>
      <sheetName val="Works_-_Quote_Sheet26"/>
      <sheetName val="Income_Statement26"/>
      <sheetName val="MASTER_RATE_ANALYSIS25"/>
      <sheetName val="Name_List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Cost_Basis25"/>
      <sheetName val="Blr_hire25"/>
      <sheetName val="PRECAST_lig(tconc_II25"/>
      <sheetName val="Quote_Sheet25"/>
      <sheetName val="VF_Full_Recon25"/>
      <sheetName val="Project_Ignite25"/>
      <sheetName val="PITP3_COPY25"/>
      <sheetName val="Meas_25"/>
      <sheetName val="Expenses_Actual_Vs__Budgeted25"/>
      <sheetName val="Col_up_to_plinth25"/>
      <sheetName val="Misc__Data25"/>
      <sheetName val="Customize_Your_Invoice25"/>
      <sheetName val="Fin__Assumpt__-_SensitivitieH25"/>
      <sheetName val="Fin__Assumpt__-_Sensitivitie1"/>
      <sheetName val="RCC,Ret__Wall25"/>
      <sheetName val="precast_RC_element"/>
      <sheetName val="beam-reinft-machine_rm25"/>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苈ô헾⼤"/>
      <sheetName val="08_07_10헾】??헾　"/>
      <sheetName val="RA_BILL_-_1"/>
      <sheetName val="Tax_Inv"/>
      <sheetName val="Tax_Inv_(Client)"/>
      <sheetName val="Rate_analysis_civil1"/>
      <sheetName val="Raw_Data8"/>
      <sheetName val="Array_(2)"/>
      <sheetName val="KSt_-_Analysis_8"/>
      <sheetName val="Section_Catalogue8"/>
      <sheetName val="E_&amp;_R25"/>
      <sheetName val="Cash_Flow_Input_Data_ISC25"/>
      <sheetName val="__¢&amp;ú5#9"/>
      <sheetName val="__¢&amp;???ú5#???????9"/>
      <sheetName val="LEVEL_SHEET1"/>
      <sheetName val="14_07_10@"/>
      <sheetName val="14_07_10Á&amp;"/>
      <sheetName val="__¢&amp;1"/>
      <sheetName val="__¢&amp;___ú5#_______1"/>
      <sheetName val="14_07_10@^_&amp;"/>
      <sheetName val="공사비_내역_(가)8"/>
      <sheetName val="Eqpmnt_Pln"/>
      <sheetName val="Eqpmnt_PlnH"/>
      <sheetName val="Eqpmnt_PlnÄ"/>
      <sheetName val="__¢&amp;_x0000"/>
      <sheetName val="Footing_"/>
      <sheetName val="WORK_TABLE"/>
      <sheetName val="General_Input"/>
      <sheetName val="PointNo_5"/>
      <sheetName val="foot-slab_reinft"/>
      <sheetName val="7_Other_Costs"/>
      <sheetName val="Vind_-_BtB"/>
      <sheetName val="Basement_Budget"/>
      <sheetName val="Cumulative_Karnatka_Purchase"/>
      <sheetName val="Reco-_Project_wise"/>
      <sheetName val="Purchase_head_Wise"/>
      <sheetName val="List_of_Project"/>
      <sheetName val="Cumulative_Karnatka_Purchas_(2"/>
      <sheetName val="Pivot_table"/>
      <sheetName val="MS_Loan_repayments"/>
      <sheetName val="COP_Final"/>
      <sheetName val="BL_Staff"/>
      <sheetName val="Varthur_1"/>
      <sheetName val="ST_CODE"/>
      <sheetName val="Oud_Metha"/>
      <sheetName val="Port_Saeed"/>
      <sheetName val="Al_Wasl"/>
      <sheetName val="old_serial_no_"/>
      <sheetName val="abst-of_-cost"/>
      <sheetName val="Master_data"/>
      <sheetName val="SC_Cost_MAR_02"/>
      <sheetName val="Detail_In_Door_Stad"/>
      <sheetName val="FdnDes_Soil"/>
      <sheetName val="Link"/>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 AnalysisPCC"/>
      <sheetName val="Analysis-NH-Culverts"/>
      <sheetName val="RMR"/>
      <sheetName val="Substation"/>
      <sheetName val="IDCCALHYD-GOO"/>
      <sheetName val="GF Columns"/>
      <sheetName val="PMS"/>
      <sheetName val="DISTRIBUTION"/>
      <sheetName val="2_civil-RA1"/>
      <sheetName val="2_civil-RA2"/>
      <sheetName val="2_civil-RA3"/>
      <sheetName val="PROGRAMME"/>
      <sheetName val="PROG SUMMARY"/>
      <sheetName val="[temp.xls]08.07.10헾】_x0005_?/_x0000_退Ý_x0000_"/>
      <sheetName val="[temp.xls]14.07.10@^\_x0001_&amp;"/>
      <sheetName val="IDC"/>
      <sheetName val="Road Works"/>
      <sheetName val="Footpath"/>
      <sheetName val="Recharge pit"/>
      <sheetName val="Boundary wall"/>
      <sheetName val="BW Repairing &amp; Repainting"/>
      <sheetName val="Water Works"/>
      <sheetName val="SS Tank"/>
      <sheetName val="Rectification-DI line"/>
      <sheetName val="Watering &amp; Compaction"/>
      <sheetName val="Water Supply &amp; Recycle Network"/>
      <sheetName val="Storm Water Drainage"/>
      <sheetName val="Dewatering"/>
      <sheetName val="Rectification-PSS-1"/>
      <sheetName val="Horticulture &amp; Landscaping"/>
      <sheetName val="ETC 1010"/>
      <sheetName val="ETC.1020"/>
      <sheetName val="ETC1090"/>
      <sheetName val="IPS Flooring"/>
      <sheetName val="Pump Grouting"/>
      <sheetName val="Down Take Pipe"/>
      <sheetName val="Pipe Grouting"/>
      <sheetName val="Plug Removing"/>
      <sheetName val="UGT Cleaning"/>
      <sheetName val="Leveling &amp; Dressing"/>
      <sheetName val="STRIP Sizing"/>
      <sheetName val="doq-1 DOQ Culvert"/>
      <sheetName val="doq-1 Aoq Culvert"/>
      <sheetName val="Exc"/>
      <sheetName val="RCC"/>
      <sheetName val="Valves"/>
      <sheetName val="MS Rates"/>
      <sheetName val="pricing"/>
      <sheetName val="sof"/>
      <sheetName val="RateAnalysis"/>
      <sheetName val="Water supply distribution syste"/>
      <sheetName val="Title"/>
      <sheetName val="Sketch"/>
      <sheetName val="Door Types"/>
      <sheetName val="CONCEPT DESIGN QTY"/>
      <sheetName val="Slab Level"/>
      <sheetName val="ENG"/>
      <sheetName val="Design basis-C"/>
      <sheetName val="load data"/>
      <sheetName val="MCC IC"/>
      <sheetName val="MH BUDGET JAN'98"/>
      <sheetName val="15THMONTH"/>
      <sheetName val="p_2"/>
      <sheetName val="MH CONSPTN"/>
      <sheetName val="BASE DATI"/>
      <sheetName val="book1"/>
      <sheetName val="ELECT"/>
      <sheetName val="RMPAR"/>
      <sheetName val="Site_Dev_BO䡑3"/>
      <sheetName val=" 09.07.10 M蕸\헾⿓_x0005_"/>
      <sheetName val="08.07.10헾】_x0005_??睮は_x0005_"/>
      <sheetName val="[temp.xls]14.07.10@"/>
      <sheetName val="08.07.10헾】_x0005_?︀ᇕ԰"/>
      <sheetName val="08.07.10헾】_x0005_?/"/>
      <sheetName val="_x0017_"/>
      <sheetName val="Structure Bills Q_x0011_"/>
      <sheetName val="[temp.xls]08.07.10헾】_x0005_?/"/>
      <sheetName val="FORM-16"/>
      <sheetName val="Quantity"/>
      <sheetName val="ENCL9"/>
      <sheetName val="Building_List"/>
      <sheetName val="Aug"/>
      <sheetName val="FEB"/>
      <sheetName val="[temp.xls]________8___b_______2"/>
      <sheetName val="[temp.xls]____________b_______2"/>
      <sheetName val="[temp.xls]________5___b___8___2"/>
      <sheetName val="[temp.xls]________8___b_______3"/>
      <sheetName val="[temp.xls]____________b_______3"/>
      <sheetName val="[temp.xls]________5___b___8___3"/>
      <sheetName val="[temp.xls][temp.xls]14_07_10__2"/>
      <sheetName val="[temp.xls][temp.xls]14_07_10__3"/>
      <sheetName val="[temp.xls][temp.xls]14_07_10__4"/>
      <sheetName val="[temp.xls][temp.xls]___b______2"/>
      <sheetName val="[temp.xls][temp.xls]14_07_10__5"/>
      <sheetName val="[temp.xls][temp.xls]_5_b__8_6_2"/>
      <sheetName val="[temp.xls][temp.xls]08_07_10__2"/>
      <sheetName val="[temp.xls][temp.xls]14_07_10__6"/>
      <sheetName val="4 Annex 1 Basic rate"/>
      <sheetName val="Assmpns"/>
      <sheetName val="STRL"/>
      <sheetName val="UK"/>
      <sheetName val="GraphData"/>
      <sheetName val="일위(PN)"/>
      <sheetName val="SSR"/>
      <sheetName val="PPA Summary"/>
      <sheetName val="Timesheet"/>
      <sheetName val="Door"/>
      <sheetName val="13. Steel - Ratio"/>
      <sheetName val="wdr bldg"/>
      <sheetName val="Labels"/>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PROCURE"/>
      <sheetName val="단면가정"/>
      <sheetName val="설계조건"/>
      <sheetName val="LOADDAT"/>
      <sheetName val="Lookup"/>
      <sheetName val="PO NOS"/>
      <sheetName val="Fill this out first___"/>
      <sheetName val="steam outlet"/>
      <sheetName val="tie beam"/>
      <sheetName val="Footings"/>
      <sheetName val="sh_x0000_et6"/>
      <sheetName val="BOQ_L_x0000_4"/>
      <sheetName val="SUMRY"/>
      <sheetName val="DGT"/>
      <sheetName val="INTROD"/>
      <sheetName val="Equiv.Length"/>
      <sheetName val="Sump"/>
      <sheetName val="TITLES"/>
      <sheetName val="Rate"/>
      <sheetName val="ON BPCS"/>
      <sheetName val="Analysis-NH-Roads"/>
      <sheetName val="Analysis-NH-Bridges"/>
      <sheetName val="Hardware"/>
      <sheetName val="Labour List "/>
      <sheetName val="Plant List"/>
      <sheetName val="Material List"/>
      <sheetName val="_x0000__x0017__x0000__x0012__x0000__x000f__x0000__x0012__x0000__x0013__x0000_ _x0000__x001a__x0000__x001b__x0000__x0012__x0000_"/>
      <sheetName val="Fin Sum"/>
      <sheetName val="Field Values"/>
      <sheetName val="9. Package split - Cost "/>
      <sheetName val="CIF_COST_ITEM1"/>
      <sheetName val="CIF_COST_ITEM2"/>
      <sheetName val="Initial Data"/>
      <sheetName val="CIF_COST_ITEM3"/>
      <sheetName val="Sum6Jun99"/>
      <sheetName val="CIF_COST_ITEM4"/>
      <sheetName val="Oud_Metha1"/>
      <sheetName val="Port_Saeed1"/>
      <sheetName val="Al_Wasl1"/>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Contents"/>
      <sheetName val="F4.13"/>
      <sheetName val="TOTAL"/>
      <sheetName val="MENSUAL"/>
      <sheetName val="Gym AV"/>
      <sheetName val="OPENINGS"/>
      <sheetName val="Break up Sheet"/>
      <sheetName val="_Data"/>
      <sheetName val="Rates"/>
      <sheetName val="DCI-STR"/>
      <sheetName val="lists"/>
      <sheetName val="73 Free Chart Templates - 3"/>
      <sheetName val="RMes"/>
      <sheetName val="shuttering"/>
      <sheetName val="2.0 Floor Area Summary"/>
      <sheetName val="Angebot18.7."/>
      <sheetName val="App_6"/>
      <sheetName val="PANEL ANNEXURE"/>
      <sheetName val="Cost summary"/>
      <sheetName val="Quantity Freeze"/>
      <sheetName val="Chipping RCC"/>
      <sheetName val=" COP 100%"/>
      <sheetName val="BOQ T4B"/>
      <sheetName val="Summary year Plan"/>
      <sheetName val="P&amp;L-BDMC"/>
      <sheetName val="Macro custom function"/>
      <sheetName val="w't_table"/>
      <sheetName val="cover_page"/>
      <sheetName val="DM_tANK_Allow"/>
      <sheetName val="w't_table1"/>
      <sheetName val="cover_page1"/>
      <sheetName val="ST_CODE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risk rents and incentives"/>
      <sheetName val="Car park lease"/>
      <sheetName val="Net rent analysis"/>
      <sheetName val="Employee Details"/>
      <sheetName val="A1-Continuous"/>
      <sheetName val="Inter Co Balances"/>
      <sheetName val="Masters"/>
      <sheetName val="1.01 (a)"/>
      <sheetName val="labour rates"/>
      <sheetName val="COMPLEXALL"/>
      <sheetName val="doc-specifi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 09.07.10 _x0005__x0000__x0000__x0000__x0002__x0000_"/>
      <sheetName val="wordsdat_x0000_"/>
      <sheetName val="contactor"/>
      <sheetName val="PRSH"/>
      <sheetName val="s"/>
      <sheetName val="Walk Across"/>
      <sheetName val="B1"/>
      <sheetName val="Ward areas"/>
      <sheetName val="08.07.10헾】_x0005_?蠄ሹꠀ䁮?"/>
      <sheetName val="08.07.10헾】_x0005_?蠌ሹ⠀䁫?"/>
      <sheetName val="Atlas"/>
      <sheetName val="FX Rates"/>
      <sheetName val="Summary (GBP)"/>
      <sheetName val="HPL"/>
      <sheetName val="GLOBAL_REFERRENCE_SHEET"/>
      <sheetName val="[temp.xls] 09.07.10 M蕸\헾⿓_x0005_"/>
      <sheetName val="NPV"/>
      <sheetName val="Switch costs lookup"/>
      <sheetName val="Version"/>
      <sheetName val="AoR Finishing"/>
      <sheetName val="GEN REQ"/>
      <sheetName val="SD and START UP"/>
      <sheetName val="Project Brief"/>
      <sheetName val="Internet"/>
      <sheetName val="Ground Floor"/>
      <sheetName val="E-400 (BW)"/>
      <sheetName val="E-400 (Pl)"/>
      <sheetName val="E-400 Schedule (Pl)"/>
      <sheetName val="E-330 (Pl)"/>
      <sheetName val="E-330 Schedule (Pl)"/>
      <sheetName val="CIV INV&amp;EXP"/>
      <sheetName val="intr stool brkup"/>
      <sheetName val="co_5"/>
      <sheetName val="C-1"/>
      <sheetName val="C-10"/>
      <sheetName val="C-11"/>
      <sheetName val="C-2"/>
      <sheetName val="C-3"/>
      <sheetName val="C-4"/>
      <sheetName val="C-5"/>
      <sheetName val="C-5A"/>
      <sheetName val="C-6"/>
      <sheetName val="C-6A"/>
      <sheetName val="C-7"/>
      <sheetName val="C-8"/>
      <sheetName val="C-9"/>
      <sheetName val="Main Assump."/>
      <sheetName val="N-Amritsar 135"/>
      <sheetName val="08.07.10헾】_x0005_?蠄ሹꠀ䁮"/>
      <sheetName val="08.07.10헾】_x0005_?蠌ሹ⠀䁫"/>
      <sheetName val="VARIABLE"/>
      <sheetName val="08.07.10헾】_x0005_???dlvo"/>
      <sheetName val="08.07.10헾】_x0005_?"/>
      <sheetName val="General"/>
      <sheetName val="Table 4"/>
      <sheetName val="Table 5"/>
      <sheetName val="Table 2"/>
      <sheetName val="Table 27"/>
      <sheetName val="INTSHEET"/>
      <sheetName val="INTSHEET3"/>
      <sheetName val="oresreqsum"/>
      <sheetName val="B &amp; C class items "/>
      <sheetName val="GM &amp; TA"/>
      <sheetName val="細目"/>
      <sheetName val="Elect."/>
      <sheetName val="_1唷_07镟10_譎_SH偉FT_襍ECH-TANK21"/>
      <sheetName val="Labour Rate "/>
      <sheetName val="(M+L)"/>
      <sheetName val="Set"/>
      <sheetName val="Pur"/>
      <sheetName val="450 x 350"/>
      <sheetName val="External"/>
      <sheetName val="SUPPLY -Sanitary Fixtures"/>
      <sheetName val="ITEMS FOR CIVIL TENDER"/>
      <sheetName val="LT DATA (Cable)"/>
      <sheetName val="Lifts_&amp;_Escal-BOQ3"/>
      <sheetName val="FIRE_BOQ3"/>
      <sheetName val="Form_63"/>
      <sheetName val="R_A_1"/>
      <sheetName val="_1"/>
      <sheetName val="08_07_10헾】__"/>
      <sheetName val="08_07_10"/>
      <sheetName val="08_07_10_CIVIՌ"/>
      <sheetName val="08_07_10헾】__헾　"/>
      <sheetName val="Combined_Results_"/>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Load Details(B1)"/>
      <sheetName val=" 08.07.10 RS &amp; S䂰⁜㩰⁜_x0000__x0000_e"/>
      <sheetName val="equiplist"/>
      <sheetName val="HIRA Format"/>
      <sheetName val="2nd "/>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SPEC SHEET"/>
      <sheetName val="見積書"/>
      <sheetName val="Sch No. 1 - Building Works"/>
      <sheetName val="Deprec_8"/>
      <sheetName val="2_civil-RA5"/>
      <sheetName val="Frango_Work_sheet5"/>
      <sheetName val="TCMO_(2)5"/>
      <sheetName val="Advance_tax5"/>
      <sheetName val="Cashflow_5"/>
      <sheetName val="ITDEP_revised5"/>
      <sheetName val="Deferred_tax5"/>
      <sheetName val="grp_5"/>
      <sheetName val="Debtors_Ageing_5"/>
      <sheetName val="Deprec_9"/>
      <sheetName val="2_civil-RA6"/>
      <sheetName val="Fin__Assumpt__-_Sensitivitie6"/>
      <sheetName val="Frango_Work_sheet6"/>
      <sheetName val="TCMO_(2)6"/>
      <sheetName val="Advance_tax6"/>
      <sheetName val="Cashflow_6"/>
      <sheetName val="ITDEP_revised6"/>
      <sheetName val="Deferred_tax6"/>
      <sheetName val="grp_6"/>
      <sheetName val="Debtors_Ageing_6"/>
      <sheetName val="Rate_analysis_civil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w_Data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Eqpmnt_PlnH5"/>
      <sheetName val="Eqpmnt_PlnÄ5"/>
      <sheetName val="PointNo_55"/>
      <sheetName val="precast_RC_element5"/>
      <sheetName val="General_Input5"/>
      <sheetName val="RA_BILL_-_15"/>
      <sheetName val="Tax_Inv5"/>
      <sheetName val="Tax_Inv_(Client)5"/>
      <sheetName val="foot-slab_reinft5"/>
      <sheetName val="7_Other_Costs5"/>
      <sheetName val="Vind_-_BtB5"/>
      <sheetName val="WORK_TABLE5"/>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Basement_Budget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1st Slab"/>
      <sheetName val="bil-mff"/>
      <sheetName val="Costs"/>
      <sheetName val="MB.Prod"/>
      <sheetName val="Item-wise summary"/>
      <sheetName val="Adimi_bldg"/>
      <sheetName val="Pump_House"/>
      <sheetName val="Fuel_Regu_Station"/>
      <sheetName val="0200_Siteworks"/>
      <sheetName val="BLR_1"/>
      <sheetName val="HRSG_PRINT"/>
      <sheetName val="Cost_control"/>
      <sheetName val="Pile"/>
      <sheetName val="3. Elemental Summary"/>
      <sheetName val="Deckblatt"/>
      <sheetName val="Road_Works"/>
      <sheetName val="Recharge_pit"/>
      <sheetName val="Boundary_wall"/>
      <sheetName val="BW_Repairing_&amp;_Repainting"/>
      <sheetName val="Water_Works"/>
      <sheetName val="SS_Tank"/>
      <sheetName val="Rectification-DI_line"/>
      <sheetName val="Watering_&amp;_Compaction"/>
      <sheetName val="Water_Supply_&amp;_Recycle_Network"/>
      <sheetName val="Storm_Water_Drainage"/>
      <sheetName val="Horticulture_&amp;_Landscaping"/>
      <sheetName val="ETC_1010"/>
      <sheetName val="ETC_1020"/>
      <sheetName val="IPS_Flooring"/>
      <sheetName val="Pump_Grouting"/>
      <sheetName val="Down_Take_Pipe"/>
      <sheetName val="Pipe_Grouting"/>
      <sheetName val="Plug_Removing"/>
      <sheetName val="UGT_Cleaning"/>
      <sheetName val="Leveling_&amp;_Dressing"/>
      <sheetName val="Tees"/>
      <sheetName val="MEMORANDUM"/>
      <sheetName val="Formulas"/>
      <sheetName val="[temp.xls]________8___b_______4"/>
      <sheetName val="[temp.xls]____________b_______4"/>
      <sheetName val="[temp.xls]________5___b___8___4"/>
      <sheetName val="[temp.xls][temp.xls]14_07_10__7"/>
      <sheetName val="[temp.xls][temp.xls]14_07_10__8"/>
      <sheetName val="[temp.xls][temp.xls]14_07_10__9"/>
      <sheetName val="[temp.xls][temp.xls]___b______3"/>
      <sheetName val="[temp.xls][temp.xls]14_07_10_10"/>
      <sheetName val="[temp.xls][temp.xls]_5_b__8_6_3"/>
      <sheetName val="[temp.xls][temp.xls]08_07_10__3"/>
      <sheetName val="[temp.xls][temp.xls]14_07_10_11"/>
      <sheetName val="[temp.xls][temp.xls]08_07_10__4"/>
      <sheetName val="[temp.xls]________8___b_______5"/>
      <sheetName val="[temp.xls]____________b_______5"/>
      <sheetName val="[temp.xls]________5___b___8___5"/>
      <sheetName val="[temp.xls][temp.xls]14_07_10_12"/>
      <sheetName val="[temp.xls][temp.xls]14_07_10_13"/>
      <sheetName val="[temp.xls][temp.xls]14_07_10_14"/>
      <sheetName val="[temp.xls][temp.xls]___b______4"/>
      <sheetName val="[temp.xls][temp.xls]14_07_10_15"/>
      <sheetName val="[temp.xls][temp.xls]_5_b__8_6_4"/>
      <sheetName val="[temp.xls][temp.xls]08_07_10__5"/>
      <sheetName val="[temp.xls][temp.xls]14_07_10_16"/>
      <sheetName val="[temp.xls][temp.xls]_09_07_10_2"/>
      <sheetName val="[temp.xls][temp.xls]08_07_10__6"/>
      <sheetName val="CIF_COST_ITEM12"/>
      <sheetName val="14_07_10_CIVIL_W _27"/>
      <sheetName val="Oud_Metha9"/>
      <sheetName val="Port_Saeed9"/>
      <sheetName val="Al_Wasl9"/>
      <sheetName val="__¢&amp;___ú5#_______10"/>
      <sheetName val="SC_Cost_FEB_032"/>
      <sheetName val="[temp_xls]14_07_10@&amp;Ò:"/>
      <sheetName val="Design_basis-C1"/>
      <sheetName val="load_data1"/>
      <sheetName val="MCC_IC1"/>
      <sheetName val="[temp_xls]14_07_10@^\&amp;8"/>
      <sheetName val="[temp_xls]14_07_10@&amp;Ò:1"/>
      <sheetName val="[temp_xls]¸:;b+/î&lt;î:&amp;&amp;1"/>
      <sheetName val="[temp_xls]14_07_10@^\&amp;81"/>
      <sheetName val="[temp_xls]Ü5)bÝ/8)6)&amp;&amp;1"/>
      <sheetName val="MH_BUDGET_JAN'981"/>
      <sheetName val="MH_CONSPTN1"/>
      <sheetName val="BASE_DATI1"/>
      <sheetName val="Cable_Data1"/>
      <sheetName val="Adimi_bldg1"/>
      <sheetName val="Pump_House1"/>
      <sheetName val="Fuel_Regu_Station1"/>
      <sheetName val="0200_Siteworks1"/>
      <sheetName val="Basic_Rates1"/>
      <sheetName val="Main_Gate_House1"/>
      <sheetName val="unit_cost_1"/>
      <sheetName val="13__Steel_-_Ratio1"/>
      <sheetName val="Material_recovery1"/>
      <sheetName val="GF_Columns1"/>
      <sheetName val="Fin_Sum1"/>
      <sheetName val="Field_Values1"/>
      <sheetName val="9__Package_split_-_Cost_1"/>
      <sheetName val="Initial_Data8"/>
      <sheetName val="F4_131"/>
      <sheetName val="Gym_AV1"/>
      <sheetName val="Break_up_Sheet1"/>
      <sheetName val="3LBHK_RA1"/>
      <sheetName val="Ground_Floor1"/>
      <sheetName val="Road_Works2"/>
      <sheetName val="Recharge_pit2"/>
      <sheetName val="Boundary_wall2"/>
      <sheetName val="BW_Repairing_&amp;_Repainting2"/>
      <sheetName val="Water_Works2"/>
      <sheetName val="SS_Tank2"/>
      <sheetName val="Rectification-DI_line2"/>
      <sheetName val="Watering_&amp;_Compaction2"/>
      <sheetName val="Water_Supply_&amp;_Recycle_Network2"/>
      <sheetName val="Storm_Water_Drainage2"/>
      <sheetName val="Horticulture_&amp;_Landscaping2"/>
      <sheetName val="ETC_10102"/>
      <sheetName val="ETC_10202"/>
      <sheetName val="IPS_Flooring2"/>
      <sheetName val="Pump_Grouting2"/>
      <sheetName val="Down_Take_Pipe2"/>
      <sheetName val="Pipe_Grouting2"/>
      <sheetName val="Plug_Removing2"/>
      <sheetName val="UGT_Cleaning2"/>
      <sheetName val="Leveling_&amp;_Dressing2"/>
      <sheetName val="CIF_COST_ITEM11"/>
      <sheetName val="14_07_10_CIVIL_W _26"/>
      <sheetName val="Oud_Metha8"/>
      <sheetName val="Port_Saeed8"/>
      <sheetName val="Al_Wasl8"/>
      <sheetName val="__¢&amp;___ú5#_______9"/>
      <sheetName val="SC_Cost_FEB_031"/>
      <sheetName val="Design_basis-C"/>
      <sheetName val="load_data"/>
      <sheetName val="MCC_IC"/>
      <sheetName val="[temp_xls]¸:;b+/î&lt;î:&amp;&amp;"/>
      <sheetName val="[temp_xls]Ü5)bÝ/8)6)&amp;&amp;"/>
      <sheetName val="MH_BUDGET_JAN'98"/>
      <sheetName val="MH_CONSPTN"/>
      <sheetName val="BASE_DATI"/>
      <sheetName val="Cable_Data"/>
      <sheetName val="Fin_Sum"/>
      <sheetName val="Field_Values"/>
      <sheetName val="9__Package_split_-_Cost_"/>
      <sheetName val="Initial_Data7"/>
      <sheetName val="F4_13"/>
      <sheetName val="Break_up_Sheet"/>
      <sheetName val="Ground_Floor"/>
      <sheetName val="Road_Works1"/>
      <sheetName val="Recharge_pit1"/>
      <sheetName val="Boundary_wall1"/>
      <sheetName val="BW_Repairing_&amp;_Repainting1"/>
      <sheetName val="Water_Works1"/>
      <sheetName val="SS_Tank1"/>
      <sheetName val="Rectification-DI_line1"/>
      <sheetName val="Watering_&amp;_Compaction1"/>
      <sheetName val="Water_Supply_&amp;_Recycle_Network1"/>
      <sheetName val="Storm_Water_Drainage1"/>
      <sheetName val="Horticulture_&amp;_Landscaping1"/>
      <sheetName val="ETC_10101"/>
      <sheetName val="ETC_10201"/>
      <sheetName val="IPS_Flooring1"/>
      <sheetName val="Pump_Grouting1"/>
      <sheetName val="Down_Take_Pipe1"/>
      <sheetName val="Pipe_Grouting1"/>
      <sheetName val="Plug_Removing1"/>
      <sheetName val="UGT_Cleaning1"/>
      <sheetName val="Leveling_&amp;_Dressing1"/>
      <sheetName val="Data used"/>
      <sheetName val="Annex-1"/>
      <sheetName val="IEC-865"/>
      <sheetName val="sh"/>
      <sheetName val="BOQ_L"/>
      <sheetName val=" 09.07.10 _x0005_"/>
      <sheetName val="wordsdat"/>
      <sheetName val=" 08.07.10 RS &amp; S䂰⁜㩰⁜"/>
      <sheetName val="LINE-BEND"/>
      <sheetName val="공사비_내역_(가)13"/>
      <sheetName val="CIF_COST_ITEM13"/>
      <sheetName val="14_07_10_CIVIL_W _28"/>
      <sheetName val="Oud_Metha10"/>
      <sheetName val="Port_Saeed10"/>
      <sheetName val="Al_Wasl10"/>
      <sheetName val="__¢&amp;___ú5#_______11"/>
      <sheetName val="SC_Cost_FEB_033"/>
      <sheetName val="Design_basis-C2"/>
      <sheetName val="load_data2"/>
      <sheetName val="MCC_IC2"/>
      <sheetName val="[temp_xls]14_07_10@&amp;Ò:2"/>
      <sheetName val="[temp_xls]¸:;b+/î&lt;î:&amp;&amp;2"/>
      <sheetName val="[temp_xls]14_07_10@^\&amp;82"/>
      <sheetName val="[temp_xls]Ü5)bÝ/8)6)&amp;&amp;2"/>
      <sheetName val="MH_BUDGET_JAN'982"/>
      <sheetName val="MH_CONSPTN2"/>
      <sheetName val="BASE_DATI2"/>
      <sheetName val="Cable_Data2"/>
      <sheetName val="Adimi_bldg2"/>
      <sheetName val="Pump_House2"/>
      <sheetName val="Fuel_Regu_Station2"/>
      <sheetName val="0200_Siteworks2"/>
      <sheetName val="Basic_Rates2"/>
      <sheetName val="Main_Gate_House2"/>
      <sheetName val="unit_cost_2"/>
      <sheetName val="13__Steel_-_Ratio2"/>
      <sheetName val="Material_recovery2"/>
      <sheetName val="GF_Columns2"/>
      <sheetName val="Fin_Sum2"/>
      <sheetName val="Field_Values2"/>
      <sheetName val="9__Package_split_-_Cost_2"/>
      <sheetName val="Initial_Data9"/>
      <sheetName val="F4_132"/>
      <sheetName val="Gym_AV2"/>
      <sheetName val="Break_up_Sheet2"/>
      <sheetName val="3LBHK_RA2"/>
      <sheetName val="Ground_Floor2"/>
      <sheetName val="Road_Works3"/>
      <sheetName val="Recharge_pit3"/>
      <sheetName val="Boundary_wall3"/>
      <sheetName val="BW_Repairing_&amp;_Repainting3"/>
      <sheetName val="Water_Works3"/>
      <sheetName val="SS_Tank3"/>
      <sheetName val="Rectification-DI_line3"/>
      <sheetName val="Watering_&amp;_Compaction3"/>
      <sheetName val="Water_Supply_&amp;_Recycle_Network3"/>
      <sheetName val="Storm_Water_Drainage3"/>
      <sheetName val="Horticulture_&amp;_Landscaping3"/>
      <sheetName val="ETC_10103"/>
      <sheetName val="ETC_10203"/>
      <sheetName val="IPS_Flooring3"/>
      <sheetName val="Pump_Grouting3"/>
      <sheetName val="Down_Take_Pipe3"/>
      <sheetName val="Pipe_Grouting3"/>
      <sheetName val="Plug_Removing3"/>
      <sheetName val="UGT_Cleaning3"/>
      <sheetName val="Leveling_&amp;_Dressing3"/>
      <sheetName val="공사비_내역_(가)14"/>
      <sheetName val="CIF_COST_ITEM14"/>
      <sheetName val="ETC_Plant_Cost5"/>
      <sheetName val="14_07_10_CIVIL_W _29"/>
      <sheetName val="Oud_Metha11"/>
      <sheetName val="Port_Saeed11"/>
      <sheetName val="Al_Wasl11"/>
      <sheetName val="__¢&amp;___ú5#_______12"/>
      <sheetName val="SC_Cost_FEB_034"/>
      <sheetName val="Design_basis-C3"/>
      <sheetName val="load_data3"/>
      <sheetName val="MCC_IC3"/>
      <sheetName val="[temp_xls]14_07_10@&amp;Ò:3"/>
      <sheetName val="[temp_xls]¸:;b+/î&lt;î:&amp;&amp;3"/>
      <sheetName val="[temp_xls]14_07_10@^\&amp;83"/>
      <sheetName val="[temp_xls]Ü5)bÝ/8)6)&amp;&amp;3"/>
      <sheetName val="MH_BUDGET_JAN'983"/>
      <sheetName val="MH_CONSPTN3"/>
      <sheetName val="BASE_DATI3"/>
      <sheetName val="Cable_Data3"/>
      <sheetName val="Adimi_bldg3"/>
      <sheetName val="Pump_House3"/>
      <sheetName val="Fuel_Regu_Station3"/>
      <sheetName val="0200_Siteworks3"/>
      <sheetName val="Basic_Rates3"/>
      <sheetName val="Main_Gate_House3"/>
      <sheetName val="unit_cost_3"/>
      <sheetName val="13__Steel_-_Ratio3"/>
      <sheetName val="Material_recovery3"/>
      <sheetName val="GF_Columns3"/>
      <sheetName val="Fin_Sum3"/>
      <sheetName val="Field_Values3"/>
      <sheetName val="9__Package_split_-_Cost_3"/>
      <sheetName val="Initial_Data10"/>
      <sheetName val="F4_133"/>
      <sheetName val="Gym_AV3"/>
      <sheetName val="Break_up_Sheet3"/>
      <sheetName val="3LBHK_RA3"/>
      <sheetName val="Ground_Floor3"/>
      <sheetName val="Road_Works4"/>
      <sheetName val="Recharge_pit4"/>
      <sheetName val="Boundary_wall4"/>
      <sheetName val="BW_Repairing_&amp;_Repainting4"/>
      <sheetName val="Water_Works4"/>
      <sheetName val="SS_Tank4"/>
      <sheetName val="Rectification-DI_line4"/>
      <sheetName val="Watering_&amp;_Compaction4"/>
      <sheetName val="Water_Supply_&amp;_Recycle_Network4"/>
      <sheetName val="Storm_Water_Drainage4"/>
      <sheetName val="Horticulture_&amp;_Landscaping4"/>
      <sheetName val="ETC_10104"/>
      <sheetName val="ETC_10204"/>
      <sheetName val="IPS_Flooring4"/>
      <sheetName val="Pump_Grouting4"/>
      <sheetName val="Down_Take_Pipe4"/>
      <sheetName val="Pipe_Grouting4"/>
      <sheetName val="Plug_Removing4"/>
      <sheetName val="UGT_Cleaning4"/>
      <sheetName val="Leveling_&amp;_Dressing4"/>
      <sheetName val="rdamdata"/>
      <sheetName val="lead-st"/>
      <sheetName val="r"/>
      <sheetName val="[temp.xls][temp.xls]14_07_10_17"/>
      <sheetName val="[temp.xls][temp.xls]14_07_10_18"/>
      <sheetName val="[temp.xls][temp.xls]14_07_10_19"/>
      <sheetName val="[temp.xls][temp.xls]___b______5"/>
      <sheetName val="[temp.xls][temp.xls]14_07_10_20"/>
      <sheetName val="[temp.xls][temp.xls]_5_b__8_6_5"/>
      <sheetName val="[temp.xls][temp.xls]14_07_10_21"/>
      <sheetName val="[temp.xls]08_07_10헾】?/退Ý"/>
      <sheetName val="[temp.xls]14_07_10@^\&amp;"/>
      <sheetName val="[temp.xls]_09_07_10_M蕸\헾⿓"/>
      <sheetName val="MAIN DOOR ANALYSIS (ENGLISH)"/>
      <sheetName val="Cashflows "/>
      <sheetName val="Cash Flow Working"/>
      <sheetName val="Grouping TB"/>
      <sheetName val="Profile"/>
      <sheetName val="STEEL STRUCTURE"/>
      <sheetName val=" 09.07.10 M顅ᎆ뤀ᨇ԰_x005f_x0000_缀_x005f_x0000_"/>
      <sheetName val="Labor abs-NMR"/>
      <sheetName val="Sheet4"/>
      <sheetName val="Brand"/>
      <sheetName val="Location"/>
      <sheetName val="PackSize"/>
      <sheetName val="PackagingType"/>
      <sheetName val="Plant"/>
      <sheetName val="ProductHierarchy"/>
      <sheetName val="PurchGroup"/>
      <sheetName val="Sub-brand"/>
      <sheetName val="UOM"/>
      <sheetName val="Variant"/>
      <sheetName val="Current Bill MB ref"/>
      <sheetName val="Materials Cost(PCC)"/>
      <sheetName val="ST_CODE5"/>
      <sheetName val="w't_table5"/>
      <sheetName val="cover_page5"/>
      <sheetName val="DM_tANK_Allow5"/>
      <sheetName val="08_07_10헾】__睮は"/>
      <sheetName val="08_07_10헾】_︀ᇕ԰"/>
      <sheetName val="08_07_10헾】_蠄ሹꠀ䁮�"/>
      <sheetName val="08_07_10헾】_蠌ሹ⠀䁫�"/>
      <sheetName val="@risk_rents_and_incentives"/>
      <sheetName val="Car_park_lease"/>
      <sheetName val="Net_rent_analysis"/>
      <sheetName val="PANEL_ANNEXURE"/>
      <sheetName val="wdr_bldg"/>
      <sheetName val="Macro_custom_function1"/>
      <sheetName val="Walk_Across"/>
      <sheetName val="Cost_summary"/>
      <sheetName val="Employee_Details"/>
      <sheetName val="AoR_Finishing"/>
      <sheetName val="labour_rates"/>
      <sheetName val="BOQ_T4B"/>
      <sheetName val="Summary_year_Plan"/>
      <sheetName val="Project_Brief"/>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Quantity_Freeze"/>
      <sheetName val="Chipping_RCC"/>
      <sheetName val="Main_Assump_"/>
      <sheetName val="N-Amritsar_135"/>
      <sheetName val="08_07_10헾】?︀ᇕ԰"/>
      <sheetName val="[temp.xls]08_07_10헾】?/"/>
      <sheetName val="08_07_10헾】???dlvo"/>
      <sheetName val="08_07_10헾】?"/>
      <sheetName val="M_S_"/>
      <sheetName val="Ward_areas"/>
      <sheetName val="BFS"/>
      <sheetName val="FIRE - Tower"/>
      <sheetName val="Coalmine"/>
      <sheetName val="conc-foot-gradeslab"/>
      <sheetName val="SCH99"/>
      <sheetName val="ASSET_99 "/>
      <sheetName val="WPC"/>
      <sheetName val="M.R.List (2)"/>
      <sheetName val="SB_SCH_A3"/>
      <sheetName val="SB SCH_A7"/>
      <sheetName val="Main Summary"/>
      <sheetName val="FITZ MORT 94"/>
      <sheetName val="_ ¢&amp;"/>
      <sheetName val="CapitalMetrics"/>
      <sheetName val="Staff Forecast spread"/>
      <sheetName val="Project Budget Worksheet"/>
      <sheetName val="Stress Calculation"/>
      <sheetName val="Angles"/>
      <sheetName val="매크로"/>
      <sheetName val="item"/>
      <sheetName val="except wiring"/>
      <sheetName val="CCNs"/>
      <sheetName val="改加胶玻璃、室外栏杆"/>
      <sheetName val="SRC-B3U2"/>
      <sheetName val="08.07.10헾】_x0005_?⇯_x0000__x0000_瘀Ᏸ"/>
      <sheetName val="Start"/>
      <sheetName val="[temp.xls]________8___b_______6"/>
      <sheetName val="[temp.xls]____________b_______6"/>
      <sheetName val="[temp.xls]________5___b___8___6"/>
      <sheetName val="[temp.xls][temp.xls]14_07_10_22"/>
      <sheetName val="[temp.xls][temp.xls]14_07_10_23"/>
      <sheetName val="[temp.xls][temp.xls]14_07_10_24"/>
      <sheetName val="[temp.xls][temp.xls]___b______6"/>
      <sheetName val="[temp.xls][temp.xls]14_07_10_25"/>
      <sheetName val="[temp.xls][temp.xls]_5_b__8_6_6"/>
      <sheetName val="[temp.xls][temp.xls]14_07_10_26"/>
      <sheetName val="[temp.xls][temp.xls]08_07_10__7"/>
      <sheetName val="[temp.xls][temp.xls]08_07_10__8"/>
      <sheetName val="[temp.xls][temp.xls]14_07_10_27"/>
      <sheetName val="[temp.xls][temp.xls]_09_07_10_3"/>
      <sheetName val="[temp.xls][temp.xls]08_07_10__9"/>
      <sheetName val="SAND PER MTR"/>
      <sheetName val="MY PHONE COST"/>
      <sheetName val="PROGRESS IN JUNE"/>
      <sheetName val="CAPITALS"/>
      <sheetName val="water connection"/>
      <sheetName val="Roll Party"/>
      <sheetName val="bhavya mh"/>
      <sheetName val="bhavya line"/>
      <sheetName val="CLASSICAL RECON"/>
      <sheetName val="Riser-1"/>
      <sheetName val="[temp_xls]08_07_10헾】?/退Ý"/>
      <sheetName val="[temp_xls]14_07_10@^\&amp;"/>
      <sheetName val="08_07_10헾】?/"/>
      <sheetName val="[temp_xls]_09_07_10_M蕸\헾⿓"/>
      <sheetName val="MRATES"/>
      <sheetName val="Item-_C"/>
      <sheetName val="PARAMETRES"/>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Dropdown List"/>
      <sheetName val="BLR_11"/>
      <sheetName val="HRSG_PRINT1"/>
      <sheetName val="Cost_control1"/>
      <sheetName val="BLR_12"/>
      <sheetName val="HRSG_PRINT2"/>
      <sheetName val="Cost_control2"/>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Customize_Your_Invoice30"/>
      <sheetName val="Project_Ignite30"/>
      <sheetName val="Fin__Assumpt__-_SensitivitieH30"/>
      <sheetName val="R_A_6"/>
      <sheetName val="beam-reinft-machine_rm30"/>
      <sheetName val="Cash_Flow_Input_Data_ISC30"/>
      <sheetName val="E_&amp;_R30"/>
      <sheetName val="Array_(2)5"/>
      <sheetName val="Footing_5"/>
      <sheetName val="COP_Final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accom cash"/>
      <sheetName val="CEMENT PSP"/>
      <sheetName val="TORRENT CEMENT"/>
      <sheetName val="Internal"/>
      <sheetName val="RMG_-@BS18"/>
      <sheetName val="_07_07_10 CIVIL7"/>
      <sheetName val="10CC Stmt"/>
      <sheetName val="Price Index"/>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Break_Up"/>
      <sheetName val="RESULT"/>
      <sheetName val="LIST OF MAKES"/>
      <sheetName val="Break_Up (bc)"/>
      <sheetName val="Break_Up (bc1)"/>
      <sheetName val="Break_Up (bc2)"/>
      <sheetName val="Cost_any"/>
      <sheetName val="R20_R30_work"/>
      <sheetName val="08.07.10헾】_x0005__蠄ሹꠀ䁮"/>
      <sheetName val="08.07.10헾】_x0005__蠌ሹ⠀䁫"/>
      <sheetName val="08.07.10헾】_x0005_?蠄ሹꠀ䁮�"/>
      <sheetName val="08.07.10헾】_x0005_?蠌ሹ⠀䁫�"/>
      <sheetName val="08_07_10헾】_蠄ሹꠀ䁮"/>
      <sheetName val="08_07_10헾】_蠌ሹ⠀䁫"/>
      <sheetName val="聟05_07_10_N_SHIFT_MECH-FAB2"/>
      <sheetName val="ALL"/>
      <sheetName val="1) COMMON FACILITIES"/>
      <sheetName val="INDENT WISE DETAILS"/>
      <sheetName val="ITEM WISE ISSUED QTY SUM"/>
      <sheetName val="D-623D"/>
      <sheetName val="08.07.10헾】_x0005_?⇯"/>
      <sheetName val="08.07.10헾】_x0005_ꎋ"/>
      <sheetName val="14.07.10@_x0003_&amp;Ò:"/>
      <sheetName val="_x0017__x0012__x000f__x0012__x0013__x000a__x001a__x001b__x0017_"/>
      <sheetName val="14.07.10@^\_x0001_&amp;_x0012_8"/>
      <sheetName val="08.07.10헾】_x0005_??_x0005_"/>
      <sheetName val="08.07.10헾】_x0005__x0000"/>
      <sheetName val="_x0017__x0012__x000f__x0012__x0013_ _x001a__x001b__x0017_"/>
      <sheetName val=" _¢_x0002_&amp;_x0000"/>
      <sheetName val=" 09.07.10 M顅ᎆ뤀ᨇ԰v喐"/>
      <sheetName val="14.07.10@_x0003_&amp;_x0000"/>
      <sheetName val="  ¢_x0002_&amp;_x0000"/>
      <sheetName val="14.07.10@^__x0001_&amp;_x000"/>
      <sheetName val="_x0017__x0012__x0"/>
      <sheetName val="[temp.xls]14.07.10@_x0003_&amp;Ò:"/>
      <sheetName val="[temp.xls]14.07.10@^\_x0001_&amp;_x0012_8"/>
      <sheetName val="08.07.10헾】_x0005____x0005_"/>
      <sheetName val="14.07.10@_x0003_&amp;Ò."/>
      <sheetName val="14.07.10@^__x0001_&amp;_x0012_8"/>
      <sheetName val="_x0017__x0012__x000f__x0012__x0013__x001a__x0013__x000b__x0006__x0011__x0010__x0007__x0003__x0003_"/>
      <sheetName val="_x0017__x0012__x000f__x0012__x0013__x000a__x001a__x001b__x0012_"/>
      <sheetName val=" _x000e__x0003__x0017__x0012__x000f__x0012__x0013__x001a__x001b__x0017_"/>
      <sheetName val="shet6"/>
      <sheetName val="BOQ_L4"/>
      <sheetName val="_x0017__x0012__x000f__x0012__x0013_ _x001a__x001b__x0012_"/>
      <sheetName val=" 09.07.10 _x0005__x0002_"/>
      <sheetName val=" 08.07.10 RS &amp; S䂰⁜㩰⁜e"/>
    </sheetNames>
    <sheetDataSet>
      <sheetData sheetId="0" refreshError="1">
        <row r="19">
          <cell r="J19">
            <v>1.0499999999999999E-3</v>
          </cell>
        </row>
        <row r="20">
          <cell r="K20">
            <v>0.10083</v>
          </cell>
        </row>
      </sheetData>
      <sheetData sheetId="1" refreshError="1"/>
      <sheetData sheetId="2"/>
      <sheetData sheetId="3">
        <row r="19">
          <cell r="J19">
            <v>1.0499999999999999E-3</v>
          </cell>
        </row>
      </sheetData>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ow r="19">
          <cell r="J19">
            <v>1.0499999999999999E-3</v>
          </cell>
        </row>
      </sheetData>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ow r="19">
          <cell r="J19">
            <v>1.0499999999999999E-3</v>
          </cell>
        </row>
      </sheetData>
      <sheetData sheetId="45">
        <row r="19">
          <cell r="J19">
            <v>1.0499999999999999E-3</v>
          </cell>
        </row>
      </sheetData>
      <sheetData sheetId="46">
        <row r="19">
          <cell r="J19">
            <v>1.0499999999999999E-3</v>
          </cell>
        </row>
      </sheetData>
      <sheetData sheetId="47">
        <row r="19">
          <cell r="J19">
            <v>1.0499999999999999E-3</v>
          </cell>
        </row>
      </sheetData>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ow r="19">
          <cell r="J19">
            <v>1.0499999999999999E-3</v>
          </cell>
        </row>
      </sheetData>
      <sheetData sheetId="59">
        <row r="19">
          <cell r="J19">
            <v>1.0499999999999999E-3</v>
          </cell>
        </row>
      </sheetData>
      <sheetData sheetId="60">
        <row r="19">
          <cell r="J19">
            <v>1.0499999999999999E-3</v>
          </cell>
        </row>
      </sheetData>
      <sheetData sheetId="61" refreshError="1"/>
      <sheetData sheetId="62" refreshError="1"/>
      <sheetData sheetId="63" refreshError="1"/>
      <sheetData sheetId="64" refreshError="1"/>
      <sheetData sheetId="65">
        <row r="19">
          <cell r="J19">
            <v>1.0499999999999999E-3</v>
          </cell>
        </row>
      </sheetData>
      <sheetData sheetId="66">
        <row r="19">
          <cell r="J19">
            <v>1.0499999999999999E-3</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19">
          <cell r="J19">
            <v>1.0499999999999999E-3</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ow r="19">
          <cell r="J19">
            <v>1.0499999999999999E-3</v>
          </cell>
        </row>
      </sheetData>
      <sheetData sheetId="596">
        <row r="19">
          <cell r="J19">
            <v>1.0499999999999999E-3</v>
          </cell>
        </row>
      </sheetData>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ow r="19">
          <cell r="J19">
            <v>1.0499999999999999E-3</v>
          </cell>
        </row>
      </sheetData>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ow r="19">
          <cell r="J19">
            <v>1.0499999999999999E-3</v>
          </cell>
        </row>
      </sheetData>
      <sheetData sheetId="858">
        <row r="19">
          <cell r="J19">
            <v>1.0499999999999999E-3</v>
          </cell>
        </row>
      </sheetData>
      <sheetData sheetId="859">
        <row r="19">
          <cell r="J19">
            <v>1.0499999999999999E-3</v>
          </cell>
        </row>
      </sheetData>
      <sheetData sheetId="860">
        <row r="19">
          <cell r="J19">
            <v>1.0499999999999999E-3</v>
          </cell>
        </row>
      </sheetData>
      <sheetData sheetId="861">
        <row r="19">
          <cell r="J19">
            <v>1.0499999999999999E-3</v>
          </cell>
        </row>
      </sheetData>
      <sheetData sheetId="862">
        <row r="19">
          <cell r="J19">
            <v>1.0499999999999999E-3</v>
          </cell>
        </row>
      </sheetData>
      <sheetData sheetId="863">
        <row r="19">
          <cell r="J19">
            <v>1.0499999999999999E-3</v>
          </cell>
        </row>
      </sheetData>
      <sheetData sheetId="864">
        <row r="19">
          <cell r="J19">
            <v>1.0499999999999999E-3</v>
          </cell>
        </row>
      </sheetData>
      <sheetData sheetId="865">
        <row r="19">
          <cell r="J19">
            <v>1.0499999999999999E-3</v>
          </cell>
        </row>
      </sheetData>
      <sheetData sheetId="866">
        <row r="19">
          <cell r="J19">
            <v>1.0499999999999999E-3</v>
          </cell>
        </row>
      </sheetData>
      <sheetData sheetId="867">
        <row r="19">
          <cell r="J19">
            <v>1.0499999999999999E-3</v>
          </cell>
        </row>
      </sheetData>
      <sheetData sheetId="868">
        <row r="19">
          <cell r="J19">
            <v>1.0499999999999999E-3</v>
          </cell>
        </row>
      </sheetData>
      <sheetData sheetId="869">
        <row r="19">
          <cell r="J19">
            <v>1.0499999999999999E-3</v>
          </cell>
        </row>
      </sheetData>
      <sheetData sheetId="870">
        <row r="19">
          <cell r="J19">
            <v>1.0499999999999999E-3</v>
          </cell>
        </row>
      </sheetData>
      <sheetData sheetId="871">
        <row r="19">
          <cell r="J19">
            <v>1.0499999999999999E-3</v>
          </cell>
        </row>
      </sheetData>
      <sheetData sheetId="872">
        <row r="19">
          <cell r="J19">
            <v>1.0499999999999999E-3</v>
          </cell>
        </row>
      </sheetData>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19">
          <cell r="J19">
            <v>1.0499999999999999E-3</v>
          </cell>
        </row>
      </sheetData>
      <sheetData sheetId="1013" refreshError="1"/>
      <sheetData sheetId="1014"/>
      <sheetData sheetId="1015" refreshError="1"/>
      <sheetData sheetId="1016" refreshError="1"/>
      <sheetData sheetId="1017" refreshError="1"/>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ow r="19">
          <cell r="J19">
            <v>1.0499999999999999E-3</v>
          </cell>
        </row>
      </sheetData>
      <sheetData sheetId="1039">
        <row r="19">
          <cell r="J19">
            <v>1.0499999999999999E-3</v>
          </cell>
        </row>
      </sheetData>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ow r="19">
          <cell r="J19">
            <v>1.0499999999999999E-3</v>
          </cell>
        </row>
      </sheetData>
      <sheetData sheetId="1082">
        <row r="19">
          <cell r="J19">
            <v>1.0499999999999999E-3</v>
          </cell>
        </row>
      </sheetData>
      <sheetData sheetId="1083">
        <row r="19">
          <cell r="J19">
            <v>1.0499999999999999E-3</v>
          </cell>
        </row>
      </sheetData>
      <sheetData sheetId="1084" refreshError="1"/>
      <sheetData sheetId="1085" refreshError="1"/>
      <sheetData sheetId="1086">
        <row r="19">
          <cell r="J19">
            <v>1.0499999999999999E-3</v>
          </cell>
        </row>
      </sheetData>
      <sheetData sheetId="1087">
        <row r="19">
          <cell r="J19">
            <v>1.0499999999999999E-3</v>
          </cell>
        </row>
      </sheetData>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ow r="19">
          <cell r="J19">
            <v>1.0499999999999999E-3</v>
          </cell>
        </row>
      </sheetData>
      <sheetData sheetId="1732">
        <row r="19">
          <cell r="J19">
            <v>1.0499999999999999E-3</v>
          </cell>
        </row>
      </sheetData>
      <sheetData sheetId="1733">
        <row r="19">
          <cell r="J19">
            <v>1.0499999999999999E-3</v>
          </cell>
        </row>
      </sheetData>
      <sheetData sheetId="1734">
        <row r="19">
          <cell r="J19">
            <v>1.0499999999999999E-3</v>
          </cell>
        </row>
      </sheetData>
      <sheetData sheetId="1735">
        <row r="19">
          <cell r="J19">
            <v>1.0499999999999999E-3</v>
          </cell>
        </row>
      </sheetData>
      <sheetData sheetId="1736">
        <row r="19">
          <cell r="J19">
            <v>1.0499999999999999E-3</v>
          </cell>
        </row>
      </sheetData>
      <sheetData sheetId="1737">
        <row r="19">
          <cell r="J19">
            <v>1.0499999999999999E-3</v>
          </cell>
        </row>
      </sheetData>
      <sheetData sheetId="1738">
        <row r="19">
          <cell r="J19">
            <v>1.0499999999999999E-3</v>
          </cell>
        </row>
      </sheetData>
      <sheetData sheetId="1739">
        <row r="19">
          <cell r="J19">
            <v>1.0499999999999999E-3</v>
          </cell>
        </row>
      </sheetData>
      <sheetData sheetId="1740">
        <row r="19">
          <cell r="J19">
            <v>1.0499999999999999E-3</v>
          </cell>
        </row>
      </sheetData>
      <sheetData sheetId="1741">
        <row r="19">
          <cell r="J19">
            <v>1.0499999999999999E-3</v>
          </cell>
        </row>
      </sheetData>
      <sheetData sheetId="1742">
        <row r="19">
          <cell r="J19">
            <v>1.0499999999999999E-3</v>
          </cell>
        </row>
      </sheetData>
      <sheetData sheetId="1743">
        <row r="19">
          <cell r="J19">
            <v>1.0499999999999999E-3</v>
          </cell>
        </row>
      </sheetData>
      <sheetData sheetId="1744">
        <row r="19">
          <cell r="J19">
            <v>1.0499999999999999E-3</v>
          </cell>
        </row>
      </sheetData>
      <sheetData sheetId="1745">
        <row r="19">
          <cell r="J19">
            <v>1.0499999999999999E-3</v>
          </cell>
        </row>
      </sheetData>
      <sheetData sheetId="1746">
        <row r="19">
          <cell r="J19">
            <v>1.0499999999999999E-3</v>
          </cell>
        </row>
      </sheetData>
      <sheetData sheetId="1747">
        <row r="19">
          <cell r="J19">
            <v>1.0499999999999999E-3</v>
          </cell>
        </row>
      </sheetData>
      <sheetData sheetId="1748">
        <row r="19">
          <cell r="J19">
            <v>1.0499999999999999E-3</v>
          </cell>
        </row>
      </sheetData>
      <sheetData sheetId="1749">
        <row r="19">
          <cell r="J19">
            <v>1.0499999999999999E-3</v>
          </cell>
        </row>
      </sheetData>
      <sheetData sheetId="1750">
        <row r="19">
          <cell r="J19">
            <v>1.0499999999999999E-3</v>
          </cell>
        </row>
      </sheetData>
      <sheetData sheetId="1751">
        <row r="19">
          <cell r="J19">
            <v>1.0499999999999999E-3</v>
          </cell>
        </row>
      </sheetData>
      <sheetData sheetId="1752">
        <row r="19">
          <cell r="J19">
            <v>1.0499999999999999E-3</v>
          </cell>
        </row>
      </sheetData>
      <sheetData sheetId="1753">
        <row r="19">
          <cell r="J19">
            <v>1.0499999999999999E-3</v>
          </cell>
        </row>
      </sheetData>
      <sheetData sheetId="1754">
        <row r="19">
          <cell r="J19">
            <v>1.0499999999999999E-3</v>
          </cell>
        </row>
      </sheetData>
      <sheetData sheetId="1755">
        <row r="19">
          <cell r="J19">
            <v>1.0499999999999999E-3</v>
          </cell>
        </row>
      </sheetData>
      <sheetData sheetId="1756">
        <row r="19">
          <cell r="J19">
            <v>1.0499999999999999E-3</v>
          </cell>
        </row>
      </sheetData>
      <sheetData sheetId="1757">
        <row r="19">
          <cell r="J19">
            <v>1.0499999999999999E-3</v>
          </cell>
        </row>
      </sheetData>
      <sheetData sheetId="1758">
        <row r="19">
          <cell r="J19">
            <v>1.0499999999999999E-3</v>
          </cell>
        </row>
      </sheetData>
      <sheetData sheetId="1759">
        <row r="19">
          <cell r="J19">
            <v>1.0499999999999999E-3</v>
          </cell>
        </row>
      </sheetData>
      <sheetData sheetId="1760">
        <row r="19">
          <cell r="J19">
            <v>1.0499999999999999E-3</v>
          </cell>
        </row>
      </sheetData>
      <sheetData sheetId="1761">
        <row r="19">
          <cell r="J19">
            <v>1.0499999999999999E-3</v>
          </cell>
        </row>
      </sheetData>
      <sheetData sheetId="1762">
        <row r="19">
          <cell r="J19">
            <v>1.0499999999999999E-3</v>
          </cell>
        </row>
      </sheetData>
      <sheetData sheetId="1763">
        <row r="19">
          <cell r="J19">
            <v>1.0499999999999999E-3</v>
          </cell>
        </row>
      </sheetData>
      <sheetData sheetId="1764">
        <row r="19">
          <cell r="J19">
            <v>1.0499999999999999E-3</v>
          </cell>
        </row>
      </sheetData>
      <sheetData sheetId="1765">
        <row r="19">
          <cell r="J19">
            <v>1.0499999999999999E-3</v>
          </cell>
        </row>
      </sheetData>
      <sheetData sheetId="1766">
        <row r="19">
          <cell r="J19">
            <v>1.0499999999999999E-3</v>
          </cell>
        </row>
      </sheetData>
      <sheetData sheetId="1767">
        <row r="19">
          <cell r="J19">
            <v>1.0499999999999999E-3</v>
          </cell>
        </row>
      </sheetData>
      <sheetData sheetId="1768">
        <row r="19">
          <cell r="J19">
            <v>1.0499999999999999E-3</v>
          </cell>
        </row>
      </sheetData>
      <sheetData sheetId="1769">
        <row r="19">
          <cell r="J19">
            <v>1.0499999999999999E-3</v>
          </cell>
        </row>
      </sheetData>
      <sheetData sheetId="1770">
        <row r="19">
          <cell r="J19">
            <v>1.0499999999999999E-3</v>
          </cell>
        </row>
      </sheetData>
      <sheetData sheetId="1771">
        <row r="19">
          <cell r="J19">
            <v>1.0499999999999999E-3</v>
          </cell>
        </row>
      </sheetData>
      <sheetData sheetId="1772">
        <row r="19">
          <cell r="J19">
            <v>1.0499999999999999E-3</v>
          </cell>
        </row>
      </sheetData>
      <sheetData sheetId="1773">
        <row r="19">
          <cell r="J19">
            <v>1.0499999999999999E-3</v>
          </cell>
        </row>
      </sheetData>
      <sheetData sheetId="1774">
        <row r="19">
          <cell r="J19">
            <v>1.0499999999999999E-3</v>
          </cell>
        </row>
      </sheetData>
      <sheetData sheetId="1775">
        <row r="19">
          <cell r="J19">
            <v>1.0499999999999999E-3</v>
          </cell>
        </row>
      </sheetData>
      <sheetData sheetId="1776">
        <row r="19">
          <cell r="J19">
            <v>1.0499999999999999E-3</v>
          </cell>
        </row>
      </sheetData>
      <sheetData sheetId="1777">
        <row r="19">
          <cell r="J19">
            <v>1.0499999999999999E-3</v>
          </cell>
        </row>
      </sheetData>
      <sheetData sheetId="1778">
        <row r="19">
          <cell r="J19">
            <v>1.0499999999999999E-3</v>
          </cell>
        </row>
      </sheetData>
      <sheetData sheetId="1779">
        <row r="19">
          <cell r="J19">
            <v>1.0499999999999999E-3</v>
          </cell>
        </row>
      </sheetData>
      <sheetData sheetId="1780">
        <row r="19">
          <cell r="J19">
            <v>1.0499999999999999E-3</v>
          </cell>
        </row>
      </sheetData>
      <sheetData sheetId="1781">
        <row r="19">
          <cell r="J19">
            <v>1.0499999999999999E-3</v>
          </cell>
        </row>
      </sheetData>
      <sheetData sheetId="1782">
        <row r="19">
          <cell r="J19">
            <v>1.0499999999999999E-3</v>
          </cell>
        </row>
      </sheetData>
      <sheetData sheetId="1783">
        <row r="19">
          <cell r="J19">
            <v>1.0499999999999999E-3</v>
          </cell>
        </row>
      </sheetData>
      <sheetData sheetId="1784">
        <row r="19">
          <cell r="J19">
            <v>1.0499999999999999E-3</v>
          </cell>
        </row>
      </sheetData>
      <sheetData sheetId="1785">
        <row r="19">
          <cell r="J19">
            <v>1.0499999999999999E-3</v>
          </cell>
        </row>
      </sheetData>
      <sheetData sheetId="1786">
        <row r="19">
          <cell r="J19">
            <v>1.0499999999999999E-3</v>
          </cell>
        </row>
      </sheetData>
      <sheetData sheetId="1787">
        <row r="19">
          <cell r="J19">
            <v>1.0499999999999999E-3</v>
          </cell>
        </row>
      </sheetData>
      <sheetData sheetId="1788">
        <row r="19">
          <cell r="J19">
            <v>1.0499999999999999E-3</v>
          </cell>
        </row>
      </sheetData>
      <sheetData sheetId="1789">
        <row r="19">
          <cell r="J19">
            <v>1.0499999999999999E-3</v>
          </cell>
        </row>
      </sheetData>
      <sheetData sheetId="1790">
        <row r="19">
          <cell r="J19">
            <v>1.0499999999999999E-3</v>
          </cell>
        </row>
      </sheetData>
      <sheetData sheetId="1791">
        <row r="19">
          <cell r="J19">
            <v>1.0499999999999999E-3</v>
          </cell>
        </row>
      </sheetData>
      <sheetData sheetId="1792">
        <row r="19">
          <cell r="J19">
            <v>1.0499999999999999E-3</v>
          </cell>
        </row>
      </sheetData>
      <sheetData sheetId="1793">
        <row r="19">
          <cell r="J19">
            <v>1.0499999999999999E-3</v>
          </cell>
        </row>
      </sheetData>
      <sheetData sheetId="1794">
        <row r="19">
          <cell r="J19">
            <v>1.0499999999999999E-3</v>
          </cell>
        </row>
      </sheetData>
      <sheetData sheetId="1795">
        <row r="19">
          <cell r="J19">
            <v>1.0499999999999999E-3</v>
          </cell>
        </row>
      </sheetData>
      <sheetData sheetId="1796">
        <row r="19">
          <cell r="J19">
            <v>1.0499999999999999E-3</v>
          </cell>
        </row>
      </sheetData>
      <sheetData sheetId="1797">
        <row r="19">
          <cell r="J19">
            <v>1.0499999999999999E-3</v>
          </cell>
        </row>
      </sheetData>
      <sheetData sheetId="1798">
        <row r="19">
          <cell r="J19">
            <v>1.0499999999999999E-3</v>
          </cell>
        </row>
      </sheetData>
      <sheetData sheetId="1799">
        <row r="19">
          <cell r="J19">
            <v>1.0499999999999999E-3</v>
          </cell>
        </row>
      </sheetData>
      <sheetData sheetId="1800">
        <row r="19">
          <cell r="J19">
            <v>1.0499999999999999E-3</v>
          </cell>
        </row>
      </sheetData>
      <sheetData sheetId="1801">
        <row r="19">
          <cell r="J19">
            <v>1.0499999999999999E-3</v>
          </cell>
        </row>
      </sheetData>
      <sheetData sheetId="1802">
        <row r="19">
          <cell r="J19">
            <v>1.0499999999999999E-3</v>
          </cell>
        </row>
      </sheetData>
      <sheetData sheetId="1803">
        <row r="19">
          <cell r="J19">
            <v>1.0499999999999999E-3</v>
          </cell>
        </row>
      </sheetData>
      <sheetData sheetId="1804">
        <row r="19">
          <cell r="J19">
            <v>1.0499999999999999E-3</v>
          </cell>
        </row>
      </sheetData>
      <sheetData sheetId="1805">
        <row r="19">
          <cell r="J19">
            <v>1.0499999999999999E-3</v>
          </cell>
        </row>
      </sheetData>
      <sheetData sheetId="1806">
        <row r="19">
          <cell r="J19">
            <v>1.0499999999999999E-3</v>
          </cell>
        </row>
      </sheetData>
      <sheetData sheetId="1807">
        <row r="19">
          <cell r="J19">
            <v>1.0499999999999999E-3</v>
          </cell>
        </row>
      </sheetData>
      <sheetData sheetId="1808">
        <row r="19">
          <cell r="J19">
            <v>1.0499999999999999E-3</v>
          </cell>
        </row>
      </sheetData>
      <sheetData sheetId="1809">
        <row r="19">
          <cell r="J19">
            <v>1.0499999999999999E-3</v>
          </cell>
        </row>
      </sheetData>
      <sheetData sheetId="1810">
        <row r="19">
          <cell r="J19">
            <v>1.0499999999999999E-3</v>
          </cell>
        </row>
      </sheetData>
      <sheetData sheetId="1811">
        <row r="19">
          <cell r="J19">
            <v>1.0499999999999999E-3</v>
          </cell>
        </row>
      </sheetData>
      <sheetData sheetId="1812">
        <row r="19">
          <cell r="J19">
            <v>1.0499999999999999E-3</v>
          </cell>
        </row>
      </sheetData>
      <sheetData sheetId="1813">
        <row r="19">
          <cell r="J19">
            <v>1.0499999999999999E-3</v>
          </cell>
        </row>
      </sheetData>
      <sheetData sheetId="1814">
        <row r="19">
          <cell r="J19">
            <v>1.0499999999999999E-3</v>
          </cell>
        </row>
      </sheetData>
      <sheetData sheetId="1815">
        <row r="19">
          <cell r="J19">
            <v>1.0499999999999999E-3</v>
          </cell>
        </row>
      </sheetData>
      <sheetData sheetId="1816">
        <row r="19">
          <cell r="J19">
            <v>1.0499999999999999E-3</v>
          </cell>
        </row>
      </sheetData>
      <sheetData sheetId="1817">
        <row r="19">
          <cell r="J19">
            <v>1.0499999999999999E-3</v>
          </cell>
        </row>
      </sheetData>
      <sheetData sheetId="1818">
        <row r="19">
          <cell r="J19">
            <v>1.0499999999999999E-3</v>
          </cell>
        </row>
      </sheetData>
      <sheetData sheetId="1819">
        <row r="19">
          <cell r="J19">
            <v>1.0499999999999999E-3</v>
          </cell>
        </row>
      </sheetData>
      <sheetData sheetId="1820">
        <row r="19">
          <cell r="J19">
            <v>1.0499999999999999E-3</v>
          </cell>
        </row>
      </sheetData>
      <sheetData sheetId="1821">
        <row r="19">
          <cell r="J19">
            <v>1.0499999999999999E-3</v>
          </cell>
        </row>
      </sheetData>
      <sheetData sheetId="1822">
        <row r="19">
          <cell r="J19">
            <v>1.0499999999999999E-3</v>
          </cell>
        </row>
      </sheetData>
      <sheetData sheetId="1823">
        <row r="19">
          <cell r="J19">
            <v>1.0499999999999999E-3</v>
          </cell>
        </row>
      </sheetData>
      <sheetData sheetId="1824">
        <row r="19">
          <cell r="J19">
            <v>1.0499999999999999E-3</v>
          </cell>
        </row>
      </sheetData>
      <sheetData sheetId="1825">
        <row r="19">
          <cell r="J19">
            <v>1.0499999999999999E-3</v>
          </cell>
        </row>
      </sheetData>
      <sheetData sheetId="1826">
        <row r="19">
          <cell r="J19">
            <v>1.0499999999999999E-3</v>
          </cell>
        </row>
      </sheetData>
      <sheetData sheetId="1827">
        <row r="19">
          <cell r="J19">
            <v>1.0499999999999999E-3</v>
          </cell>
        </row>
      </sheetData>
      <sheetData sheetId="1828">
        <row r="19">
          <cell r="J19">
            <v>1.0499999999999999E-3</v>
          </cell>
        </row>
      </sheetData>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ow r="19">
          <cell r="J19">
            <v>1.0499999999999999E-3</v>
          </cell>
        </row>
      </sheetData>
      <sheetData sheetId="1855">
        <row r="19">
          <cell r="J19">
            <v>1.0499999999999999E-3</v>
          </cell>
        </row>
      </sheetData>
      <sheetData sheetId="1856">
        <row r="19">
          <cell r="J19">
            <v>1.0499999999999999E-3</v>
          </cell>
        </row>
      </sheetData>
      <sheetData sheetId="1857">
        <row r="19">
          <cell r="J19">
            <v>1.0499999999999999E-3</v>
          </cell>
        </row>
      </sheetData>
      <sheetData sheetId="1858">
        <row r="19">
          <cell r="J19">
            <v>1.0499999999999999E-3</v>
          </cell>
        </row>
      </sheetData>
      <sheetData sheetId="1859">
        <row r="19">
          <cell r="J19">
            <v>1.0499999999999999E-3</v>
          </cell>
        </row>
      </sheetData>
      <sheetData sheetId="1860">
        <row r="19">
          <cell r="J19">
            <v>1.0499999999999999E-3</v>
          </cell>
        </row>
      </sheetData>
      <sheetData sheetId="1861">
        <row r="19">
          <cell r="J19">
            <v>1.0499999999999999E-3</v>
          </cell>
        </row>
      </sheetData>
      <sheetData sheetId="1862">
        <row r="19">
          <cell r="J19">
            <v>1.0499999999999999E-3</v>
          </cell>
        </row>
      </sheetData>
      <sheetData sheetId="1863">
        <row r="19">
          <cell r="J19">
            <v>1.0499999999999999E-3</v>
          </cell>
        </row>
      </sheetData>
      <sheetData sheetId="1864">
        <row r="19">
          <cell r="J19">
            <v>1.0499999999999999E-3</v>
          </cell>
        </row>
      </sheetData>
      <sheetData sheetId="1865">
        <row r="19">
          <cell r="J19">
            <v>1.0499999999999999E-3</v>
          </cell>
        </row>
      </sheetData>
      <sheetData sheetId="1866">
        <row r="19">
          <cell r="J19">
            <v>1.0499999999999999E-3</v>
          </cell>
        </row>
      </sheetData>
      <sheetData sheetId="1867">
        <row r="19">
          <cell r="J19">
            <v>1.0499999999999999E-3</v>
          </cell>
        </row>
      </sheetData>
      <sheetData sheetId="1868">
        <row r="19">
          <cell r="J19">
            <v>1.0499999999999999E-3</v>
          </cell>
        </row>
      </sheetData>
      <sheetData sheetId="1869">
        <row r="19">
          <cell r="J19">
            <v>1.0499999999999999E-3</v>
          </cell>
        </row>
      </sheetData>
      <sheetData sheetId="1870">
        <row r="19">
          <cell r="J19">
            <v>1.0499999999999999E-3</v>
          </cell>
        </row>
      </sheetData>
      <sheetData sheetId="1871">
        <row r="19">
          <cell r="J19">
            <v>1.0499999999999999E-3</v>
          </cell>
        </row>
      </sheetData>
      <sheetData sheetId="1872">
        <row r="19">
          <cell r="J19">
            <v>1.0499999999999999E-3</v>
          </cell>
        </row>
      </sheetData>
      <sheetData sheetId="1873">
        <row r="19">
          <cell r="J19">
            <v>1.0499999999999999E-3</v>
          </cell>
        </row>
      </sheetData>
      <sheetData sheetId="1874">
        <row r="19">
          <cell r="J19">
            <v>1.0499999999999999E-3</v>
          </cell>
        </row>
      </sheetData>
      <sheetData sheetId="1875">
        <row r="19">
          <cell r="J19">
            <v>1.0499999999999999E-3</v>
          </cell>
        </row>
      </sheetData>
      <sheetData sheetId="1876">
        <row r="19">
          <cell r="J19">
            <v>1.0499999999999999E-3</v>
          </cell>
        </row>
      </sheetData>
      <sheetData sheetId="1877">
        <row r="19">
          <cell r="J19">
            <v>1.0499999999999999E-3</v>
          </cell>
        </row>
      </sheetData>
      <sheetData sheetId="1878">
        <row r="19">
          <cell r="J19">
            <v>1.0499999999999999E-3</v>
          </cell>
        </row>
      </sheetData>
      <sheetData sheetId="1879">
        <row r="19">
          <cell r="J19">
            <v>1.0499999999999999E-3</v>
          </cell>
        </row>
      </sheetData>
      <sheetData sheetId="1880">
        <row r="19">
          <cell r="J19">
            <v>1.0499999999999999E-3</v>
          </cell>
        </row>
      </sheetData>
      <sheetData sheetId="1881">
        <row r="19">
          <cell r="J19">
            <v>1.0499999999999999E-3</v>
          </cell>
        </row>
      </sheetData>
      <sheetData sheetId="1882">
        <row r="19">
          <cell r="J19">
            <v>1.0499999999999999E-3</v>
          </cell>
        </row>
      </sheetData>
      <sheetData sheetId="1883">
        <row r="19">
          <cell r="J19">
            <v>1.0499999999999999E-3</v>
          </cell>
        </row>
      </sheetData>
      <sheetData sheetId="1884">
        <row r="19">
          <cell r="J19">
            <v>1.0499999999999999E-3</v>
          </cell>
        </row>
      </sheetData>
      <sheetData sheetId="1885">
        <row r="19">
          <cell r="J19">
            <v>1.0499999999999999E-3</v>
          </cell>
        </row>
      </sheetData>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efreshError="1"/>
      <sheetData sheetId="1892">
        <row r="19">
          <cell r="J19">
            <v>1.0499999999999999E-3</v>
          </cell>
        </row>
      </sheetData>
      <sheetData sheetId="1893">
        <row r="19">
          <cell r="J19">
            <v>1.0499999999999999E-3</v>
          </cell>
        </row>
      </sheetData>
      <sheetData sheetId="1894" refreshError="1"/>
      <sheetData sheetId="1895">
        <row r="19">
          <cell r="J19">
            <v>1.0499999999999999E-3</v>
          </cell>
        </row>
      </sheetData>
      <sheetData sheetId="1896">
        <row r="19">
          <cell r="J19">
            <v>1.0499999999999999E-3</v>
          </cell>
        </row>
      </sheetData>
      <sheetData sheetId="1897">
        <row r="19">
          <cell r="J19">
            <v>1.0499999999999999E-3</v>
          </cell>
        </row>
      </sheetData>
      <sheetData sheetId="1898" refreshError="1"/>
      <sheetData sheetId="1899">
        <row r="19">
          <cell r="J19">
            <v>1.0499999999999999E-3</v>
          </cell>
        </row>
      </sheetData>
      <sheetData sheetId="1900">
        <row r="19">
          <cell r="J19">
            <v>1.0499999999999999E-3</v>
          </cell>
        </row>
      </sheetData>
      <sheetData sheetId="1901">
        <row r="19">
          <cell r="J19">
            <v>1.0499999999999999E-3</v>
          </cell>
        </row>
      </sheetData>
      <sheetData sheetId="1902">
        <row r="19">
          <cell r="J19">
            <v>1.0499999999999999E-3</v>
          </cell>
        </row>
      </sheetData>
      <sheetData sheetId="1903">
        <row r="19">
          <cell r="J19">
            <v>1.0499999999999999E-3</v>
          </cell>
        </row>
      </sheetData>
      <sheetData sheetId="1904">
        <row r="19">
          <cell r="J19">
            <v>1.0499999999999999E-3</v>
          </cell>
        </row>
      </sheetData>
      <sheetData sheetId="1905">
        <row r="19">
          <cell r="J19">
            <v>1.0499999999999999E-3</v>
          </cell>
        </row>
      </sheetData>
      <sheetData sheetId="1906">
        <row r="19">
          <cell r="J19">
            <v>1.0499999999999999E-3</v>
          </cell>
        </row>
      </sheetData>
      <sheetData sheetId="1907">
        <row r="19">
          <cell r="J19">
            <v>1.0499999999999999E-3</v>
          </cell>
        </row>
      </sheetData>
      <sheetData sheetId="1908">
        <row r="19">
          <cell r="J19">
            <v>1.0499999999999999E-3</v>
          </cell>
        </row>
      </sheetData>
      <sheetData sheetId="1909">
        <row r="19">
          <cell r="J19">
            <v>1.0499999999999999E-3</v>
          </cell>
        </row>
      </sheetData>
      <sheetData sheetId="1910">
        <row r="19">
          <cell r="J19">
            <v>1.0499999999999999E-3</v>
          </cell>
        </row>
      </sheetData>
      <sheetData sheetId="1911">
        <row r="19">
          <cell r="J19">
            <v>1.0499999999999999E-3</v>
          </cell>
        </row>
      </sheetData>
      <sheetData sheetId="1912">
        <row r="19">
          <cell r="J19">
            <v>1.0499999999999999E-3</v>
          </cell>
        </row>
      </sheetData>
      <sheetData sheetId="1913">
        <row r="19">
          <cell r="J19">
            <v>1.0499999999999999E-3</v>
          </cell>
        </row>
      </sheetData>
      <sheetData sheetId="1914">
        <row r="19">
          <cell r="J19">
            <v>1.0499999999999999E-3</v>
          </cell>
        </row>
      </sheetData>
      <sheetData sheetId="1915">
        <row r="19">
          <cell r="J19">
            <v>1.0499999999999999E-3</v>
          </cell>
        </row>
      </sheetData>
      <sheetData sheetId="1916">
        <row r="19">
          <cell r="J19">
            <v>1.0499999999999999E-3</v>
          </cell>
        </row>
      </sheetData>
      <sheetData sheetId="1917">
        <row r="19">
          <cell r="J19">
            <v>1.0499999999999999E-3</v>
          </cell>
        </row>
      </sheetData>
      <sheetData sheetId="1918">
        <row r="19">
          <cell r="J19">
            <v>1.0499999999999999E-3</v>
          </cell>
        </row>
      </sheetData>
      <sheetData sheetId="1919">
        <row r="19">
          <cell r="J19">
            <v>1.0499999999999999E-3</v>
          </cell>
        </row>
      </sheetData>
      <sheetData sheetId="1920">
        <row r="19">
          <cell r="J19">
            <v>1.0499999999999999E-3</v>
          </cell>
        </row>
      </sheetData>
      <sheetData sheetId="1921">
        <row r="19">
          <cell r="J19">
            <v>1.0499999999999999E-3</v>
          </cell>
        </row>
      </sheetData>
      <sheetData sheetId="1922">
        <row r="19">
          <cell r="J19">
            <v>1.0499999999999999E-3</v>
          </cell>
        </row>
      </sheetData>
      <sheetData sheetId="1923">
        <row r="19">
          <cell r="J19">
            <v>1.0499999999999999E-3</v>
          </cell>
        </row>
      </sheetData>
      <sheetData sheetId="1924">
        <row r="19">
          <cell r="J19">
            <v>1.0499999999999999E-3</v>
          </cell>
        </row>
      </sheetData>
      <sheetData sheetId="1925">
        <row r="19">
          <cell r="J19">
            <v>1.0499999999999999E-3</v>
          </cell>
        </row>
      </sheetData>
      <sheetData sheetId="1926">
        <row r="19">
          <cell r="J19">
            <v>1.0499999999999999E-3</v>
          </cell>
        </row>
      </sheetData>
      <sheetData sheetId="1927">
        <row r="19">
          <cell r="J19">
            <v>1.0499999999999999E-3</v>
          </cell>
        </row>
      </sheetData>
      <sheetData sheetId="1928">
        <row r="19">
          <cell r="J19">
            <v>1.0499999999999999E-3</v>
          </cell>
        </row>
      </sheetData>
      <sheetData sheetId="1929">
        <row r="19">
          <cell r="J19">
            <v>1.0499999999999999E-3</v>
          </cell>
        </row>
      </sheetData>
      <sheetData sheetId="1930">
        <row r="19">
          <cell r="J19">
            <v>1.0499999999999999E-3</v>
          </cell>
        </row>
      </sheetData>
      <sheetData sheetId="1931">
        <row r="19">
          <cell r="J19">
            <v>1.0499999999999999E-3</v>
          </cell>
        </row>
      </sheetData>
      <sheetData sheetId="1932">
        <row r="19">
          <cell r="J19">
            <v>1.0499999999999999E-3</v>
          </cell>
        </row>
      </sheetData>
      <sheetData sheetId="1933">
        <row r="19">
          <cell r="J19">
            <v>1.0499999999999999E-3</v>
          </cell>
        </row>
      </sheetData>
      <sheetData sheetId="1934">
        <row r="19">
          <cell r="J19">
            <v>1.0499999999999999E-3</v>
          </cell>
        </row>
      </sheetData>
      <sheetData sheetId="1935">
        <row r="19">
          <cell r="J19">
            <v>1.0499999999999999E-3</v>
          </cell>
        </row>
      </sheetData>
      <sheetData sheetId="1936">
        <row r="19">
          <cell r="J19">
            <v>1.0499999999999999E-3</v>
          </cell>
        </row>
      </sheetData>
      <sheetData sheetId="1937">
        <row r="19">
          <cell r="J19">
            <v>1.0499999999999999E-3</v>
          </cell>
        </row>
      </sheetData>
      <sheetData sheetId="1938">
        <row r="19">
          <cell r="J19">
            <v>1.0499999999999999E-3</v>
          </cell>
        </row>
      </sheetData>
      <sheetData sheetId="1939">
        <row r="19">
          <cell r="J19">
            <v>1.0499999999999999E-3</v>
          </cell>
        </row>
      </sheetData>
      <sheetData sheetId="1940">
        <row r="19">
          <cell r="J19">
            <v>1.0499999999999999E-3</v>
          </cell>
        </row>
      </sheetData>
      <sheetData sheetId="1941">
        <row r="19">
          <cell r="J19">
            <v>1.0499999999999999E-3</v>
          </cell>
        </row>
      </sheetData>
      <sheetData sheetId="1942">
        <row r="19">
          <cell r="J19">
            <v>1.0499999999999999E-3</v>
          </cell>
        </row>
      </sheetData>
      <sheetData sheetId="1943">
        <row r="19">
          <cell r="J19">
            <v>1.0499999999999999E-3</v>
          </cell>
        </row>
      </sheetData>
      <sheetData sheetId="1944">
        <row r="19">
          <cell r="J19">
            <v>1.0499999999999999E-3</v>
          </cell>
        </row>
      </sheetData>
      <sheetData sheetId="1945">
        <row r="19">
          <cell r="J19">
            <v>1.0499999999999999E-3</v>
          </cell>
        </row>
      </sheetData>
      <sheetData sheetId="1946">
        <row r="19">
          <cell r="J19">
            <v>1.0499999999999999E-3</v>
          </cell>
        </row>
      </sheetData>
      <sheetData sheetId="1947">
        <row r="19">
          <cell r="J19">
            <v>1.0499999999999999E-3</v>
          </cell>
        </row>
      </sheetData>
      <sheetData sheetId="1948">
        <row r="19">
          <cell r="J19">
            <v>1.0499999999999999E-3</v>
          </cell>
        </row>
      </sheetData>
      <sheetData sheetId="1949">
        <row r="19">
          <cell r="J19">
            <v>1.0499999999999999E-3</v>
          </cell>
        </row>
      </sheetData>
      <sheetData sheetId="1950">
        <row r="19">
          <cell r="J19">
            <v>1.0499999999999999E-3</v>
          </cell>
        </row>
      </sheetData>
      <sheetData sheetId="1951">
        <row r="19">
          <cell r="J19">
            <v>1.0499999999999999E-3</v>
          </cell>
        </row>
      </sheetData>
      <sheetData sheetId="1952">
        <row r="19">
          <cell r="J19">
            <v>1.0499999999999999E-3</v>
          </cell>
        </row>
      </sheetData>
      <sheetData sheetId="1953">
        <row r="19">
          <cell r="J19">
            <v>1.0499999999999999E-3</v>
          </cell>
        </row>
      </sheetData>
      <sheetData sheetId="1954">
        <row r="19">
          <cell r="J19">
            <v>1.0499999999999999E-3</v>
          </cell>
        </row>
      </sheetData>
      <sheetData sheetId="1955">
        <row r="19">
          <cell r="J19">
            <v>1.0499999999999999E-3</v>
          </cell>
        </row>
      </sheetData>
      <sheetData sheetId="1956">
        <row r="19">
          <cell r="J19">
            <v>1.0499999999999999E-3</v>
          </cell>
        </row>
      </sheetData>
      <sheetData sheetId="1957">
        <row r="19">
          <cell r="J19">
            <v>1.0499999999999999E-3</v>
          </cell>
        </row>
      </sheetData>
      <sheetData sheetId="1958">
        <row r="19">
          <cell r="J19">
            <v>1.0499999999999999E-3</v>
          </cell>
        </row>
      </sheetData>
      <sheetData sheetId="1959">
        <row r="19">
          <cell r="J19">
            <v>1.0499999999999999E-3</v>
          </cell>
        </row>
      </sheetData>
      <sheetData sheetId="1960">
        <row r="19">
          <cell r="J19">
            <v>1.0499999999999999E-3</v>
          </cell>
        </row>
      </sheetData>
      <sheetData sheetId="1961">
        <row r="19">
          <cell r="J19">
            <v>1.0499999999999999E-3</v>
          </cell>
        </row>
      </sheetData>
      <sheetData sheetId="1962">
        <row r="19">
          <cell r="J19">
            <v>1.0499999999999999E-3</v>
          </cell>
        </row>
      </sheetData>
      <sheetData sheetId="1963">
        <row r="19">
          <cell r="J19">
            <v>1.0499999999999999E-3</v>
          </cell>
        </row>
      </sheetData>
      <sheetData sheetId="1964">
        <row r="19">
          <cell r="J19">
            <v>1.0499999999999999E-3</v>
          </cell>
        </row>
      </sheetData>
      <sheetData sheetId="1965">
        <row r="19">
          <cell r="J19">
            <v>1.0499999999999999E-3</v>
          </cell>
        </row>
      </sheetData>
      <sheetData sheetId="1966">
        <row r="19">
          <cell r="J19">
            <v>1.0499999999999999E-3</v>
          </cell>
        </row>
      </sheetData>
      <sheetData sheetId="1967">
        <row r="19">
          <cell r="J19">
            <v>1.0499999999999999E-3</v>
          </cell>
        </row>
      </sheetData>
      <sheetData sheetId="1968">
        <row r="19">
          <cell r="J19">
            <v>1.0499999999999999E-3</v>
          </cell>
        </row>
      </sheetData>
      <sheetData sheetId="1969">
        <row r="19">
          <cell r="J19">
            <v>1.0499999999999999E-3</v>
          </cell>
        </row>
      </sheetData>
      <sheetData sheetId="1970">
        <row r="19">
          <cell r="J19">
            <v>1.0499999999999999E-3</v>
          </cell>
        </row>
      </sheetData>
      <sheetData sheetId="1971">
        <row r="19">
          <cell r="J19">
            <v>1.0499999999999999E-3</v>
          </cell>
        </row>
      </sheetData>
      <sheetData sheetId="1972">
        <row r="19">
          <cell r="J19">
            <v>1.0499999999999999E-3</v>
          </cell>
        </row>
      </sheetData>
      <sheetData sheetId="1973">
        <row r="19">
          <cell r="J19">
            <v>1.0499999999999999E-3</v>
          </cell>
        </row>
      </sheetData>
      <sheetData sheetId="1974">
        <row r="19">
          <cell r="J19">
            <v>1.0499999999999999E-3</v>
          </cell>
        </row>
      </sheetData>
      <sheetData sheetId="1975">
        <row r="19">
          <cell r="J19">
            <v>1.0499999999999999E-3</v>
          </cell>
        </row>
      </sheetData>
      <sheetData sheetId="1976">
        <row r="19">
          <cell r="J19">
            <v>1.0499999999999999E-3</v>
          </cell>
        </row>
      </sheetData>
      <sheetData sheetId="1977">
        <row r="19">
          <cell r="J19">
            <v>1.0499999999999999E-3</v>
          </cell>
        </row>
      </sheetData>
      <sheetData sheetId="1978">
        <row r="19">
          <cell r="J19">
            <v>1.0499999999999999E-3</v>
          </cell>
        </row>
      </sheetData>
      <sheetData sheetId="1979">
        <row r="19">
          <cell r="J19">
            <v>1.0499999999999999E-3</v>
          </cell>
        </row>
      </sheetData>
      <sheetData sheetId="1980">
        <row r="19">
          <cell r="J19">
            <v>1.0499999999999999E-3</v>
          </cell>
        </row>
      </sheetData>
      <sheetData sheetId="1981">
        <row r="19">
          <cell r="J19">
            <v>1.0499999999999999E-3</v>
          </cell>
        </row>
      </sheetData>
      <sheetData sheetId="1982">
        <row r="19">
          <cell r="J19">
            <v>1.0499999999999999E-3</v>
          </cell>
        </row>
      </sheetData>
      <sheetData sheetId="1983">
        <row r="19">
          <cell r="J19">
            <v>1.0499999999999999E-3</v>
          </cell>
        </row>
      </sheetData>
      <sheetData sheetId="1984">
        <row r="19">
          <cell r="J19">
            <v>1.0499999999999999E-3</v>
          </cell>
        </row>
      </sheetData>
      <sheetData sheetId="1985">
        <row r="19">
          <cell r="J19">
            <v>1.0499999999999999E-3</v>
          </cell>
        </row>
      </sheetData>
      <sheetData sheetId="1986">
        <row r="19">
          <cell r="J19">
            <v>1.0499999999999999E-3</v>
          </cell>
        </row>
      </sheetData>
      <sheetData sheetId="1987">
        <row r="19">
          <cell r="J19">
            <v>1.0499999999999999E-3</v>
          </cell>
        </row>
      </sheetData>
      <sheetData sheetId="1988">
        <row r="19">
          <cell r="J19">
            <v>1.0499999999999999E-3</v>
          </cell>
        </row>
      </sheetData>
      <sheetData sheetId="1989">
        <row r="19">
          <cell r="J19">
            <v>1.0499999999999999E-3</v>
          </cell>
        </row>
      </sheetData>
      <sheetData sheetId="1990">
        <row r="19">
          <cell r="J19">
            <v>1.0499999999999999E-3</v>
          </cell>
        </row>
      </sheetData>
      <sheetData sheetId="1991">
        <row r="19">
          <cell r="J19">
            <v>1.0499999999999999E-3</v>
          </cell>
        </row>
      </sheetData>
      <sheetData sheetId="1992">
        <row r="19">
          <cell r="J19">
            <v>1.0499999999999999E-3</v>
          </cell>
        </row>
      </sheetData>
      <sheetData sheetId="1993">
        <row r="19">
          <cell r="J19">
            <v>1.0499999999999999E-3</v>
          </cell>
        </row>
      </sheetData>
      <sheetData sheetId="1994">
        <row r="19">
          <cell r="J19">
            <v>1.0499999999999999E-3</v>
          </cell>
        </row>
      </sheetData>
      <sheetData sheetId="1995">
        <row r="19">
          <cell r="J19">
            <v>1.0499999999999999E-3</v>
          </cell>
        </row>
      </sheetData>
      <sheetData sheetId="1996">
        <row r="19">
          <cell r="J19">
            <v>1.0499999999999999E-3</v>
          </cell>
        </row>
      </sheetData>
      <sheetData sheetId="1997">
        <row r="19">
          <cell r="J19">
            <v>1.0499999999999999E-3</v>
          </cell>
        </row>
      </sheetData>
      <sheetData sheetId="1998">
        <row r="19">
          <cell r="J19">
            <v>1.0499999999999999E-3</v>
          </cell>
        </row>
      </sheetData>
      <sheetData sheetId="1999">
        <row r="19">
          <cell r="J19">
            <v>1.0499999999999999E-3</v>
          </cell>
        </row>
      </sheetData>
      <sheetData sheetId="2000">
        <row r="19">
          <cell r="J19">
            <v>1.0499999999999999E-3</v>
          </cell>
        </row>
      </sheetData>
      <sheetData sheetId="2001">
        <row r="19">
          <cell r="J19">
            <v>1.0499999999999999E-3</v>
          </cell>
        </row>
      </sheetData>
      <sheetData sheetId="2002">
        <row r="19">
          <cell r="J19">
            <v>1.0499999999999999E-3</v>
          </cell>
        </row>
      </sheetData>
      <sheetData sheetId="2003">
        <row r="19">
          <cell r="J19">
            <v>1.0499999999999999E-3</v>
          </cell>
        </row>
      </sheetData>
      <sheetData sheetId="2004">
        <row r="19">
          <cell r="J19">
            <v>1.0499999999999999E-3</v>
          </cell>
        </row>
      </sheetData>
      <sheetData sheetId="2005">
        <row r="19">
          <cell r="J19">
            <v>1.0499999999999999E-3</v>
          </cell>
        </row>
      </sheetData>
      <sheetData sheetId="2006">
        <row r="19">
          <cell r="J19">
            <v>1.0499999999999999E-3</v>
          </cell>
        </row>
      </sheetData>
      <sheetData sheetId="2007">
        <row r="19">
          <cell r="J19">
            <v>1.0499999999999999E-3</v>
          </cell>
        </row>
      </sheetData>
      <sheetData sheetId="2008">
        <row r="19">
          <cell r="J19">
            <v>1.0499999999999999E-3</v>
          </cell>
        </row>
      </sheetData>
      <sheetData sheetId="2009">
        <row r="19">
          <cell r="J19">
            <v>1.0499999999999999E-3</v>
          </cell>
        </row>
      </sheetData>
      <sheetData sheetId="2010">
        <row r="19">
          <cell r="J19">
            <v>1.0499999999999999E-3</v>
          </cell>
        </row>
      </sheetData>
      <sheetData sheetId="2011">
        <row r="19">
          <cell r="J19">
            <v>1.0499999999999999E-3</v>
          </cell>
        </row>
      </sheetData>
      <sheetData sheetId="2012">
        <row r="19">
          <cell r="J19">
            <v>1.0499999999999999E-3</v>
          </cell>
        </row>
      </sheetData>
      <sheetData sheetId="2013">
        <row r="19">
          <cell r="J19">
            <v>1.0499999999999999E-3</v>
          </cell>
        </row>
      </sheetData>
      <sheetData sheetId="2014">
        <row r="19">
          <cell r="J19">
            <v>1.0499999999999999E-3</v>
          </cell>
        </row>
      </sheetData>
      <sheetData sheetId="2015">
        <row r="19">
          <cell r="J19">
            <v>1.0499999999999999E-3</v>
          </cell>
        </row>
      </sheetData>
      <sheetData sheetId="2016">
        <row r="19">
          <cell r="J19">
            <v>1.0499999999999999E-3</v>
          </cell>
        </row>
      </sheetData>
      <sheetData sheetId="2017">
        <row r="19">
          <cell r="J19">
            <v>1.0499999999999999E-3</v>
          </cell>
        </row>
      </sheetData>
      <sheetData sheetId="2018">
        <row r="19">
          <cell r="J19">
            <v>1.0499999999999999E-3</v>
          </cell>
        </row>
      </sheetData>
      <sheetData sheetId="2019">
        <row r="19">
          <cell r="J19">
            <v>1.0499999999999999E-3</v>
          </cell>
        </row>
      </sheetData>
      <sheetData sheetId="2020">
        <row r="19">
          <cell r="J19">
            <v>1.0499999999999999E-3</v>
          </cell>
        </row>
      </sheetData>
      <sheetData sheetId="2021">
        <row r="19">
          <cell r="J19">
            <v>1.0499999999999999E-3</v>
          </cell>
        </row>
      </sheetData>
      <sheetData sheetId="2022">
        <row r="19">
          <cell r="J19">
            <v>1.0499999999999999E-3</v>
          </cell>
        </row>
      </sheetData>
      <sheetData sheetId="2023">
        <row r="19">
          <cell r="J19">
            <v>1.0499999999999999E-3</v>
          </cell>
        </row>
      </sheetData>
      <sheetData sheetId="2024">
        <row r="19">
          <cell r="J19">
            <v>1.0499999999999999E-3</v>
          </cell>
        </row>
      </sheetData>
      <sheetData sheetId="2025">
        <row r="19">
          <cell r="J19">
            <v>1.0499999999999999E-3</v>
          </cell>
        </row>
      </sheetData>
      <sheetData sheetId="2026">
        <row r="19">
          <cell r="J19">
            <v>1.0499999999999999E-3</v>
          </cell>
        </row>
      </sheetData>
      <sheetData sheetId="2027">
        <row r="19">
          <cell r="J19">
            <v>1.0499999999999999E-3</v>
          </cell>
        </row>
      </sheetData>
      <sheetData sheetId="2028">
        <row r="19">
          <cell r="J19">
            <v>1.0499999999999999E-3</v>
          </cell>
        </row>
      </sheetData>
      <sheetData sheetId="2029">
        <row r="19">
          <cell r="J19">
            <v>1.0499999999999999E-3</v>
          </cell>
        </row>
      </sheetData>
      <sheetData sheetId="2030">
        <row r="19">
          <cell r="J19">
            <v>1.0499999999999999E-3</v>
          </cell>
        </row>
      </sheetData>
      <sheetData sheetId="2031">
        <row r="19">
          <cell r="J19">
            <v>1.0499999999999999E-3</v>
          </cell>
        </row>
      </sheetData>
      <sheetData sheetId="2032">
        <row r="19">
          <cell r="J19">
            <v>1.0499999999999999E-3</v>
          </cell>
        </row>
      </sheetData>
      <sheetData sheetId="2033">
        <row r="19">
          <cell r="J19">
            <v>1.0499999999999999E-3</v>
          </cell>
        </row>
      </sheetData>
      <sheetData sheetId="2034">
        <row r="19">
          <cell r="J19">
            <v>1.0499999999999999E-3</v>
          </cell>
        </row>
      </sheetData>
      <sheetData sheetId="2035">
        <row r="19">
          <cell r="J19">
            <v>1.0499999999999999E-3</v>
          </cell>
        </row>
      </sheetData>
      <sheetData sheetId="2036">
        <row r="19">
          <cell r="J19">
            <v>1.0499999999999999E-3</v>
          </cell>
        </row>
      </sheetData>
      <sheetData sheetId="2037">
        <row r="19">
          <cell r="J19">
            <v>1.0499999999999999E-3</v>
          </cell>
        </row>
      </sheetData>
      <sheetData sheetId="2038">
        <row r="19">
          <cell r="J19">
            <v>1.0499999999999999E-3</v>
          </cell>
        </row>
      </sheetData>
      <sheetData sheetId="2039">
        <row r="19">
          <cell r="J19">
            <v>1.0499999999999999E-3</v>
          </cell>
        </row>
      </sheetData>
      <sheetData sheetId="2040">
        <row r="19">
          <cell r="J19">
            <v>1.0499999999999999E-3</v>
          </cell>
        </row>
      </sheetData>
      <sheetData sheetId="2041">
        <row r="19">
          <cell r="J19">
            <v>1.0499999999999999E-3</v>
          </cell>
        </row>
      </sheetData>
      <sheetData sheetId="2042">
        <row r="19">
          <cell r="J19">
            <v>1.0499999999999999E-3</v>
          </cell>
        </row>
      </sheetData>
      <sheetData sheetId="2043">
        <row r="19">
          <cell r="J19">
            <v>1.0499999999999999E-3</v>
          </cell>
        </row>
      </sheetData>
      <sheetData sheetId="2044">
        <row r="19">
          <cell r="J19">
            <v>1.0499999999999999E-3</v>
          </cell>
        </row>
      </sheetData>
      <sheetData sheetId="2045">
        <row r="19">
          <cell r="J19">
            <v>1.0499999999999999E-3</v>
          </cell>
        </row>
      </sheetData>
      <sheetData sheetId="2046">
        <row r="19">
          <cell r="J19">
            <v>1.0499999999999999E-3</v>
          </cell>
        </row>
      </sheetData>
      <sheetData sheetId="2047">
        <row r="19">
          <cell r="J19">
            <v>1.0499999999999999E-3</v>
          </cell>
        </row>
      </sheetData>
      <sheetData sheetId="2048">
        <row r="19">
          <cell r="J19">
            <v>1.0499999999999999E-3</v>
          </cell>
        </row>
      </sheetData>
      <sheetData sheetId="2049">
        <row r="19">
          <cell r="J19">
            <v>1.0499999999999999E-3</v>
          </cell>
        </row>
      </sheetData>
      <sheetData sheetId="2050">
        <row r="19">
          <cell r="J19">
            <v>1.0499999999999999E-3</v>
          </cell>
        </row>
      </sheetData>
      <sheetData sheetId="2051">
        <row r="19">
          <cell r="J19">
            <v>1.0499999999999999E-3</v>
          </cell>
        </row>
      </sheetData>
      <sheetData sheetId="2052">
        <row r="19">
          <cell r="J19">
            <v>1.0499999999999999E-3</v>
          </cell>
        </row>
      </sheetData>
      <sheetData sheetId="2053">
        <row r="19">
          <cell r="J19">
            <v>1.0499999999999999E-3</v>
          </cell>
        </row>
      </sheetData>
      <sheetData sheetId="2054">
        <row r="19">
          <cell r="J19">
            <v>1.0499999999999999E-3</v>
          </cell>
        </row>
      </sheetData>
      <sheetData sheetId="2055">
        <row r="19">
          <cell r="J19">
            <v>1.0499999999999999E-3</v>
          </cell>
        </row>
      </sheetData>
      <sheetData sheetId="2056">
        <row r="19">
          <cell r="J19">
            <v>1.0499999999999999E-3</v>
          </cell>
        </row>
      </sheetData>
      <sheetData sheetId="2057">
        <row r="19">
          <cell r="J19">
            <v>1.0499999999999999E-3</v>
          </cell>
        </row>
      </sheetData>
      <sheetData sheetId="2058">
        <row r="19">
          <cell r="J19">
            <v>1.0499999999999999E-3</v>
          </cell>
        </row>
      </sheetData>
      <sheetData sheetId="2059">
        <row r="19">
          <cell r="J19">
            <v>1.0499999999999999E-3</v>
          </cell>
        </row>
      </sheetData>
      <sheetData sheetId="2060">
        <row r="19">
          <cell r="J19">
            <v>1.0499999999999999E-3</v>
          </cell>
        </row>
      </sheetData>
      <sheetData sheetId="2061">
        <row r="19">
          <cell r="J19">
            <v>1.0499999999999999E-3</v>
          </cell>
        </row>
      </sheetData>
      <sheetData sheetId="2062">
        <row r="19">
          <cell r="J19">
            <v>1.0499999999999999E-3</v>
          </cell>
        </row>
      </sheetData>
      <sheetData sheetId="2063">
        <row r="19">
          <cell r="J19">
            <v>1.0499999999999999E-3</v>
          </cell>
        </row>
      </sheetData>
      <sheetData sheetId="2064">
        <row r="19">
          <cell r="J19">
            <v>1.0499999999999999E-3</v>
          </cell>
        </row>
      </sheetData>
      <sheetData sheetId="2065">
        <row r="19">
          <cell r="J19">
            <v>1.0499999999999999E-3</v>
          </cell>
        </row>
      </sheetData>
      <sheetData sheetId="2066">
        <row r="19">
          <cell r="J19">
            <v>1.0499999999999999E-3</v>
          </cell>
        </row>
      </sheetData>
      <sheetData sheetId="2067">
        <row r="19">
          <cell r="J19">
            <v>1.0499999999999999E-3</v>
          </cell>
        </row>
      </sheetData>
      <sheetData sheetId="2068">
        <row r="19">
          <cell r="J19">
            <v>1.0499999999999999E-3</v>
          </cell>
        </row>
      </sheetData>
      <sheetData sheetId="2069">
        <row r="19">
          <cell r="J19">
            <v>1.0499999999999999E-3</v>
          </cell>
        </row>
      </sheetData>
      <sheetData sheetId="2070">
        <row r="19">
          <cell r="J19">
            <v>1.0499999999999999E-3</v>
          </cell>
        </row>
      </sheetData>
      <sheetData sheetId="2071">
        <row r="19">
          <cell r="J19">
            <v>1.0499999999999999E-3</v>
          </cell>
        </row>
      </sheetData>
      <sheetData sheetId="2072">
        <row r="19">
          <cell r="J19">
            <v>1.0499999999999999E-3</v>
          </cell>
        </row>
      </sheetData>
      <sheetData sheetId="2073">
        <row r="19">
          <cell r="J19">
            <v>1.0499999999999999E-3</v>
          </cell>
        </row>
      </sheetData>
      <sheetData sheetId="2074">
        <row r="19">
          <cell r="J19">
            <v>1.0499999999999999E-3</v>
          </cell>
        </row>
      </sheetData>
      <sheetData sheetId="2075">
        <row r="19">
          <cell r="J19">
            <v>1.0499999999999999E-3</v>
          </cell>
        </row>
      </sheetData>
      <sheetData sheetId="2076">
        <row r="19">
          <cell r="J19">
            <v>1.0499999999999999E-3</v>
          </cell>
        </row>
      </sheetData>
      <sheetData sheetId="2077">
        <row r="19">
          <cell r="J19">
            <v>1.0499999999999999E-3</v>
          </cell>
        </row>
      </sheetData>
      <sheetData sheetId="2078">
        <row r="19">
          <cell r="J19">
            <v>1.0499999999999999E-3</v>
          </cell>
        </row>
      </sheetData>
      <sheetData sheetId="2079">
        <row r="19">
          <cell r="J19">
            <v>1.0499999999999999E-3</v>
          </cell>
        </row>
      </sheetData>
      <sheetData sheetId="2080">
        <row r="19">
          <cell r="J19">
            <v>1.0499999999999999E-3</v>
          </cell>
        </row>
      </sheetData>
      <sheetData sheetId="2081">
        <row r="19">
          <cell r="J19">
            <v>1.0499999999999999E-3</v>
          </cell>
        </row>
      </sheetData>
      <sheetData sheetId="2082">
        <row r="19">
          <cell r="J19">
            <v>1.0499999999999999E-3</v>
          </cell>
        </row>
      </sheetData>
      <sheetData sheetId="2083">
        <row r="19">
          <cell r="J19">
            <v>1.0499999999999999E-3</v>
          </cell>
        </row>
      </sheetData>
      <sheetData sheetId="2084">
        <row r="19">
          <cell r="J19">
            <v>1.0499999999999999E-3</v>
          </cell>
        </row>
      </sheetData>
      <sheetData sheetId="2085">
        <row r="19">
          <cell r="J19">
            <v>1.0499999999999999E-3</v>
          </cell>
        </row>
      </sheetData>
      <sheetData sheetId="2086">
        <row r="19">
          <cell r="J19">
            <v>1.0499999999999999E-3</v>
          </cell>
        </row>
      </sheetData>
      <sheetData sheetId="2087">
        <row r="19">
          <cell r="J19">
            <v>1.0499999999999999E-3</v>
          </cell>
        </row>
      </sheetData>
      <sheetData sheetId="2088">
        <row r="19">
          <cell r="J19">
            <v>1.0499999999999999E-3</v>
          </cell>
        </row>
      </sheetData>
      <sheetData sheetId="2089">
        <row r="19">
          <cell r="J19">
            <v>1.0499999999999999E-3</v>
          </cell>
        </row>
      </sheetData>
      <sheetData sheetId="2090">
        <row r="19">
          <cell r="J19">
            <v>1.0499999999999999E-3</v>
          </cell>
        </row>
      </sheetData>
      <sheetData sheetId="2091">
        <row r="19">
          <cell r="J19">
            <v>1.0499999999999999E-3</v>
          </cell>
        </row>
      </sheetData>
      <sheetData sheetId="2092">
        <row r="19">
          <cell r="J19">
            <v>1.0499999999999999E-3</v>
          </cell>
        </row>
      </sheetData>
      <sheetData sheetId="2093">
        <row r="19">
          <cell r="J19">
            <v>1.0499999999999999E-3</v>
          </cell>
        </row>
      </sheetData>
      <sheetData sheetId="2094">
        <row r="19">
          <cell r="J19">
            <v>1.0499999999999999E-3</v>
          </cell>
        </row>
      </sheetData>
      <sheetData sheetId="2095">
        <row r="19">
          <cell r="J19">
            <v>1.0499999999999999E-3</v>
          </cell>
        </row>
      </sheetData>
      <sheetData sheetId="2096">
        <row r="19">
          <cell r="J19">
            <v>1.0499999999999999E-3</v>
          </cell>
        </row>
      </sheetData>
      <sheetData sheetId="2097">
        <row r="19">
          <cell r="J19">
            <v>1.0499999999999999E-3</v>
          </cell>
        </row>
      </sheetData>
      <sheetData sheetId="2098">
        <row r="19">
          <cell r="J19">
            <v>1.0499999999999999E-3</v>
          </cell>
        </row>
      </sheetData>
      <sheetData sheetId="2099">
        <row r="19">
          <cell r="J19">
            <v>1.0499999999999999E-3</v>
          </cell>
        </row>
      </sheetData>
      <sheetData sheetId="2100">
        <row r="19">
          <cell r="J19">
            <v>1.0499999999999999E-3</v>
          </cell>
        </row>
      </sheetData>
      <sheetData sheetId="2101">
        <row r="19">
          <cell r="J19">
            <v>1.0499999999999999E-3</v>
          </cell>
        </row>
      </sheetData>
      <sheetData sheetId="2102">
        <row r="19">
          <cell r="J19">
            <v>1.0499999999999999E-3</v>
          </cell>
        </row>
      </sheetData>
      <sheetData sheetId="2103">
        <row r="19">
          <cell r="J19">
            <v>1.0499999999999999E-3</v>
          </cell>
        </row>
      </sheetData>
      <sheetData sheetId="2104">
        <row r="19">
          <cell r="J19">
            <v>1.0499999999999999E-3</v>
          </cell>
        </row>
      </sheetData>
      <sheetData sheetId="2105">
        <row r="19">
          <cell r="J19">
            <v>1.0499999999999999E-3</v>
          </cell>
        </row>
      </sheetData>
      <sheetData sheetId="2106">
        <row r="19">
          <cell r="J19">
            <v>1.0499999999999999E-3</v>
          </cell>
        </row>
      </sheetData>
      <sheetData sheetId="2107">
        <row r="19">
          <cell r="J19">
            <v>1.0499999999999999E-3</v>
          </cell>
        </row>
      </sheetData>
      <sheetData sheetId="2108">
        <row r="19">
          <cell r="J19">
            <v>1.0499999999999999E-3</v>
          </cell>
        </row>
      </sheetData>
      <sheetData sheetId="2109">
        <row r="19">
          <cell r="J19">
            <v>1.0499999999999999E-3</v>
          </cell>
        </row>
      </sheetData>
      <sheetData sheetId="2110">
        <row r="19">
          <cell r="J19">
            <v>1.0499999999999999E-3</v>
          </cell>
        </row>
      </sheetData>
      <sheetData sheetId="2111">
        <row r="19">
          <cell r="J19">
            <v>1.0499999999999999E-3</v>
          </cell>
        </row>
      </sheetData>
      <sheetData sheetId="2112">
        <row r="19">
          <cell r="J19">
            <v>1.0499999999999999E-3</v>
          </cell>
        </row>
      </sheetData>
      <sheetData sheetId="2113">
        <row r="19">
          <cell r="J19">
            <v>1.0499999999999999E-3</v>
          </cell>
        </row>
      </sheetData>
      <sheetData sheetId="2114">
        <row r="19">
          <cell r="J19">
            <v>1.0499999999999999E-3</v>
          </cell>
        </row>
      </sheetData>
      <sheetData sheetId="2115">
        <row r="19">
          <cell r="J19">
            <v>1.0499999999999999E-3</v>
          </cell>
        </row>
      </sheetData>
      <sheetData sheetId="2116">
        <row r="19">
          <cell r="J19">
            <v>1.0499999999999999E-3</v>
          </cell>
        </row>
      </sheetData>
      <sheetData sheetId="2117">
        <row r="19">
          <cell r="J19">
            <v>1.0499999999999999E-3</v>
          </cell>
        </row>
      </sheetData>
      <sheetData sheetId="2118">
        <row r="19">
          <cell r="J19">
            <v>1.0499999999999999E-3</v>
          </cell>
        </row>
      </sheetData>
      <sheetData sheetId="2119">
        <row r="19">
          <cell r="J19">
            <v>1.0499999999999999E-3</v>
          </cell>
        </row>
      </sheetData>
      <sheetData sheetId="2120">
        <row r="19">
          <cell r="J19">
            <v>1.0499999999999999E-3</v>
          </cell>
        </row>
      </sheetData>
      <sheetData sheetId="2121">
        <row r="19">
          <cell r="J19">
            <v>1.0499999999999999E-3</v>
          </cell>
        </row>
      </sheetData>
      <sheetData sheetId="2122">
        <row r="19">
          <cell r="J19">
            <v>1.0499999999999999E-3</v>
          </cell>
        </row>
      </sheetData>
      <sheetData sheetId="2123">
        <row r="19">
          <cell r="J19">
            <v>1.0499999999999999E-3</v>
          </cell>
        </row>
      </sheetData>
      <sheetData sheetId="2124">
        <row r="19">
          <cell r="J19">
            <v>1.0499999999999999E-3</v>
          </cell>
        </row>
      </sheetData>
      <sheetData sheetId="2125">
        <row r="19">
          <cell r="J19">
            <v>1.0499999999999999E-3</v>
          </cell>
        </row>
      </sheetData>
      <sheetData sheetId="2126">
        <row r="19">
          <cell r="J19">
            <v>1.0499999999999999E-3</v>
          </cell>
        </row>
      </sheetData>
      <sheetData sheetId="2127">
        <row r="19">
          <cell r="J19">
            <v>1.0499999999999999E-3</v>
          </cell>
        </row>
      </sheetData>
      <sheetData sheetId="2128">
        <row r="19">
          <cell r="J19">
            <v>1.0499999999999999E-3</v>
          </cell>
        </row>
      </sheetData>
      <sheetData sheetId="2129">
        <row r="19">
          <cell r="J19">
            <v>1.0499999999999999E-3</v>
          </cell>
        </row>
      </sheetData>
      <sheetData sheetId="2130">
        <row r="19">
          <cell r="J19">
            <v>1.0499999999999999E-3</v>
          </cell>
        </row>
      </sheetData>
      <sheetData sheetId="2131">
        <row r="19">
          <cell r="J19">
            <v>1.0499999999999999E-3</v>
          </cell>
        </row>
      </sheetData>
      <sheetData sheetId="2132">
        <row r="19">
          <cell r="J19">
            <v>1.0499999999999999E-3</v>
          </cell>
        </row>
      </sheetData>
      <sheetData sheetId="2133">
        <row r="19">
          <cell r="J19">
            <v>1.0499999999999999E-3</v>
          </cell>
        </row>
      </sheetData>
      <sheetData sheetId="2134">
        <row r="19">
          <cell r="J19">
            <v>1.0499999999999999E-3</v>
          </cell>
        </row>
      </sheetData>
      <sheetData sheetId="2135">
        <row r="19">
          <cell r="J19">
            <v>1.0499999999999999E-3</v>
          </cell>
        </row>
      </sheetData>
      <sheetData sheetId="2136">
        <row r="19">
          <cell r="J19">
            <v>1.0499999999999999E-3</v>
          </cell>
        </row>
      </sheetData>
      <sheetData sheetId="2137">
        <row r="19">
          <cell r="J19">
            <v>1.0499999999999999E-3</v>
          </cell>
        </row>
      </sheetData>
      <sheetData sheetId="2138">
        <row r="19">
          <cell r="J19">
            <v>1.0499999999999999E-3</v>
          </cell>
        </row>
      </sheetData>
      <sheetData sheetId="2139">
        <row r="19">
          <cell r="J19">
            <v>1.0499999999999999E-3</v>
          </cell>
        </row>
      </sheetData>
      <sheetData sheetId="2140">
        <row r="19">
          <cell r="J19">
            <v>1.0499999999999999E-3</v>
          </cell>
        </row>
      </sheetData>
      <sheetData sheetId="2141">
        <row r="19">
          <cell r="J19">
            <v>1.0499999999999999E-3</v>
          </cell>
        </row>
      </sheetData>
      <sheetData sheetId="2142">
        <row r="19">
          <cell r="J19">
            <v>1.0499999999999999E-3</v>
          </cell>
        </row>
      </sheetData>
      <sheetData sheetId="2143">
        <row r="19">
          <cell r="J19">
            <v>1.0499999999999999E-3</v>
          </cell>
        </row>
      </sheetData>
      <sheetData sheetId="2144">
        <row r="19">
          <cell r="J19">
            <v>1.0499999999999999E-3</v>
          </cell>
        </row>
      </sheetData>
      <sheetData sheetId="2145">
        <row r="19">
          <cell r="J19">
            <v>1.0499999999999999E-3</v>
          </cell>
        </row>
      </sheetData>
      <sheetData sheetId="2146">
        <row r="19">
          <cell r="J19">
            <v>1.0499999999999999E-3</v>
          </cell>
        </row>
      </sheetData>
      <sheetData sheetId="2147">
        <row r="19">
          <cell r="J19">
            <v>1.0499999999999999E-3</v>
          </cell>
        </row>
      </sheetData>
      <sheetData sheetId="2148" refreshError="1"/>
      <sheetData sheetId="2149" refreshError="1"/>
      <sheetData sheetId="2150" refreshError="1"/>
      <sheetData sheetId="2151" refreshError="1"/>
      <sheetData sheetId="2152" refreshError="1"/>
      <sheetData sheetId="2153">
        <row r="19">
          <cell r="J19">
            <v>1.0499999999999999E-3</v>
          </cell>
        </row>
      </sheetData>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efreshError="1"/>
      <sheetData sheetId="2235" refreshError="1"/>
      <sheetData sheetId="2236" refreshError="1"/>
      <sheetData sheetId="2237" refreshError="1"/>
      <sheetData sheetId="2238" refreshError="1"/>
      <sheetData sheetId="2239">
        <row r="19">
          <cell r="J19">
            <v>1.0499999999999999E-3</v>
          </cell>
        </row>
      </sheetData>
      <sheetData sheetId="2240" refreshError="1"/>
      <sheetData sheetId="2241" refreshError="1"/>
      <sheetData sheetId="2242" refreshError="1"/>
      <sheetData sheetId="2243" refreshError="1"/>
      <sheetData sheetId="2244" refreshError="1"/>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efreshError="1"/>
      <sheetData sheetId="2527" refreshError="1"/>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efreshError="1"/>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ow r="19">
          <cell r="J19">
            <v>1.0499999999999999E-3</v>
          </cell>
        </row>
      </sheetData>
      <sheetData sheetId="4932">
        <row r="19">
          <cell r="J19">
            <v>1.0499999999999999E-3</v>
          </cell>
        </row>
      </sheetData>
      <sheetData sheetId="4933">
        <row r="19">
          <cell r="J19">
            <v>1.0499999999999999E-3</v>
          </cell>
        </row>
      </sheetData>
      <sheetData sheetId="4934">
        <row r="19">
          <cell r="J19">
            <v>1.0499999999999999E-3</v>
          </cell>
        </row>
      </sheetData>
      <sheetData sheetId="4935">
        <row r="19">
          <cell r="J19">
            <v>1.0499999999999999E-3</v>
          </cell>
        </row>
      </sheetData>
      <sheetData sheetId="4936">
        <row r="19">
          <cell r="J19">
            <v>1.0499999999999999E-3</v>
          </cell>
        </row>
      </sheetData>
      <sheetData sheetId="4937">
        <row r="19">
          <cell r="J19">
            <v>1.0499999999999999E-3</v>
          </cell>
        </row>
      </sheetData>
      <sheetData sheetId="4938">
        <row r="19">
          <cell r="J19">
            <v>1.0499999999999999E-3</v>
          </cell>
        </row>
      </sheetData>
      <sheetData sheetId="4939">
        <row r="19">
          <cell r="J19">
            <v>1.0499999999999999E-3</v>
          </cell>
        </row>
      </sheetData>
      <sheetData sheetId="4940">
        <row r="19">
          <cell r="J19">
            <v>1.0499999999999999E-3</v>
          </cell>
        </row>
      </sheetData>
      <sheetData sheetId="4941">
        <row r="19">
          <cell r="J19">
            <v>1.0499999999999999E-3</v>
          </cell>
        </row>
      </sheetData>
      <sheetData sheetId="4942">
        <row r="19">
          <cell r="J19">
            <v>1.0499999999999999E-3</v>
          </cell>
        </row>
      </sheetData>
      <sheetData sheetId="4943">
        <row r="19">
          <cell r="J19">
            <v>1.0499999999999999E-3</v>
          </cell>
        </row>
      </sheetData>
      <sheetData sheetId="4944">
        <row r="19">
          <cell r="J19">
            <v>1.0499999999999999E-3</v>
          </cell>
        </row>
      </sheetData>
      <sheetData sheetId="4945">
        <row r="19">
          <cell r="J19">
            <v>1.0499999999999999E-3</v>
          </cell>
        </row>
      </sheetData>
      <sheetData sheetId="4946">
        <row r="19">
          <cell r="J19">
            <v>1.0499999999999999E-3</v>
          </cell>
        </row>
      </sheetData>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efreshError="1"/>
      <sheetData sheetId="7853" refreshError="1"/>
      <sheetData sheetId="7854">
        <row r="19">
          <cell r="J19">
            <v>1.0499999999999999E-3</v>
          </cell>
        </row>
      </sheetData>
      <sheetData sheetId="7855">
        <row r="19">
          <cell r="J19">
            <v>1.0499999999999999E-3</v>
          </cell>
        </row>
      </sheetData>
      <sheetData sheetId="7856" refreshError="1"/>
      <sheetData sheetId="7857" refreshError="1"/>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ow r="19">
          <cell r="J19">
            <v>1.0499999999999999E-3</v>
          </cell>
        </row>
      </sheetData>
      <sheetData sheetId="9389">
        <row r="19">
          <cell r="J19">
            <v>1.0499999999999999E-3</v>
          </cell>
        </row>
      </sheetData>
      <sheetData sheetId="9390">
        <row r="19">
          <cell r="J19">
            <v>1.0499999999999999E-3</v>
          </cell>
        </row>
      </sheetData>
      <sheetData sheetId="9391">
        <row r="19">
          <cell r="J19">
            <v>1.0499999999999999E-3</v>
          </cell>
        </row>
      </sheetData>
      <sheetData sheetId="9392">
        <row r="19">
          <cell r="J19">
            <v>1.0499999999999999E-3</v>
          </cell>
        </row>
      </sheetData>
      <sheetData sheetId="9393">
        <row r="19">
          <cell r="J19">
            <v>1.0499999999999999E-3</v>
          </cell>
        </row>
      </sheetData>
      <sheetData sheetId="9394">
        <row r="19">
          <cell r="J19">
            <v>1.0499999999999999E-3</v>
          </cell>
        </row>
      </sheetData>
      <sheetData sheetId="9395">
        <row r="19">
          <cell r="J19">
            <v>1.0499999999999999E-3</v>
          </cell>
        </row>
      </sheetData>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ow r="19">
          <cell r="J19">
            <v>1.0499999999999999E-3</v>
          </cell>
        </row>
      </sheetData>
      <sheetData sheetId="9782" refreshError="1"/>
      <sheetData sheetId="9783">
        <row r="19">
          <cell r="J19">
            <v>1.0499999999999999E-3</v>
          </cell>
        </row>
      </sheetData>
      <sheetData sheetId="9784">
        <row r="19">
          <cell r="J19">
            <v>1.0499999999999999E-3</v>
          </cell>
        </row>
      </sheetData>
      <sheetData sheetId="9785">
        <row r="19">
          <cell r="J19">
            <v>1.0499999999999999E-3</v>
          </cell>
        </row>
      </sheetData>
      <sheetData sheetId="9786">
        <row r="19">
          <cell r="J19">
            <v>1.0499999999999999E-3</v>
          </cell>
        </row>
      </sheetData>
      <sheetData sheetId="9787">
        <row r="19">
          <cell r="J19">
            <v>1.0499999999999999E-3</v>
          </cell>
        </row>
      </sheetData>
      <sheetData sheetId="9788">
        <row r="19">
          <cell r="J19">
            <v>1.0499999999999999E-3</v>
          </cell>
        </row>
      </sheetData>
      <sheetData sheetId="9789">
        <row r="19">
          <cell r="J19">
            <v>1.0499999999999999E-3</v>
          </cell>
        </row>
      </sheetData>
      <sheetData sheetId="9790" refreshError="1"/>
      <sheetData sheetId="9791" refreshError="1"/>
      <sheetData sheetId="9792" refreshError="1"/>
      <sheetData sheetId="9793">
        <row r="19">
          <cell r="J19">
            <v>1.0499999999999999E-3</v>
          </cell>
        </row>
      </sheetData>
      <sheetData sheetId="9794">
        <row r="19">
          <cell r="J19">
            <v>1.0499999999999999E-3</v>
          </cell>
        </row>
      </sheetData>
      <sheetData sheetId="9795">
        <row r="19">
          <cell r="J19">
            <v>1.0499999999999999E-3</v>
          </cell>
        </row>
      </sheetData>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ow r="19">
          <cell r="J19">
            <v>1.0499999999999999E-3</v>
          </cell>
        </row>
      </sheetData>
      <sheetData sheetId="10257" refreshError="1"/>
      <sheetData sheetId="10258">
        <row r="19">
          <cell r="J19">
            <v>1.0499999999999999E-3</v>
          </cell>
        </row>
      </sheetData>
      <sheetData sheetId="10259">
        <row r="19">
          <cell r="J19">
            <v>1.0499999999999999E-3</v>
          </cell>
        </row>
      </sheetData>
      <sheetData sheetId="10260">
        <row r="19">
          <cell r="J19">
            <v>1.0499999999999999E-3</v>
          </cell>
        </row>
      </sheetData>
      <sheetData sheetId="10261">
        <row r="19">
          <cell r="J19">
            <v>1.0499999999999999E-3</v>
          </cell>
        </row>
      </sheetData>
      <sheetData sheetId="10262">
        <row r="19">
          <cell r="J19">
            <v>1.0499999999999999E-3</v>
          </cell>
        </row>
      </sheetData>
      <sheetData sheetId="10263">
        <row r="19">
          <cell r="J19">
            <v>1.0499999999999999E-3</v>
          </cell>
        </row>
      </sheetData>
      <sheetData sheetId="10264">
        <row r="19">
          <cell r="J19">
            <v>1.0499999999999999E-3</v>
          </cell>
        </row>
      </sheetData>
      <sheetData sheetId="10265">
        <row r="19">
          <cell r="J19">
            <v>1.0499999999999999E-3</v>
          </cell>
        </row>
      </sheetData>
      <sheetData sheetId="10266">
        <row r="19">
          <cell r="J19">
            <v>1.0499999999999999E-3</v>
          </cell>
        </row>
      </sheetData>
      <sheetData sheetId="10267">
        <row r="19">
          <cell r="J19">
            <v>1.0499999999999999E-3</v>
          </cell>
        </row>
      </sheetData>
      <sheetData sheetId="10268">
        <row r="19">
          <cell r="J19">
            <v>1.0499999999999999E-3</v>
          </cell>
        </row>
      </sheetData>
      <sheetData sheetId="10269">
        <row r="19">
          <cell r="J19">
            <v>1.0499999999999999E-3</v>
          </cell>
        </row>
      </sheetData>
      <sheetData sheetId="10270">
        <row r="19">
          <cell r="J19">
            <v>1.0499999999999999E-3</v>
          </cell>
        </row>
      </sheetData>
      <sheetData sheetId="10271">
        <row r="19">
          <cell r="J19">
            <v>1.0499999999999999E-3</v>
          </cell>
        </row>
      </sheetData>
      <sheetData sheetId="10272">
        <row r="19">
          <cell r="J19">
            <v>1.0499999999999999E-3</v>
          </cell>
        </row>
      </sheetData>
      <sheetData sheetId="10273">
        <row r="19">
          <cell r="J19">
            <v>1.0499999999999999E-3</v>
          </cell>
        </row>
      </sheetData>
      <sheetData sheetId="10274">
        <row r="19">
          <cell r="J19">
            <v>1.0499999999999999E-3</v>
          </cell>
        </row>
      </sheetData>
      <sheetData sheetId="10275">
        <row r="19">
          <cell r="J19">
            <v>1.0499999999999999E-3</v>
          </cell>
        </row>
      </sheetData>
      <sheetData sheetId="10276">
        <row r="19">
          <cell r="J19">
            <v>1.0499999999999999E-3</v>
          </cell>
        </row>
      </sheetData>
      <sheetData sheetId="10277">
        <row r="19">
          <cell r="J19">
            <v>1.0499999999999999E-3</v>
          </cell>
        </row>
      </sheetData>
      <sheetData sheetId="10278">
        <row r="19">
          <cell r="J19">
            <v>1.0499999999999999E-3</v>
          </cell>
        </row>
      </sheetData>
      <sheetData sheetId="10279">
        <row r="19">
          <cell r="J19">
            <v>1.0499999999999999E-3</v>
          </cell>
        </row>
      </sheetData>
      <sheetData sheetId="10280">
        <row r="19">
          <cell r="J19">
            <v>1.0499999999999999E-3</v>
          </cell>
        </row>
      </sheetData>
      <sheetData sheetId="10281">
        <row r="19">
          <cell r="J19">
            <v>1.0499999999999999E-3</v>
          </cell>
        </row>
      </sheetData>
      <sheetData sheetId="10282">
        <row r="19">
          <cell r="J19">
            <v>1.0499999999999999E-3</v>
          </cell>
        </row>
      </sheetData>
      <sheetData sheetId="10283">
        <row r="19">
          <cell r="J19">
            <v>1.0499999999999999E-3</v>
          </cell>
        </row>
      </sheetData>
      <sheetData sheetId="10284">
        <row r="19">
          <cell r="J19">
            <v>1.0499999999999999E-3</v>
          </cell>
        </row>
      </sheetData>
      <sheetData sheetId="10285">
        <row r="19">
          <cell r="J19">
            <v>1.0499999999999999E-3</v>
          </cell>
        </row>
      </sheetData>
      <sheetData sheetId="10286">
        <row r="19">
          <cell r="J19">
            <v>1.0499999999999999E-3</v>
          </cell>
        </row>
      </sheetData>
      <sheetData sheetId="10287">
        <row r="19">
          <cell r="J19">
            <v>1.0499999999999999E-3</v>
          </cell>
        </row>
      </sheetData>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efreshError="1"/>
      <sheetData sheetId="10532" refreshError="1"/>
      <sheetData sheetId="10533" refreshError="1"/>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efreshError="1"/>
      <sheetData sheetId="10921" refreshError="1"/>
      <sheetData sheetId="10922" refreshError="1"/>
      <sheetData sheetId="10923" refreshError="1"/>
      <sheetData sheetId="10924" refreshError="1"/>
      <sheetData sheetId="10925">
        <row r="19">
          <cell r="J19">
            <v>1.0499999999999999E-3</v>
          </cell>
        </row>
      </sheetData>
      <sheetData sheetId="10926">
        <row r="19">
          <cell r="J19">
            <v>1.0499999999999999E-3</v>
          </cell>
        </row>
      </sheetData>
      <sheetData sheetId="10927">
        <row r="19">
          <cell r="J19">
            <v>1.0499999999999999E-3</v>
          </cell>
        </row>
      </sheetData>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ow r="19">
          <cell r="J19">
            <v>1.0499999999999999E-3</v>
          </cell>
        </row>
      </sheetData>
      <sheetData sheetId="11028" refreshError="1"/>
      <sheetData sheetId="11029" refreshError="1"/>
      <sheetData sheetId="11030" refreshError="1"/>
      <sheetData sheetId="11031" refreshError="1"/>
      <sheetData sheetId="11032">
        <row r="19">
          <cell r="J19">
            <v>1.0499999999999999E-3</v>
          </cell>
        </row>
      </sheetData>
      <sheetData sheetId="11033" refreshError="1"/>
      <sheetData sheetId="11034" refreshError="1"/>
      <sheetData sheetId="11035" refreshError="1"/>
      <sheetData sheetId="11036">
        <row r="19">
          <cell r="J19">
            <v>1.0499999999999999E-3</v>
          </cell>
        </row>
      </sheetData>
      <sheetData sheetId="11037">
        <row r="19">
          <cell r="J19">
            <v>1.0499999999999999E-3</v>
          </cell>
        </row>
      </sheetData>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ow r="19">
          <cell r="J19">
            <v>1.0499999999999999E-3</v>
          </cell>
        </row>
      </sheetData>
      <sheetData sheetId="11052">
        <row r="19">
          <cell r="J19">
            <v>1.0499999999999999E-3</v>
          </cell>
        </row>
      </sheetData>
      <sheetData sheetId="11053" refreshError="1"/>
      <sheetData sheetId="11054" refreshError="1"/>
      <sheetData sheetId="11055" refreshError="1"/>
      <sheetData sheetId="11056">
        <row r="19">
          <cell r="J19">
            <v>1.0499999999999999E-3</v>
          </cell>
        </row>
      </sheetData>
      <sheetData sheetId="11057">
        <row r="19">
          <cell r="J19">
            <v>1.0499999999999999E-3</v>
          </cell>
        </row>
      </sheetData>
      <sheetData sheetId="11058" refreshError="1"/>
      <sheetData sheetId="11059">
        <row r="19">
          <cell r="J19">
            <v>1.0499999999999999E-3</v>
          </cell>
        </row>
      </sheetData>
      <sheetData sheetId="11060">
        <row r="19">
          <cell r="J19">
            <v>1.0499999999999999E-3</v>
          </cell>
        </row>
      </sheetData>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ow r="19">
          <cell r="J19">
            <v>1.0499999999999999E-3</v>
          </cell>
        </row>
      </sheetData>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ow r="19">
          <cell r="J19">
            <v>1.0499999999999999E-3</v>
          </cell>
        </row>
      </sheetData>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sheetData sheetId="11300" refreshError="1"/>
      <sheetData sheetId="11301" refreshError="1"/>
      <sheetData sheetId="11302" refreshError="1"/>
      <sheetData sheetId="11303" refreshError="1"/>
      <sheetData sheetId="11304" refreshError="1"/>
      <sheetData sheetId="11305" refreshError="1"/>
      <sheetData sheetId="11306"/>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ow r="19">
          <cell r="J19">
            <v>1.0499999999999999E-3</v>
          </cell>
        </row>
      </sheetData>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ow r="19">
          <cell r="J19">
            <v>1.0499999999999999E-3</v>
          </cell>
        </row>
      </sheetData>
      <sheetData sheetId="11385" refreshError="1"/>
      <sheetData sheetId="11386" refreshError="1"/>
      <sheetData sheetId="11387" refreshError="1"/>
      <sheetData sheetId="11388" refreshError="1"/>
      <sheetData sheetId="11389" refreshError="1"/>
      <sheetData sheetId="11390">
        <row r="19">
          <cell r="J19">
            <v>1.0499999999999999E-3</v>
          </cell>
        </row>
      </sheetData>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ow r="19">
          <cell r="J19">
            <v>1.0499999999999999E-3</v>
          </cell>
        </row>
      </sheetData>
      <sheetData sheetId="11406" refreshError="1"/>
      <sheetData sheetId="11407" refreshError="1"/>
      <sheetData sheetId="11408" refreshError="1"/>
      <sheetData sheetId="11409" refreshError="1"/>
      <sheetData sheetId="11410">
        <row r="19">
          <cell r="J19">
            <v>1.0499999999999999E-3</v>
          </cell>
        </row>
      </sheetData>
      <sheetData sheetId="11411">
        <row r="19">
          <cell r="J19">
            <v>1.0499999999999999E-3</v>
          </cell>
        </row>
      </sheetData>
      <sheetData sheetId="11412">
        <row r="19">
          <cell r="J19">
            <v>1.0499999999999999E-3</v>
          </cell>
        </row>
      </sheetData>
      <sheetData sheetId="11413">
        <row r="19">
          <cell r="J19">
            <v>1.0499999999999999E-3</v>
          </cell>
        </row>
      </sheetData>
      <sheetData sheetId="11414">
        <row r="19">
          <cell r="J19">
            <v>1.0499999999999999E-3</v>
          </cell>
        </row>
      </sheetData>
      <sheetData sheetId="11415">
        <row r="19">
          <cell r="J19">
            <v>1.0499999999999999E-3</v>
          </cell>
        </row>
      </sheetData>
      <sheetData sheetId="11416">
        <row r="19">
          <cell r="J19">
            <v>1.0499999999999999E-3</v>
          </cell>
        </row>
      </sheetData>
      <sheetData sheetId="11417">
        <row r="19">
          <cell r="J19">
            <v>1.0499999999999999E-3</v>
          </cell>
        </row>
      </sheetData>
      <sheetData sheetId="11418">
        <row r="19">
          <cell r="J19">
            <v>1.0499999999999999E-3</v>
          </cell>
        </row>
      </sheetData>
      <sheetData sheetId="11419">
        <row r="19">
          <cell r="J19">
            <v>1.0499999999999999E-3</v>
          </cell>
        </row>
      </sheetData>
      <sheetData sheetId="11420">
        <row r="19">
          <cell r="J19">
            <v>1.0499999999999999E-3</v>
          </cell>
        </row>
      </sheetData>
      <sheetData sheetId="11421">
        <row r="19">
          <cell r="J19">
            <v>1.0499999999999999E-3</v>
          </cell>
        </row>
      </sheetData>
      <sheetData sheetId="11422">
        <row r="19">
          <cell r="J19">
            <v>1.0499999999999999E-3</v>
          </cell>
        </row>
      </sheetData>
      <sheetData sheetId="11423">
        <row r="19">
          <cell r="J19">
            <v>1.0499999999999999E-3</v>
          </cell>
        </row>
      </sheetData>
      <sheetData sheetId="11424">
        <row r="19">
          <cell r="J19">
            <v>1.0499999999999999E-3</v>
          </cell>
        </row>
      </sheetData>
      <sheetData sheetId="11425">
        <row r="19">
          <cell r="J19">
            <v>1.0499999999999999E-3</v>
          </cell>
        </row>
      </sheetData>
      <sheetData sheetId="11426">
        <row r="19">
          <cell r="J19">
            <v>1.0499999999999999E-3</v>
          </cell>
        </row>
      </sheetData>
      <sheetData sheetId="11427">
        <row r="19">
          <cell r="J19">
            <v>1.0499999999999999E-3</v>
          </cell>
        </row>
      </sheetData>
      <sheetData sheetId="11428" refreshError="1"/>
      <sheetData sheetId="11429">
        <row r="19">
          <cell r="J19">
            <v>1.0499999999999999E-3</v>
          </cell>
        </row>
      </sheetData>
      <sheetData sheetId="11430" refreshError="1"/>
      <sheetData sheetId="11431">
        <row r="19">
          <cell r="J19">
            <v>1.0499999999999999E-3</v>
          </cell>
        </row>
      </sheetData>
      <sheetData sheetId="11432" refreshError="1"/>
      <sheetData sheetId="11433">
        <row r="19">
          <cell r="J19">
            <v>1.0499999999999999E-3</v>
          </cell>
        </row>
      </sheetData>
      <sheetData sheetId="11434" refreshError="1"/>
      <sheetData sheetId="11435" refreshError="1"/>
      <sheetData sheetId="11436" refreshError="1"/>
      <sheetData sheetId="11437" refreshError="1"/>
      <sheetData sheetId="11438" refreshError="1"/>
      <sheetData sheetId="11439" refreshError="1"/>
      <sheetData sheetId="11440">
        <row r="19">
          <cell r="J19">
            <v>1.0499999999999999E-3</v>
          </cell>
        </row>
      </sheetData>
      <sheetData sheetId="11441">
        <row r="19">
          <cell r="J19">
            <v>1.0499999999999999E-3</v>
          </cell>
        </row>
      </sheetData>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ow r="19">
          <cell r="J19">
            <v>1.0499999999999999E-3</v>
          </cell>
        </row>
      </sheetData>
      <sheetData sheetId="11640">
        <row r="19">
          <cell r="J19">
            <v>1.0499999999999999E-3</v>
          </cell>
        </row>
      </sheetData>
      <sheetData sheetId="11641">
        <row r="19">
          <cell r="J19">
            <v>1.0499999999999999E-3</v>
          </cell>
        </row>
      </sheetData>
      <sheetData sheetId="11642">
        <row r="19">
          <cell r="J19">
            <v>1.0499999999999999E-3</v>
          </cell>
        </row>
      </sheetData>
      <sheetData sheetId="11643">
        <row r="19">
          <cell r="J19">
            <v>1.0499999999999999E-3</v>
          </cell>
        </row>
      </sheetData>
      <sheetData sheetId="11644">
        <row r="19">
          <cell r="J19">
            <v>1.0499999999999999E-3</v>
          </cell>
        </row>
      </sheetData>
      <sheetData sheetId="11645">
        <row r="19">
          <cell r="J19">
            <v>1.0499999999999999E-3</v>
          </cell>
        </row>
      </sheetData>
      <sheetData sheetId="11646">
        <row r="19">
          <cell r="J19">
            <v>1.0499999999999999E-3</v>
          </cell>
        </row>
      </sheetData>
      <sheetData sheetId="11647">
        <row r="19">
          <cell r="J19">
            <v>1.0499999999999999E-3</v>
          </cell>
        </row>
      </sheetData>
      <sheetData sheetId="11648">
        <row r="19">
          <cell r="J19">
            <v>1.0499999999999999E-3</v>
          </cell>
        </row>
      </sheetData>
      <sheetData sheetId="11649">
        <row r="19">
          <cell r="J19">
            <v>1.0499999999999999E-3</v>
          </cell>
        </row>
      </sheetData>
      <sheetData sheetId="11650">
        <row r="19">
          <cell r="J19">
            <v>1.0499999999999999E-3</v>
          </cell>
        </row>
      </sheetData>
      <sheetData sheetId="11651">
        <row r="19">
          <cell r="J19">
            <v>1.0499999999999999E-3</v>
          </cell>
        </row>
      </sheetData>
      <sheetData sheetId="11652">
        <row r="19">
          <cell r="J19">
            <v>1.0499999999999999E-3</v>
          </cell>
        </row>
      </sheetData>
      <sheetData sheetId="11653">
        <row r="19">
          <cell r="J19">
            <v>1.0499999999999999E-3</v>
          </cell>
        </row>
      </sheetData>
      <sheetData sheetId="11654">
        <row r="19">
          <cell r="J19">
            <v>1.0499999999999999E-3</v>
          </cell>
        </row>
      </sheetData>
      <sheetData sheetId="11655">
        <row r="19">
          <cell r="J19">
            <v>1.0499999999999999E-3</v>
          </cell>
        </row>
      </sheetData>
      <sheetData sheetId="11656">
        <row r="19">
          <cell r="J19">
            <v>1.0499999999999999E-3</v>
          </cell>
        </row>
      </sheetData>
      <sheetData sheetId="11657">
        <row r="19">
          <cell r="J19">
            <v>1.0499999999999999E-3</v>
          </cell>
        </row>
      </sheetData>
      <sheetData sheetId="11658">
        <row r="19">
          <cell r="J19">
            <v>1.0499999999999999E-3</v>
          </cell>
        </row>
      </sheetData>
      <sheetData sheetId="11659">
        <row r="19">
          <cell r="J19">
            <v>1.0499999999999999E-3</v>
          </cell>
        </row>
      </sheetData>
      <sheetData sheetId="11660">
        <row r="19">
          <cell r="J19">
            <v>1.0499999999999999E-3</v>
          </cell>
        </row>
      </sheetData>
      <sheetData sheetId="11661">
        <row r="19">
          <cell r="J19">
            <v>1.0499999999999999E-3</v>
          </cell>
        </row>
      </sheetData>
      <sheetData sheetId="11662">
        <row r="19">
          <cell r="J19">
            <v>1.0499999999999999E-3</v>
          </cell>
        </row>
      </sheetData>
      <sheetData sheetId="11663">
        <row r="19">
          <cell r="J19">
            <v>1.0499999999999999E-3</v>
          </cell>
        </row>
      </sheetData>
      <sheetData sheetId="11664">
        <row r="19">
          <cell r="J19">
            <v>1.0499999999999999E-3</v>
          </cell>
        </row>
      </sheetData>
      <sheetData sheetId="11665">
        <row r="19">
          <cell r="J19">
            <v>1.0499999999999999E-3</v>
          </cell>
        </row>
      </sheetData>
      <sheetData sheetId="11666">
        <row r="19">
          <cell r="J19">
            <v>1.0499999999999999E-3</v>
          </cell>
        </row>
      </sheetData>
      <sheetData sheetId="11667">
        <row r="19">
          <cell r="J19">
            <v>1.0499999999999999E-3</v>
          </cell>
        </row>
      </sheetData>
      <sheetData sheetId="11668">
        <row r="19">
          <cell r="J19">
            <v>1.0499999999999999E-3</v>
          </cell>
        </row>
      </sheetData>
      <sheetData sheetId="11669">
        <row r="19">
          <cell r="J19">
            <v>1.0499999999999999E-3</v>
          </cell>
        </row>
      </sheetData>
      <sheetData sheetId="11670">
        <row r="19">
          <cell r="J19">
            <v>1.0499999999999999E-3</v>
          </cell>
        </row>
      </sheetData>
      <sheetData sheetId="11671">
        <row r="19">
          <cell r="J19">
            <v>1.0499999999999999E-3</v>
          </cell>
        </row>
      </sheetData>
      <sheetData sheetId="11672">
        <row r="19">
          <cell r="J19">
            <v>1.0499999999999999E-3</v>
          </cell>
        </row>
      </sheetData>
      <sheetData sheetId="11673">
        <row r="19">
          <cell r="J19">
            <v>1.0499999999999999E-3</v>
          </cell>
        </row>
      </sheetData>
      <sheetData sheetId="11674">
        <row r="19">
          <cell r="J19">
            <v>1.0499999999999999E-3</v>
          </cell>
        </row>
      </sheetData>
      <sheetData sheetId="11675">
        <row r="19">
          <cell r="J19">
            <v>1.0499999999999999E-3</v>
          </cell>
        </row>
      </sheetData>
      <sheetData sheetId="11676">
        <row r="19">
          <cell r="J19">
            <v>1.0499999999999999E-3</v>
          </cell>
        </row>
      </sheetData>
      <sheetData sheetId="11677">
        <row r="19">
          <cell r="J19">
            <v>1.0499999999999999E-3</v>
          </cell>
        </row>
      </sheetData>
      <sheetData sheetId="11678">
        <row r="19">
          <cell r="J19">
            <v>1.0499999999999999E-3</v>
          </cell>
        </row>
      </sheetData>
      <sheetData sheetId="11679">
        <row r="19">
          <cell r="J19">
            <v>1.0499999999999999E-3</v>
          </cell>
        </row>
      </sheetData>
      <sheetData sheetId="11680">
        <row r="19">
          <cell r="J19">
            <v>1.0499999999999999E-3</v>
          </cell>
        </row>
      </sheetData>
      <sheetData sheetId="11681">
        <row r="19">
          <cell r="J19">
            <v>1.0499999999999999E-3</v>
          </cell>
        </row>
      </sheetData>
      <sheetData sheetId="11682">
        <row r="19">
          <cell r="J19">
            <v>1.0499999999999999E-3</v>
          </cell>
        </row>
      </sheetData>
      <sheetData sheetId="11683">
        <row r="19">
          <cell r="J19">
            <v>1.0499999999999999E-3</v>
          </cell>
        </row>
      </sheetData>
      <sheetData sheetId="11684">
        <row r="19">
          <cell r="J19">
            <v>1.0499999999999999E-3</v>
          </cell>
        </row>
      </sheetData>
      <sheetData sheetId="11685">
        <row r="19">
          <cell r="J19">
            <v>1.0499999999999999E-3</v>
          </cell>
        </row>
      </sheetData>
      <sheetData sheetId="11686">
        <row r="19">
          <cell r="J19">
            <v>1.0499999999999999E-3</v>
          </cell>
        </row>
      </sheetData>
      <sheetData sheetId="11687">
        <row r="19">
          <cell r="J19">
            <v>1.0499999999999999E-3</v>
          </cell>
        </row>
      </sheetData>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ow r="19">
          <cell r="J19">
            <v>1.0499999999999999E-3</v>
          </cell>
        </row>
      </sheetData>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ow r="19">
          <cell r="J19">
            <v>1.0499999999999999E-3</v>
          </cell>
        </row>
      </sheetData>
      <sheetData sheetId="11707">
        <row r="19">
          <cell r="J19">
            <v>1.0499999999999999E-3</v>
          </cell>
        </row>
      </sheetData>
      <sheetData sheetId="11708">
        <row r="19">
          <cell r="J19">
            <v>1.0499999999999999E-3</v>
          </cell>
        </row>
      </sheetData>
      <sheetData sheetId="11709">
        <row r="19">
          <cell r="J19">
            <v>1.0499999999999999E-3</v>
          </cell>
        </row>
      </sheetData>
      <sheetData sheetId="11710">
        <row r="19">
          <cell r="J19">
            <v>1.0499999999999999E-3</v>
          </cell>
        </row>
      </sheetData>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ow r="19">
          <cell r="J19">
            <v>1.0499999999999999E-3</v>
          </cell>
        </row>
      </sheetData>
      <sheetData sheetId="11726">
        <row r="19">
          <cell r="J19">
            <v>1.0499999999999999E-3</v>
          </cell>
        </row>
      </sheetData>
      <sheetData sheetId="11727">
        <row r="19">
          <cell r="J19">
            <v>1.0499999999999999E-3</v>
          </cell>
        </row>
      </sheetData>
      <sheetData sheetId="11728">
        <row r="19">
          <cell r="J19">
            <v>1.0499999999999999E-3</v>
          </cell>
        </row>
      </sheetData>
      <sheetData sheetId="11729">
        <row r="19">
          <cell r="J19">
            <v>1.0499999999999999E-3</v>
          </cell>
        </row>
      </sheetData>
      <sheetData sheetId="11730">
        <row r="19">
          <cell r="J19">
            <v>1.0499999999999999E-3</v>
          </cell>
        </row>
      </sheetData>
      <sheetData sheetId="11731">
        <row r="19">
          <cell r="J19">
            <v>1.0499999999999999E-3</v>
          </cell>
        </row>
      </sheetData>
      <sheetData sheetId="11732">
        <row r="19">
          <cell r="J19">
            <v>1.0499999999999999E-3</v>
          </cell>
        </row>
      </sheetData>
      <sheetData sheetId="11733">
        <row r="19">
          <cell r="J19">
            <v>1.0499999999999999E-3</v>
          </cell>
        </row>
      </sheetData>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ow r="19">
          <cell r="J19">
            <v>1.0499999999999999E-3</v>
          </cell>
        </row>
      </sheetData>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ow r="19">
          <cell r="J19">
            <v>1.0499999999999999E-3</v>
          </cell>
        </row>
      </sheetData>
      <sheetData sheetId="11754">
        <row r="19">
          <cell r="J19">
            <v>1.0499999999999999E-3</v>
          </cell>
        </row>
      </sheetData>
      <sheetData sheetId="11755">
        <row r="19">
          <cell r="J19">
            <v>1.0499999999999999E-3</v>
          </cell>
        </row>
      </sheetData>
      <sheetData sheetId="11756">
        <row r="19">
          <cell r="J19">
            <v>1.0499999999999999E-3</v>
          </cell>
        </row>
      </sheetData>
      <sheetData sheetId="11757">
        <row r="19">
          <cell r="J19">
            <v>1.0499999999999999E-3</v>
          </cell>
        </row>
      </sheetData>
      <sheetData sheetId="11758">
        <row r="19">
          <cell r="J19">
            <v>1.0499999999999999E-3</v>
          </cell>
        </row>
      </sheetData>
      <sheetData sheetId="11759">
        <row r="19">
          <cell r="J19">
            <v>1.0499999999999999E-3</v>
          </cell>
        </row>
      </sheetData>
      <sheetData sheetId="11760">
        <row r="19">
          <cell r="J19">
            <v>1.0499999999999999E-3</v>
          </cell>
        </row>
      </sheetData>
      <sheetData sheetId="11761">
        <row r="19">
          <cell r="J19">
            <v>1.0499999999999999E-3</v>
          </cell>
        </row>
      </sheetData>
      <sheetData sheetId="11762">
        <row r="19">
          <cell r="J19">
            <v>1.0499999999999999E-3</v>
          </cell>
        </row>
      </sheetData>
      <sheetData sheetId="11763">
        <row r="19">
          <cell r="J19">
            <v>1.0499999999999999E-3</v>
          </cell>
        </row>
      </sheetData>
      <sheetData sheetId="11764">
        <row r="19">
          <cell r="J19">
            <v>1.0499999999999999E-3</v>
          </cell>
        </row>
      </sheetData>
      <sheetData sheetId="11765">
        <row r="19">
          <cell r="J19">
            <v>1.0499999999999999E-3</v>
          </cell>
        </row>
      </sheetData>
      <sheetData sheetId="11766">
        <row r="19">
          <cell r="J19">
            <v>1.0499999999999999E-3</v>
          </cell>
        </row>
      </sheetData>
      <sheetData sheetId="11767">
        <row r="19">
          <cell r="J19">
            <v>1.0499999999999999E-3</v>
          </cell>
        </row>
      </sheetData>
      <sheetData sheetId="11768">
        <row r="19">
          <cell r="J19">
            <v>1.0499999999999999E-3</v>
          </cell>
        </row>
      </sheetData>
      <sheetData sheetId="11769">
        <row r="19">
          <cell r="J19">
            <v>1.0499999999999999E-3</v>
          </cell>
        </row>
      </sheetData>
      <sheetData sheetId="11770">
        <row r="19">
          <cell r="J19">
            <v>1.0499999999999999E-3</v>
          </cell>
        </row>
      </sheetData>
      <sheetData sheetId="11771">
        <row r="19">
          <cell r="J19">
            <v>1.0499999999999999E-3</v>
          </cell>
        </row>
      </sheetData>
      <sheetData sheetId="11772">
        <row r="19">
          <cell r="J19">
            <v>1.0499999999999999E-3</v>
          </cell>
        </row>
      </sheetData>
      <sheetData sheetId="11773">
        <row r="19">
          <cell r="J19">
            <v>1.0499999999999999E-3</v>
          </cell>
        </row>
      </sheetData>
      <sheetData sheetId="11774">
        <row r="19">
          <cell r="J19">
            <v>1.0499999999999999E-3</v>
          </cell>
        </row>
      </sheetData>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ow r="19">
          <cell r="J19">
            <v>1.0499999999999999E-3</v>
          </cell>
        </row>
      </sheetData>
      <sheetData sheetId="11803">
        <row r="19">
          <cell r="J19">
            <v>1.0499999999999999E-3</v>
          </cell>
        </row>
      </sheetData>
      <sheetData sheetId="11804">
        <row r="19">
          <cell r="J19">
            <v>1.0499999999999999E-3</v>
          </cell>
        </row>
      </sheetData>
      <sheetData sheetId="11805">
        <row r="19">
          <cell r="J19">
            <v>1.0499999999999999E-3</v>
          </cell>
        </row>
      </sheetData>
      <sheetData sheetId="11806">
        <row r="19">
          <cell r="J19">
            <v>1.0499999999999999E-3</v>
          </cell>
        </row>
      </sheetData>
      <sheetData sheetId="11807">
        <row r="19">
          <cell r="J19">
            <v>1.0499999999999999E-3</v>
          </cell>
        </row>
      </sheetData>
      <sheetData sheetId="11808">
        <row r="19">
          <cell r="J19">
            <v>1.0499999999999999E-3</v>
          </cell>
        </row>
      </sheetData>
      <sheetData sheetId="11809">
        <row r="19">
          <cell r="J19">
            <v>1.0499999999999999E-3</v>
          </cell>
        </row>
      </sheetData>
      <sheetData sheetId="11810">
        <row r="19">
          <cell r="J19">
            <v>1.0499999999999999E-3</v>
          </cell>
        </row>
      </sheetData>
      <sheetData sheetId="11811">
        <row r="19">
          <cell r="J19">
            <v>1.0499999999999999E-3</v>
          </cell>
        </row>
      </sheetData>
      <sheetData sheetId="11812">
        <row r="19">
          <cell r="J19">
            <v>1.0499999999999999E-3</v>
          </cell>
        </row>
      </sheetData>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ow r="19">
          <cell r="J19">
            <v>1.0499999999999999E-3</v>
          </cell>
        </row>
      </sheetData>
      <sheetData sheetId="11819">
        <row r="19">
          <cell r="J19">
            <v>1.0499999999999999E-3</v>
          </cell>
        </row>
      </sheetData>
      <sheetData sheetId="11820">
        <row r="19">
          <cell r="J19">
            <v>1.0499999999999999E-3</v>
          </cell>
        </row>
      </sheetData>
      <sheetData sheetId="11821">
        <row r="19">
          <cell r="J19">
            <v>1.0499999999999999E-3</v>
          </cell>
        </row>
      </sheetData>
      <sheetData sheetId="11822">
        <row r="19">
          <cell r="J19">
            <v>1.0499999999999999E-3</v>
          </cell>
        </row>
      </sheetData>
      <sheetData sheetId="11823">
        <row r="19">
          <cell r="J19">
            <v>1.0499999999999999E-3</v>
          </cell>
        </row>
      </sheetData>
      <sheetData sheetId="11824">
        <row r="19">
          <cell r="J19">
            <v>1.0499999999999999E-3</v>
          </cell>
        </row>
      </sheetData>
      <sheetData sheetId="11825">
        <row r="19">
          <cell r="J19">
            <v>1.0499999999999999E-3</v>
          </cell>
        </row>
      </sheetData>
      <sheetData sheetId="11826">
        <row r="19">
          <cell r="J19">
            <v>1.0499999999999999E-3</v>
          </cell>
        </row>
      </sheetData>
      <sheetData sheetId="11827">
        <row r="19">
          <cell r="J19">
            <v>1.0499999999999999E-3</v>
          </cell>
        </row>
      </sheetData>
      <sheetData sheetId="11828">
        <row r="19">
          <cell r="J19">
            <v>1.0499999999999999E-3</v>
          </cell>
        </row>
      </sheetData>
      <sheetData sheetId="11829">
        <row r="19">
          <cell r="J19">
            <v>1.0499999999999999E-3</v>
          </cell>
        </row>
      </sheetData>
      <sheetData sheetId="11830">
        <row r="19">
          <cell r="J19">
            <v>1.0499999999999999E-3</v>
          </cell>
        </row>
      </sheetData>
      <sheetData sheetId="11831">
        <row r="19">
          <cell r="J19">
            <v>1.0499999999999999E-3</v>
          </cell>
        </row>
      </sheetData>
      <sheetData sheetId="11832">
        <row r="19">
          <cell r="J19">
            <v>1.0499999999999999E-3</v>
          </cell>
        </row>
      </sheetData>
      <sheetData sheetId="11833">
        <row r="19">
          <cell r="J19">
            <v>1.0499999999999999E-3</v>
          </cell>
        </row>
      </sheetData>
      <sheetData sheetId="11834">
        <row r="19">
          <cell r="J19">
            <v>1.0499999999999999E-3</v>
          </cell>
        </row>
      </sheetData>
      <sheetData sheetId="11835">
        <row r="19">
          <cell r="J19">
            <v>1.0499999999999999E-3</v>
          </cell>
        </row>
      </sheetData>
      <sheetData sheetId="11836">
        <row r="19">
          <cell r="J19">
            <v>1.0499999999999999E-3</v>
          </cell>
        </row>
      </sheetData>
      <sheetData sheetId="11837">
        <row r="19">
          <cell r="J19">
            <v>1.0499999999999999E-3</v>
          </cell>
        </row>
      </sheetData>
      <sheetData sheetId="11838">
        <row r="19">
          <cell r="J19">
            <v>1.0499999999999999E-3</v>
          </cell>
        </row>
      </sheetData>
      <sheetData sheetId="11839">
        <row r="19">
          <cell r="J19">
            <v>1.0499999999999999E-3</v>
          </cell>
        </row>
      </sheetData>
      <sheetData sheetId="11840">
        <row r="19">
          <cell r="J19">
            <v>1.0499999999999999E-3</v>
          </cell>
        </row>
      </sheetData>
      <sheetData sheetId="11841">
        <row r="19">
          <cell r="J19">
            <v>1.0499999999999999E-3</v>
          </cell>
        </row>
      </sheetData>
      <sheetData sheetId="11842">
        <row r="19">
          <cell r="J19">
            <v>1.0499999999999999E-3</v>
          </cell>
        </row>
      </sheetData>
      <sheetData sheetId="11843">
        <row r="19">
          <cell r="J19">
            <v>1.0499999999999999E-3</v>
          </cell>
        </row>
      </sheetData>
      <sheetData sheetId="11844">
        <row r="19">
          <cell r="J19">
            <v>1.0499999999999999E-3</v>
          </cell>
        </row>
      </sheetData>
      <sheetData sheetId="11845">
        <row r="19">
          <cell r="J19">
            <v>1.0499999999999999E-3</v>
          </cell>
        </row>
      </sheetData>
      <sheetData sheetId="11846">
        <row r="19">
          <cell r="J19">
            <v>1.0499999999999999E-3</v>
          </cell>
        </row>
      </sheetData>
      <sheetData sheetId="11847">
        <row r="19">
          <cell r="J19">
            <v>1.0499999999999999E-3</v>
          </cell>
        </row>
      </sheetData>
      <sheetData sheetId="11848">
        <row r="19">
          <cell r="J19">
            <v>1.0499999999999999E-3</v>
          </cell>
        </row>
      </sheetData>
      <sheetData sheetId="11849">
        <row r="19">
          <cell r="J19">
            <v>1.0499999999999999E-3</v>
          </cell>
        </row>
      </sheetData>
      <sheetData sheetId="11850">
        <row r="19">
          <cell r="J19">
            <v>1.0499999999999999E-3</v>
          </cell>
        </row>
      </sheetData>
      <sheetData sheetId="11851">
        <row r="19">
          <cell r="J19">
            <v>1.0499999999999999E-3</v>
          </cell>
        </row>
      </sheetData>
      <sheetData sheetId="11852">
        <row r="19">
          <cell r="J19">
            <v>1.0499999999999999E-3</v>
          </cell>
        </row>
      </sheetData>
      <sheetData sheetId="11853">
        <row r="19">
          <cell r="J19">
            <v>1.0499999999999999E-3</v>
          </cell>
        </row>
      </sheetData>
      <sheetData sheetId="11854">
        <row r="19">
          <cell r="J19">
            <v>1.0499999999999999E-3</v>
          </cell>
        </row>
      </sheetData>
      <sheetData sheetId="11855">
        <row r="19">
          <cell r="J19">
            <v>1.0499999999999999E-3</v>
          </cell>
        </row>
      </sheetData>
      <sheetData sheetId="11856">
        <row r="19">
          <cell r="J19">
            <v>1.0499999999999999E-3</v>
          </cell>
        </row>
      </sheetData>
      <sheetData sheetId="11857">
        <row r="19">
          <cell r="J19">
            <v>1.0499999999999999E-3</v>
          </cell>
        </row>
      </sheetData>
      <sheetData sheetId="11858">
        <row r="19">
          <cell r="J19">
            <v>1.0499999999999999E-3</v>
          </cell>
        </row>
      </sheetData>
      <sheetData sheetId="11859">
        <row r="19">
          <cell r="J19">
            <v>1.0499999999999999E-3</v>
          </cell>
        </row>
      </sheetData>
      <sheetData sheetId="11860">
        <row r="19">
          <cell r="J19">
            <v>1.0499999999999999E-3</v>
          </cell>
        </row>
      </sheetData>
      <sheetData sheetId="11861">
        <row r="19">
          <cell r="J19">
            <v>1.0499999999999999E-3</v>
          </cell>
        </row>
      </sheetData>
      <sheetData sheetId="11862">
        <row r="19">
          <cell r="J19">
            <v>1.0499999999999999E-3</v>
          </cell>
        </row>
      </sheetData>
      <sheetData sheetId="11863">
        <row r="19">
          <cell r="J19">
            <v>1.0499999999999999E-3</v>
          </cell>
        </row>
      </sheetData>
      <sheetData sheetId="11864">
        <row r="19">
          <cell r="J19">
            <v>1.0499999999999999E-3</v>
          </cell>
        </row>
      </sheetData>
      <sheetData sheetId="11865">
        <row r="19">
          <cell r="J19">
            <v>1.0499999999999999E-3</v>
          </cell>
        </row>
      </sheetData>
      <sheetData sheetId="11866">
        <row r="19">
          <cell r="J19">
            <v>1.0499999999999999E-3</v>
          </cell>
        </row>
      </sheetData>
      <sheetData sheetId="11867">
        <row r="19">
          <cell r="J19">
            <v>1.0499999999999999E-3</v>
          </cell>
        </row>
      </sheetData>
      <sheetData sheetId="11868">
        <row r="19">
          <cell r="J19">
            <v>1.0499999999999999E-3</v>
          </cell>
        </row>
      </sheetData>
      <sheetData sheetId="11869">
        <row r="19">
          <cell r="J19">
            <v>1.0499999999999999E-3</v>
          </cell>
        </row>
      </sheetData>
      <sheetData sheetId="11870">
        <row r="19">
          <cell r="J19">
            <v>1.0499999999999999E-3</v>
          </cell>
        </row>
      </sheetData>
      <sheetData sheetId="11871">
        <row r="19">
          <cell r="J19">
            <v>1.0499999999999999E-3</v>
          </cell>
        </row>
      </sheetData>
      <sheetData sheetId="11872">
        <row r="19">
          <cell r="J19">
            <v>1.0499999999999999E-3</v>
          </cell>
        </row>
      </sheetData>
      <sheetData sheetId="11873">
        <row r="19">
          <cell r="J19">
            <v>1.0499999999999999E-3</v>
          </cell>
        </row>
      </sheetData>
      <sheetData sheetId="11874">
        <row r="19">
          <cell r="J19">
            <v>1.0499999999999999E-3</v>
          </cell>
        </row>
      </sheetData>
      <sheetData sheetId="11875">
        <row r="19">
          <cell r="J19">
            <v>1.0499999999999999E-3</v>
          </cell>
        </row>
      </sheetData>
      <sheetData sheetId="11876">
        <row r="19">
          <cell r="J19">
            <v>1.0499999999999999E-3</v>
          </cell>
        </row>
      </sheetData>
      <sheetData sheetId="11877">
        <row r="19">
          <cell r="J19">
            <v>1.0499999999999999E-3</v>
          </cell>
        </row>
      </sheetData>
      <sheetData sheetId="11878">
        <row r="19">
          <cell r="J19">
            <v>1.0499999999999999E-3</v>
          </cell>
        </row>
      </sheetData>
      <sheetData sheetId="11879">
        <row r="19">
          <cell r="J19">
            <v>1.0499999999999999E-3</v>
          </cell>
        </row>
      </sheetData>
      <sheetData sheetId="11880">
        <row r="19">
          <cell r="J19">
            <v>1.0499999999999999E-3</v>
          </cell>
        </row>
      </sheetData>
      <sheetData sheetId="11881">
        <row r="19">
          <cell r="J19">
            <v>1.0499999999999999E-3</v>
          </cell>
        </row>
      </sheetData>
      <sheetData sheetId="11882">
        <row r="19">
          <cell r="J19">
            <v>1.0499999999999999E-3</v>
          </cell>
        </row>
      </sheetData>
      <sheetData sheetId="11883">
        <row r="19">
          <cell r="J19">
            <v>1.0499999999999999E-3</v>
          </cell>
        </row>
      </sheetData>
      <sheetData sheetId="11884">
        <row r="19">
          <cell r="J19">
            <v>1.0499999999999999E-3</v>
          </cell>
        </row>
      </sheetData>
      <sheetData sheetId="11885">
        <row r="19">
          <cell r="J19">
            <v>1.0499999999999999E-3</v>
          </cell>
        </row>
      </sheetData>
      <sheetData sheetId="11886">
        <row r="19">
          <cell r="J19">
            <v>1.0499999999999999E-3</v>
          </cell>
        </row>
      </sheetData>
      <sheetData sheetId="11887">
        <row r="19">
          <cell r="J19">
            <v>1.0499999999999999E-3</v>
          </cell>
        </row>
      </sheetData>
      <sheetData sheetId="11888">
        <row r="19">
          <cell r="J19">
            <v>1.0499999999999999E-3</v>
          </cell>
        </row>
      </sheetData>
      <sheetData sheetId="11889">
        <row r="19">
          <cell r="J19">
            <v>1.0499999999999999E-3</v>
          </cell>
        </row>
      </sheetData>
      <sheetData sheetId="11890">
        <row r="19">
          <cell r="J19">
            <v>1.0499999999999999E-3</v>
          </cell>
        </row>
      </sheetData>
      <sheetData sheetId="11891">
        <row r="19">
          <cell r="J19">
            <v>1.0499999999999999E-3</v>
          </cell>
        </row>
      </sheetData>
      <sheetData sheetId="11892">
        <row r="19">
          <cell r="J19">
            <v>1.0499999999999999E-3</v>
          </cell>
        </row>
      </sheetData>
      <sheetData sheetId="11893">
        <row r="19">
          <cell r="J19">
            <v>1.0499999999999999E-3</v>
          </cell>
        </row>
      </sheetData>
      <sheetData sheetId="11894">
        <row r="19">
          <cell r="J19">
            <v>1.0499999999999999E-3</v>
          </cell>
        </row>
      </sheetData>
      <sheetData sheetId="11895">
        <row r="19">
          <cell r="J19">
            <v>1.0499999999999999E-3</v>
          </cell>
        </row>
      </sheetData>
      <sheetData sheetId="11896">
        <row r="19">
          <cell r="J19">
            <v>1.0499999999999999E-3</v>
          </cell>
        </row>
      </sheetData>
      <sheetData sheetId="11897">
        <row r="19">
          <cell r="J19">
            <v>1.0499999999999999E-3</v>
          </cell>
        </row>
      </sheetData>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sheetData sheetId="11923"/>
      <sheetData sheetId="11924"/>
      <sheetData sheetId="11925"/>
      <sheetData sheetId="11926">
        <row r="19">
          <cell r="J19">
            <v>1.0499999999999999E-3</v>
          </cell>
        </row>
      </sheetData>
      <sheetData sheetId="11927"/>
      <sheetData sheetId="11928">
        <row r="19">
          <cell r="J19">
            <v>1.0499999999999999E-3</v>
          </cell>
        </row>
      </sheetData>
      <sheetData sheetId="11929" refreshError="1"/>
      <sheetData sheetId="11930" refreshError="1"/>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efreshError="1"/>
      <sheetData sheetId="11936" refreshError="1"/>
      <sheetData sheetId="11937" refreshError="1"/>
      <sheetData sheetId="11938" refreshError="1"/>
      <sheetData sheetId="11939"/>
      <sheetData sheetId="11940">
        <row r="19">
          <cell r="J19">
            <v>1.0499999999999999E-3</v>
          </cell>
        </row>
      </sheetData>
      <sheetData sheetId="11941">
        <row r="19">
          <cell r="J19">
            <v>1.0499999999999999E-3</v>
          </cell>
        </row>
      </sheetData>
      <sheetData sheetId="11942"/>
      <sheetData sheetId="11943"/>
      <sheetData sheetId="11944"/>
      <sheetData sheetId="11945"/>
      <sheetData sheetId="11946">
        <row r="19">
          <cell r="J19">
            <v>1.0499999999999999E-3</v>
          </cell>
        </row>
      </sheetData>
      <sheetData sheetId="11947">
        <row r="19">
          <cell r="J19">
            <v>1.0499999999999999E-3</v>
          </cell>
        </row>
      </sheetData>
      <sheetData sheetId="11948"/>
      <sheetData sheetId="11949"/>
      <sheetData sheetId="11950"/>
      <sheetData sheetId="11951"/>
      <sheetData sheetId="11952"/>
      <sheetData sheetId="11953"/>
      <sheetData sheetId="11954"/>
      <sheetData sheetId="11955">
        <row r="19">
          <cell r="J19">
            <v>1.0499999999999999E-3</v>
          </cell>
        </row>
      </sheetData>
      <sheetData sheetId="11956"/>
      <sheetData sheetId="11957">
        <row r="19">
          <cell r="J19">
            <v>1.0499999999999999E-3</v>
          </cell>
        </row>
      </sheetData>
      <sheetData sheetId="11958"/>
      <sheetData sheetId="11959"/>
      <sheetData sheetId="11960">
        <row r="19">
          <cell r="J19">
            <v>1.0499999999999999E-3</v>
          </cell>
        </row>
      </sheetData>
      <sheetData sheetId="11961">
        <row r="19">
          <cell r="J19">
            <v>1.0499999999999999E-3</v>
          </cell>
        </row>
      </sheetData>
      <sheetData sheetId="11962">
        <row r="19">
          <cell r="J19">
            <v>1.0499999999999999E-3</v>
          </cell>
        </row>
      </sheetData>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ow r="19">
          <cell r="J19">
            <v>1.0499999999999999E-3</v>
          </cell>
        </row>
      </sheetData>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ow r="19">
          <cell r="J19">
            <v>1.0499999999999999E-3</v>
          </cell>
        </row>
      </sheetData>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efreshError="1"/>
      <sheetData sheetId="12209" refreshError="1"/>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ow r="19">
          <cell r="J19">
            <v>1.0499999999999999E-3</v>
          </cell>
        </row>
      </sheetData>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ow r="19">
          <cell r="J19">
            <v>1.0499999999999999E-3</v>
          </cell>
        </row>
      </sheetData>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ow r="19">
          <cell r="J19">
            <v>1.0499999999999999E-3</v>
          </cell>
        </row>
      </sheetData>
      <sheetData sheetId="13007" refreshError="1"/>
      <sheetData sheetId="13008" refreshError="1"/>
      <sheetData sheetId="13009" refreshError="1"/>
      <sheetData sheetId="13010" refreshError="1"/>
      <sheetData sheetId="13011">
        <row r="19">
          <cell r="J19">
            <v>1.0499999999999999E-3</v>
          </cell>
        </row>
      </sheetData>
      <sheetData sheetId="13012">
        <row r="19">
          <cell r="J19">
            <v>1.0499999999999999E-3</v>
          </cell>
        </row>
      </sheetData>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ow r="19">
          <cell r="J19">
            <v>1.0499999999999999E-3</v>
          </cell>
        </row>
      </sheetData>
      <sheetData sheetId="13022">
        <row r="19">
          <cell r="J19">
            <v>1.0499999999999999E-3</v>
          </cell>
        </row>
      </sheetData>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ow r="19">
          <cell r="J19">
            <v>1.0499999999999999E-3</v>
          </cell>
        </row>
      </sheetData>
      <sheetData sheetId="13077" refreshError="1"/>
      <sheetData sheetId="13078">
        <row r="19">
          <cell r="J19">
            <v>1.0499999999999999E-3</v>
          </cell>
        </row>
      </sheetData>
      <sheetData sheetId="13079">
        <row r="19">
          <cell r="J19">
            <v>1.0499999999999999E-3</v>
          </cell>
        </row>
      </sheetData>
      <sheetData sheetId="13080" refreshError="1"/>
      <sheetData sheetId="13081">
        <row r="19">
          <cell r="J19">
            <v>1.0499999999999999E-3</v>
          </cell>
        </row>
      </sheetData>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ow r="19">
          <cell r="J19">
            <v>1.0499999999999999E-3</v>
          </cell>
        </row>
      </sheetData>
      <sheetData sheetId="13092" refreshError="1"/>
      <sheetData sheetId="13093">
        <row r="19">
          <cell r="J19">
            <v>1.0499999999999999E-3</v>
          </cell>
        </row>
      </sheetData>
      <sheetData sheetId="13094">
        <row r="19">
          <cell r="J19">
            <v>1.0499999999999999E-3</v>
          </cell>
        </row>
      </sheetData>
      <sheetData sheetId="13095">
        <row r="19">
          <cell r="J19">
            <v>1.0499999999999999E-3</v>
          </cell>
        </row>
      </sheetData>
      <sheetData sheetId="13096" refreshError="1"/>
      <sheetData sheetId="13097">
        <row r="19">
          <cell r="J19">
            <v>1.0499999999999999E-3</v>
          </cell>
        </row>
      </sheetData>
      <sheetData sheetId="13098">
        <row r="19">
          <cell r="J19">
            <v>1.0499999999999999E-3</v>
          </cell>
        </row>
      </sheetData>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ow r="19">
          <cell r="J19">
            <v>1.0499999999999999E-3</v>
          </cell>
        </row>
      </sheetData>
      <sheetData sheetId="13115" refreshError="1"/>
      <sheetData sheetId="13116" refreshError="1"/>
      <sheetData sheetId="13117" refreshError="1"/>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efreshError="1"/>
      <sheetData sheetId="13186" refreshError="1"/>
      <sheetData sheetId="13187" refreshError="1"/>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efreshError="1"/>
      <sheetData sheetId="13207" refreshError="1"/>
      <sheetData sheetId="13208" refreshError="1"/>
      <sheetData sheetId="13209" refreshError="1"/>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ow r="19">
          <cell r="J19">
            <v>1.0499999999999999E-3</v>
          </cell>
        </row>
      </sheetData>
      <sheetData sheetId="13259">
        <row r="19">
          <cell r="J19">
            <v>1.0499999999999999E-3</v>
          </cell>
        </row>
      </sheetData>
      <sheetData sheetId="13260">
        <row r="19">
          <cell r="J19">
            <v>1.0499999999999999E-3</v>
          </cell>
        </row>
      </sheetData>
      <sheetData sheetId="13261">
        <row r="19">
          <cell r="J19">
            <v>1.0499999999999999E-3</v>
          </cell>
        </row>
      </sheetData>
      <sheetData sheetId="13262">
        <row r="19">
          <cell r="J19">
            <v>1.0499999999999999E-3</v>
          </cell>
        </row>
      </sheetData>
      <sheetData sheetId="13263">
        <row r="19">
          <cell r="J19">
            <v>1.0499999999999999E-3</v>
          </cell>
        </row>
      </sheetData>
      <sheetData sheetId="13264">
        <row r="19">
          <cell r="J19">
            <v>1.0499999999999999E-3</v>
          </cell>
        </row>
      </sheetData>
      <sheetData sheetId="13265">
        <row r="19">
          <cell r="J19">
            <v>1.0499999999999999E-3</v>
          </cell>
        </row>
      </sheetData>
      <sheetData sheetId="13266">
        <row r="19">
          <cell r="J19">
            <v>1.0499999999999999E-3</v>
          </cell>
        </row>
      </sheetData>
      <sheetData sheetId="13267">
        <row r="19">
          <cell r="J19">
            <v>1.0499999999999999E-3</v>
          </cell>
        </row>
      </sheetData>
      <sheetData sheetId="13268">
        <row r="19">
          <cell r="J19">
            <v>1.0499999999999999E-3</v>
          </cell>
        </row>
      </sheetData>
      <sheetData sheetId="13269">
        <row r="19">
          <cell r="J19">
            <v>1.0499999999999999E-3</v>
          </cell>
        </row>
      </sheetData>
      <sheetData sheetId="13270">
        <row r="19">
          <cell r="J19">
            <v>1.0499999999999999E-3</v>
          </cell>
        </row>
      </sheetData>
      <sheetData sheetId="13271">
        <row r="19">
          <cell r="J19">
            <v>1.0499999999999999E-3</v>
          </cell>
        </row>
      </sheetData>
      <sheetData sheetId="13272">
        <row r="19">
          <cell r="J19">
            <v>1.0499999999999999E-3</v>
          </cell>
        </row>
      </sheetData>
      <sheetData sheetId="13273">
        <row r="19">
          <cell r="J19">
            <v>1.0499999999999999E-3</v>
          </cell>
        </row>
      </sheetData>
      <sheetData sheetId="13274">
        <row r="19">
          <cell r="J19">
            <v>1.0499999999999999E-3</v>
          </cell>
        </row>
      </sheetData>
      <sheetData sheetId="13275">
        <row r="19">
          <cell r="J19">
            <v>1.0499999999999999E-3</v>
          </cell>
        </row>
      </sheetData>
      <sheetData sheetId="13276">
        <row r="19">
          <cell r="J19">
            <v>1.0499999999999999E-3</v>
          </cell>
        </row>
      </sheetData>
      <sheetData sheetId="13277">
        <row r="19">
          <cell r="J19">
            <v>1.0499999999999999E-3</v>
          </cell>
        </row>
      </sheetData>
      <sheetData sheetId="13278">
        <row r="19">
          <cell r="J19">
            <v>1.0499999999999999E-3</v>
          </cell>
        </row>
      </sheetData>
      <sheetData sheetId="13279">
        <row r="19">
          <cell r="J19">
            <v>1.0499999999999999E-3</v>
          </cell>
        </row>
      </sheetData>
      <sheetData sheetId="13280">
        <row r="19">
          <cell r="J19">
            <v>1.0499999999999999E-3</v>
          </cell>
        </row>
      </sheetData>
      <sheetData sheetId="13281">
        <row r="19">
          <cell r="J19">
            <v>1.0499999999999999E-3</v>
          </cell>
        </row>
      </sheetData>
      <sheetData sheetId="13282">
        <row r="19">
          <cell r="J19">
            <v>1.0499999999999999E-3</v>
          </cell>
        </row>
      </sheetData>
      <sheetData sheetId="13283">
        <row r="19">
          <cell r="J19">
            <v>1.0499999999999999E-3</v>
          </cell>
        </row>
      </sheetData>
      <sheetData sheetId="13284">
        <row r="19">
          <cell r="J19">
            <v>1.0499999999999999E-3</v>
          </cell>
        </row>
      </sheetData>
      <sheetData sheetId="13285">
        <row r="19">
          <cell r="J19">
            <v>1.0499999999999999E-3</v>
          </cell>
        </row>
      </sheetData>
      <sheetData sheetId="13286">
        <row r="19">
          <cell r="J19">
            <v>1.0499999999999999E-3</v>
          </cell>
        </row>
      </sheetData>
      <sheetData sheetId="13287">
        <row r="19">
          <cell r="J19">
            <v>1.0499999999999999E-3</v>
          </cell>
        </row>
      </sheetData>
      <sheetData sheetId="13288">
        <row r="19">
          <cell r="J19">
            <v>1.0499999999999999E-3</v>
          </cell>
        </row>
      </sheetData>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ow r="19">
          <cell r="J19">
            <v>1.0499999999999999E-3</v>
          </cell>
        </row>
      </sheetData>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efreshError="1"/>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ow r="19">
          <cell r="J19">
            <v>1.0499999999999999E-3</v>
          </cell>
        </row>
      </sheetData>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ow r="19">
          <cell r="J19">
            <v>1.0499999999999999E-3</v>
          </cell>
        </row>
      </sheetData>
      <sheetData sheetId="14355">
        <row r="19">
          <cell r="J19">
            <v>1.0499999999999999E-3</v>
          </cell>
        </row>
      </sheetData>
      <sheetData sheetId="14356">
        <row r="19">
          <cell r="J19">
            <v>1.0499999999999999E-3</v>
          </cell>
        </row>
      </sheetData>
      <sheetData sheetId="14357">
        <row r="19">
          <cell r="J19">
            <v>1.0499999999999999E-3</v>
          </cell>
        </row>
      </sheetData>
      <sheetData sheetId="14358">
        <row r="19">
          <cell r="J19">
            <v>1.0499999999999999E-3</v>
          </cell>
        </row>
      </sheetData>
      <sheetData sheetId="14359">
        <row r="19">
          <cell r="J19">
            <v>1.0499999999999999E-3</v>
          </cell>
        </row>
      </sheetData>
      <sheetData sheetId="14360">
        <row r="19">
          <cell r="J19">
            <v>1.0499999999999999E-3</v>
          </cell>
        </row>
      </sheetData>
      <sheetData sheetId="14361">
        <row r="19">
          <cell r="J19">
            <v>1.0499999999999999E-3</v>
          </cell>
        </row>
      </sheetData>
      <sheetData sheetId="14362" refreshError="1"/>
      <sheetData sheetId="14363">
        <row r="19">
          <cell r="J19">
            <v>1.0499999999999999E-3</v>
          </cell>
        </row>
      </sheetData>
      <sheetData sheetId="14364">
        <row r="19">
          <cell r="J19">
            <v>1.0499999999999999E-3</v>
          </cell>
        </row>
      </sheetData>
      <sheetData sheetId="14365">
        <row r="19">
          <cell r="J19">
            <v>1.0499999999999999E-3</v>
          </cell>
        </row>
      </sheetData>
      <sheetData sheetId="14366">
        <row r="19">
          <cell r="J19">
            <v>1.0499999999999999E-3</v>
          </cell>
        </row>
      </sheetData>
      <sheetData sheetId="14367">
        <row r="19">
          <cell r="J19">
            <v>1.0499999999999999E-3</v>
          </cell>
        </row>
      </sheetData>
      <sheetData sheetId="14368">
        <row r="19">
          <cell r="J19">
            <v>1.0499999999999999E-3</v>
          </cell>
        </row>
      </sheetData>
      <sheetData sheetId="14369">
        <row r="19">
          <cell r="J19">
            <v>1.0499999999999999E-3</v>
          </cell>
        </row>
      </sheetData>
      <sheetData sheetId="14370">
        <row r="19">
          <cell r="J19">
            <v>1.0499999999999999E-3</v>
          </cell>
        </row>
      </sheetData>
      <sheetData sheetId="14371">
        <row r="19">
          <cell r="J19">
            <v>1.0499999999999999E-3</v>
          </cell>
        </row>
      </sheetData>
      <sheetData sheetId="14372">
        <row r="19">
          <cell r="J19">
            <v>1.0499999999999999E-3</v>
          </cell>
        </row>
      </sheetData>
      <sheetData sheetId="14373">
        <row r="19">
          <cell r="J19">
            <v>1.0499999999999999E-3</v>
          </cell>
        </row>
      </sheetData>
      <sheetData sheetId="14374">
        <row r="19">
          <cell r="J19">
            <v>1.0499999999999999E-3</v>
          </cell>
        </row>
      </sheetData>
      <sheetData sheetId="14375">
        <row r="19">
          <cell r="J19">
            <v>1.0499999999999999E-3</v>
          </cell>
        </row>
      </sheetData>
      <sheetData sheetId="14376">
        <row r="19">
          <cell r="J19">
            <v>1.0499999999999999E-3</v>
          </cell>
        </row>
      </sheetData>
      <sheetData sheetId="14377">
        <row r="19">
          <cell r="J19">
            <v>1.0499999999999999E-3</v>
          </cell>
        </row>
      </sheetData>
      <sheetData sheetId="14378">
        <row r="19">
          <cell r="J19">
            <v>1.0499999999999999E-3</v>
          </cell>
        </row>
      </sheetData>
      <sheetData sheetId="14379">
        <row r="19">
          <cell r="J19">
            <v>1.0499999999999999E-3</v>
          </cell>
        </row>
      </sheetData>
      <sheetData sheetId="14380">
        <row r="19">
          <cell r="J19">
            <v>1.0499999999999999E-3</v>
          </cell>
        </row>
      </sheetData>
      <sheetData sheetId="14381">
        <row r="19">
          <cell r="J19">
            <v>1.0499999999999999E-3</v>
          </cell>
        </row>
      </sheetData>
      <sheetData sheetId="14382">
        <row r="19">
          <cell r="J19">
            <v>1.0499999999999999E-3</v>
          </cell>
        </row>
      </sheetData>
      <sheetData sheetId="14383">
        <row r="19">
          <cell r="J19">
            <v>1.0499999999999999E-3</v>
          </cell>
        </row>
      </sheetData>
      <sheetData sheetId="14384">
        <row r="19">
          <cell r="J19">
            <v>1.0499999999999999E-3</v>
          </cell>
        </row>
      </sheetData>
      <sheetData sheetId="14385">
        <row r="19">
          <cell r="J19">
            <v>1.0499999999999999E-3</v>
          </cell>
        </row>
      </sheetData>
      <sheetData sheetId="14386">
        <row r="19">
          <cell r="J19">
            <v>1.0499999999999999E-3</v>
          </cell>
        </row>
      </sheetData>
      <sheetData sheetId="14387">
        <row r="19">
          <cell r="J19">
            <v>1.0499999999999999E-3</v>
          </cell>
        </row>
      </sheetData>
      <sheetData sheetId="14388">
        <row r="19">
          <cell r="J19">
            <v>1.0499999999999999E-3</v>
          </cell>
        </row>
      </sheetData>
      <sheetData sheetId="14389">
        <row r="19">
          <cell r="J19">
            <v>1.0499999999999999E-3</v>
          </cell>
        </row>
      </sheetData>
      <sheetData sheetId="14390">
        <row r="19">
          <cell r="J19">
            <v>1.0499999999999999E-3</v>
          </cell>
        </row>
      </sheetData>
      <sheetData sheetId="14391">
        <row r="19">
          <cell r="J19">
            <v>1.0499999999999999E-3</v>
          </cell>
        </row>
      </sheetData>
      <sheetData sheetId="14392">
        <row r="19">
          <cell r="J19">
            <v>1.0499999999999999E-3</v>
          </cell>
        </row>
      </sheetData>
      <sheetData sheetId="14393">
        <row r="19">
          <cell r="J19">
            <v>1.0499999999999999E-3</v>
          </cell>
        </row>
      </sheetData>
      <sheetData sheetId="14394">
        <row r="19">
          <cell r="J19">
            <v>1.0499999999999999E-3</v>
          </cell>
        </row>
      </sheetData>
      <sheetData sheetId="14395">
        <row r="19">
          <cell r="J19">
            <v>1.0499999999999999E-3</v>
          </cell>
        </row>
      </sheetData>
      <sheetData sheetId="14396">
        <row r="19">
          <cell r="J19">
            <v>1.0499999999999999E-3</v>
          </cell>
        </row>
      </sheetData>
      <sheetData sheetId="14397">
        <row r="19">
          <cell r="J19">
            <v>1.0499999999999999E-3</v>
          </cell>
        </row>
      </sheetData>
      <sheetData sheetId="14398">
        <row r="19">
          <cell r="J19">
            <v>1.0499999999999999E-3</v>
          </cell>
        </row>
      </sheetData>
      <sheetData sheetId="14399">
        <row r="19">
          <cell r="J19">
            <v>1.0499999999999999E-3</v>
          </cell>
        </row>
      </sheetData>
      <sheetData sheetId="14400">
        <row r="19">
          <cell r="J19">
            <v>1.0499999999999999E-3</v>
          </cell>
        </row>
      </sheetData>
      <sheetData sheetId="14401">
        <row r="19">
          <cell r="J19">
            <v>1.0499999999999999E-3</v>
          </cell>
        </row>
      </sheetData>
      <sheetData sheetId="14402">
        <row r="19">
          <cell r="J19">
            <v>1.0499999999999999E-3</v>
          </cell>
        </row>
      </sheetData>
      <sheetData sheetId="14403">
        <row r="19">
          <cell r="J19">
            <v>1.0499999999999999E-3</v>
          </cell>
        </row>
      </sheetData>
      <sheetData sheetId="14404">
        <row r="19">
          <cell r="J19">
            <v>1.0499999999999999E-3</v>
          </cell>
        </row>
      </sheetData>
      <sheetData sheetId="14405">
        <row r="19">
          <cell r="J19">
            <v>1.0499999999999999E-3</v>
          </cell>
        </row>
      </sheetData>
      <sheetData sheetId="14406">
        <row r="19">
          <cell r="J19">
            <v>1.0499999999999999E-3</v>
          </cell>
        </row>
      </sheetData>
      <sheetData sheetId="14407">
        <row r="19">
          <cell r="J19">
            <v>1.0499999999999999E-3</v>
          </cell>
        </row>
      </sheetData>
      <sheetData sheetId="14408">
        <row r="19">
          <cell r="J19">
            <v>1.0499999999999999E-3</v>
          </cell>
        </row>
      </sheetData>
      <sheetData sheetId="14409">
        <row r="19">
          <cell r="J19">
            <v>1.0499999999999999E-3</v>
          </cell>
        </row>
      </sheetData>
      <sheetData sheetId="14410">
        <row r="19">
          <cell r="J19">
            <v>1.0499999999999999E-3</v>
          </cell>
        </row>
      </sheetData>
      <sheetData sheetId="14411">
        <row r="19">
          <cell r="J19">
            <v>1.0499999999999999E-3</v>
          </cell>
        </row>
      </sheetData>
      <sheetData sheetId="14412">
        <row r="19">
          <cell r="J19">
            <v>1.0499999999999999E-3</v>
          </cell>
        </row>
      </sheetData>
      <sheetData sheetId="14413">
        <row r="19">
          <cell r="J19">
            <v>1.0499999999999999E-3</v>
          </cell>
        </row>
      </sheetData>
      <sheetData sheetId="14414">
        <row r="19">
          <cell r="J19">
            <v>1.0499999999999999E-3</v>
          </cell>
        </row>
      </sheetData>
      <sheetData sheetId="14415">
        <row r="19">
          <cell r="J19">
            <v>1.0499999999999999E-3</v>
          </cell>
        </row>
      </sheetData>
      <sheetData sheetId="14416">
        <row r="19">
          <cell r="J19">
            <v>1.0499999999999999E-3</v>
          </cell>
        </row>
      </sheetData>
      <sheetData sheetId="14417">
        <row r="19">
          <cell r="J19">
            <v>1.0499999999999999E-3</v>
          </cell>
        </row>
      </sheetData>
      <sheetData sheetId="14418">
        <row r="19">
          <cell r="J19">
            <v>1.0499999999999999E-3</v>
          </cell>
        </row>
      </sheetData>
      <sheetData sheetId="14419">
        <row r="19">
          <cell r="J19">
            <v>1.0499999999999999E-3</v>
          </cell>
        </row>
      </sheetData>
      <sheetData sheetId="14420">
        <row r="19">
          <cell r="J19">
            <v>1.0499999999999999E-3</v>
          </cell>
        </row>
      </sheetData>
      <sheetData sheetId="14421">
        <row r="19">
          <cell r="J19">
            <v>1.0499999999999999E-3</v>
          </cell>
        </row>
      </sheetData>
      <sheetData sheetId="14422">
        <row r="19">
          <cell r="J19">
            <v>1.0499999999999999E-3</v>
          </cell>
        </row>
      </sheetData>
      <sheetData sheetId="14423">
        <row r="19">
          <cell r="J19">
            <v>1.0499999999999999E-3</v>
          </cell>
        </row>
      </sheetData>
      <sheetData sheetId="14424">
        <row r="19">
          <cell r="J19">
            <v>1.0499999999999999E-3</v>
          </cell>
        </row>
      </sheetData>
      <sheetData sheetId="14425">
        <row r="19">
          <cell r="J19">
            <v>1.0499999999999999E-3</v>
          </cell>
        </row>
      </sheetData>
      <sheetData sheetId="14426">
        <row r="19">
          <cell r="J19">
            <v>1.0499999999999999E-3</v>
          </cell>
        </row>
      </sheetData>
      <sheetData sheetId="14427">
        <row r="19">
          <cell r="J19">
            <v>1.0499999999999999E-3</v>
          </cell>
        </row>
      </sheetData>
      <sheetData sheetId="14428">
        <row r="19">
          <cell r="J19">
            <v>1.0499999999999999E-3</v>
          </cell>
        </row>
      </sheetData>
      <sheetData sheetId="14429">
        <row r="19">
          <cell r="J19">
            <v>1.0499999999999999E-3</v>
          </cell>
        </row>
      </sheetData>
      <sheetData sheetId="14430">
        <row r="19">
          <cell r="J19">
            <v>1.0499999999999999E-3</v>
          </cell>
        </row>
      </sheetData>
      <sheetData sheetId="14431">
        <row r="19">
          <cell r="J19">
            <v>1.0499999999999999E-3</v>
          </cell>
        </row>
      </sheetData>
      <sheetData sheetId="14432">
        <row r="19">
          <cell r="J19">
            <v>1.0499999999999999E-3</v>
          </cell>
        </row>
      </sheetData>
      <sheetData sheetId="14433">
        <row r="19">
          <cell r="J19">
            <v>1.0499999999999999E-3</v>
          </cell>
        </row>
      </sheetData>
      <sheetData sheetId="14434">
        <row r="19">
          <cell r="J19">
            <v>1.0499999999999999E-3</v>
          </cell>
        </row>
      </sheetData>
      <sheetData sheetId="14435">
        <row r="19">
          <cell r="J19">
            <v>1.0499999999999999E-3</v>
          </cell>
        </row>
      </sheetData>
      <sheetData sheetId="14436">
        <row r="19">
          <cell r="J19">
            <v>1.0499999999999999E-3</v>
          </cell>
        </row>
      </sheetData>
      <sheetData sheetId="14437">
        <row r="19">
          <cell r="J19">
            <v>1.0499999999999999E-3</v>
          </cell>
        </row>
      </sheetData>
      <sheetData sheetId="14438">
        <row r="19">
          <cell r="J19">
            <v>1.0499999999999999E-3</v>
          </cell>
        </row>
      </sheetData>
      <sheetData sheetId="14439">
        <row r="19">
          <cell r="J19">
            <v>1.0499999999999999E-3</v>
          </cell>
        </row>
      </sheetData>
      <sheetData sheetId="14440">
        <row r="19">
          <cell r="J19">
            <v>1.0499999999999999E-3</v>
          </cell>
        </row>
      </sheetData>
      <sheetData sheetId="14441">
        <row r="19">
          <cell r="J19">
            <v>1.0499999999999999E-3</v>
          </cell>
        </row>
      </sheetData>
      <sheetData sheetId="14442">
        <row r="19">
          <cell r="J19">
            <v>1.0499999999999999E-3</v>
          </cell>
        </row>
      </sheetData>
      <sheetData sheetId="14443">
        <row r="19">
          <cell r="J19">
            <v>1.0499999999999999E-3</v>
          </cell>
        </row>
      </sheetData>
      <sheetData sheetId="14444">
        <row r="19">
          <cell r="J19">
            <v>1.0499999999999999E-3</v>
          </cell>
        </row>
      </sheetData>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efreshError="1"/>
      <sheetData sheetId="14480" refreshError="1"/>
      <sheetData sheetId="14481">
        <row r="19">
          <cell r="J19">
            <v>1.0499999999999999E-3</v>
          </cell>
        </row>
      </sheetData>
      <sheetData sheetId="14482">
        <row r="19">
          <cell r="J19">
            <v>1.0499999999999999E-3</v>
          </cell>
        </row>
      </sheetData>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ow r="19">
          <cell r="J19">
            <v>1.0499999999999999E-3</v>
          </cell>
        </row>
      </sheetData>
      <sheetData sheetId="14532">
        <row r="19">
          <cell r="J19">
            <v>1.0499999999999999E-3</v>
          </cell>
        </row>
      </sheetData>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ow r="19">
          <cell r="J19">
            <v>1.0499999999999999E-3</v>
          </cell>
        </row>
      </sheetData>
      <sheetData sheetId="14758">
        <row r="19">
          <cell r="J19">
            <v>1.0499999999999999E-3</v>
          </cell>
        </row>
      </sheetData>
      <sheetData sheetId="14759">
        <row r="19">
          <cell r="J19">
            <v>1.0499999999999999E-3</v>
          </cell>
        </row>
      </sheetData>
      <sheetData sheetId="14760" refreshError="1"/>
      <sheetData sheetId="14761" refreshError="1"/>
      <sheetData sheetId="14762" refreshError="1"/>
      <sheetData sheetId="14763" refreshError="1"/>
      <sheetData sheetId="14764" refreshError="1"/>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efreshError="1"/>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row r="19">
          <cell r="J19">
            <v>1.0499999999999999E-3</v>
          </cell>
        </row>
      </sheetData>
      <sheetData sheetId="14927">
        <row r="19">
          <cell r="J19">
            <v>1.0499999999999999E-3</v>
          </cell>
        </row>
      </sheetData>
      <sheetData sheetId="14928">
        <row r="19">
          <cell r="J19">
            <v>1.0499999999999999E-3</v>
          </cell>
        </row>
      </sheetData>
      <sheetData sheetId="14929"/>
      <sheetData sheetId="14930">
        <row r="19">
          <cell r="J19">
            <v>1.0499999999999999E-3</v>
          </cell>
        </row>
      </sheetData>
      <sheetData sheetId="14931">
        <row r="19">
          <cell r="J19">
            <v>1.0499999999999999E-3</v>
          </cell>
        </row>
      </sheetData>
      <sheetData sheetId="14932">
        <row r="19">
          <cell r="J19">
            <v>1.0499999999999999E-3</v>
          </cell>
        </row>
      </sheetData>
      <sheetData sheetId="14933"/>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sheetData sheetId="14965">
        <row r="19">
          <cell r="J19">
            <v>1.0499999999999999E-3</v>
          </cell>
        </row>
      </sheetData>
      <sheetData sheetId="14966">
        <row r="19">
          <cell r="J19">
            <v>1.0499999999999999E-3</v>
          </cell>
        </row>
      </sheetData>
      <sheetData sheetId="14967">
        <row r="19">
          <cell r="J19">
            <v>1.0499999999999999E-3</v>
          </cell>
        </row>
      </sheetData>
      <sheetData sheetId="14968">
        <row r="19">
          <cell r="J19">
            <v>1.0499999999999999E-3</v>
          </cell>
        </row>
      </sheetData>
      <sheetData sheetId="14969">
        <row r="19">
          <cell r="J19">
            <v>1.0499999999999999E-3</v>
          </cell>
        </row>
      </sheetData>
      <sheetData sheetId="14970">
        <row r="19">
          <cell r="J19">
            <v>1.0499999999999999E-3</v>
          </cell>
        </row>
      </sheetData>
      <sheetData sheetId="14971">
        <row r="19">
          <cell r="J19">
            <v>1.0499999999999999E-3</v>
          </cell>
        </row>
      </sheetData>
      <sheetData sheetId="14972">
        <row r="19">
          <cell r="J19">
            <v>1.0499999999999999E-3</v>
          </cell>
        </row>
      </sheetData>
      <sheetData sheetId="14973">
        <row r="19">
          <cell r="J19">
            <v>1.0499999999999999E-3</v>
          </cell>
        </row>
      </sheetData>
      <sheetData sheetId="14974">
        <row r="19">
          <cell r="J19">
            <v>1.0499999999999999E-3</v>
          </cell>
        </row>
      </sheetData>
      <sheetData sheetId="14975">
        <row r="19">
          <cell r="J19">
            <v>1.0499999999999999E-3</v>
          </cell>
        </row>
      </sheetData>
      <sheetData sheetId="14976">
        <row r="19">
          <cell r="J19">
            <v>1.0499999999999999E-3</v>
          </cell>
        </row>
      </sheetData>
      <sheetData sheetId="14977">
        <row r="19">
          <cell r="J19">
            <v>1.0499999999999999E-3</v>
          </cell>
        </row>
      </sheetData>
      <sheetData sheetId="14978">
        <row r="19">
          <cell r="J19">
            <v>1.0499999999999999E-3</v>
          </cell>
        </row>
      </sheetData>
      <sheetData sheetId="14979"/>
      <sheetData sheetId="14980">
        <row r="19">
          <cell r="J19">
            <v>1.0499999999999999E-3</v>
          </cell>
        </row>
      </sheetData>
      <sheetData sheetId="14981">
        <row r="19">
          <cell r="J19">
            <v>1.0499999999999999E-3</v>
          </cell>
        </row>
      </sheetData>
      <sheetData sheetId="14982">
        <row r="19">
          <cell r="J19">
            <v>1.0499999999999999E-3</v>
          </cell>
        </row>
      </sheetData>
      <sheetData sheetId="14983">
        <row r="19">
          <cell r="J19">
            <v>1.0499999999999999E-3</v>
          </cell>
        </row>
      </sheetData>
      <sheetData sheetId="14984">
        <row r="19">
          <cell r="J19">
            <v>1.0499999999999999E-3</v>
          </cell>
        </row>
      </sheetData>
      <sheetData sheetId="14985">
        <row r="19">
          <cell r="J19">
            <v>1.0499999999999999E-3</v>
          </cell>
        </row>
      </sheetData>
      <sheetData sheetId="14986">
        <row r="19">
          <cell r="J19">
            <v>1.0499999999999999E-3</v>
          </cell>
        </row>
      </sheetData>
      <sheetData sheetId="14987">
        <row r="19">
          <cell r="J19">
            <v>1.0499999999999999E-3</v>
          </cell>
        </row>
      </sheetData>
      <sheetData sheetId="14988">
        <row r="19">
          <cell r="J19">
            <v>1.0499999999999999E-3</v>
          </cell>
        </row>
      </sheetData>
      <sheetData sheetId="14989">
        <row r="19">
          <cell r="J19">
            <v>1.0499999999999999E-3</v>
          </cell>
        </row>
      </sheetData>
      <sheetData sheetId="14990">
        <row r="19">
          <cell r="J19">
            <v>1.0499999999999999E-3</v>
          </cell>
        </row>
      </sheetData>
      <sheetData sheetId="14991">
        <row r="19">
          <cell r="J19">
            <v>1.0499999999999999E-3</v>
          </cell>
        </row>
      </sheetData>
      <sheetData sheetId="14992">
        <row r="19">
          <cell r="J19">
            <v>1.0499999999999999E-3</v>
          </cell>
        </row>
      </sheetData>
      <sheetData sheetId="14993">
        <row r="19">
          <cell r="J19">
            <v>1.0499999999999999E-3</v>
          </cell>
        </row>
      </sheetData>
      <sheetData sheetId="14994">
        <row r="19">
          <cell r="J19">
            <v>1.0499999999999999E-3</v>
          </cell>
        </row>
      </sheetData>
      <sheetData sheetId="14995">
        <row r="19">
          <cell r="J19">
            <v>1.0499999999999999E-3</v>
          </cell>
        </row>
      </sheetData>
      <sheetData sheetId="14996">
        <row r="19">
          <cell r="J19">
            <v>1.0499999999999999E-3</v>
          </cell>
        </row>
      </sheetData>
      <sheetData sheetId="14997">
        <row r="19">
          <cell r="J19">
            <v>1.0499999999999999E-3</v>
          </cell>
        </row>
      </sheetData>
      <sheetData sheetId="14998">
        <row r="19">
          <cell r="J19">
            <v>1.0499999999999999E-3</v>
          </cell>
        </row>
      </sheetData>
      <sheetData sheetId="14999">
        <row r="19">
          <cell r="J19">
            <v>1.0499999999999999E-3</v>
          </cell>
        </row>
      </sheetData>
      <sheetData sheetId="15000">
        <row r="19">
          <cell r="J19">
            <v>1.0499999999999999E-3</v>
          </cell>
        </row>
      </sheetData>
      <sheetData sheetId="15001">
        <row r="19">
          <cell r="J19">
            <v>1.0499999999999999E-3</v>
          </cell>
        </row>
      </sheetData>
      <sheetData sheetId="15002">
        <row r="19">
          <cell r="J19">
            <v>1.0499999999999999E-3</v>
          </cell>
        </row>
      </sheetData>
      <sheetData sheetId="15003">
        <row r="19">
          <cell r="J19">
            <v>1.0499999999999999E-3</v>
          </cell>
        </row>
      </sheetData>
      <sheetData sheetId="15004">
        <row r="19">
          <cell r="J19">
            <v>1.0499999999999999E-3</v>
          </cell>
        </row>
      </sheetData>
      <sheetData sheetId="15005">
        <row r="19">
          <cell r="J19">
            <v>1.0499999999999999E-3</v>
          </cell>
        </row>
      </sheetData>
      <sheetData sheetId="15006">
        <row r="19">
          <cell r="J19">
            <v>1.0499999999999999E-3</v>
          </cell>
        </row>
      </sheetData>
      <sheetData sheetId="15007">
        <row r="19">
          <cell r="J19">
            <v>1.0499999999999999E-3</v>
          </cell>
        </row>
      </sheetData>
      <sheetData sheetId="15008">
        <row r="19">
          <cell r="J19">
            <v>1.0499999999999999E-3</v>
          </cell>
        </row>
      </sheetData>
      <sheetData sheetId="15009">
        <row r="19">
          <cell r="J19">
            <v>1.0499999999999999E-3</v>
          </cell>
        </row>
      </sheetData>
      <sheetData sheetId="15010">
        <row r="19">
          <cell r="J19">
            <v>1.0499999999999999E-3</v>
          </cell>
        </row>
      </sheetData>
      <sheetData sheetId="15011">
        <row r="19">
          <cell r="J19">
            <v>1.0499999999999999E-3</v>
          </cell>
        </row>
      </sheetData>
      <sheetData sheetId="15012">
        <row r="19">
          <cell r="J19">
            <v>1.0499999999999999E-3</v>
          </cell>
        </row>
      </sheetData>
      <sheetData sheetId="15013">
        <row r="19">
          <cell r="J19">
            <v>1.0499999999999999E-3</v>
          </cell>
        </row>
      </sheetData>
      <sheetData sheetId="15014">
        <row r="19">
          <cell r="J19">
            <v>1.0499999999999999E-3</v>
          </cell>
        </row>
      </sheetData>
      <sheetData sheetId="15015">
        <row r="19">
          <cell r="J19">
            <v>1.0499999999999999E-3</v>
          </cell>
        </row>
      </sheetData>
      <sheetData sheetId="15016">
        <row r="19">
          <cell r="J19">
            <v>1.0499999999999999E-3</v>
          </cell>
        </row>
      </sheetData>
      <sheetData sheetId="15017">
        <row r="19">
          <cell r="J19">
            <v>1.0499999999999999E-3</v>
          </cell>
        </row>
      </sheetData>
      <sheetData sheetId="15018">
        <row r="19">
          <cell r="J19">
            <v>1.0499999999999999E-3</v>
          </cell>
        </row>
      </sheetData>
      <sheetData sheetId="15019">
        <row r="19">
          <cell r="J19">
            <v>1.0499999999999999E-3</v>
          </cell>
        </row>
      </sheetData>
      <sheetData sheetId="15020">
        <row r="19">
          <cell r="J19">
            <v>1.0499999999999999E-3</v>
          </cell>
        </row>
      </sheetData>
      <sheetData sheetId="15021">
        <row r="19">
          <cell r="J19">
            <v>1.0499999999999999E-3</v>
          </cell>
        </row>
      </sheetData>
      <sheetData sheetId="15022">
        <row r="19">
          <cell r="J19">
            <v>1.0499999999999999E-3</v>
          </cell>
        </row>
      </sheetData>
      <sheetData sheetId="15023">
        <row r="19">
          <cell r="J19">
            <v>1.0499999999999999E-3</v>
          </cell>
        </row>
      </sheetData>
      <sheetData sheetId="15024">
        <row r="19">
          <cell r="J19">
            <v>1.0499999999999999E-3</v>
          </cell>
        </row>
      </sheetData>
      <sheetData sheetId="15025">
        <row r="19">
          <cell r="J19">
            <v>1.0499999999999999E-3</v>
          </cell>
        </row>
      </sheetData>
      <sheetData sheetId="15026">
        <row r="19">
          <cell r="J19">
            <v>1.0499999999999999E-3</v>
          </cell>
        </row>
      </sheetData>
      <sheetData sheetId="15027">
        <row r="19">
          <cell r="J19">
            <v>1.0499999999999999E-3</v>
          </cell>
        </row>
      </sheetData>
      <sheetData sheetId="15028">
        <row r="19">
          <cell r="J19">
            <v>1.0499999999999999E-3</v>
          </cell>
        </row>
      </sheetData>
      <sheetData sheetId="15029">
        <row r="19">
          <cell r="J19">
            <v>1.0499999999999999E-3</v>
          </cell>
        </row>
      </sheetData>
      <sheetData sheetId="15030">
        <row r="19">
          <cell r="J19">
            <v>1.0499999999999999E-3</v>
          </cell>
        </row>
      </sheetData>
      <sheetData sheetId="15031">
        <row r="19">
          <cell r="J19">
            <v>1.0499999999999999E-3</v>
          </cell>
        </row>
      </sheetData>
      <sheetData sheetId="15032">
        <row r="19">
          <cell r="J19">
            <v>1.0499999999999999E-3</v>
          </cell>
        </row>
      </sheetData>
      <sheetData sheetId="15033">
        <row r="19">
          <cell r="J19">
            <v>1.0499999999999999E-3</v>
          </cell>
        </row>
      </sheetData>
      <sheetData sheetId="15034">
        <row r="19">
          <cell r="J19">
            <v>1.0499999999999999E-3</v>
          </cell>
        </row>
      </sheetData>
      <sheetData sheetId="15035">
        <row r="19">
          <cell r="J19">
            <v>1.0499999999999999E-3</v>
          </cell>
        </row>
      </sheetData>
      <sheetData sheetId="15036">
        <row r="19">
          <cell r="J19">
            <v>1.0499999999999999E-3</v>
          </cell>
        </row>
      </sheetData>
      <sheetData sheetId="15037">
        <row r="19">
          <cell r="J19">
            <v>1.0499999999999999E-3</v>
          </cell>
        </row>
      </sheetData>
      <sheetData sheetId="15038">
        <row r="19">
          <cell r="J19">
            <v>1.0499999999999999E-3</v>
          </cell>
        </row>
      </sheetData>
      <sheetData sheetId="15039">
        <row r="19">
          <cell r="J19">
            <v>1.0499999999999999E-3</v>
          </cell>
        </row>
      </sheetData>
      <sheetData sheetId="15040">
        <row r="19">
          <cell r="J19">
            <v>1.0499999999999999E-3</v>
          </cell>
        </row>
      </sheetData>
      <sheetData sheetId="15041">
        <row r="19">
          <cell r="J19">
            <v>1.0499999999999999E-3</v>
          </cell>
        </row>
      </sheetData>
      <sheetData sheetId="15042">
        <row r="19">
          <cell r="J19">
            <v>1.0499999999999999E-3</v>
          </cell>
        </row>
      </sheetData>
      <sheetData sheetId="15043">
        <row r="19">
          <cell r="J19">
            <v>1.0499999999999999E-3</v>
          </cell>
        </row>
      </sheetData>
      <sheetData sheetId="15044">
        <row r="19">
          <cell r="J19">
            <v>1.0499999999999999E-3</v>
          </cell>
        </row>
      </sheetData>
      <sheetData sheetId="15045">
        <row r="19">
          <cell r="J19">
            <v>1.0499999999999999E-3</v>
          </cell>
        </row>
      </sheetData>
      <sheetData sheetId="15046">
        <row r="19">
          <cell r="J19">
            <v>1.0499999999999999E-3</v>
          </cell>
        </row>
      </sheetData>
      <sheetData sheetId="15047">
        <row r="19">
          <cell r="J19">
            <v>1.0499999999999999E-3</v>
          </cell>
        </row>
      </sheetData>
      <sheetData sheetId="15048">
        <row r="19">
          <cell r="J19">
            <v>1.0499999999999999E-3</v>
          </cell>
        </row>
      </sheetData>
      <sheetData sheetId="15049">
        <row r="19">
          <cell r="J19">
            <v>1.0499999999999999E-3</v>
          </cell>
        </row>
      </sheetData>
      <sheetData sheetId="15050">
        <row r="19">
          <cell r="J19">
            <v>1.0499999999999999E-3</v>
          </cell>
        </row>
      </sheetData>
      <sheetData sheetId="15051">
        <row r="19">
          <cell r="J19">
            <v>1.0499999999999999E-3</v>
          </cell>
        </row>
      </sheetData>
      <sheetData sheetId="15052">
        <row r="19">
          <cell r="J19">
            <v>1.0499999999999999E-3</v>
          </cell>
        </row>
      </sheetData>
      <sheetData sheetId="15053">
        <row r="19">
          <cell r="J19">
            <v>1.0499999999999999E-3</v>
          </cell>
        </row>
      </sheetData>
      <sheetData sheetId="15054">
        <row r="19">
          <cell r="J19">
            <v>1.0499999999999999E-3</v>
          </cell>
        </row>
      </sheetData>
      <sheetData sheetId="15055">
        <row r="19">
          <cell r="J19">
            <v>1.0499999999999999E-3</v>
          </cell>
        </row>
      </sheetData>
      <sheetData sheetId="15056">
        <row r="19">
          <cell r="J19">
            <v>1.0499999999999999E-3</v>
          </cell>
        </row>
      </sheetData>
      <sheetData sheetId="15057">
        <row r="19">
          <cell r="J19">
            <v>1.0499999999999999E-3</v>
          </cell>
        </row>
      </sheetData>
      <sheetData sheetId="15058">
        <row r="19">
          <cell r="J19">
            <v>1.0499999999999999E-3</v>
          </cell>
        </row>
      </sheetData>
      <sheetData sheetId="15059">
        <row r="19">
          <cell r="J19">
            <v>1.0499999999999999E-3</v>
          </cell>
        </row>
      </sheetData>
      <sheetData sheetId="15060">
        <row r="19">
          <cell r="J19">
            <v>1.0499999999999999E-3</v>
          </cell>
        </row>
      </sheetData>
      <sheetData sheetId="15061">
        <row r="19">
          <cell r="J19">
            <v>1.0499999999999999E-3</v>
          </cell>
        </row>
      </sheetData>
      <sheetData sheetId="15062">
        <row r="19">
          <cell r="J19">
            <v>1.0499999999999999E-3</v>
          </cell>
        </row>
      </sheetData>
      <sheetData sheetId="15063">
        <row r="19">
          <cell r="J19">
            <v>1.0499999999999999E-3</v>
          </cell>
        </row>
      </sheetData>
      <sheetData sheetId="15064">
        <row r="19">
          <cell r="J19">
            <v>1.0499999999999999E-3</v>
          </cell>
        </row>
      </sheetData>
      <sheetData sheetId="15065">
        <row r="19">
          <cell r="J19">
            <v>1.0499999999999999E-3</v>
          </cell>
        </row>
      </sheetData>
      <sheetData sheetId="15066" refreshError="1"/>
      <sheetData sheetId="15067">
        <row r="19">
          <cell r="J19">
            <v>1.0499999999999999E-3</v>
          </cell>
        </row>
      </sheetData>
      <sheetData sheetId="15068" refreshError="1"/>
      <sheetData sheetId="15069" refreshError="1"/>
      <sheetData sheetId="15070" refreshError="1"/>
      <sheetData sheetId="15071" refreshError="1"/>
      <sheetData sheetId="15072" refreshError="1"/>
      <sheetData sheetId="15073">
        <row r="19">
          <cell r="J19">
            <v>1.0499999999999999E-3</v>
          </cell>
        </row>
      </sheetData>
      <sheetData sheetId="15074">
        <row r="19">
          <cell r="J19">
            <v>1.0499999999999999E-3</v>
          </cell>
        </row>
      </sheetData>
      <sheetData sheetId="15075">
        <row r="19">
          <cell r="J19">
            <v>1.0499999999999999E-3</v>
          </cell>
        </row>
      </sheetData>
      <sheetData sheetId="15076">
        <row r="19">
          <cell r="J19">
            <v>1.0499999999999999E-3</v>
          </cell>
        </row>
      </sheetData>
      <sheetData sheetId="15077">
        <row r="19">
          <cell r="J19">
            <v>1.0499999999999999E-3</v>
          </cell>
        </row>
      </sheetData>
      <sheetData sheetId="15078">
        <row r="19">
          <cell r="J19">
            <v>1.0499999999999999E-3</v>
          </cell>
        </row>
      </sheetData>
      <sheetData sheetId="15079">
        <row r="19">
          <cell r="J19">
            <v>1.0499999999999999E-3</v>
          </cell>
        </row>
      </sheetData>
      <sheetData sheetId="15080">
        <row r="19">
          <cell r="J19">
            <v>1.0499999999999999E-3</v>
          </cell>
        </row>
      </sheetData>
      <sheetData sheetId="15081">
        <row r="19">
          <cell r="J19">
            <v>1.0499999999999999E-3</v>
          </cell>
        </row>
      </sheetData>
      <sheetData sheetId="15082">
        <row r="19">
          <cell r="J19">
            <v>1.0499999999999999E-3</v>
          </cell>
        </row>
      </sheetData>
      <sheetData sheetId="15083">
        <row r="19">
          <cell r="J19">
            <v>1.0499999999999999E-3</v>
          </cell>
        </row>
      </sheetData>
      <sheetData sheetId="15084">
        <row r="19">
          <cell r="J19">
            <v>1.0499999999999999E-3</v>
          </cell>
        </row>
      </sheetData>
      <sheetData sheetId="15085">
        <row r="19">
          <cell r="J19">
            <v>1.0499999999999999E-3</v>
          </cell>
        </row>
      </sheetData>
      <sheetData sheetId="15086">
        <row r="19">
          <cell r="J19">
            <v>1.0499999999999999E-3</v>
          </cell>
        </row>
      </sheetData>
      <sheetData sheetId="15087">
        <row r="19">
          <cell r="J19">
            <v>1.0499999999999999E-3</v>
          </cell>
        </row>
      </sheetData>
      <sheetData sheetId="15088">
        <row r="19">
          <cell r="J19">
            <v>1.0499999999999999E-3</v>
          </cell>
        </row>
      </sheetData>
      <sheetData sheetId="15089">
        <row r="19">
          <cell r="J19">
            <v>1.0499999999999999E-3</v>
          </cell>
        </row>
      </sheetData>
      <sheetData sheetId="15090">
        <row r="19">
          <cell r="J19">
            <v>1.0499999999999999E-3</v>
          </cell>
        </row>
      </sheetData>
      <sheetData sheetId="15091">
        <row r="19">
          <cell r="J19">
            <v>1.0499999999999999E-3</v>
          </cell>
        </row>
      </sheetData>
      <sheetData sheetId="15092">
        <row r="19">
          <cell r="J19">
            <v>1.0499999999999999E-3</v>
          </cell>
        </row>
      </sheetData>
      <sheetData sheetId="15093">
        <row r="19">
          <cell r="J19">
            <v>1.0499999999999999E-3</v>
          </cell>
        </row>
      </sheetData>
      <sheetData sheetId="15094">
        <row r="19">
          <cell r="J19">
            <v>1.0499999999999999E-3</v>
          </cell>
        </row>
      </sheetData>
      <sheetData sheetId="15095">
        <row r="19">
          <cell r="J19">
            <v>1.0499999999999999E-3</v>
          </cell>
        </row>
      </sheetData>
      <sheetData sheetId="15096">
        <row r="19">
          <cell r="J19">
            <v>1.0499999999999999E-3</v>
          </cell>
        </row>
      </sheetData>
      <sheetData sheetId="15097">
        <row r="19">
          <cell r="J19">
            <v>1.0499999999999999E-3</v>
          </cell>
        </row>
      </sheetData>
      <sheetData sheetId="15098">
        <row r="19">
          <cell r="J19">
            <v>1.0499999999999999E-3</v>
          </cell>
        </row>
      </sheetData>
      <sheetData sheetId="15099"/>
      <sheetData sheetId="15100">
        <row r="19">
          <cell r="J19">
            <v>1.0499999999999999E-3</v>
          </cell>
        </row>
      </sheetData>
      <sheetData sheetId="15101">
        <row r="19">
          <cell r="J19">
            <v>1.0499999999999999E-3</v>
          </cell>
        </row>
      </sheetData>
      <sheetData sheetId="15102">
        <row r="19">
          <cell r="J19">
            <v>1.0499999999999999E-3</v>
          </cell>
        </row>
      </sheetData>
      <sheetData sheetId="15103">
        <row r="19">
          <cell r="J19">
            <v>1.0499999999999999E-3</v>
          </cell>
        </row>
      </sheetData>
      <sheetData sheetId="15104">
        <row r="19">
          <cell r="J19">
            <v>1.0499999999999999E-3</v>
          </cell>
        </row>
      </sheetData>
      <sheetData sheetId="15105">
        <row r="19">
          <cell r="J19">
            <v>1.0499999999999999E-3</v>
          </cell>
        </row>
      </sheetData>
      <sheetData sheetId="15106">
        <row r="19">
          <cell r="J19">
            <v>1.0499999999999999E-3</v>
          </cell>
        </row>
      </sheetData>
      <sheetData sheetId="15107">
        <row r="19">
          <cell r="J19">
            <v>1.0499999999999999E-3</v>
          </cell>
        </row>
      </sheetData>
      <sheetData sheetId="15108">
        <row r="19">
          <cell r="J19">
            <v>1.0499999999999999E-3</v>
          </cell>
        </row>
      </sheetData>
      <sheetData sheetId="15109">
        <row r="19">
          <cell r="J19">
            <v>1.0499999999999999E-3</v>
          </cell>
        </row>
      </sheetData>
      <sheetData sheetId="15110">
        <row r="19">
          <cell r="J19">
            <v>1.0499999999999999E-3</v>
          </cell>
        </row>
      </sheetData>
      <sheetData sheetId="15111">
        <row r="19">
          <cell r="J19">
            <v>1.0499999999999999E-3</v>
          </cell>
        </row>
      </sheetData>
      <sheetData sheetId="15112">
        <row r="19">
          <cell r="J19">
            <v>1.0499999999999999E-3</v>
          </cell>
        </row>
      </sheetData>
      <sheetData sheetId="15113">
        <row r="19">
          <cell r="J19">
            <v>1.0499999999999999E-3</v>
          </cell>
        </row>
      </sheetData>
      <sheetData sheetId="15114">
        <row r="19">
          <cell r="J19">
            <v>1.0499999999999999E-3</v>
          </cell>
        </row>
      </sheetData>
      <sheetData sheetId="15115">
        <row r="19">
          <cell r="J19">
            <v>1.0499999999999999E-3</v>
          </cell>
        </row>
      </sheetData>
      <sheetData sheetId="15116">
        <row r="19">
          <cell r="J19">
            <v>1.0499999999999999E-3</v>
          </cell>
        </row>
      </sheetData>
      <sheetData sheetId="15117">
        <row r="19">
          <cell r="J19">
            <v>1.0499999999999999E-3</v>
          </cell>
        </row>
      </sheetData>
      <sheetData sheetId="15118">
        <row r="19">
          <cell r="J19">
            <v>1.0499999999999999E-3</v>
          </cell>
        </row>
      </sheetData>
      <sheetData sheetId="15119">
        <row r="19">
          <cell r="J19">
            <v>1.0499999999999999E-3</v>
          </cell>
        </row>
      </sheetData>
      <sheetData sheetId="15120">
        <row r="19">
          <cell r="J19">
            <v>1.0499999999999999E-3</v>
          </cell>
        </row>
      </sheetData>
      <sheetData sheetId="15121">
        <row r="19">
          <cell r="J19">
            <v>1.0499999999999999E-3</v>
          </cell>
        </row>
      </sheetData>
      <sheetData sheetId="15122">
        <row r="19">
          <cell r="J19">
            <v>1.0499999999999999E-3</v>
          </cell>
        </row>
      </sheetData>
      <sheetData sheetId="15123">
        <row r="19">
          <cell r="J19">
            <v>1.0499999999999999E-3</v>
          </cell>
        </row>
      </sheetData>
      <sheetData sheetId="15124">
        <row r="19">
          <cell r="J19">
            <v>1.0499999999999999E-3</v>
          </cell>
        </row>
      </sheetData>
      <sheetData sheetId="15125">
        <row r="19">
          <cell r="J19">
            <v>1.0499999999999999E-3</v>
          </cell>
        </row>
      </sheetData>
      <sheetData sheetId="15126">
        <row r="19">
          <cell r="J19">
            <v>1.0499999999999999E-3</v>
          </cell>
        </row>
      </sheetData>
      <sheetData sheetId="15127">
        <row r="19">
          <cell r="J19">
            <v>1.0499999999999999E-3</v>
          </cell>
        </row>
      </sheetData>
      <sheetData sheetId="15128">
        <row r="19">
          <cell r="J19">
            <v>1.0499999999999999E-3</v>
          </cell>
        </row>
      </sheetData>
      <sheetData sheetId="15129">
        <row r="19">
          <cell r="J19">
            <v>1.0499999999999999E-3</v>
          </cell>
        </row>
      </sheetData>
      <sheetData sheetId="15130">
        <row r="19">
          <cell r="J19">
            <v>1.0499999999999999E-3</v>
          </cell>
        </row>
      </sheetData>
      <sheetData sheetId="15131">
        <row r="19">
          <cell r="J19">
            <v>1.0499999999999999E-3</v>
          </cell>
        </row>
      </sheetData>
      <sheetData sheetId="15132">
        <row r="19">
          <cell r="J19">
            <v>1.0499999999999999E-3</v>
          </cell>
        </row>
      </sheetData>
      <sheetData sheetId="15133">
        <row r="19">
          <cell r="J19">
            <v>1.0499999999999999E-3</v>
          </cell>
        </row>
      </sheetData>
      <sheetData sheetId="15134">
        <row r="19">
          <cell r="J19">
            <v>1.0499999999999999E-3</v>
          </cell>
        </row>
      </sheetData>
      <sheetData sheetId="15135">
        <row r="19">
          <cell r="J19">
            <v>1.0499999999999999E-3</v>
          </cell>
        </row>
      </sheetData>
      <sheetData sheetId="15136">
        <row r="19">
          <cell r="J19">
            <v>1.0499999999999999E-3</v>
          </cell>
        </row>
      </sheetData>
      <sheetData sheetId="15137">
        <row r="19">
          <cell r="J19">
            <v>1.0499999999999999E-3</v>
          </cell>
        </row>
      </sheetData>
      <sheetData sheetId="15138">
        <row r="19">
          <cell r="J19">
            <v>1.0499999999999999E-3</v>
          </cell>
        </row>
      </sheetData>
      <sheetData sheetId="15139">
        <row r="19">
          <cell r="J19">
            <v>1.0499999999999999E-3</v>
          </cell>
        </row>
      </sheetData>
      <sheetData sheetId="15140">
        <row r="19">
          <cell r="J19">
            <v>1.0499999999999999E-3</v>
          </cell>
        </row>
      </sheetData>
      <sheetData sheetId="15141">
        <row r="19">
          <cell r="J19">
            <v>1.0499999999999999E-3</v>
          </cell>
        </row>
      </sheetData>
      <sheetData sheetId="15142">
        <row r="19">
          <cell r="J19">
            <v>1.0499999999999999E-3</v>
          </cell>
        </row>
      </sheetData>
      <sheetData sheetId="15143">
        <row r="19">
          <cell r="J19">
            <v>1.0499999999999999E-3</v>
          </cell>
        </row>
      </sheetData>
      <sheetData sheetId="15144">
        <row r="19">
          <cell r="J19">
            <v>1.0499999999999999E-3</v>
          </cell>
        </row>
      </sheetData>
      <sheetData sheetId="15145">
        <row r="19">
          <cell r="J19">
            <v>1.0499999999999999E-3</v>
          </cell>
        </row>
      </sheetData>
      <sheetData sheetId="15146">
        <row r="19">
          <cell r="J19">
            <v>1.0499999999999999E-3</v>
          </cell>
        </row>
      </sheetData>
      <sheetData sheetId="15147">
        <row r="19">
          <cell r="J19">
            <v>1.0499999999999999E-3</v>
          </cell>
        </row>
      </sheetData>
      <sheetData sheetId="15148">
        <row r="19">
          <cell r="J19">
            <v>1.0499999999999999E-3</v>
          </cell>
        </row>
      </sheetData>
      <sheetData sheetId="15149">
        <row r="19">
          <cell r="J19">
            <v>1.0499999999999999E-3</v>
          </cell>
        </row>
      </sheetData>
      <sheetData sheetId="15150">
        <row r="19">
          <cell r="J19">
            <v>1.0499999999999999E-3</v>
          </cell>
        </row>
      </sheetData>
      <sheetData sheetId="15151">
        <row r="19">
          <cell r="J19">
            <v>1.0499999999999999E-3</v>
          </cell>
        </row>
      </sheetData>
      <sheetData sheetId="15152">
        <row r="19">
          <cell r="J19">
            <v>1.0499999999999999E-3</v>
          </cell>
        </row>
      </sheetData>
      <sheetData sheetId="15153">
        <row r="19">
          <cell r="J19">
            <v>1.0499999999999999E-3</v>
          </cell>
        </row>
      </sheetData>
      <sheetData sheetId="15154">
        <row r="19">
          <cell r="J19">
            <v>1.0499999999999999E-3</v>
          </cell>
        </row>
      </sheetData>
      <sheetData sheetId="15155">
        <row r="19">
          <cell r="J19">
            <v>1.0499999999999999E-3</v>
          </cell>
        </row>
      </sheetData>
      <sheetData sheetId="15156">
        <row r="19">
          <cell r="J19">
            <v>1.0499999999999999E-3</v>
          </cell>
        </row>
      </sheetData>
      <sheetData sheetId="15157">
        <row r="19">
          <cell r="J19">
            <v>1.0499999999999999E-3</v>
          </cell>
        </row>
      </sheetData>
      <sheetData sheetId="15158">
        <row r="19">
          <cell r="J19">
            <v>1.0499999999999999E-3</v>
          </cell>
        </row>
      </sheetData>
      <sheetData sheetId="15159">
        <row r="19">
          <cell r="J19">
            <v>1.0499999999999999E-3</v>
          </cell>
        </row>
      </sheetData>
      <sheetData sheetId="15160">
        <row r="19">
          <cell r="J19">
            <v>1.0499999999999999E-3</v>
          </cell>
        </row>
      </sheetData>
      <sheetData sheetId="15161">
        <row r="19">
          <cell r="J19">
            <v>1.0499999999999999E-3</v>
          </cell>
        </row>
      </sheetData>
      <sheetData sheetId="15162">
        <row r="19">
          <cell r="J19">
            <v>1.0499999999999999E-3</v>
          </cell>
        </row>
      </sheetData>
      <sheetData sheetId="15163">
        <row r="19">
          <cell r="J19">
            <v>1.0499999999999999E-3</v>
          </cell>
        </row>
      </sheetData>
      <sheetData sheetId="15164">
        <row r="19">
          <cell r="J19">
            <v>1.0499999999999999E-3</v>
          </cell>
        </row>
      </sheetData>
      <sheetData sheetId="15165">
        <row r="19">
          <cell r="J19">
            <v>1.0499999999999999E-3</v>
          </cell>
        </row>
      </sheetData>
      <sheetData sheetId="15166">
        <row r="19">
          <cell r="J19">
            <v>1.0499999999999999E-3</v>
          </cell>
        </row>
      </sheetData>
      <sheetData sheetId="15167">
        <row r="19">
          <cell r="J19">
            <v>1.0499999999999999E-3</v>
          </cell>
        </row>
      </sheetData>
      <sheetData sheetId="15168">
        <row r="19">
          <cell r="J19">
            <v>1.0499999999999999E-3</v>
          </cell>
        </row>
      </sheetData>
      <sheetData sheetId="15169">
        <row r="19">
          <cell r="J19">
            <v>1.0499999999999999E-3</v>
          </cell>
        </row>
      </sheetData>
      <sheetData sheetId="15170">
        <row r="19">
          <cell r="J19">
            <v>1.0499999999999999E-3</v>
          </cell>
        </row>
      </sheetData>
      <sheetData sheetId="15171">
        <row r="19">
          <cell r="J19">
            <v>1.0499999999999999E-3</v>
          </cell>
        </row>
      </sheetData>
      <sheetData sheetId="15172">
        <row r="19">
          <cell r="J19">
            <v>1.0499999999999999E-3</v>
          </cell>
        </row>
      </sheetData>
      <sheetData sheetId="15173">
        <row r="19">
          <cell r="J19">
            <v>1.0499999999999999E-3</v>
          </cell>
        </row>
      </sheetData>
      <sheetData sheetId="15174">
        <row r="19">
          <cell r="J19">
            <v>1.0499999999999999E-3</v>
          </cell>
        </row>
      </sheetData>
      <sheetData sheetId="15175">
        <row r="19">
          <cell r="J19">
            <v>1.0499999999999999E-3</v>
          </cell>
        </row>
      </sheetData>
      <sheetData sheetId="15176">
        <row r="19">
          <cell r="J19">
            <v>1.0499999999999999E-3</v>
          </cell>
        </row>
      </sheetData>
      <sheetData sheetId="15177">
        <row r="19">
          <cell r="J19">
            <v>1.0499999999999999E-3</v>
          </cell>
        </row>
      </sheetData>
      <sheetData sheetId="15178">
        <row r="19">
          <cell r="J19">
            <v>1.0499999999999999E-3</v>
          </cell>
        </row>
      </sheetData>
      <sheetData sheetId="15179">
        <row r="19">
          <cell r="J19">
            <v>1.0499999999999999E-3</v>
          </cell>
        </row>
      </sheetData>
      <sheetData sheetId="15180">
        <row r="19">
          <cell r="J19">
            <v>1.0499999999999999E-3</v>
          </cell>
        </row>
      </sheetData>
      <sheetData sheetId="15181">
        <row r="19">
          <cell r="J19">
            <v>1.0499999999999999E-3</v>
          </cell>
        </row>
      </sheetData>
      <sheetData sheetId="15182">
        <row r="19">
          <cell r="J19">
            <v>1.0499999999999999E-3</v>
          </cell>
        </row>
      </sheetData>
      <sheetData sheetId="15183">
        <row r="19">
          <cell r="J19">
            <v>1.0499999999999999E-3</v>
          </cell>
        </row>
      </sheetData>
      <sheetData sheetId="15184">
        <row r="19">
          <cell r="J19">
            <v>1.0499999999999999E-3</v>
          </cell>
        </row>
      </sheetData>
      <sheetData sheetId="15185">
        <row r="19">
          <cell r="J19">
            <v>1.0499999999999999E-3</v>
          </cell>
        </row>
      </sheetData>
      <sheetData sheetId="15186">
        <row r="19">
          <cell r="J19">
            <v>1.0499999999999999E-3</v>
          </cell>
        </row>
      </sheetData>
      <sheetData sheetId="15187">
        <row r="19">
          <cell r="J19">
            <v>1.0499999999999999E-3</v>
          </cell>
        </row>
      </sheetData>
      <sheetData sheetId="15188">
        <row r="19">
          <cell r="J19">
            <v>1.0499999999999999E-3</v>
          </cell>
        </row>
      </sheetData>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ow r="19">
          <cell r="J19">
            <v>1.0499999999999999E-3</v>
          </cell>
        </row>
      </sheetData>
      <sheetData sheetId="15200">
        <row r="19">
          <cell r="J19">
            <v>1.0499999999999999E-3</v>
          </cell>
        </row>
      </sheetData>
      <sheetData sheetId="15201">
        <row r="19">
          <cell r="J19">
            <v>1.0499999999999999E-3</v>
          </cell>
        </row>
      </sheetData>
      <sheetData sheetId="15202" refreshError="1"/>
      <sheetData sheetId="15203" refreshError="1"/>
      <sheetData sheetId="15204">
        <row r="19">
          <cell r="J19">
            <v>1.0499999999999999E-3</v>
          </cell>
        </row>
      </sheetData>
      <sheetData sheetId="15205">
        <row r="19">
          <cell r="J19">
            <v>1.0499999999999999E-3</v>
          </cell>
        </row>
      </sheetData>
      <sheetData sheetId="15206">
        <row r="19">
          <cell r="J19">
            <v>1.0499999999999999E-3</v>
          </cell>
        </row>
      </sheetData>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ow r="19">
          <cell r="J19">
            <v>1.0499999999999999E-3</v>
          </cell>
        </row>
      </sheetData>
      <sheetData sheetId="15224">
        <row r="19">
          <cell r="J19">
            <v>1.0499999999999999E-3</v>
          </cell>
        </row>
      </sheetData>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ow r="19">
          <cell r="J19">
            <v>1.0499999999999999E-3</v>
          </cell>
        </row>
      </sheetData>
      <sheetData sheetId="15238">
        <row r="19">
          <cell r="J19">
            <v>1.0499999999999999E-3</v>
          </cell>
        </row>
      </sheetData>
      <sheetData sheetId="15239" refreshError="1"/>
      <sheetData sheetId="15240" refreshError="1"/>
      <sheetData sheetId="15241" refreshError="1"/>
      <sheetData sheetId="15242" refreshError="1"/>
      <sheetData sheetId="15243">
        <row r="19">
          <cell r="J19">
            <v>1.0499999999999999E-3</v>
          </cell>
        </row>
      </sheetData>
      <sheetData sheetId="15244" refreshError="1"/>
      <sheetData sheetId="15245" refreshError="1"/>
      <sheetData sheetId="15246" refreshError="1"/>
      <sheetData sheetId="15247">
        <row r="19">
          <cell r="J19">
            <v>1.0499999999999999E-3</v>
          </cell>
        </row>
      </sheetData>
      <sheetData sheetId="15248">
        <row r="19">
          <cell r="J19">
            <v>1.0499999999999999E-3</v>
          </cell>
        </row>
      </sheetData>
      <sheetData sheetId="15249" refreshError="1"/>
      <sheetData sheetId="15250">
        <row r="19">
          <cell r="J19">
            <v>1.0499999999999999E-3</v>
          </cell>
        </row>
      </sheetData>
      <sheetData sheetId="15251">
        <row r="19">
          <cell r="J19">
            <v>1.0499999999999999E-3</v>
          </cell>
        </row>
      </sheetData>
      <sheetData sheetId="15252">
        <row r="19">
          <cell r="J19">
            <v>1.0499999999999999E-3</v>
          </cell>
        </row>
      </sheetData>
      <sheetData sheetId="15253">
        <row r="19">
          <cell r="J19">
            <v>1.0499999999999999E-3</v>
          </cell>
        </row>
      </sheetData>
      <sheetData sheetId="15254">
        <row r="19">
          <cell r="J19">
            <v>1.0499999999999999E-3</v>
          </cell>
        </row>
      </sheetData>
      <sheetData sheetId="15255">
        <row r="19">
          <cell r="J19">
            <v>1.0499999999999999E-3</v>
          </cell>
        </row>
      </sheetData>
      <sheetData sheetId="15256">
        <row r="19">
          <cell r="J19">
            <v>1.0499999999999999E-3</v>
          </cell>
        </row>
      </sheetData>
      <sheetData sheetId="15257">
        <row r="19">
          <cell r="J19">
            <v>1.0499999999999999E-3</v>
          </cell>
        </row>
      </sheetData>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ow r="19">
          <cell r="J19">
            <v>1.0499999999999999E-3</v>
          </cell>
        </row>
      </sheetData>
      <sheetData sheetId="15275">
        <row r="19">
          <cell r="J19">
            <v>1.0499999999999999E-3</v>
          </cell>
        </row>
      </sheetData>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ow r="19">
          <cell r="J19">
            <v>1.0499999999999999E-3</v>
          </cell>
        </row>
      </sheetData>
      <sheetData sheetId="15318">
        <row r="19">
          <cell r="J19">
            <v>1.0499999999999999E-3</v>
          </cell>
        </row>
      </sheetData>
      <sheetData sheetId="15319">
        <row r="19">
          <cell r="J19">
            <v>1.0499999999999999E-3</v>
          </cell>
        </row>
      </sheetData>
      <sheetData sheetId="15320">
        <row r="19">
          <cell r="J19">
            <v>1.0499999999999999E-3</v>
          </cell>
        </row>
      </sheetData>
      <sheetData sheetId="15321">
        <row r="19">
          <cell r="J19">
            <v>1.0499999999999999E-3</v>
          </cell>
        </row>
      </sheetData>
      <sheetData sheetId="15322">
        <row r="19">
          <cell r="J19">
            <v>1.0499999999999999E-3</v>
          </cell>
        </row>
      </sheetData>
      <sheetData sheetId="15323">
        <row r="19">
          <cell r="J19">
            <v>1.0499999999999999E-3</v>
          </cell>
        </row>
      </sheetData>
      <sheetData sheetId="15324">
        <row r="19">
          <cell r="J19">
            <v>1.0499999999999999E-3</v>
          </cell>
        </row>
      </sheetData>
      <sheetData sheetId="15325">
        <row r="19">
          <cell r="J19">
            <v>1.0499999999999999E-3</v>
          </cell>
        </row>
      </sheetData>
      <sheetData sheetId="15326">
        <row r="19">
          <cell r="J19">
            <v>1.0499999999999999E-3</v>
          </cell>
        </row>
      </sheetData>
      <sheetData sheetId="15327">
        <row r="19">
          <cell r="J19">
            <v>1.0499999999999999E-3</v>
          </cell>
        </row>
      </sheetData>
      <sheetData sheetId="15328">
        <row r="19">
          <cell r="J19">
            <v>1.0499999999999999E-3</v>
          </cell>
        </row>
      </sheetData>
      <sheetData sheetId="15329">
        <row r="19">
          <cell r="J19">
            <v>1.0499999999999999E-3</v>
          </cell>
        </row>
      </sheetData>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ow r="19">
          <cell r="J19">
            <v>1.0499999999999999E-3</v>
          </cell>
        </row>
      </sheetData>
      <sheetData sheetId="15339" refreshError="1"/>
      <sheetData sheetId="15340">
        <row r="19">
          <cell r="J19">
            <v>1.0499999999999999E-3</v>
          </cell>
        </row>
      </sheetData>
      <sheetData sheetId="15341">
        <row r="19">
          <cell r="J19">
            <v>1.0499999999999999E-3</v>
          </cell>
        </row>
      </sheetData>
      <sheetData sheetId="15342">
        <row r="19">
          <cell r="J19">
            <v>1.0499999999999999E-3</v>
          </cell>
        </row>
      </sheetData>
      <sheetData sheetId="15343">
        <row r="19">
          <cell r="J19">
            <v>1.0499999999999999E-3</v>
          </cell>
        </row>
      </sheetData>
      <sheetData sheetId="15344">
        <row r="19">
          <cell r="J19">
            <v>1.0499999999999999E-3</v>
          </cell>
        </row>
      </sheetData>
      <sheetData sheetId="15345">
        <row r="19">
          <cell r="J19">
            <v>1.0499999999999999E-3</v>
          </cell>
        </row>
      </sheetData>
      <sheetData sheetId="15346">
        <row r="19">
          <cell r="J19">
            <v>1.0499999999999999E-3</v>
          </cell>
        </row>
      </sheetData>
      <sheetData sheetId="15347">
        <row r="19">
          <cell r="J19">
            <v>1.0499999999999999E-3</v>
          </cell>
        </row>
      </sheetData>
      <sheetData sheetId="15348">
        <row r="19">
          <cell r="J19">
            <v>1.0499999999999999E-3</v>
          </cell>
        </row>
      </sheetData>
      <sheetData sheetId="15349">
        <row r="19">
          <cell r="J19">
            <v>1.0499999999999999E-3</v>
          </cell>
        </row>
      </sheetData>
      <sheetData sheetId="15350">
        <row r="19">
          <cell r="J19">
            <v>1.0499999999999999E-3</v>
          </cell>
        </row>
      </sheetData>
      <sheetData sheetId="15351">
        <row r="19">
          <cell r="J19">
            <v>1.0499999999999999E-3</v>
          </cell>
        </row>
      </sheetData>
      <sheetData sheetId="15352">
        <row r="19">
          <cell r="J19">
            <v>1.0499999999999999E-3</v>
          </cell>
        </row>
      </sheetData>
      <sheetData sheetId="15353">
        <row r="19">
          <cell r="J19">
            <v>1.0499999999999999E-3</v>
          </cell>
        </row>
      </sheetData>
      <sheetData sheetId="15354">
        <row r="19">
          <cell r="J19">
            <v>1.0499999999999999E-3</v>
          </cell>
        </row>
      </sheetData>
      <sheetData sheetId="15355">
        <row r="19">
          <cell r="J19">
            <v>1.0499999999999999E-3</v>
          </cell>
        </row>
      </sheetData>
      <sheetData sheetId="15356">
        <row r="19">
          <cell r="J19">
            <v>1.0499999999999999E-3</v>
          </cell>
        </row>
      </sheetData>
      <sheetData sheetId="15357">
        <row r="19">
          <cell r="J19">
            <v>1.0499999999999999E-3</v>
          </cell>
        </row>
      </sheetData>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ow r="19">
          <cell r="J19">
            <v>1.0499999999999999E-3</v>
          </cell>
        </row>
      </sheetData>
      <sheetData sheetId="15402">
        <row r="19">
          <cell r="J19">
            <v>1.0499999999999999E-3</v>
          </cell>
        </row>
      </sheetData>
      <sheetData sheetId="15403">
        <row r="19">
          <cell r="J19">
            <v>1.0499999999999999E-3</v>
          </cell>
        </row>
      </sheetData>
      <sheetData sheetId="15404">
        <row r="19">
          <cell r="J19">
            <v>1.0499999999999999E-3</v>
          </cell>
        </row>
      </sheetData>
      <sheetData sheetId="15405">
        <row r="19">
          <cell r="J19">
            <v>1.0499999999999999E-3</v>
          </cell>
        </row>
      </sheetData>
      <sheetData sheetId="15406">
        <row r="19">
          <cell r="J19">
            <v>1.0499999999999999E-3</v>
          </cell>
        </row>
      </sheetData>
      <sheetData sheetId="15407">
        <row r="19">
          <cell r="J19">
            <v>1.0499999999999999E-3</v>
          </cell>
        </row>
      </sheetData>
      <sheetData sheetId="15408">
        <row r="19">
          <cell r="J19">
            <v>1.0499999999999999E-3</v>
          </cell>
        </row>
      </sheetData>
      <sheetData sheetId="15409">
        <row r="19">
          <cell r="J19">
            <v>1.0499999999999999E-3</v>
          </cell>
        </row>
      </sheetData>
      <sheetData sheetId="15410">
        <row r="19">
          <cell r="J19">
            <v>1.0499999999999999E-3</v>
          </cell>
        </row>
      </sheetData>
      <sheetData sheetId="15411">
        <row r="19">
          <cell r="J19">
            <v>1.0499999999999999E-3</v>
          </cell>
        </row>
      </sheetData>
      <sheetData sheetId="15412">
        <row r="19">
          <cell r="J19">
            <v>1.0499999999999999E-3</v>
          </cell>
        </row>
      </sheetData>
      <sheetData sheetId="15413">
        <row r="19">
          <cell r="J19">
            <v>1.0499999999999999E-3</v>
          </cell>
        </row>
      </sheetData>
      <sheetData sheetId="15414">
        <row r="19">
          <cell r="J19">
            <v>1.0499999999999999E-3</v>
          </cell>
        </row>
      </sheetData>
      <sheetData sheetId="15415">
        <row r="19">
          <cell r="J19">
            <v>1.0499999999999999E-3</v>
          </cell>
        </row>
      </sheetData>
      <sheetData sheetId="15416">
        <row r="19">
          <cell r="J19">
            <v>1.0499999999999999E-3</v>
          </cell>
        </row>
      </sheetData>
      <sheetData sheetId="15417">
        <row r="19">
          <cell r="J19">
            <v>1.0499999999999999E-3</v>
          </cell>
        </row>
      </sheetData>
      <sheetData sheetId="15418">
        <row r="19">
          <cell r="J19">
            <v>1.0499999999999999E-3</v>
          </cell>
        </row>
      </sheetData>
      <sheetData sheetId="15419">
        <row r="19">
          <cell r="J19">
            <v>1.0499999999999999E-3</v>
          </cell>
        </row>
      </sheetData>
      <sheetData sheetId="15420">
        <row r="19">
          <cell r="J19">
            <v>1.0499999999999999E-3</v>
          </cell>
        </row>
      </sheetData>
      <sheetData sheetId="15421">
        <row r="19">
          <cell r="J19">
            <v>1.0499999999999999E-3</v>
          </cell>
        </row>
      </sheetData>
      <sheetData sheetId="15422">
        <row r="19">
          <cell r="J19">
            <v>1.0499999999999999E-3</v>
          </cell>
        </row>
      </sheetData>
      <sheetData sheetId="15423">
        <row r="19">
          <cell r="J19">
            <v>1.0499999999999999E-3</v>
          </cell>
        </row>
      </sheetData>
      <sheetData sheetId="15424">
        <row r="19">
          <cell r="J19">
            <v>1.0499999999999999E-3</v>
          </cell>
        </row>
      </sheetData>
      <sheetData sheetId="15425">
        <row r="19">
          <cell r="J19">
            <v>1.0499999999999999E-3</v>
          </cell>
        </row>
      </sheetData>
      <sheetData sheetId="15426">
        <row r="19">
          <cell r="J19">
            <v>1.0499999999999999E-3</v>
          </cell>
        </row>
      </sheetData>
      <sheetData sheetId="15427">
        <row r="19">
          <cell r="J19">
            <v>1.0499999999999999E-3</v>
          </cell>
        </row>
      </sheetData>
      <sheetData sheetId="15428">
        <row r="19">
          <cell r="J19">
            <v>1.0499999999999999E-3</v>
          </cell>
        </row>
      </sheetData>
      <sheetData sheetId="15429">
        <row r="19">
          <cell r="J19">
            <v>1.0499999999999999E-3</v>
          </cell>
        </row>
      </sheetData>
      <sheetData sheetId="15430">
        <row r="19">
          <cell r="J19">
            <v>1.0499999999999999E-3</v>
          </cell>
        </row>
      </sheetData>
      <sheetData sheetId="15431">
        <row r="19">
          <cell r="J19">
            <v>1.0499999999999999E-3</v>
          </cell>
        </row>
      </sheetData>
      <sheetData sheetId="15432">
        <row r="19">
          <cell r="J19">
            <v>1.0499999999999999E-3</v>
          </cell>
        </row>
      </sheetData>
      <sheetData sheetId="15433">
        <row r="19">
          <cell r="J19">
            <v>1.0499999999999999E-3</v>
          </cell>
        </row>
      </sheetData>
      <sheetData sheetId="15434">
        <row r="19">
          <cell r="J19">
            <v>1.0499999999999999E-3</v>
          </cell>
        </row>
      </sheetData>
      <sheetData sheetId="15435">
        <row r="19">
          <cell r="J19">
            <v>1.0499999999999999E-3</v>
          </cell>
        </row>
      </sheetData>
      <sheetData sheetId="15436">
        <row r="19">
          <cell r="J19">
            <v>1.0499999999999999E-3</v>
          </cell>
        </row>
      </sheetData>
      <sheetData sheetId="15437">
        <row r="19">
          <cell r="J19">
            <v>1.0499999999999999E-3</v>
          </cell>
        </row>
      </sheetData>
      <sheetData sheetId="15438">
        <row r="19">
          <cell r="J19">
            <v>1.0499999999999999E-3</v>
          </cell>
        </row>
      </sheetData>
      <sheetData sheetId="15439">
        <row r="19">
          <cell r="J19">
            <v>1.0499999999999999E-3</v>
          </cell>
        </row>
      </sheetData>
      <sheetData sheetId="15440">
        <row r="19">
          <cell r="J19">
            <v>1.0499999999999999E-3</v>
          </cell>
        </row>
      </sheetData>
      <sheetData sheetId="15441">
        <row r="19">
          <cell r="J19">
            <v>1.0499999999999999E-3</v>
          </cell>
        </row>
      </sheetData>
      <sheetData sheetId="15442">
        <row r="19">
          <cell r="J19">
            <v>1.0499999999999999E-3</v>
          </cell>
        </row>
      </sheetData>
      <sheetData sheetId="15443">
        <row r="19">
          <cell r="J19">
            <v>1.0499999999999999E-3</v>
          </cell>
        </row>
      </sheetData>
      <sheetData sheetId="15444">
        <row r="19">
          <cell r="J19">
            <v>1.0499999999999999E-3</v>
          </cell>
        </row>
      </sheetData>
      <sheetData sheetId="15445">
        <row r="19">
          <cell r="J19">
            <v>1.0499999999999999E-3</v>
          </cell>
        </row>
      </sheetData>
      <sheetData sheetId="15446">
        <row r="19">
          <cell r="J19">
            <v>1.0499999999999999E-3</v>
          </cell>
        </row>
      </sheetData>
      <sheetData sheetId="15447">
        <row r="19">
          <cell r="J19">
            <v>1.0499999999999999E-3</v>
          </cell>
        </row>
      </sheetData>
      <sheetData sheetId="15448">
        <row r="19">
          <cell r="J19">
            <v>1.0499999999999999E-3</v>
          </cell>
        </row>
      </sheetData>
      <sheetData sheetId="15449">
        <row r="19">
          <cell r="J19">
            <v>1.0499999999999999E-3</v>
          </cell>
        </row>
      </sheetData>
      <sheetData sheetId="15450">
        <row r="19">
          <cell r="J19">
            <v>1.0499999999999999E-3</v>
          </cell>
        </row>
      </sheetData>
      <sheetData sheetId="15451">
        <row r="19">
          <cell r="J19">
            <v>1.0499999999999999E-3</v>
          </cell>
        </row>
      </sheetData>
      <sheetData sheetId="15452">
        <row r="19">
          <cell r="J19">
            <v>1.0499999999999999E-3</v>
          </cell>
        </row>
      </sheetData>
      <sheetData sheetId="15453">
        <row r="19">
          <cell r="J19">
            <v>1.0499999999999999E-3</v>
          </cell>
        </row>
      </sheetData>
      <sheetData sheetId="15454">
        <row r="19">
          <cell r="J19">
            <v>1.0499999999999999E-3</v>
          </cell>
        </row>
      </sheetData>
      <sheetData sheetId="15455">
        <row r="19">
          <cell r="J19">
            <v>1.0499999999999999E-3</v>
          </cell>
        </row>
      </sheetData>
      <sheetData sheetId="15456">
        <row r="19">
          <cell r="J19">
            <v>1.0499999999999999E-3</v>
          </cell>
        </row>
      </sheetData>
      <sheetData sheetId="15457">
        <row r="19">
          <cell r="J19">
            <v>1.0499999999999999E-3</v>
          </cell>
        </row>
      </sheetData>
      <sheetData sheetId="15458">
        <row r="19">
          <cell r="J19">
            <v>1.0499999999999999E-3</v>
          </cell>
        </row>
      </sheetData>
      <sheetData sheetId="15459">
        <row r="19">
          <cell r="J19">
            <v>1.0499999999999999E-3</v>
          </cell>
        </row>
      </sheetData>
      <sheetData sheetId="15460">
        <row r="19">
          <cell r="J19">
            <v>1.0499999999999999E-3</v>
          </cell>
        </row>
      </sheetData>
      <sheetData sheetId="15461">
        <row r="19">
          <cell r="J19">
            <v>1.0499999999999999E-3</v>
          </cell>
        </row>
      </sheetData>
      <sheetData sheetId="15462">
        <row r="19">
          <cell r="J19">
            <v>1.0499999999999999E-3</v>
          </cell>
        </row>
      </sheetData>
      <sheetData sheetId="15463">
        <row r="19">
          <cell r="J19">
            <v>1.0499999999999999E-3</v>
          </cell>
        </row>
      </sheetData>
      <sheetData sheetId="15464">
        <row r="19">
          <cell r="J19">
            <v>1.0499999999999999E-3</v>
          </cell>
        </row>
      </sheetData>
      <sheetData sheetId="15465">
        <row r="19">
          <cell r="J19">
            <v>1.0499999999999999E-3</v>
          </cell>
        </row>
      </sheetData>
      <sheetData sheetId="15466">
        <row r="19">
          <cell r="J19">
            <v>1.0499999999999999E-3</v>
          </cell>
        </row>
      </sheetData>
      <sheetData sheetId="15467">
        <row r="19">
          <cell r="J19">
            <v>1.0499999999999999E-3</v>
          </cell>
        </row>
      </sheetData>
      <sheetData sheetId="15468">
        <row r="19">
          <cell r="J19">
            <v>1.0499999999999999E-3</v>
          </cell>
        </row>
      </sheetData>
      <sheetData sheetId="15469">
        <row r="19">
          <cell r="J19">
            <v>1.0499999999999999E-3</v>
          </cell>
        </row>
      </sheetData>
      <sheetData sheetId="15470">
        <row r="19">
          <cell r="J19">
            <v>1.0499999999999999E-3</v>
          </cell>
        </row>
      </sheetData>
      <sheetData sheetId="15471">
        <row r="19">
          <cell r="J19">
            <v>1.0499999999999999E-3</v>
          </cell>
        </row>
      </sheetData>
      <sheetData sheetId="15472">
        <row r="19">
          <cell r="J19">
            <v>1.0499999999999999E-3</v>
          </cell>
        </row>
      </sheetData>
      <sheetData sheetId="15473">
        <row r="19">
          <cell r="J19">
            <v>1.0499999999999999E-3</v>
          </cell>
        </row>
      </sheetData>
      <sheetData sheetId="15474">
        <row r="19">
          <cell r="J19">
            <v>1.0499999999999999E-3</v>
          </cell>
        </row>
      </sheetData>
      <sheetData sheetId="15475">
        <row r="19">
          <cell r="J19">
            <v>1.0499999999999999E-3</v>
          </cell>
        </row>
      </sheetData>
      <sheetData sheetId="15476">
        <row r="19">
          <cell r="J19">
            <v>1.0499999999999999E-3</v>
          </cell>
        </row>
      </sheetData>
      <sheetData sheetId="15477">
        <row r="19">
          <cell r="J19">
            <v>1.0499999999999999E-3</v>
          </cell>
        </row>
      </sheetData>
      <sheetData sheetId="15478">
        <row r="19">
          <cell r="J19">
            <v>1.0499999999999999E-3</v>
          </cell>
        </row>
      </sheetData>
      <sheetData sheetId="15479">
        <row r="19">
          <cell r="J19">
            <v>1.0499999999999999E-3</v>
          </cell>
        </row>
      </sheetData>
      <sheetData sheetId="15480">
        <row r="19">
          <cell r="J19">
            <v>1.0499999999999999E-3</v>
          </cell>
        </row>
      </sheetData>
      <sheetData sheetId="15481">
        <row r="19">
          <cell r="J19">
            <v>1.0499999999999999E-3</v>
          </cell>
        </row>
      </sheetData>
      <sheetData sheetId="15482">
        <row r="19">
          <cell r="J19">
            <v>1.0499999999999999E-3</v>
          </cell>
        </row>
      </sheetData>
      <sheetData sheetId="15483">
        <row r="19">
          <cell r="J19">
            <v>1.0499999999999999E-3</v>
          </cell>
        </row>
      </sheetData>
      <sheetData sheetId="15484">
        <row r="19">
          <cell r="J19">
            <v>1.0499999999999999E-3</v>
          </cell>
        </row>
      </sheetData>
      <sheetData sheetId="15485">
        <row r="19">
          <cell r="J19">
            <v>1.0499999999999999E-3</v>
          </cell>
        </row>
      </sheetData>
      <sheetData sheetId="15486">
        <row r="19">
          <cell r="J19">
            <v>1.0499999999999999E-3</v>
          </cell>
        </row>
      </sheetData>
      <sheetData sheetId="15487">
        <row r="19">
          <cell r="J19">
            <v>1.0499999999999999E-3</v>
          </cell>
        </row>
      </sheetData>
      <sheetData sheetId="15488">
        <row r="19">
          <cell r="J19">
            <v>1.0499999999999999E-3</v>
          </cell>
        </row>
      </sheetData>
      <sheetData sheetId="15489">
        <row r="19">
          <cell r="J19">
            <v>1.0499999999999999E-3</v>
          </cell>
        </row>
      </sheetData>
      <sheetData sheetId="15490">
        <row r="19">
          <cell r="J19">
            <v>1.0499999999999999E-3</v>
          </cell>
        </row>
      </sheetData>
      <sheetData sheetId="15491">
        <row r="19">
          <cell r="J19">
            <v>1.0499999999999999E-3</v>
          </cell>
        </row>
      </sheetData>
      <sheetData sheetId="15492">
        <row r="19">
          <cell r="J19">
            <v>1.0499999999999999E-3</v>
          </cell>
        </row>
      </sheetData>
      <sheetData sheetId="15493">
        <row r="19">
          <cell r="J19">
            <v>1.0499999999999999E-3</v>
          </cell>
        </row>
      </sheetData>
      <sheetData sheetId="15494">
        <row r="19">
          <cell r="J19">
            <v>1.0499999999999999E-3</v>
          </cell>
        </row>
      </sheetData>
      <sheetData sheetId="15495">
        <row r="19">
          <cell r="J19">
            <v>1.0499999999999999E-3</v>
          </cell>
        </row>
      </sheetData>
      <sheetData sheetId="15496">
        <row r="19">
          <cell r="J19">
            <v>1.0499999999999999E-3</v>
          </cell>
        </row>
      </sheetData>
      <sheetData sheetId="15497">
        <row r="19">
          <cell r="J19">
            <v>1.0499999999999999E-3</v>
          </cell>
        </row>
      </sheetData>
      <sheetData sheetId="15498">
        <row r="19">
          <cell r="J19">
            <v>1.0499999999999999E-3</v>
          </cell>
        </row>
      </sheetData>
      <sheetData sheetId="15499">
        <row r="19">
          <cell r="J19">
            <v>1.0499999999999999E-3</v>
          </cell>
        </row>
      </sheetData>
      <sheetData sheetId="15500">
        <row r="19">
          <cell r="J19">
            <v>1.0499999999999999E-3</v>
          </cell>
        </row>
      </sheetData>
      <sheetData sheetId="15501">
        <row r="19">
          <cell r="J19">
            <v>1.0499999999999999E-3</v>
          </cell>
        </row>
      </sheetData>
      <sheetData sheetId="15502">
        <row r="19">
          <cell r="J19">
            <v>1.0499999999999999E-3</v>
          </cell>
        </row>
      </sheetData>
      <sheetData sheetId="15503">
        <row r="19">
          <cell r="J19">
            <v>1.0499999999999999E-3</v>
          </cell>
        </row>
      </sheetData>
      <sheetData sheetId="15504">
        <row r="19">
          <cell r="J19">
            <v>1.0499999999999999E-3</v>
          </cell>
        </row>
      </sheetData>
      <sheetData sheetId="15505">
        <row r="19">
          <cell r="J19">
            <v>1.0499999999999999E-3</v>
          </cell>
        </row>
      </sheetData>
      <sheetData sheetId="15506">
        <row r="19">
          <cell r="J19">
            <v>1.0499999999999999E-3</v>
          </cell>
        </row>
      </sheetData>
      <sheetData sheetId="15507">
        <row r="19">
          <cell r="J19">
            <v>1.0499999999999999E-3</v>
          </cell>
        </row>
      </sheetData>
      <sheetData sheetId="15508">
        <row r="19">
          <cell r="J19">
            <v>1.0499999999999999E-3</v>
          </cell>
        </row>
      </sheetData>
      <sheetData sheetId="15509">
        <row r="19">
          <cell r="J19">
            <v>1.0499999999999999E-3</v>
          </cell>
        </row>
      </sheetData>
      <sheetData sheetId="15510">
        <row r="19">
          <cell r="J19">
            <v>1.0499999999999999E-3</v>
          </cell>
        </row>
      </sheetData>
      <sheetData sheetId="15511">
        <row r="19">
          <cell r="J19">
            <v>1.0499999999999999E-3</v>
          </cell>
        </row>
      </sheetData>
      <sheetData sheetId="15512">
        <row r="19">
          <cell r="J19">
            <v>1.0499999999999999E-3</v>
          </cell>
        </row>
      </sheetData>
      <sheetData sheetId="15513">
        <row r="19">
          <cell r="J19">
            <v>1.0499999999999999E-3</v>
          </cell>
        </row>
      </sheetData>
      <sheetData sheetId="15514">
        <row r="19">
          <cell r="J19">
            <v>1.0499999999999999E-3</v>
          </cell>
        </row>
      </sheetData>
      <sheetData sheetId="15515">
        <row r="19">
          <cell r="J19">
            <v>1.0499999999999999E-3</v>
          </cell>
        </row>
      </sheetData>
      <sheetData sheetId="15516">
        <row r="19">
          <cell r="J19">
            <v>1.0499999999999999E-3</v>
          </cell>
        </row>
      </sheetData>
      <sheetData sheetId="15517">
        <row r="19">
          <cell r="J19">
            <v>1.0499999999999999E-3</v>
          </cell>
        </row>
      </sheetData>
      <sheetData sheetId="15518">
        <row r="19">
          <cell r="J19">
            <v>1.0499999999999999E-3</v>
          </cell>
        </row>
      </sheetData>
      <sheetData sheetId="15519">
        <row r="19">
          <cell r="J19">
            <v>1.0499999999999999E-3</v>
          </cell>
        </row>
      </sheetData>
      <sheetData sheetId="15520">
        <row r="19">
          <cell r="J19">
            <v>1.0499999999999999E-3</v>
          </cell>
        </row>
      </sheetData>
      <sheetData sheetId="15521">
        <row r="19">
          <cell r="J19">
            <v>1.0499999999999999E-3</v>
          </cell>
        </row>
      </sheetData>
      <sheetData sheetId="15522">
        <row r="19">
          <cell r="J19">
            <v>1.0499999999999999E-3</v>
          </cell>
        </row>
      </sheetData>
      <sheetData sheetId="15523">
        <row r="19">
          <cell r="J19">
            <v>1.0499999999999999E-3</v>
          </cell>
        </row>
      </sheetData>
      <sheetData sheetId="15524">
        <row r="19">
          <cell r="J19">
            <v>1.0499999999999999E-3</v>
          </cell>
        </row>
      </sheetData>
      <sheetData sheetId="15525">
        <row r="19">
          <cell r="J19">
            <v>1.0499999999999999E-3</v>
          </cell>
        </row>
      </sheetData>
      <sheetData sheetId="15526">
        <row r="19">
          <cell r="J19">
            <v>1.0499999999999999E-3</v>
          </cell>
        </row>
      </sheetData>
      <sheetData sheetId="15527">
        <row r="19">
          <cell r="J19">
            <v>1.0499999999999999E-3</v>
          </cell>
        </row>
      </sheetData>
      <sheetData sheetId="15528">
        <row r="19">
          <cell r="J19">
            <v>1.0499999999999999E-3</v>
          </cell>
        </row>
      </sheetData>
      <sheetData sheetId="15529">
        <row r="19">
          <cell r="J19">
            <v>1.0499999999999999E-3</v>
          </cell>
        </row>
      </sheetData>
      <sheetData sheetId="15530">
        <row r="19">
          <cell r="J19">
            <v>1.0499999999999999E-3</v>
          </cell>
        </row>
      </sheetData>
      <sheetData sheetId="15531">
        <row r="19">
          <cell r="J19">
            <v>1.0499999999999999E-3</v>
          </cell>
        </row>
      </sheetData>
      <sheetData sheetId="15532">
        <row r="19">
          <cell r="J19">
            <v>1.0499999999999999E-3</v>
          </cell>
        </row>
      </sheetData>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ow r="19">
          <cell r="J19">
            <v>1.0499999999999999E-3</v>
          </cell>
        </row>
      </sheetData>
      <sheetData sheetId="15606">
        <row r="19">
          <cell r="J19">
            <v>1.0499999999999999E-3</v>
          </cell>
        </row>
      </sheetData>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ow r="19">
          <cell r="J19">
            <v>1.0499999999999999E-3</v>
          </cell>
        </row>
      </sheetData>
      <sheetData sheetId="15796" refreshError="1"/>
      <sheetData sheetId="15797" refreshError="1"/>
      <sheetData sheetId="15798" refreshError="1"/>
      <sheetData sheetId="15799" refreshError="1"/>
      <sheetData sheetId="15800">
        <row r="19">
          <cell r="J19">
            <v>1.0499999999999999E-3</v>
          </cell>
        </row>
      </sheetData>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ow r="19">
          <cell r="J19">
            <v>1.0499999999999999E-3</v>
          </cell>
        </row>
      </sheetData>
      <sheetData sheetId="15836" refreshError="1"/>
      <sheetData sheetId="15837">
        <row r="19">
          <cell r="J19">
            <v>1.0499999999999999E-3</v>
          </cell>
        </row>
      </sheetData>
      <sheetData sheetId="15838" refreshError="1"/>
      <sheetData sheetId="15839" refreshError="1"/>
      <sheetData sheetId="15840">
        <row r="19">
          <cell r="J19">
            <v>1.0499999999999999E-3</v>
          </cell>
        </row>
      </sheetData>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ow r="19">
          <cell r="J19">
            <v>1.0499999999999999E-3</v>
          </cell>
        </row>
      </sheetData>
      <sheetData sheetId="15856" refreshError="1"/>
      <sheetData sheetId="15857" refreshError="1"/>
      <sheetData sheetId="15858" refreshError="1"/>
      <sheetData sheetId="15859" refreshError="1"/>
      <sheetData sheetId="15860"/>
      <sheetData sheetId="15861" refreshError="1"/>
      <sheetData sheetId="15862" refreshError="1"/>
      <sheetData sheetId="15863" refreshError="1"/>
      <sheetData sheetId="15864" refreshError="1"/>
      <sheetData sheetId="15865" refreshError="1"/>
      <sheetData sheetId="15866" refreshError="1"/>
      <sheetData sheetId="15867">
        <row r="19">
          <cell r="J19">
            <v>1.0499999999999999E-3</v>
          </cell>
        </row>
      </sheetData>
      <sheetData sheetId="15868">
        <row r="19">
          <cell r="J19">
            <v>1.0499999999999999E-3</v>
          </cell>
        </row>
      </sheetData>
      <sheetData sheetId="15869"/>
      <sheetData sheetId="15870"/>
      <sheetData sheetId="15871">
        <row r="19">
          <cell r="J19">
            <v>1.0499999999999999E-3</v>
          </cell>
        </row>
      </sheetData>
      <sheetData sheetId="15872">
        <row r="19">
          <cell r="J19">
            <v>1.0499999999999999E-3</v>
          </cell>
        </row>
      </sheetData>
      <sheetData sheetId="158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sheetName val="Top Sheet_ISO"/>
      <sheetName val="Top sheet"/>
      <sheetName val="Tender-A"/>
      <sheetName val="Tender-C"/>
      <sheetName val="rate-anayl"/>
      <sheetName val="Sheeting"/>
      <sheetName val="Concrete Analysis"/>
      <sheetName val="Concrete_Rate Analysis"/>
      <sheetName val="Major"/>
      <sheetName val="Sheet1"/>
      <sheetName val="#RE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ow r="400">
          <cell r="C400" t="str">
            <v>GM</v>
          </cell>
          <cell r="D400">
            <v>0</v>
          </cell>
          <cell r="E400">
            <v>0</v>
          </cell>
          <cell r="F400">
            <v>187500</v>
          </cell>
        </row>
        <row r="401">
          <cell r="C401" t="str">
            <v>DGM</v>
          </cell>
          <cell r="D401">
            <v>0</v>
          </cell>
          <cell r="E401">
            <v>0</v>
          </cell>
          <cell r="F401">
            <v>126200</v>
          </cell>
        </row>
        <row r="402">
          <cell r="C402" t="str">
            <v>AGM</v>
          </cell>
          <cell r="D402">
            <v>1</v>
          </cell>
          <cell r="E402">
            <v>23</v>
          </cell>
          <cell r="F402">
            <v>101300</v>
          </cell>
        </row>
        <row r="403">
          <cell r="C403" t="str">
            <v>M</v>
          </cell>
          <cell r="D403">
            <v>4</v>
          </cell>
          <cell r="E403">
            <v>71</v>
          </cell>
          <cell r="F403">
            <v>80000</v>
          </cell>
        </row>
        <row r="404">
          <cell r="C404" t="str">
            <v>SE</v>
          </cell>
          <cell r="D404">
            <v>7</v>
          </cell>
          <cell r="E404">
            <v>120</v>
          </cell>
          <cell r="F404">
            <v>46800</v>
          </cell>
        </row>
        <row r="405">
          <cell r="C405" t="str">
            <v>E</v>
          </cell>
          <cell r="D405">
            <v>8</v>
          </cell>
          <cell r="E405">
            <v>147</v>
          </cell>
          <cell r="F405">
            <v>41700</v>
          </cell>
        </row>
        <row r="406">
          <cell r="C406" t="str">
            <v>AE</v>
          </cell>
          <cell r="D406">
            <v>8</v>
          </cell>
          <cell r="E406">
            <v>149</v>
          </cell>
          <cell r="F406">
            <v>38400</v>
          </cell>
        </row>
        <row r="407">
          <cell r="C407" t="str">
            <v>SUP</v>
          </cell>
          <cell r="D407">
            <v>3</v>
          </cell>
          <cell r="E407">
            <v>34</v>
          </cell>
          <cell r="F407">
            <v>33500</v>
          </cell>
        </row>
        <row r="408">
          <cell r="C408" t="str">
            <v>FORE</v>
          </cell>
          <cell r="D408">
            <v>2</v>
          </cell>
          <cell r="E408">
            <v>25</v>
          </cell>
          <cell r="F408">
            <v>33400</v>
          </cell>
        </row>
        <row r="409">
          <cell r="C409" t="str">
            <v>TEMP</v>
          </cell>
          <cell r="D409">
            <v>3</v>
          </cell>
          <cell r="E409">
            <v>69</v>
          </cell>
          <cell r="F409">
            <v>20000</v>
          </cell>
        </row>
      </sheetData>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 val="BLR 1"/>
      <sheetName val="GEN"/>
      <sheetName val="GAS"/>
      <sheetName val="DEAE"/>
      <sheetName val="BLR2"/>
      <sheetName val="BLR3"/>
      <sheetName val="BLR4"/>
      <sheetName val="BLR5"/>
      <sheetName val="DEM"/>
      <sheetName val="SAM"/>
      <sheetName val="CHEM"/>
      <sheetName val="COP"/>
      <sheetName val="BM"/>
      <sheetName val="八幡"/>
      <sheetName val="GM 000"/>
      <sheetName val="PRECAST lightconc-II"/>
      <sheetName val="csdim"/>
      <sheetName val="cdsload"/>
      <sheetName val="chsload"/>
      <sheetName val="CLAMP"/>
      <sheetName val="cvsload"/>
      <sheetName val="pipe"/>
      <sheetName val="Cash2"/>
      <sheetName val="Z"/>
      <sheetName val="환산표"/>
      <sheetName val="TTL"/>
      <sheetName val="fdn_bm_pro"/>
      <sheetName val="일위대가"/>
      <sheetName val="BLR_11"/>
      <sheetName val="GM_000"/>
      <sheetName val="PRECAST_lightconc-II"/>
      <sheetName val="BLR_1"/>
      <sheetName val="노임단가"/>
      <sheetName val="자재단가"/>
      <sheetName val="6-2차"/>
      <sheetName val="Code 02"/>
      <sheetName val="Code 03"/>
      <sheetName val="Code 04"/>
      <sheetName val="Code 05"/>
      <sheetName val="Code 06"/>
      <sheetName val="Code 07"/>
      <sheetName val="Code 09"/>
      <sheetName val="Code03"/>
      <sheetName val="Summary"/>
      <sheetName val="5-Digit"/>
      <sheetName val="MixBed"/>
      <sheetName val="CondPol"/>
      <sheetName val="Inputs"/>
      <sheetName val="BD"/>
      <sheetName val="당초"/>
      <sheetName val="LAB"/>
      <sheetName val="4300 UTILITY BLDG (2)"/>
      <sheetName val="WT-LIST"/>
      <sheetName val="예가표"/>
      <sheetName val="INS"/>
      <sheetName val="BLR_12"/>
      <sheetName val="GM_0001"/>
      <sheetName val="PRECAST_lightconc-II1"/>
      <sheetName val="ECL"/>
      <sheetName val="대비내역"/>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List-1"/>
      <sheetName val="Detail Packing Iist "/>
      <sheetName val="Shipping Mark"/>
      <sheetName val="Shipping Mark (2)"/>
      <sheetName val="Shipping Mark (3)"/>
      <sheetName val="eq_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 1"/>
      <sheetName val="LOCAL 2"/>
      <sheetName val="LOCAL 3"/>
      <sheetName val="LOCAL- CHEM"/>
      <sheetName val="IMPORT 1"/>
      <sheetName val="IMPORT 2"/>
      <sheetName val="IMPORT- CHEM"/>
      <sheetName val="TRANSPORT"/>
      <sheetName val="YARD,  SHOP"/>
      <sheetName val="ENGG. - EXEC."/>
      <sheetName val="MANPO.-Eng &amp; Exe"/>
      <sheetName val="MANPO.- Site &amp; Precom-Com"/>
      <sheetName val="CIVIL 1"/>
      <sheetName val="CIVIL 2"/>
      <sheetName val="SITE 1"/>
      <sheetName val="SITE 2"/>
      <sheetName val="SITE 3"/>
      <sheetName val="SITE FACI."/>
      <sheetName val="COLLAB."/>
      <sheetName val="IND-SPARE"/>
      <sheetName val="IMP-SPARE"/>
      <sheetName val="FOR SMG"/>
      <sheetName val="Module3"/>
      <sheetName val="Module1"/>
      <sheetName val="Module2"/>
    </sheetNames>
    <sheetDataSet>
      <sheetData sheetId="0">
        <row r="73">
          <cell r="F73" t="str">
            <v>BEF</v>
          </cell>
        </row>
        <row r="74">
          <cell r="F74" t="str">
            <v>DM</v>
          </cell>
        </row>
        <row r="75">
          <cell r="F75" t="str">
            <v>FFR</v>
          </cell>
        </row>
        <row r="76">
          <cell r="F76" t="str">
            <v>GBP</v>
          </cell>
        </row>
        <row r="77">
          <cell r="F77" t="str">
            <v>INR</v>
          </cell>
        </row>
        <row r="78">
          <cell r="F78" t="str">
            <v>ITL</v>
          </cell>
        </row>
        <row r="79">
          <cell r="F79" t="str">
            <v>JPY</v>
          </cell>
        </row>
        <row r="80">
          <cell r="F80" t="str">
            <v>NLG</v>
          </cell>
        </row>
        <row r="81">
          <cell r="F81" t="str">
            <v>SFR</v>
          </cell>
        </row>
        <row r="82">
          <cell r="F82" t="str">
            <v>USD</v>
          </cell>
        </row>
        <row r="137">
          <cell r="F137" t="str">
            <v>C&amp;F</v>
          </cell>
        </row>
        <row r="138">
          <cell r="F138" t="str">
            <v>CIF</v>
          </cell>
        </row>
        <row r="139">
          <cell r="F139" t="str">
            <v>EXW</v>
          </cell>
        </row>
        <row r="140">
          <cell r="F140" t="str">
            <v>FOB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
  <sheetViews>
    <sheetView topLeftCell="A130" workbookViewId="0">
      <selection activeCell="U60" sqref="U60"/>
    </sheetView>
  </sheetViews>
  <sheetFormatPr defaultRowHeight="15"/>
  <cols>
    <col min="9" max="9" width="15.140625" customWidth="1"/>
    <col min="17" max="17" width="18.28515625" customWidth="1"/>
  </cols>
  <sheetData>
    <row r="1" spans="1:17" ht="21">
      <c r="A1" s="494" t="s">
        <v>0</v>
      </c>
      <c r="B1" s="494"/>
      <c r="C1" s="494"/>
      <c r="D1" s="494"/>
      <c r="E1" s="494"/>
      <c r="F1" s="494"/>
      <c r="G1" s="494"/>
      <c r="H1" s="494"/>
      <c r="I1" s="494"/>
      <c r="J1" s="494"/>
      <c r="K1" s="494"/>
      <c r="L1" s="494"/>
      <c r="M1" s="494"/>
      <c r="N1" s="494"/>
      <c r="O1" s="494"/>
      <c r="P1" s="494"/>
      <c r="Q1" s="494"/>
    </row>
    <row r="2" spans="1:17" ht="21">
      <c r="A2" s="494" t="s">
        <v>1</v>
      </c>
      <c r="B2" s="494"/>
      <c r="C2" s="494"/>
      <c r="D2" s="494"/>
      <c r="E2" s="494"/>
      <c r="F2" s="494"/>
      <c r="G2" s="494"/>
      <c r="H2" s="494"/>
      <c r="I2" s="494"/>
      <c r="J2" s="494"/>
      <c r="K2" s="494"/>
      <c r="L2" s="494"/>
      <c r="M2" s="494"/>
      <c r="N2" s="494"/>
      <c r="O2" s="494"/>
      <c r="P2" s="494"/>
      <c r="Q2" s="494"/>
    </row>
    <row r="3" spans="1:17" ht="21">
      <c r="A3" s="494" t="s">
        <v>2</v>
      </c>
      <c r="B3" s="494"/>
      <c r="C3" s="494"/>
      <c r="D3" s="494"/>
      <c r="E3" s="494"/>
      <c r="F3" s="494"/>
      <c r="G3" s="494"/>
      <c r="H3" s="494"/>
      <c r="I3" s="494"/>
      <c r="J3" s="494"/>
      <c r="K3" s="494"/>
      <c r="L3" s="494"/>
      <c r="M3" s="494"/>
      <c r="N3" s="494"/>
      <c r="O3" s="494"/>
      <c r="P3" s="494"/>
      <c r="Q3" s="494"/>
    </row>
    <row r="4" spans="1:17" ht="18.75">
      <c r="A4" s="495" t="s">
        <v>3</v>
      </c>
      <c r="B4" s="495"/>
      <c r="C4" s="495"/>
      <c r="D4" s="495"/>
      <c r="E4" s="495"/>
      <c r="F4" s="495"/>
      <c r="G4" s="495"/>
      <c r="H4" s="495"/>
      <c r="I4" s="495"/>
      <c r="J4" s="495"/>
      <c r="K4" s="495"/>
      <c r="L4" s="495"/>
      <c r="M4" s="495"/>
      <c r="N4" s="495"/>
      <c r="O4" s="495"/>
      <c r="P4" s="495"/>
      <c r="Q4" s="495"/>
    </row>
    <row r="5" spans="1:17" ht="21">
      <c r="A5" s="496" t="s">
        <v>4</v>
      </c>
      <c r="B5" s="496"/>
      <c r="C5" s="496"/>
      <c r="D5" s="496"/>
      <c r="E5" s="496"/>
      <c r="F5" s="496"/>
      <c r="G5" s="496"/>
      <c r="H5" s="496"/>
      <c r="I5" s="496"/>
      <c r="J5" s="496"/>
      <c r="K5" s="496"/>
      <c r="L5" s="496"/>
      <c r="M5" s="496"/>
      <c r="N5" s="496"/>
      <c r="O5" s="484"/>
      <c r="P5" s="484"/>
      <c r="Q5" s="484"/>
    </row>
    <row r="6" spans="1:17" ht="21">
      <c r="A6" s="491" t="s">
        <v>5</v>
      </c>
      <c r="B6" s="491"/>
      <c r="C6" s="492" t="s">
        <v>2010</v>
      </c>
      <c r="D6" s="492"/>
      <c r="E6" s="492"/>
      <c r="F6" s="457"/>
      <c r="G6" s="457"/>
      <c r="H6" s="457"/>
      <c r="I6" s="457"/>
      <c r="J6" s="457"/>
      <c r="K6" s="457"/>
      <c r="L6" s="457"/>
      <c r="M6" s="457"/>
      <c r="N6" s="457"/>
      <c r="O6" s="457"/>
      <c r="P6" s="457"/>
      <c r="Q6" s="457"/>
    </row>
    <row r="7" spans="1:17" ht="21">
      <c r="A7" s="491" t="s">
        <v>6</v>
      </c>
      <c r="B7" s="491"/>
      <c r="C7" s="492" t="s">
        <v>372</v>
      </c>
      <c r="D7" s="492"/>
      <c r="E7" s="492"/>
      <c r="F7" s="457"/>
      <c r="G7" s="457"/>
      <c r="H7" s="457"/>
      <c r="I7" s="457"/>
      <c r="J7" s="457"/>
      <c r="K7" s="457"/>
      <c r="L7" s="457"/>
      <c r="M7" s="457"/>
      <c r="N7" s="457"/>
      <c r="O7" s="457"/>
      <c r="P7" s="457"/>
      <c r="Q7" s="457"/>
    </row>
    <row r="8" spans="1:17" ht="21">
      <c r="A8" s="491" t="s">
        <v>7</v>
      </c>
      <c r="B8" s="491"/>
      <c r="C8" s="492" t="s">
        <v>8</v>
      </c>
      <c r="D8" s="492"/>
      <c r="E8" s="492"/>
      <c r="F8" s="457"/>
      <c r="G8" s="457"/>
      <c r="H8" s="457"/>
      <c r="I8" s="457"/>
      <c r="J8" s="457"/>
      <c r="K8" s="457"/>
      <c r="L8" s="457"/>
      <c r="M8" s="457"/>
      <c r="N8" s="457"/>
      <c r="O8" s="457"/>
      <c r="P8" s="457"/>
      <c r="Q8" s="457"/>
    </row>
    <row r="9" spans="1:17" ht="21">
      <c r="A9" s="491" t="s">
        <v>9</v>
      </c>
      <c r="B9" s="491"/>
      <c r="C9" s="492" t="s">
        <v>1928</v>
      </c>
      <c r="D9" s="492"/>
      <c r="E9" s="492"/>
      <c r="F9" s="457"/>
      <c r="G9" s="457"/>
      <c r="H9" s="457"/>
      <c r="I9" s="457"/>
      <c r="J9" s="457"/>
      <c r="K9" s="457"/>
      <c r="L9" s="457"/>
      <c r="M9" s="457"/>
      <c r="N9" s="457"/>
      <c r="O9" s="457"/>
      <c r="P9" s="457"/>
      <c r="Q9" s="457"/>
    </row>
    <row r="10" spans="1:17" ht="21">
      <c r="A10" s="491" t="s">
        <v>10</v>
      </c>
      <c r="B10" s="491"/>
      <c r="C10" s="492" t="s">
        <v>8</v>
      </c>
      <c r="D10" s="492"/>
      <c r="E10" s="492"/>
      <c r="F10" s="457"/>
      <c r="G10" s="457"/>
      <c r="H10" s="457"/>
      <c r="I10" s="457"/>
      <c r="J10" s="457"/>
      <c r="K10" s="457"/>
      <c r="L10" s="457"/>
      <c r="M10" s="457"/>
      <c r="N10" s="457"/>
      <c r="O10" s="457"/>
      <c r="P10" s="457"/>
      <c r="Q10" s="457"/>
    </row>
    <row r="11" spans="1:17" ht="63">
      <c r="A11" s="458" t="s">
        <v>11</v>
      </c>
      <c r="B11" s="458" t="s">
        <v>12</v>
      </c>
      <c r="C11" s="458" t="s">
        <v>13</v>
      </c>
      <c r="D11" s="458" t="s">
        <v>14</v>
      </c>
      <c r="E11" s="458" t="s">
        <v>16</v>
      </c>
      <c r="F11" s="458" t="s">
        <v>374</v>
      </c>
      <c r="G11" s="458" t="s">
        <v>18</v>
      </c>
      <c r="H11" s="458" t="s">
        <v>19</v>
      </c>
      <c r="I11" s="458" t="s">
        <v>20</v>
      </c>
      <c r="J11" s="458" t="s">
        <v>21</v>
      </c>
      <c r="K11" s="458" t="s">
        <v>22</v>
      </c>
      <c r="L11" s="458" t="s">
        <v>23</v>
      </c>
      <c r="M11" s="458" t="s">
        <v>24</v>
      </c>
      <c r="N11" s="458" t="s">
        <v>25</v>
      </c>
      <c r="O11" s="458" t="s">
        <v>26</v>
      </c>
      <c r="P11" s="458" t="s">
        <v>27</v>
      </c>
      <c r="Q11" s="459" t="s">
        <v>28</v>
      </c>
    </row>
    <row r="12" spans="1:17">
      <c r="A12" s="485">
        <v>1</v>
      </c>
      <c r="B12" s="485" t="s">
        <v>1403</v>
      </c>
      <c r="C12" s="485" t="s">
        <v>93</v>
      </c>
      <c r="D12" s="485">
        <v>63</v>
      </c>
      <c r="E12" s="485">
        <v>311.8</v>
      </c>
      <c r="F12" s="485">
        <f>(300+D12)/1000</f>
        <v>0.36299999999999999</v>
      </c>
      <c r="G12" s="485">
        <f>(1000+D12)/1000</f>
        <v>1.0629999999999999</v>
      </c>
      <c r="H12" s="485"/>
      <c r="I12" s="485"/>
      <c r="J12" s="485"/>
      <c r="K12" s="485"/>
      <c r="L12" s="485"/>
      <c r="M12" s="485"/>
      <c r="N12" s="485"/>
      <c r="O12" s="485"/>
      <c r="P12" s="485"/>
      <c r="Q12" s="485"/>
    </row>
    <row r="13" spans="1:17">
      <c r="A13" s="485">
        <v>2</v>
      </c>
      <c r="B13" s="485" t="s">
        <v>93</v>
      </c>
      <c r="C13" s="485" t="s">
        <v>94</v>
      </c>
      <c r="D13" s="485">
        <v>75</v>
      </c>
      <c r="E13" s="485">
        <v>102</v>
      </c>
      <c r="F13" s="490">
        <f t="shared" ref="F13:F76" si="0">(300+D13)/1000</f>
        <v>0.375</v>
      </c>
      <c r="G13" s="490">
        <f t="shared" ref="G13:G76" si="1">(1000+D13)/1000</f>
        <v>1.075</v>
      </c>
      <c r="H13" s="485"/>
      <c r="I13" s="485"/>
      <c r="J13" s="485"/>
      <c r="K13" s="485"/>
      <c r="L13" s="485"/>
      <c r="M13" s="485"/>
      <c r="N13" s="485"/>
      <c r="O13" s="485"/>
      <c r="P13" s="485"/>
      <c r="Q13" s="485"/>
    </row>
    <row r="14" spans="1:17">
      <c r="A14" s="485">
        <v>3</v>
      </c>
      <c r="B14" s="485" t="s">
        <v>109</v>
      </c>
      <c r="C14" s="485" t="s">
        <v>57</v>
      </c>
      <c r="D14" s="485">
        <v>90</v>
      </c>
      <c r="E14" s="485">
        <v>199.4</v>
      </c>
      <c r="F14" s="490">
        <f t="shared" si="0"/>
        <v>0.39</v>
      </c>
      <c r="G14" s="490">
        <f t="shared" si="1"/>
        <v>1.0900000000000001</v>
      </c>
      <c r="H14" s="485"/>
      <c r="I14" s="485"/>
      <c r="J14" s="485"/>
      <c r="K14" s="485"/>
      <c r="L14" s="485"/>
      <c r="M14" s="485"/>
      <c r="N14" s="485"/>
      <c r="O14" s="485"/>
      <c r="P14" s="485"/>
      <c r="Q14" s="485"/>
    </row>
    <row r="15" spans="1:17">
      <c r="A15" s="485">
        <v>4</v>
      </c>
      <c r="B15" s="485" t="s">
        <v>171</v>
      </c>
      <c r="C15" s="485" t="s">
        <v>114</v>
      </c>
      <c r="D15" s="485">
        <v>110</v>
      </c>
      <c r="E15" s="485">
        <v>176</v>
      </c>
      <c r="F15" s="490">
        <f t="shared" si="0"/>
        <v>0.41</v>
      </c>
      <c r="G15" s="490">
        <f t="shared" si="1"/>
        <v>1.1100000000000001</v>
      </c>
      <c r="H15" s="485"/>
      <c r="I15" s="485"/>
      <c r="J15" s="485"/>
      <c r="K15" s="485"/>
      <c r="L15" s="485"/>
      <c r="M15" s="485"/>
      <c r="N15" s="485"/>
      <c r="O15" s="485"/>
      <c r="P15" s="485"/>
      <c r="Q15" s="485"/>
    </row>
    <row r="16" spans="1:17">
      <c r="A16" s="485">
        <v>5</v>
      </c>
      <c r="B16" s="485" t="s">
        <v>114</v>
      </c>
      <c r="C16" s="485" t="s">
        <v>111</v>
      </c>
      <c r="D16" s="485">
        <v>110</v>
      </c>
      <c r="E16" s="485">
        <v>92.1</v>
      </c>
      <c r="F16" s="490">
        <f t="shared" si="0"/>
        <v>0.41</v>
      </c>
      <c r="G16" s="490">
        <f t="shared" si="1"/>
        <v>1.1100000000000001</v>
      </c>
      <c r="H16" s="485"/>
      <c r="I16" s="485" t="s">
        <v>1990</v>
      </c>
      <c r="J16" s="485"/>
      <c r="K16" s="485"/>
      <c r="L16" s="485"/>
      <c r="M16" s="485"/>
      <c r="N16" s="485"/>
      <c r="O16" s="485"/>
      <c r="P16" s="485"/>
      <c r="Q16" s="485"/>
    </row>
    <row r="17" spans="1:17">
      <c r="A17" s="485">
        <v>6</v>
      </c>
      <c r="B17" s="485" t="s">
        <v>319</v>
      </c>
      <c r="C17" s="485" t="s">
        <v>521</v>
      </c>
      <c r="D17" s="485">
        <v>75</v>
      </c>
      <c r="E17" s="485">
        <v>66.400000000000006</v>
      </c>
      <c r="F17" s="490">
        <f t="shared" si="0"/>
        <v>0.375</v>
      </c>
      <c r="G17" s="490">
        <f t="shared" si="1"/>
        <v>1.075</v>
      </c>
      <c r="H17" s="485"/>
      <c r="I17" s="485"/>
      <c r="J17" s="485"/>
      <c r="K17" s="485"/>
      <c r="L17" s="485"/>
      <c r="M17" s="485"/>
      <c r="N17" s="485"/>
      <c r="O17" s="485"/>
      <c r="P17" s="485"/>
      <c r="Q17" s="485"/>
    </row>
    <row r="18" spans="1:17">
      <c r="A18" s="485">
        <v>7</v>
      </c>
      <c r="B18" s="485" t="s">
        <v>521</v>
      </c>
      <c r="C18" s="485" t="s">
        <v>262</v>
      </c>
      <c r="D18" s="485">
        <v>63</v>
      </c>
      <c r="E18" s="485">
        <v>33</v>
      </c>
      <c r="F18" s="490">
        <f t="shared" si="0"/>
        <v>0.36299999999999999</v>
      </c>
      <c r="G18" s="490">
        <f t="shared" si="1"/>
        <v>1.0629999999999999</v>
      </c>
      <c r="H18" s="485"/>
      <c r="I18" s="485"/>
      <c r="J18" s="485"/>
      <c r="K18" s="485"/>
      <c r="L18" s="485"/>
      <c r="M18" s="485"/>
      <c r="N18" s="485"/>
      <c r="O18" s="485"/>
      <c r="P18" s="485"/>
      <c r="Q18" s="485"/>
    </row>
    <row r="19" spans="1:17">
      <c r="A19" s="485">
        <v>8</v>
      </c>
      <c r="B19" s="485" t="s">
        <v>521</v>
      </c>
      <c r="C19" s="485" t="s">
        <v>262</v>
      </c>
      <c r="D19" s="485">
        <v>63</v>
      </c>
      <c r="E19" s="485">
        <v>40</v>
      </c>
      <c r="F19" s="490">
        <f t="shared" si="0"/>
        <v>0.36299999999999999</v>
      </c>
      <c r="G19" s="490">
        <f t="shared" si="1"/>
        <v>1.0629999999999999</v>
      </c>
      <c r="H19" s="485"/>
      <c r="I19" s="485" t="s">
        <v>199</v>
      </c>
      <c r="J19" s="485"/>
      <c r="K19" s="485"/>
      <c r="L19" s="485"/>
      <c r="M19" s="485"/>
      <c r="N19" s="485"/>
      <c r="O19" s="485"/>
      <c r="P19" s="485"/>
      <c r="Q19" s="485"/>
    </row>
    <row r="20" spans="1:17">
      <c r="A20" s="485">
        <v>9</v>
      </c>
      <c r="B20" s="485" t="s">
        <v>360</v>
      </c>
      <c r="C20" s="485" t="s">
        <v>419</v>
      </c>
      <c r="D20" s="485">
        <v>140</v>
      </c>
      <c r="E20" s="485">
        <v>160.6</v>
      </c>
      <c r="F20" s="490">
        <f t="shared" si="0"/>
        <v>0.44</v>
      </c>
      <c r="G20" s="490">
        <f t="shared" si="1"/>
        <v>1.1399999999999999</v>
      </c>
      <c r="H20" s="485"/>
      <c r="I20" s="485" t="s">
        <v>1990</v>
      </c>
      <c r="J20" s="485"/>
      <c r="K20" s="485"/>
      <c r="L20" s="485"/>
      <c r="M20" s="485"/>
      <c r="N20" s="485"/>
      <c r="O20" s="485"/>
      <c r="P20" s="485"/>
      <c r="Q20" s="485"/>
    </row>
    <row r="21" spans="1:17">
      <c r="A21" s="485">
        <v>10</v>
      </c>
      <c r="B21" s="485" t="s">
        <v>419</v>
      </c>
      <c r="C21" s="485" t="s">
        <v>426</v>
      </c>
      <c r="D21" s="485">
        <v>63</v>
      </c>
      <c r="E21" s="485">
        <v>44.8</v>
      </c>
      <c r="F21" s="490">
        <f t="shared" si="0"/>
        <v>0.36299999999999999</v>
      </c>
      <c r="G21" s="490">
        <f t="shared" si="1"/>
        <v>1.0629999999999999</v>
      </c>
      <c r="H21" s="485"/>
      <c r="I21" s="485" t="s">
        <v>199</v>
      </c>
      <c r="J21" s="485"/>
      <c r="K21" s="485"/>
      <c r="L21" s="485"/>
      <c r="M21" s="485"/>
      <c r="N21" s="485"/>
      <c r="O21" s="485"/>
      <c r="P21" s="485"/>
      <c r="Q21" s="485"/>
    </row>
    <row r="22" spans="1:17">
      <c r="A22" s="485">
        <v>11</v>
      </c>
      <c r="B22" s="485" t="s">
        <v>419</v>
      </c>
      <c r="C22" s="485" t="s">
        <v>524</v>
      </c>
      <c r="D22" s="485">
        <v>140</v>
      </c>
      <c r="E22" s="485">
        <v>27</v>
      </c>
      <c r="F22" s="490">
        <f t="shared" si="0"/>
        <v>0.44</v>
      </c>
      <c r="G22" s="490">
        <f t="shared" si="1"/>
        <v>1.1399999999999999</v>
      </c>
      <c r="H22" s="485"/>
      <c r="I22" s="485" t="s">
        <v>1990</v>
      </c>
      <c r="J22" s="485"/>
      <c r="K22" s="485"/>
      <c r="L22" s="485"/>
      <c r="M22" s="485"/>
      <c r="N22" s="485"/>
      <c r="O22" s="485"/>
      <c r="P22" s="485"/>
      <c r="Q22" s="485"/>
    </row>
    <row r="23" spans="1:17">
      <c r="A23" s="485">
        <v>12</v>
      </c>
      <c r="B23" s="485" t="s">
        <v>524</v>
      </c>
      <c r="C23" s="485" t="s">
        <v>254</v>
      </c>
      <c r="D23" s="485">
        <v>90</v>
      </c>
      <c r="E23" s="485">
        <v>72</v>
      </c>
      <c r="F23" s="490">
        <f t="shared" si="0"/>
        <v>0.39</v>
      </c>
      <c r="G23" s="490">
        <f t="shared" si="1"/>
        <v>1.0900000000000001</v>
      </c>
      <c r="H23" s="485"/>
      <c r="I23" s="485" t="s">
        <v>1990</v>
      </c>
      <c r="J23" s="485"/>
      <c r="K23" s="485"/>
      <c r="L23" s="485"/>
      <c r="M23" s="485"/>
      <c r="N23" s="485"/>
      <c r="O23" s="485"/>
      <c r="P23" s="485"/>
      <c r="Q23" s="485"/>
    </row>
    <row r="24" spans="1:17">
      <c r="A24" s="485">
        <v>13</v>
      </c>
      <c r="B24" s="485" t="s">
        <v>254</v>
      </c>
      <c r="C24" s="485" t="s">
        <v>277</v>
      </c>
      <c r="D24" s="485">
        <v>90</v>
      </c>
      <c r="E24" s="485">
        <v>57.7</v>
      </c>
      <c r="F24" s="490">
        <f t="shared" si="0"/>
        <v>0.39</v>
      </c>
      <c r="G24" s="490">
        <f t="shared" si="1"/>
        <v>1.0900000000000001</v>
      </c>
      <c r="H24" s="485"/>
      <c r="I24" s="485" t="s">
        <v>199</v>
      </c>
      <c r="J24" s="485"/>
      <c r="K24" s="485"/>
      <c r="L24" s="485"/>
      <c r="M24" s="485"/>
      <c r="N24" s="485"/>
      <c r="O24" s="485"/>
      <c r="P24" s="485"/>
      <c r="Q24" s="485"/>
    </row>
    <row r="25" spans="1:17">
      <c r="A25" s="485">
        <v>14</v>
      </c>
      <c r="B25" s="485" t="s">
        <v>277</v>
      </c>
      <c r="C25" s="485" t="s">
        <v>506</v>
      </c>
      <c r="D25" s="485">
        <v>90</v>
      </c>
      <c r="E25" s="485">
        <v>53</v>
      </c>
      <c r="F25" s="490">
        <f t="shared" si="0"/>
        <v>0.39</v>
      </c>
      <c r="G25" s="490">
        <f t="shared" si="1"/>
        <v>1.0900000000000001</v>
      </c>
      <c r="H25" s="485"/>
      <c r="I25" s="485" t="s">
        <v>199</v>
      </c>
      <c r="J25" s="485"/>
      <c r="K25" s="485"/>
      <c r="L25" s="485"/>
      <c r="M25" s="485"/>
      <c r="N25" s="485"/>
      <c r="O25" s="485"/>
      <c r="P25" s="485"/>
      <c r="Q25" s="485"/>
    </row>
    <row r="26" spans="1:17">
      <c r="A26" s="485">
        <v>15</v>
      </c>
      <c r="B26" s="485" t="s">
        <v>277</v>
      </c>
      <c r="C26" s="485" t="s">
        <v>506</v>
      </c>
      <c r="D26" s="485">
        <v>90</v>
      </c>
      <c r="E26" s="485">
        <v>14</v>
      </c>
      <c r="F26" s="490">
        <f t="shared" si="0"/>
        <v>0.39</v>
      </c>
      <c r="G26" s="490">
        <f t="shared" si="1"/>
        <v>1.0900000000000001</v>
      </c>
      <c r="H26" s="485"/>
      <c r="I26" s="485"/>
      <c r="J26" s="485"/>
      <c r="K26" s="485"/>
      <c r="L26" s="485"/>
      <c r="M26" s="485"/>
      <c r="N26" s="485"/>
      <c r="O26" s="485"/>
      <c r="P26" s="485"/>
      <c r="Q26" s="485"/>
    </row>
    <row r="27" spans="1:17">
      <c r="A27" s="485">
        <v>16</v>
      </c>
      <c r="B27" s="485" t="s">
        <v>277</v>
      </c>
      <c r="C27" s="485" t="s">
        <v>506</v>
      </c>
      <c r="D27" s="485">
        <v>90</v>
      </c>
      <c r="E27" s="485">
        <v>31.5</v>
      </c>
      <c r="F27" s="490">
        <f t="shared" si="0"/>
        <v>0.39</v>
      </c>
      <c r="G27" s="490">
        <f t="shared" si="1"/>
        <v>1.0900000000000001</v>
      </c>
      <c r="H27" s="485"/>
      <c r="I27" s="485" t="s">
        <v>1990</v>
      </c>
      <c r="J27" s="485"/>
      <c r="K27" s="485"/>
      <c r="L27" s="485"/>
      <c r="M27" s="485"/>
      <c r="N27" s="485"/>
      <c r="O27" s="485"/>
      <c r="P27" s="485"/>
      <c r="Q27" s="485"/>
    </row>
    <row r="28" spans="1:17">
      <c r="A28" s="485">
        <v>17</v>
      </c>
      <c r="B28" s="485" t="s">
        <v>277</v>
      </c>
      <c r="C28" s="485" t="s">
        <v>414</v>
      </c>
      <c r="D28" s="485">
        <v>63</v>
      </c>
      <c r="E28" s="485">
        <v>30</v>
      </c>
      <c r="F28" s="490">
        <f t="shared" si="0"/>
        <v>0.36299999999999999</v>
      </c>
      <c r="G28" s="490">
        <f t="shared" si="1"/>
        <v>1.0629999999999999</v>
      </c>
      <c r="H28" s="485"/>
      <c r="I28" s="485"/>
      <c r="J28" s="485"/>
      <c r="K28" s="485"/>
      <c r="L28" s="485"/>
      <c r="M28" s="485"/>
      <c r="N28" s="485"/>
      <c r="O28" s="485"/>
      <c r="P28" s="485"/>
      <c r="Q28" s="485"/>
    </row>
    <row r="29" spans="1:17">
      <c r="A29" s="485">
        <v>18</v>
      </c>
      <c r="B29" s="485" t="s">
        <v>281</v>
      </c>
      <c r="C29" s="485" t="s">
        <v>266</v>
      </c>
      <c r="D29" s="485">
        <v>63</v>
      </c>
      <c r="E29" s="485">
        <v>16</v>
      </c>
      <c r="F29" s="490">
        <f t="shared" si="0"/>
        <v>0.36299999999999999</v>
      </c>
      <c r="G29" s="490">
        <f t="shared" si="1"/>
        <v>1.0629999999999999</v>
      </c>
      <c r="H29" s="485"/>
      <c r="I29" s="485" t="s">
        <v>1990</v>
      </c>
      <c r="J29" s="485"/>
      <c r="K29" s="485"/>
      <c r="L29" s="485"/>
      <c r="M29" s="485"/>
      <c r="N29" s="485"/>
      <c r="O29" s="485"/>
      <c r="P29" s="485"/>
      <c r="Q29" s="485"/>
    </row>
    <row r="30" spans="1:17">
      <c r="A30" s="485">
        <v>19</v>
      </c>
      <c r="B30" s="485" t="s">
        <v>281</v>
      </c>
      <c r="C30" s="485" t="s">
        <v>266</v>
      </c>
      <c r="D30" s="485">
        <v>63</v>
      </c>
      <c r="E30" s="485">
        <v>150</v>
      </c>
      <c r="F30" s="490">
        <f t="shared" si="0"/>
        <v>0.36299999999999999</v>
      </c>
      <c r="G30" s="490">
        <f t="shared" si="1"/>
        <v>1.0629999999999999</v>
      </c>
      <c r="H30" s="485"/>
      <c r="I30" s="485"/>
      <c r="J30" s="485"/>
      <c r="K30" s="485"/>
      <c r="L30" s="485"/>
      <c r="M30" s="485"/>
      <c r="N30" s="485"/>
      <c r="O30" s="485"/>
      <c r="P30" s="485"/>
      <c r="Q30" s="485"/>
    </row>
    <row r="31" spans="1:17">
      <c r="A31" s="485">
        <v>20</v>
      </c>
      <c r="B31" s="485" t="s">
        <v>363</v>
      </c>
      <c r="C31" s="485" t="s">
        <v>349</v>
      </c>
      <c r="D31" s="485">
        <v>140</v>
      </c>
      <c r="E31" s="485">
        <v>40</v>
      </c>
      <c r="F31" s="490">
        <f t="shared" si="0"/>
        <v>0.44</v>
      </c>
      <c r="G31" s="490">
        <f t="shared" si="1"/>
        <v>1.1399999999999999</v>
      </c>
      <c r="H31" s="485"/>
      <c r="I31" s="485"/>
      <c r="J31" s="485"/>
      <c r="K31" s="485"/>
      <c r="L31" s="485"/>
      <c r="M31" s="485"/>
      <c r="N31" s="485"/>
      <c r="O31" s="485"/>
      <c r="P31" s="485"/>
      <c r="Q31" s="485"/>
    </row>
    <row r="32" spans="1:17">
      <c r="A32" s="485">
        <v>21</v>
      </c>
      <c r="B32" s="485" t="s">
        <v>363</v>
      </c>
      <c r="C32" s="485" t="s">
        <v>524</v>
      </c>
      <c r="D32" s="485">
        <v>140</v>
      </c>
      <c r="E32" s="485">
        <v>143</v>
      </c>
      <c r="F32" s="490">
        <f t="shared" si="0"/>
        <v>0.44</v>
      </c>
      <c r="G32" s="490">
        <f t="shared" si="1"/>
        <v>1.1399999999999999</v>
      </c>
      <c r="H32" s="485"/>
      <c r="I32" s="485" t="s">
        <v>199</v>
      </c>
      <c r="J32" s="485"/>
      <c r="K32" s="485"/>
      <c r="L32" s="485"/>
      <c r="M32" s="485"/>
      <c r="N32" s="485"/>
      <c r="O32" s="485"/>
      <c r="P32" s="485"/>
      <c r="Q32" s="485"/>
    </row>
    <row r="33" spans="1:17">
      <c r="A33" s="485">
        <v>22</v>
      </c>
      <c r="B33" s="485" t="s">
        <v>524</v>
      </c>
      <c r="C33" s="485" t="s">
        <v>446</v>
      </c>
      <c r="D33" s="485">
        <v>90</v>
      </c>
      <c r="E33" s="485">
        <v>725</v>
      </c>
      <c r="F33" s="490">
        <f t="shared" si="0"/>
        <v>0.39</v>
      </c>
      <c r="G33" s="490">
        <f t="shared" si="1"/>
        <v>1.0900000000000001</v>
      </c>
      <c r="H33" s="485"/>
      <c r="I33" s="485" t="s">
        <v>199</v>
      </c>
      <c r="J33" s="485"/>
      <c r="K33" s="485"/>
      <c r="L33" s="485"/>
      <c r="M33" s="485"/>
      <c r="N33" s="485"/>
      <c r="O33" s="485"/>
      <c r="P33" s="485"/>
      <c r="Q33" s="485"/>
    </row>
    <row r="34" spans="1:17">
      <c r="A34" s="485">
        <v>23</v>
      </c>
      <c r="B34" s="485" t="s">
        <v>524</v>
      </c>
      <c r="C34" s="485" t="s">
        <v>446</v>
      </c>
      <c r="D34" s="485">
        <v>90</v>
      </c>
      <c r="E34" s="485">
        <v>13</v>
      </c>
      <c r="F34" s="490">
        <f t="shared" si="0"/>
        <v>0.39</v>
      </c>
      <c r="G34" s="490">
        <f t="shared" si="1"/>
        <v>1.0900000000000001</v>
      </c>
      <c r="H34" s="485"/>
      <c r="I34" s="485"/>
      <c r="J34" s="485"/>
      <c r="K34" s="485"/>
      <c r="L34" s="485"/>
      <c r="M34" s="485"/>
      <c r="N34" s="485"/>
      <c r="O34" s="485"/>
      <c r="P34" s="485"/>
      <c r="Q34" s="485"/>
    </row>
    <row r="35" spans="1:17">
      <c r="A35" s="485">
        <v>24</v>
      </c>
      <c r="B35" s="485" t="s">
        <v>352</v>
      </c>
      <c r="C35" s="485" t="s">
        <v>446</v>
      </c>
      <c r="D35" s="485">
        <v>63</v>
      </c>
      <c r="E35" s="485">
        <v>44</v>
      </c>
      <c r="F35" s="490">
        <f t="shared" si="0"/>
        <v>0.36299999999999999</v>
      </c>
      <c r="G35" s="490">
        <f t="shared" si="1"/>
        <v>1.0629999999999999</v>
      </c>
      <c r="H35" s="485"/>
      <c r="I35" s="485"/>
      <c r="J35" s="485"/>
      <c r="K35" s="485"/>
      <c r="L35" s="485"/>
      <c r="M35" s="485"/>
      <c r="N35" s="485"/>
      <c r="O35" s="485"/>
      <c r="P35" s="485"/>
      <c r="Q35" s="485"/>
    </row>
    <row r="36" spans="1:17">
      <c r="A36" s="485">
        <v>25</v>
      </c>
      <c r="B36" s="485" t="s">
        <v>446</v>
      </c>
      <c r="C36" s="485" t="s">
        <v>348</v>
      </c>
      <c r="D36" s="485">
        <v>63</v>
      </c>
      <c r="E36" s="485">
        <v>120</v>
      </c>
      <c r="F36" s="490">
        <f t="shared" si="0"/>
        <v>0.36299999999999999</v>
      </c>
      <c r="G36" s="490">
        <f t="shared" si="1"/>
        <v>1.0629999999999999</v>
      </c>
      <c r="H36" s="485"/>
      <c r="I36" s="485"/>
      <c r="J36" s="485"/>
      <c r="K36" s="485"/>
      <c r="L36" s="485"/>
      <c r="M36" s="485"/>
      <c r="N36" s="485"/>
      <c r="O36" s="485"/>
      <c r="P36" s="485"/>
      <c r="Q36" s="485"/>
    </row>
    <row r="37" spans="1:17">
      <c r="A37" s="485">
        <v>26</v>
      </c>
      <c r="B37" s="485" t="s">
        <v>446</v>
      </c>
      <c r="C37" s="485" t="s">
        <v>243</v>
      </c>
      <c r="D37" s="485">
        <v>75</v>
      </c>
      <c r="E37" s="485">
        <v>14.1</v>
      </c>
      <c r="F37" s="490">
        <f t="shared" si="0"/>
        <v>0.375</v>
      </c>
      <c r="G37" s="490">
        <f t="shared" si="1"/>
        <v>1.075</v>
      </c>
      <c r="H37" s="485"/>
      <c r="I37" s="485"/>
      <c r="J37" s="485"/>
      <c r="K37" s="485"/>
      <c r="L37" s="485"/>
      <c r="M37" s="485"/>
      <c r="N37" s="485"/>
      <c r="O37" s="485"/>
      <c r="P37" s="485"/>
      <c r="Q37" s="485"/>
    </row>
    <row r="38" spans="1:17">
      <c r="A38" s="485">
        <v>27</v>
      </c>
      <c r="B38" s="485" t="s">
        <v>243</v>
      </c>
      <c r="C38" s="485" t="s">
        <v>244</v>
      </c>
      <c r="D38" s="485">
        <v>63</v>
      </c>
      <c r="E38" s="485">
        <v>95.2</v>
      </c>
      <c r="F38" s="490">
        <f t="shared" si="0"/>
        <v>0.36299999999999999</v>
      </c>
      <c r="G38" s="490">
        <f t="shared" si="1"/>
        <v>1.0629999999999999</v>
      </c>
      <c r="H38" s="485"/>
      <c r="I38" s="485"/>
      <c r="J38" s="485"/>
      <c r="K38" s="485"/>
      <c r="L38" s="485"/>
      <c r="M38" s="485"/>
      <c r="N38" s="485"/>
      <c r="O38" s="485"/>
      <c r="P38" s="485"/>
      <c r="Q38" s="485"/>
    </row>
    <row r="39" spans="1:17">
      <c r="A39" s="485">
        <v>28</v>
      </c>
      <c r="B39" s="485" t="s">
        <v>243</v>
      </c>
      <c r="C39" s="485" t="s">
        <v>344</v>
      </c>
      <c r="D39" s="485">
        <v>63</v>
      </c>
      <c r="E39" s="485">
        <v>70</v>
      </c>
      <c r="F39" s="490">
        <f t="shared" si="0"/>
        <v>0.36299999999999999</v>
      </c>
      <c r="G39" s="490">
        <f t="shared" si="1"/>
        <v>1.0629999999999999</v>
      </c>
      <c r="H39" s="485"/>
      <c r="I39" s="485"/>
      <c r="J39" s="485"/>
      <c r="K39" s="485"/>
      <c r="L39" s="485"/>
      <c r="M39" s="485"/>
      <c r="N39" s="485"/>
      <c r="O39" s="485"/>
      <c r="P39" s="485"/>
      <c r="Q39" s="485"/>
    </row>
    <row r="40" spans="1:17">
      <c r="A40" s="485">
        <v>29</v>
      </c>
      <c r="B40" s="485" t="s">
        <v>344</v>
      </c>
      <c r="C40" s="485" t="s">
        <v>345</v>
      </c>
      <c r="D40" s="485">
        <v>63</v>
      </c>
      <c r="E40" s="485">
        <v>83.1</v>
      </c>
      <c r="F40" s="490">
        <f t="shared" si="0"/>
        <v>0.36299999999999999</v>
      </c>
      <c r="G40" s="490">
        <f t="shared" si="1"/>
        <v>1.0629999999999999</v>
      </c>
      <c r="H40" s="485"/>
      <c r="I40" s="485"/>
      <c r="J40" s="485"/>
      <c r="K40" s="485"/>
      <c r="L40" s="485"/>
      <c r="M40" s="485"/>
      <c r="N40" s="485"/>
      <c r="O40" s="485"/>
      <c r="P40" s="485"/>
      <c r="Q40" s="485"/>
    </row>
    <row r="41" spans="1:17">
      <c r="A41" s="485">
        <v>30</v>
      </c>
      <c r="B41" s="485" t="s">
        <v>243</v>
      </c>
      <c r="C41" s="485" t="s">
        <v>443</v>
      </c>
      <c r="D41" s="485">
        <v>63</v>
      </c>
      <c r="E41" s="485">
        <v>150.1</v>
      </c>
      <c r="F41" s="490">
        <f t="shared" si="0"/>
        <v>0.36299999999999999</v>
      </c>
      <c r="G41" s="490">
        <f t="shared" si="1"/>
        <v>1.0629999999999999</v>
      </c>
      <c r="H41" s="485"/>
      <c r="I41" s="485"/>
      <c r="J41" s="485"/>
      <c r="K41" s="485"/>
      <c r="L41" s="485"/>
      <c r="M41" s="485"/>
      <c r="N41" s="485"/>
      <c r="O41" s="485"/>
      <c r="P41" s="485"/>
      <c r="Q41" s="485"/>
    </row>
    <row r="42" spans="1:17">
      <c r="A42" s="485">
        <v>31</v>
      </c>
      <c r="B42" s="485" t="s">
        <v>344</v>
      </c>
      <c r="C42" s="485" t="s">
        <v>1340</v>
      </c>
      <c r="D42" s="485">
        <v>63</v>
      </c>
      <c r="E42" s="485">
        <v>182</v>
      </c>
      <c r="F42" s="490">
        <f t="shared" si="0"/>
        <v>0.36299999999999999</v>
      </c>
      <c r="G42" s="490">
        <f t="shared" si="1"/>
        <v>1.0629999999999999</v>
      </c>
      <c r="H42" s="485"/>
      <c r="I42" s="485"/>
      <c r="J42" s="485"/>
      <c r="K42" s="485"/>
      <c r="L42" s="485"/>
      <c r="M42" s="485"/>
      <c r="N42" s="485"/>
      <c r="O42" s="485"/>
      <c r="P42" s="485"/>
      <c r="Q42" s="485"/>
    </row>
    <row r="43" spans="1:17">
      <c r="A43" s="485">
        <v>32</v>
      </c>
      <c r="B43" s="485" t="s">
        <v>1991</v>
      </c>
      <c r="C43" s="485" t="s">
        <v>1992</v>
      </c>
      <c r="D43" s="485">
        <v>63</v>
      </c>
      <c r="E43" s="485">
        <v>97</v>
      </c>
      <c r="F43" s="490">
        <f t="shared" si="0"/>
        <v>0.36299999999999999</v>
      </c>
      <c r="G43" s="490">
        <f t="shared" si="1"/>
        <v>1.0629999999999999</v>
      </c>
      <c r="H43" s="485"/>
      <c r="I43" s="485"/>
      <c r="J43" s="485"/>
      <c r="K43" s="485"/>
      <c r="L43" s="485"/>
      <c r="M43" s="485"/>
      <c r="N43" s="485"/>
      <c r="O43" s="485"/>
      <c r="P43" s="485"/>
      <c r="Q43" s="485"/>
    </row>
    <row r="44" spans="1:17">
      <c r="A44" s="485">
        <v>33</v>
      </c>
      <c r="B44" s="485" t="s">
        <v>1991</v>
      </c>
      <c r="C44" s="485" t="s">
        <v>345</v>
      </c>
      <c r="D44" s="485">
        <v>63</v>
      </c>
      <c r="E44" s="485">
        <v>298.89999999999998</v>
      </c>
      <c r="F44" s="490">
        <f t="shared" si="0"/>
        <v>0.36299999999999999</v>
      </c>
      <c r="G44" s="490">
        <f t="shared" si="1"/>
        <v>1.0629999999999999</v>
      </c>
      <c r="H44" s="485"/>
      <c r="I44" s="485"/>
      <c r="J44" s="485"/>
      <c r="K44" s="485"/>
      <c r="L44" s="485"/>
      <c r="M44" s="485"/>
      <c r="N44" s="485"/>
      <c r="O44" s="485"/>
      <c r="P44" s="485"/>
      <c r="Q44" s="485"/>
    </row>
    <row r="45" spans="1:17">
      <c r="A45" s="485">
        <v>34</v>
      </c>
      <c r="B45" s="485" t="s">
        <v>341</v>
      </c>
      <c r="C45" s="485" t="s">
        <v>237</v>
      </c>
      <c r="D45" s="485">
        <v>63</v>
      </c>
      <c r="E45" s="485">
        <v>68</v>
      </c>
      <c r="F45" s="490">
        <f t="shared" si="0"/>
        <v>0.36299999999999999</v>
      </c>
      <c r="G45" s="490">
        <f t="shared" si="1"/>
        <v>1.0629999999999999</v>
      </c>
      <c r="H45" s="485"/>
      <c r="I45" s="485"/>
      <c r="J45" s="485"/>
      <c r="K45" s="485"/>
      <c r="L45" s="485"/>
      <c r="M45" s="485"/>
      <c r="N45" s="485"/>
      <c r="O45" s="485"/>
      <c r="P45" s="485"/>
      <c r="Q45" s="485"/>
    </row>
    <row r="46" spans="1:17">
      <c r="A46" s="485">
        <v>35</v>
      </c>
      <c r="B46" s="485" t="s">
        <v>237</v>
      </c>
      <c r="C46" s="485" t="s">
        <v>694</v>
      </c>
      <c r="D46" s="485">
        <v>63</v>
      </c>
      <c r="E46" s="485">
        <v>25.9</v>
      </c>
      <c r="F46" s="490">
        <f t="shared" si="0"/>
        <v>0.36299999999999999</v>
      </c>
      <c r="G46" s="490">
        <f t="shared" si="1"/>
        <v>1.0629999999999999</v>
      </c>
      <c r="H46" s="485"/>
      <c r="I46" s="485"/>
      <c r="J46" s="485"/>
      <c r="K46" s="485"/>
      <c r="L46" s="485"/>
      <c r="M46" s="485"/>
      <c r="N46" s="485"/>
      <c r="O46" s="485"/>
      <c r="P46" s="485"/>
      <c r="Q46" s="485"/>
    </row>
    <row r="47" spans="1:17">
      <c r="A47" s="485">
        <v>36</v>
      </c>
      <c r="B47" s="485" t="s">
        <v>237</v>
      </c>
      <c r="C47" s="485" t="s">
        <v>342</v>
      </c>
      <c r="D47" s="485">
        <v>63</v>
      </c>
      <c r="E47" s="485">
        <v>95</v>
      </c>
      <c r="F47" s="490">
        <f t="shared" si="0"/>
        <v>0.36299999999999999</v>
      </c>
      <c r="G47" s="490">
        <f t="shared" si="1"/>
        <v>1.0629999999999999</v>
      </c>
      <c r="H47" s="485"/>
      <c r="I47" s="485"/>
      <c r="J47" s="485"/>
      <c r="K47" s="485"/>
      <c r="L47" s="485"/>
      <c r="M47" s="485"/>
      <c r="N47" s="485"/>
      <c r="O47" s="485"/>
      <c r="P47" s="485"/>
      <c r="Q47" s="485"/>
    </row>
    <row r="48" spans="1:17">
      <c r="A48" s="485">
        <v>37</v>
      </c>
      <c r="B48" s="485" t="s">
        <v>237</v>
      </c>
      <c r="C48" s="485" t="s">
        <v>342</v>
      </c>
      <c r="D48" s="485">
        <v>63</v>
      </c>
      <c r="E48" s="485">
        <v>65</v>
      </c>
      <c r="F48" s="490">
        <f t="shared" si="0"/>
        <v>0.36299999999999999</v>
      </c>
      <c r="G48" s="490">
        <f t="shared" si="1"/>
        <v>1.0629999999999999</v>
      </c>
      <c r="H48" s="485"/>
      <c r="I48" s="485" t="s">
        <v>199</v>
      </c>
      <c r="J48" s="485"/>
      <c r="K48" s="485"/>
      <c r="L48" s="485"/>
      <c r="M48" s="485"/>
      <c r="N48" s="485"/>
      <c r="O48" s="485"/>
      <c r="P48" s="485"/>
      <c r="Q48" s="485"/>
    </row>
    <row r="49" spans="1:17">
      <c r="A49" s="485">
        <v>38</v>
      </c>
      <c r="B49" s="485" t="s">
        <v>418</v>
      </c>
      <c r="C49" s="485" t="s">
        <v>356</v>
      </c>
      <c r="D49" s="485">
        <v>75</v>
      </c>
      <c r="E49" s="485">
        <v>335.1</v>
      </c>
      <c r="F49" s="490">
        <f t="shared" si="0"/>
        <v>0.375</v>
      </c>
      <c r="G49" s="490">
        <f t="shared" si="1"/>
        <v>1.075</v>
      </c>
      <c r="H49" s="485"/>
      <c r="I49" s="485"/>
      <c r="J49" s="485"/>
      <c r="K49" s="485"/>
      <c r="L49" s="485"/>
      <c r="M49" s="485"/>
      <c r="N49" s="485"/>
      <c r="O49" s="485"/>
      <c r="P49" s="485"/>
      <c r="Q49" s="485"/>
    </row>
    <row r="50" spans="1:17">
      <c r="A50" s="485">
        <v>39</v>
      </c>
      <c r="B50" s="485" t="s">
        <v>364</v>
      </c>
      <c r="C50" s="485" t="s">
        <v>356</v>
      </c>
      <c r="D50" s="485">
        <v>110</v>
      </c>
      <c r="E50" s="485">
        <v>90.5</v>
      </c>
      <c r="F50" s="490">
        <f t="shared" si="0"/>
        <v>0.41</v>
      </c>
      <c r="G50" s="490">
        <f t="shared" si="1"/>
        <v>1.1100000000000001</v>
      </c>
      <c r="H50" s="485"/>
      <c r="I50" s="485"/>
      <c r="J50" s="485"/>
      <c r="K50" s="485"/>
      <c r="L50" s="485"/>
      <c r="M50" s="485"/>
      <c r="N50" s="485"/>
      <c r="O50" s="485"/>
      <c r="P50" s="485"/>
      <c r="Q50" s="485"/>
    </row>
    <row r="51" spans="1:17">
      <c r="A51" s="485">
        <v>40</v>
      </c>
      <c r="B51" s="485" t="s">
        <v>364</v>
      </c>
      <c r="C51" s="485" t="s">
        <v>362</v>
      </c>
      <c r="D51" s="485">
        <v>140</v>
      </c>
      <c r="E51" s="485">
        <v>360</v>
      </c>
      <c r="F51" s="490">
        <f t="shared" si="0"/>
        <v>0.44</v>
      </c>
      <c r="G51" s="490">
        <f t="shared" si="1"/>
        <v>1.1399999999999999</v>
      </c>
      <c r="H51" s="485"/>
      <c r="I51" s="485"/>
      <c r="J51" s="485"/>
      <c r="K51" s="485"/>
      <c r="L51" s="485"/>
      <c r="M51" s="485"/>
      <c r="N51" s="485"/>
      <c r="O51" s="485"/>
      <c r="P51" s="485"/>
      <c r="Q51" s="485"/>
    </row>
    <row r="52" spans="1:17">
      <c r="A52" s="485">
        <v>41</v>
      </c>
      <c r="B52" s="485" t="s">
        <v>364</v>
      </c>
      <c r="C52" s="485" t="s">
        <v>363</v>
      </c>
      <c r="D52" s="485">
        <v>140</v>
      </c>
      <c r="E52" s="485">
        <v>25</v>
      </c>
      <c r="F52" s="490">
        <f t="shared" si="0"/>
        <v>0.44</v>
      </c>
      <c r="G52" s="490">
        <f t="shared" si="1"/>
        <v>1.1399999999999999</v>
      </c>
      <c r="H52" s="485"/>
      <c r="I52" s="485"/>
      <c r="J52" s="485"/>
      <c r="K52" s="485"/>
      <c r="L52" s="485"/>
      <c r="M52" s="485"/>
      <c r="N52" s="485"/>
      <c r="O52" s="485"/>
      <c r="P52" s="485"/>
      <c r="Q52" s="485"/>
    </row>
    <row r="53" spans="1:17">
      <c r="A53" s="485">
        <v>42</v>
      </c>
      <c r="B53" s="485" t="s">
        <v>364</v>
      </c>
      <c r="C53" s="485" t="s">
        <v>363</v>
      </c>
      <c r="D53" s="485">
        <v>140</v>
      </c>
      <c r="E53" s="485">
        <v>66.099999999999994</v>
      </c>
      <c r="F53" s="490">
        <f t="shared" si="0"/>
        <v>0.44</v>
      </c>
      <c r="G53" s="490">
        <f t="shared" si="1"/>
        <v>1.1399999999999999</v>
      </c>
      <c r="H53" s="485"/>
      <c r="I53" s="485" t="s">
        <v>199</v>
      </c>
      <c r="J53" s="485"/>
      <c r="K53" s="485"/>
      <c r="L53" s="485"/>
      <c r="M53" s="485"/>
      <c r="N53" s="485"/>
      <c r="O53" s="485"/>
      <c r="P53" s="485"/>
      <c r="Q53" s="485"/>
    </row>
    <row r="54" spans="1:17">
      <c r="A54" s="485">
        <v>43</v>
      </c>
      <c r="B54" s="485" t="s">
        <v>238</v>
      </c>
      <c r="C54" s="485" t="s">
        <v>343</v>
      </c>
      <c r="D54" s="485">
        <v>75</v>
      </c>
      <c r="E54" s="485">
        <v>530.1</v>
      </c>
      <c r="F54" s="490">
        <f t="shared" si="0"/>
        <v>0.375</v>
      </c>
      <c r="G54" s="490">
        <f t="shared" si="1"/>
        <v>1.075</v>
      </c>
      <c r="H54" s="485"/>
      <c r="I54" s="485"/>
      <c r="J54" s="485"/>
      <c r="K54" s="485"/>
      <c r="L54" s="485"/>
      <c r="M54" s="485"/>
      <c r="N54" s="485"/>
      <c r="O54" s="485"/>
      <c r="P54" s="485"/>
      <c r="Q54" s="485"/>
    </row>
    <row r="55" spans="1:17">
      <c r="A55" s="485">
        <v>44</v>
      </c>
      <c r="B55" s="485" t="s">
        <v>341</v>
      </c>
      <c r="C55" s="485" t="s">
        <v>1993</v>
      </c>
      <c r="D55" s="485">
        <v>63</v>
      </c>
      <c r="E55" s="485">
        <v>50</v>
      </c>
      <c r="F55" s="490">
        <f t="shared" si="0"/>
        <v>0.36299999999999999</v>
      </c>
      <c r="G55" s="490">
        <f t="shared" si="1"/>
        <v>1.0629999999999999</v>
      </c>
      <c r="H55" s="485"/>
      <c r="I55" s="485"/>
      <c r="J55" s="485"/>
      <c r="K55" s="485"/>
      <c r="L55" s="485"/>
      <c r="M55" s="485"/>
      <c r="N55" s="485"/>
      <c r="O55" s="485"/>
      <c r="P55" s="485"/>
      <c r="Q55" s="485"/>
    </row>
    <row r="56" spans="1:17">
      <c r="A56" s="485">
        <v>45</v>
      </c>
      <c r="B56" s="485" t="s">
        <v>1994</v>
      </c>
      <c r="C56" s="485" t="s">
        <v>1995</v>
      </c>
      <c r="D56" s="485">
        <v>63</v>
      </c>
      <c r="E56" s="485">
        <v>110.7</v>
      </c>
      <c r="F56" s="490">
        <f t="shared" si="0"/>
        <v>0.36299999999999999</v>
      </c>
      <c r="G56" s="490">
        <f t="shared" si="1"/>
        <v>1.0629999999999999</v>
      </c>
      <c r="H56" s="485"/>
      <c r="I56" s="485"/>
      <c r="J56" s="485"/>
      <c r="K56" s="485"/>
      <c r="L56" s="485"/>
      <c r="M56" s="485"/>
      <c r="N56" s="485"/>
      <c r="O56" s="485"/>
      <c r="P56" s="485"/>
      <c r="Q56" s="485"/>
    </row>
    <row r="57" spans="1:17">
      <c r="A57" s="485">
        <v>46</v>
      </c>
      <c r="B57" s="485" t="s">
        <v>625</v>
      </c>
      <c r="C57" s="485" t="s">
        <v>261</v>
      </c>
      <c r="D57" s="485">
        <v>63</v>
      </c>
      <c r="E57" s="485">
        <v>145</v>
      </c>
      <c r="F57" s="490">
        <f t="shared" si="0"/>
        <v>0.36299999999999999</v>
      </c>
      <c r="G57" s="490">
        <f t="shared" si="1"/>
        <v>1.0629999999999999</v>
      </c>
      <c r="H57" s="485"/>
      <c r="I57" s="485"/>
      <c r="J57" s="485"/>
      <c r="K57" s="485"/>
      <c r="L57" s="485"/>
      <c r="M57" s="485"/>
      <c r="N57" s="485"/>
      <c r="O57" s="485"/>
      <c r="P57" s="485"/>
      <c r="Q57" s="485"/>
    </row>
    <row r="58" spans="1:17">
      <c r="A58" s="485">
        <v>47</v>
      </c>
      <c r="B58" s="485" t="s">
        <v>260</v>
      </c>
      <c r="C58" s="485" t="s">
        <v>259</v>
      </c>
      <c r="D58" s="485">
        <v>63</v>
      </c>
      <c r="E58" s="485">
        <v>18</v>
      </c>
      <c r="F58" s="490">
        <f t="shared" si="0"/>
        <v>0.36299999999999999</v>
      </c>
      <c r="G58" s="490">
        <f t="shared" si="1"/>
        <v>1.0629999999999999</v>
      </c>
      <c r="H58" s="485"/>
      <c r="I58" s="485"/>
      <c r="J58" s="485"/>
      <c r="K58" s="485"/>
      <c r="L58" s="485"/>
      <c r="M58" s="485"/>
      <c r="N58" s="485"/>
      <c r="O58" s="485"/>
      <c r="P58" s="485"/>
      <c r="Q58" s="485"/>
    </row>
    <row r="59" spans="1:17">
      <c r="A59" s="485">
        <v>48</v>
      </c>
      <c r="B59" s="485" t="s">
        <v>260</v>
      </c>
      <c r="C59" s="485" t="s">
        <v>259</v>
      </c>
      <c r="D59" s="485">
        <v>63</v>
      </c>
      <c r="E59" s="485">
        <v>48</v>
      </c>
      <c r="F59" s="490">
        <f t="shared" si="0"/>
        <v>0.36299999999999999</v>
      </c>
      <c r="G59" s="490">
        <f t="shared" si="1"/>
        <v>1.0629999999999999</v>
      </c>
      <c r="H59" s="485"/>
      <c r="I59" s="485" t="s">
        <v>1990</v>
      </c>
      <c r="J59" s="485"/>
      <c r="K59" s="485"/>
      <c r="L59" s="485"/>
      <c r="M59" s="485"/>
      <c r="N59" s="485"/>
      <c r="O59" s="485"/>
      <c r="P59" s="485"/>
      <c r="Q59" s="485"/>
    </row>
    <row r="60" spans="1:17">
      <c r="A60" s="485">
        <v>49</v>
      </c>
      <c r="B60" s="485" t="s">
        <v>846</v>
      </c>
      <c r="C60" s="485" t="s">
        <v>229</v>
      </c>
      <c r="D60" s="485">
        <v>110</v>
      </c>
      <c r="E60" s="485">
        <v>233.1</v>
      </c>
      <c r="F60" s="490">
        <f t="shared" si="0"/>
        <v>0.41</v>
      </c>
      <c r="G60" s="490">
        <f t="shared" si="1"/>
        <v>1.1100000000000001</v>
      </c>
      <c r="H60" s="485"/>
      <c r="I60" s="485"/>
      <c r="J60" s="485"/>
      <c r="K60" s="485"/>
      <c r="L60" s="485"/>
      <c r="M60" s="485"/>
      <c r="N60" s="485"/>
      <c r="O60" s="485"/>
      <c r="P60" s="485"/>
      <c r="Q60" s="485"/>
    </row>
    <row r="61" spans="1:17">
      <c r="A61" s="485">
        <v>50</v>
      </c>
      <c r="B61" s="485" t="s">
        <v>197</v>
      </c>
      <c r="C61" s="485" t="s">
        <v>399</v>
      </c>
      <c r="D61" s="485">
        <v>90</v>
      </c>
      <c r="E61" s="485">
        <v>316</v>
      </c>
      <c r="F61" s="490">
        <f t="shared" si="0"/>
        <v>0.39</v>
      </c>
      <c r="G61" s="490">
        <f t="shared" si="1"/>
        <v>1.0900000000000001</v>
      </c>
      <c r="H61" s="485"/>
      <c r="I61" s="485"/>
      <c r="J61" s="485"/>
      <c r="K61" s="485"/>
      <c r="L61" s="485"/>
      <c r="M61" s="485"/>
      <c r="N61" s="485"/>
      <c r="O61" s="485"/>
      <c r="P61" s="485"/>
      <c r="Q61" s="485"/>
    </row>
    <row r="62" spans="1:17">
      <c r="A62" s="485">
        <v>51</v>
      </c>
      <c r="B62" s="485" t="s">
        <v>197</v>
      </c>
      <c r="C62" s="485" t="s">
        <v>216</v>
      </c>
      <c r="D62" s="485">
        <v>63</v>
      </c>
      <c r="E62" s="485">
        <v>125.3</v>
      </c>
      <c r="F62" s="490">
        <f t="shared" si="0"/>
        <v>0.36299999999999999</v>
      </c>
      <c r="G62" s="490">
        <f t="shared" si="1"/>
        <v>1.0629999999999999</v>
      </c>
      <c r="H62" s="485"/>
      <c r="I62" s="485"/>
      <c r="J62" s="485"/>
      <c r="K62" s="485"/>
      <c r="L62" s="485"/>
      <c r="M62" s="485"/>
      <c r="N62" s="485"/>
      <c r="O62" s="485"/>
      <c r="P62" s="485"/>
      <c r="Q62" s="485"/>
    </row>
    <row r="63" spans="1:17">
      <c r="A63" s="485">
        <v>52</v>
      </c>
      <c r="B63" s="485" t="s">
        <v>197</v>
      </c>
      <c r="C63" s="485" t="s">
        <v>255</v>
      </c>
      <c r="D63" s="485">
        <v>75</v>
      </c>
      <c r="E63" s="485">
        <v>62</v>
      </c>
      <c r="F63" s="490">
        <f t="shared" si="0"/>
        <v>0.375</v>
      </c>
      <c r="G63" s="490">
        <f t="shared" si="1"/>
        <v>1.075</v>
      </c>
      <c r="H63" s="485"/>
      <c r="I63" s="485"/>
      <c r="J63" s="485"/>
      <c r="K63" s="485"/>
      <c r="L63" s="485"/>
      <c r="M63" s="485"/>
      <c r="N63" s="485"/>
      <c r="O63" s="485"/>
      <c r="P63" s="485"/>
      <c r="Q63" s="485"/>
    </row>
    <row r="64" spans="1:17">
      <c r="A64" s="485">
        <v>53</v>
      </c>
      <c r="B64" s="485" t="s">
        <v>255</v>
      </c>
      <c r="C64" s="485" t="s">
        <v>256</v>
      </c>
      <c r="D64" s="485">
        <v>75</v>
      </c>
      <c r="E64" s="485">
        <v>69</v>
      </c>
      <c r="F64" s="490">
        <f t="shared" si="0"/>
        <v>0.375</v>
      </c>
      <c r="G64" s="490">
        <f t="shared" si="1"/>
        <v>1.075</v>
      </c>
      <c r="H64" s="485"/>
      <c r="I64" s="485"/>
      <c r="J64" s="485"/>
      <c r="K64" s="485"/>
      <c r="L64" s="485"/>
      <c r="M64" s="485"/>
      <c r="N64" s="485"/>
      <c r="O64" s="485"/>
      <c r="P64" s="485"/>
      <c r="Q64" s="485"/>
    </row>
    <row r="65" spans="1:17">
      <c r="A65" s="485">
        <v>55</v>
      </c>
      <c r="B65" s="485" t="s">
        <v>256</v>
      </c>
      <c r="C65" s="485" t="s">
        <v>198</v>
      </c>
      <c r="D65" s="485">
        <v>75</v>
      </c>
      <c r="E65" s="485">
        <v>21</v>
      </c>
      <c r="F65" s="490">
        <f t="shared" si="0"/>
        <v>0.375</v>
      </c>
      <c r="G65" s="490">
        <f t="shared" si="1"/>
        <v>1.075</v>
      </c>
      <c r="H65" s="485"/>
      <c r="I65" s="485"/>
      <c r="J65" s="485"/>
      <c r="K65" s="485"/>
      <c r="L65" s="485"/>
      <c r="M65" s="485"/>
      <c r="N65" s="485"/>
      <c r="O65" s="485"/>
      <c r="P65" s="485"/>
      <c r="Q65" s="485"/>
    </row>
    <row r="66" spans="1:17">
      <c r="A66" s="485">
        <v>56</v>
      </c>
      <c r="B66" s="485" t="s">
        <v>256</v>
      </c>
      <c r="C66" s="485" t="s">
        <v>276</v>
      </c>
      <c r="D66" s="485">
        <v>63</v>
      </c>
      <c r="E66" s="485">
        <v>57</v>
      </c>
      <c r="F66" s="490">
        <f t="shared" si="0"/>
        <v>0.36299999999999999</v>
      </c>
      <c r="G66" s="490">
        <f t="shared" si="1"/>
        <v>1.0629999999999999</v>
      </c>
      <c r="H66" s="485"/>
      <c r="I66" s="485" t="s">
        <v>1990</v>
      </c>
      <c r="J66" s="485"/>
      <c r="K66" s="485"/>
      <c r="L66" s="485"/>
      <c r="M66" s="485"/>
      <c r="N66" s="485"/>
      <c r="O66" s="485"/>
      <c r="P66" s="485"/>
      <c r="Q66" s="485"/>
    </row>
    <row r="67" spans="1:17">
      <c r="A67" s="485">
        <v>57</v>
      </c>
      <c r="B67" s="485" t="s">
        <v>276</v>
      </c>
      <c r="C67" s="485" t="s">
        <v>351</v>
      </c>
      <c r="D67" s="485">
        <v>63</v>
      </c>
      <c r="E67" s="485">
        <v>49.3</v>
      </c>
      <c r="F67" s="490">
        <f t="shared" si="0"/>
        <v>0.36299999999999999</v>
      </c>
      <c r="G67" s="490">
        <f t="shared" si="1"/>
        <v>1.0629999999999999</v>
      </c>
      <c r="H67" s="485"/>
      <c r="I67" s="485" t="s">
        <v>1990</v>
      </c>
      <c r="J67" s="485"/>
      <c r="K67" s="485"/>
      <c r="L67" s="485"/>
      <c r="M67" s="485"/>
      <c r="N67" s="485"/>
      <c r="O67" s="485"/>
      <c r="P67" s="485"/>
      <c r="Q67" s="485"/>
    </row>
    <row r="68" spans="1:17">
      <c r="A68" s="485">
        <v>58</v>
      </c>
      <c r="B68" s="485" t="s">
        <v>256</v>
      </c>
      <c r="C68" s="485" t="s">
        <v>396</v>
      </c>
      <c r="D68" s="485">
        <v>63</v>
      </c>
      <c r="E68" s="485">
        <v>56</v>
      </c>
      <c r="F68" s="490">
        <f t="shared" si="0"/>
        <v>0.36299999999999999</v>
      </c>
      <c r="G68" s="490">
        <f t="shared" si="1"/>
        <v>1.0629999999999999</v>
      </c>
      <c r="H68" s="485"/>
      <c r="I68" s="485"/>
      <c r="J68" s="485"/>
      <c r="K68" s="485"/>
      <c r="L68" s="485"/>
      <c r="M68" s="485"/>
      <c r="N68" s="485"/>
      <c r="O68" s="485"/>
      <c r="P68" s="485"/>
      <c r="Q68" s="485"/>
    </row>
    <row r="69" spans="1:17">
      <c r="A69" s="485">
        <v>59</v>
      </c>
      <c r="B69" s="485" t="s">
        <v>255</v>
      </c>
      <c r="C69" s="485" t="s">
        <v>413</v>
      </c>
      <c r="D69" s="485">
        <v>63</v>
      </c>
      <c r="E69" s="485">
        <v>54</v>
      </c>
      <c r="F69" s="490">
        <f t="shared" si="0"/>
        <v>0.36299999999999999</v>
      </c>
      <c r="G69" s="490">
        <f t="shared" si="1"/>
        <v>1.0629999999999999</v>
      </c>
      <c r="H69" s="485"/>
      <c r="I69" s="485"/>
      <c r="J69" s="485"/>
      <c r="K69" s="485"/>
      <c r="L69" s="485"/>
      <c r="M69" s="485"/>
      <c r="N69" s="485"/>
      <c r="O69" s="485"/>
      <c r="P69" s="485"/>
      <c r="Q69" s="485"/>
    </row>
    <row r="70" spans="1:17">
      <c r="A70" s="485">
        <v>60</v>
      </c>
      <c r="B70" s="485" t="s">
        <v>413</v>
      </c>
      <c r="C70" s="485" t="s">
        <v>509</v>
      </c>
      <c r="D70" s="485">
        <v>63</v>
      </c>
      <c r="E70" s="485">
        <v>502</v>
      </c>
      <c r="F70" s="490">
        <f t="shared" si="0"/>
        <v>0.36299999999999999</v>
      </c>
      <c r="G70" s="490">
        <f t="shared" si="1"/>
        <v>1.0629999999999999</v>
      </c>
      <c r="H70" s="485"/>
      <c r="I70" s="485"/>
      <c r="J70" s="485"/>
      <c r="K70" s="485"/>
      <c r="L70" s="485"/>
      <c r="M70" s="485"/>
      <c r="N70" s="485"/>
      <c r="O70" s="485"/>
      <c r="P70" s="485"/>
      <c r="Q70" s="485"/>
    </row>
    <row r="71" spans="1:17">
      <c r="A71" s="485">
        <v>61</v>
      </c>
      <c r="B71" s="485" t="s">
        <v>413</v>
      </c>
      <c r="C71" s="485" t="s">
        <v>513</v>
      </c>
      <c r="D71" s="485">
        <v>63</v>
      </c>
      <c r="E71" s="485">
        <v>65</v>
      </c>
      <c r="F71" s="490">
        <f t="shared" si="0"/>
        <v>0.36299999999999999</v>
      </c>
      <c r="G71" s="490">
        <f t="shared" si="1"/>
        <v>1.0629999999999999</v>
      </c>
      <c r="H71" s="485"/>
      <c r="I71" s="485"/>
      <c r="J71" s="485"/>
      <c r="K71" s="485"/>
      <c r="L71" s="485"/>
      <c r="M71" s="485"/>
      <c r="N71" s="485"/>
      <c r="O71" s="485"/>
      <c r="P71" s="485"/>
      <c r="Q71" s="485"/>
    </row>
    <row r="72" spans="1:17">
      <c r="A72" s="485">
        <v>62</v>
      </c>
      <c r="B72" s="485" t="s">
        <v>197</v>
      </c>
      <c r="C72" s="485" t="s">
        <v>422</v>
      </c>
      <c r="D72" s="485">
        <v>63</v>
      </c>
      <c r="E72" s="485">
        <v>68.5</v>
      </c>
      <c r="F72" s="490">
        <f t="shared" si="0"/>
        <v>0.36299999999999999</v>
      </c>
      <c r="G72" s="490">
        <f t="shared" si="1"/>
        <v>1.0629999999999999</v>
      </c>
      <c r="H72" s="485"/>
      <c r="I72" s="485"/>
      <c r="J72" s="485"/>
      <c r="K72" s="485"/>
      <c r="L72" s="485"/>
      <c r="M72" s="485"/>
      <c r="N72" s="485"/>
      <c r="O72" s="485"/>
      <c r="P72" s="485"/>
      <c r="Q72" s="485"/>
    </row>
    <row r="73" spans="1:17">
      <c r="A73" s="485">
        <v>63</v>
      </c>
      <c r="B73" s="485" t="s">
        <v>395</v>
      </c>
      <c r="C73" s="485" t="s">
        <v>418</v>
      </c>
      <c r="D73" s="485">
        <v>63</v>
      </c>
      <c r="E73" s="485">
        <v>207</v>
      </c>
      <c r="F73" s="490">
        <f t="shared" si="0"/>
        <v>0.36299999999999999</v>
      </c>
      <c r="G73" s="490">
        <f t="shared" si="1"/>
        <v>1.0629999999999999</v>
      </c>
      <c r="H73" s="485"/>
      <c r="I73" s="485"/>
      <c r="J73" s="485"/>
      <c r="K73" s="485"/>
      <c r="L73" s="485"/>
      <c r="M73" s="485"/>
      <c r="N73" s="485"/>
      <c r="O73" s="485"/>
      <c r="P73" s="485"/>
      <c r="Q73" s="485"/>
    </row>
    <row r="74" spans="1:17">
      <c r="A74" s="485">
        <v>64</v>
      </c>
      <c r="B74" s="485" t="s">
        <v>712</v>
      </c>
      <c r="C74" s="485" t="s">
        <v>559</v>
      </c>
      <c r="D74" s="485">
        <v>63</v>
      </c>
      <c r="E74" s="485">
        <v>246.5</v>
      </c>
      <c r="F74" s="490">
        <f t="shared" si="0"/>
        <v>0.36299999999999999</v>
      </c>
      <c r="G74" s="490">
        <f t="shared" si="1"/>
        <v>1.0629999999999999</v>
      </c>
      <c r="H74" s="485"/>
      <c r="I74" s="485" t="s">
        <v>199</v>
      </c>
      <c r="J74" s="485"/>
      <c r="K74" s="485"/>
      <c r="L74" s="485"/>
      <c r="M74" s="485"/>
      <c r="N74" s="485"/>
      <c r="O74" s="485"/>
      <c r="P74" s="485"/>
      <c r="Q74" s="485"/>
    </row>
    <row r="75" spans="1:17">
      <c r="A75" s="485">
        <v>65</v>
      </c>
      <c r="B75" s="485" t="s">
        <v>559</v>
      </c>
      <c r="C75" s="485" t="s">
        <v>691</v>
      </c>
      <c r="D75" s="485">
        <v>63</v>
      </c>
      <c r="E75" s="485">
        <v>28.6</v>
      </c>
      <c r="F75" s="490">
        <f t="shared" si="0"/>
        <v>0.36299999999999999</v>
      </c>
      <c r="G75" s="490">
        <f t="shared" si="1"/>
        <v>1.0629999999999999</v>
      </c>
      <c r="H75" s="485"/>
      <c r="I75" s="485" t="s">
        <v>1990</v>
      </c>
      <c r="J75" s="485"/>
      <c r="K75" s="485"/>
      <c r="L75" s="485"/>
      <c r="M75" s="485"/>
      <c r="N75" s="485"/>
      <c r="O75" s="485"/>
      <c r="P75" s="485"/>
      <c r="Q75" s="485"/>
    </row>
    <row r="76" spans="1:17">
      <c r="A76" s="485">
        <v>66</v>
      </c>
      <c r="B76" s="485" t="s">
        <v>559</v>
      </c>
      <c r="C76" s="485" t="s">
        <v>691</v>
      </c>
      <c r="D76" s="485">
        <v>63</v>
      </c>
      <c r="E76" s="485">
        <v>33</v>
      </c>
      <c r="F76" s="490">
        <f t="shared" si="0"/>
        <v>0.36299999999999999</v>
      </c>
      <c r="G76" s="490">
        <f t="shared" si="1"/>
        <v>1.0629999999999999</v>
      </c>
      <c r="H76" s="485"/>
      <c r="I76" s="485" t="s">
        <v>199</v>
      </c>
      <c r="J76" s="485"/>
      <c r="K76" s="485"/>
      <c r="L76" s="485"/>
      <c r="M76" s="485"/>
      <c r="N76" s="485"/>
      <c r="O76" s="485"/>
      <c r="P76" s="485"/>
      <c r="Q76" s="485"/>
    </row>
    <row r="77" spans="1:17">
      <c r="A77" s="485">
        <v>67</v>
      </c>
      <c r="B77" s="485" t="s">
        <v>691</v>
      </c>
      <c r="C77" s="485" t="s">
        <v>692</v>
      </c>
      <c r="D77" s="485">
        <v>63</v>
      </c>
      <c r="E77" s="485">
        <v>18</v>
      </c>
      <c r="F77" s="490">
        <f t="shared" ref="F77:F140" si="2">(300+D77)/1000</f>
        <v>0.36299999999999999</v>
      </c>
      <c r="G77" s="490">
        <f t="shared" ref="G77:G140" si="3">(1000+D77)/1000</f>
        <v>1.0629999999999999</v>
      </c>
      <c r="H77" s="485"/>
      <c r="I77" s="485" t="s">
        <v>199</v>
      </c>
      <c r="J77" s="485"/>
      <c r="K77" s="485"/>
      <c r="L77" s="485"/>
      <c r="M77" s="485"/>
      <c r="N77" s="485"/>
      <c r="O77" s="485"/>
      <c r="P77" s="485"/>
      <c r="Q77" s="485"/>
    </row>
    <row r="78" spans="1:17">
      <c r="A78" s="485">
        <v>68</v>
      </c>
      <c r="B78" s="485" t="s">
        <v>691</v>
      </c>
      <c r="C78" s="485" t="s">
        <v>692</v>
      </c>
      <c r="D78" s="485">
        <v>63</v>
      </c>
      <c r="E78" s="485">
        <v>4</v>
      </c>
      <c r="F78" s="490">
        <f t="shared" si="2"/>
        <v>0.36299999999999999</v>
      </c>
      <c r="G78" s="490">
        <f t="shared" si="3"/>
        <v>1.0629999999999999</v>
      </c>
      <c r="H78" s="485"/>
      <c r="I78" s="485"/>
      <c r="J78" s="485"/>
      <c r="K78" s="485"/>
      <c r="L78" s="485"/>
      <c r="M78" s="485"/>
      <c r="N78" s="485"/>
      <c r="O78" s="485"/>
      <c r="P78" s="485"/>
      <c r="Q78" s="485"/>
    </row>
    <row r="79" spans="1:17">
      <c r="A79" s="485">
        <v>69</v>
      </c>
      <c r="B79" s="485" t="s">
        <v>691</v>
      </c>
      <c r="C79" s="485" t="s">
        <v>586</v>
      </c>
      <c r="D79" s="485">
        <v>63</v>
      </c>
      <c r="E79" s="485">
        <v>87</v>
      </c>
      <c r="F79" s="490">
        <f t="shared" si="2"/>
        <v>0.36299999999999999</v>
      </c>
      <c r="G79" s="490">
        <f t="shared" si="3"/>
        <v>1.0629999999999999</v>
      </c>
      <c r="H79" s="485"/>
      <c r="I79" s="485" t="s">
        <v>199</v>
      </c>
      <c r="J79" s="485"/>
      <c r="K79" s="485"/>
      <c r="L79" s="485"/>
      <c r="M79" s="485"/>
      <c r="N79" s="485"/>
      <c r="O79" s="485"/>
      <c r="P79" s="485"/>
      <c r="Q79" s="485"/>
    </row>
    <row r="80" spans="1:17">
      <c r="A80" s="485">
        <v>70</v>
      </c>
      <c r="B80" s="485" t="s">
        <v>586</v>
      </c>
      <c r="C80" s="485" t="s">
        <v>1996</v>
      </c>
      <c r="D80" s="485">
        <v>63</v>
      </c>
      <c r="E80" s="485">
        <v>14</v>
      </c>
      <c r="F80" s="490">
        <f t="shared" si="2"/>
        <v>0.36299999999999999</v>
      </c>
      <c r="G80" s="490">
        <f t="shared" si="3"/>
        <v>1.0629999999999999</v>
      </c>
      <c r="H80" s="485"/>
      <c r="I80" s="485"/>
      <c r="J80" s="485"/>
      <c r="K80" s="485"/>
      <c r="L80" s="485"/>
      <c r="M80" s="485"/>
      <c r="N80" s="485"/>
      <c r="O80" s="485"/>
      <c r="P80" s="485"/>
      <c r="Q80" s="485"/>
    </row>
    <row r="81" spans="1:17">
      <c r="A81" s="485">
        <v>71</v>
      </c>
      <c r="B81" s="485" t="s">
        <v>586</v>
      </c>
      <c r="C81" s="485" t="s">
        <v>708</v>
      </c>
      <c r="D81" s="485">
        <v>63</v>
      </c>
      <c r="E81" s="485">
        <v>46</v>
      </c>
      <c r="F81" s="490">
        <f t="shared" si="2"/>
        <v>0.36299999999999999</v>
      </c>
      <c r="G81" s="490">
        <f t="shared" si="3"/>
        <v>1.0629999999999999</v>
      </c>
      <c r="H81" s="485"/>
      <c r="I81" s="485"/>
      <c r="J81" s="485"/>
      <c r="K81" s="485"/>
      <c r="L81" s="485"/>
      <c r="M81" s="485"/>
      <c r="N81" s="485"/>
      <c r="O81" s="485"/>
      <c r="P81" s="485"/>
      <c r="Q81" s="485"/>
    </row>
    <row r="82" spans="1:17">
      <c r="A82" s="485">
        <v>72</v>
      </c>
      <c r="B82" s="485" t="s">
        <v>708</v>
      </c>
      <c r="C82" s="485" t="s">
        <v>706</v>
      </c>
      <c r="D82" s="485">
        <v>63</v>
      </c>
      <c r="E82" s="485">
        <v>35</v>
      </c>
      <c r="F82" s="490">
        <f t="shared" si="2"/>
        <v>0.36299999999999999</v>
      </c>
      <c r="G82" s="490">
        <f t="shared" si="3"/>
        <v>1.0629999999999999</v>
      </c>
      <c r="H82" s="485"/>
      <c r="I82" s="485"/>
      <c r="J82" s="485"/>
      <c r="K82" s="485"/>
      <c r="L82" s="485"/>
      <c r="M82" s="485"/>
      <c r="N82" s="485"/>
      <c r="O82" s="485"/>
      <c r="P82" s="485"/>
      <c r="Q82" s="485"/>
    </row>
    <row r="83" spans="1:17">
      <c r="A83" s="485">
        <v>73</v>
      </c>
      <c r="B83" s="485" t="s">
        <v>706</v>
      </c>
      <c r="C83" s="485" t="s">
        <v>459</v>
      </c>
      <c r="D83" s="485">
        <v>63</v>
      </c>
      <c r="E83" s="485">
        <v>84.2</v>
      </c>
      <c r="F83" s="490">
        <f t="shared" si="2"/>
        <v>0.36299999999999999</v>
      </c>
      <c r="G83" s="490">
        <f t="shared" si="3"/>
        <v>1.0629999999999999</v>
      </c>
      <c r="H83" s="485"/>
      <c r="I83" s="485"/>
      <c r="J83" s="485"/>
      <c r="K83" s="485"/>
      <c r="L83" s="485"/>
      <c r="M83" s="485"/>
      <c r="N83" s="485"/>
      <c r="O83" s="485"/>
      <c r="P83" s="485"/>
      <c r="Q83" s="485"/>
    </row>
    <row r="84" spans="1:17">
      <c r="A84" s="485">
        <v>74</v>
      </c>
      <c r="B84" s="485" t="s">
        <v>706</v>
      </c>
      <c r="C84" s="485" t="s">
        <v>459</v>
      </c>
      <c r="D84" s="485">
        <v>63</v>
      </c>
      <c r="E84" s="485">
        <v>16.600000000000001</v>
      </c>
      <c r="F84" s="490">
        <f t="shared" si="2"/>
        <v>0.36299999999999999</v>
      </c>
      <c r="G84" s="490">
        <f t="shared" si="3"/>
        <v>1.0629999999999999</v>
      </c>
      <c r="H84" s="485"/>
      <c r="I84" s="485"/>
      <c r="J84" s="485"/>
      <c r="K84" s="485"/>
      <c r="L84" s="485"/>
      <c r="M84" s="485"/>
      <c r="N84" s="485"/>
      <c r="O84" s="485"/>
      <c r="P84" s="485"/>
      <c r="Q84" s="485"/>
    </row>
    <row r="85" spans="1:17">
      <c r="A85" s="485">
        <v>75</v>
      </c>
      <c r="B85" s="485" t="s">
        <v>706</v>
      </c>
      <c r="C85" s="485" t="s">
        <v>459</v>
      </c>
      <c r="D85" s="485">
        <v>63</v>
      </c>
      <c r="E85" s="485">
        <v>4</v>
      </c>
      <c r="F85" s="490">
        <f t="shared" si="2"/>
        <v>0.36299999999999999</v>
      </c>
      <c r="G85" s="490">
        <f t="shared" si="3"/>
        <v>1.0629999999999999</v>
      </c>
      <c r="H85" s="485"/>
      <c r="I85" s="485" t="s">
        <v>199</v>
      </c>
      <c r="J85" s="485"/>
      <c r="K85" s="485"/>
      <c r="L85" s="485"/>
      <c r="M85" s="485"/>
      <c r="N85" s="485"/>
      <c r="O85" s="485"/>
      <c r="P85" s="485"/>
      <c r="Q85" s="485"/>
    </row>
    <row r="86" spans="1:17">
      <c r="A86" s="485">
        <v>76</v>
      </c>
      <c r="B86" s="485" t="s">
        <v>802</v>
      </c>
      <c r="C86" s="485" t="s">
        <v>1321</v>
      </c>
      <c r="D86" s="485">
        <v>63</v>
      </c>
      <c r="E86" s="485">
        <v>99</v>
      </c>
      <c r="F86" s="490">
        <f t="shared" si="2"/>
        <v>0.36299999999999999</v>
      </c>
      <c r="G86" s="490">
        <f t="shared" si="3"/>
        <v>1.0629999999999999</v>
      </c>
      <c r="H86" s="485"/>
      <c r="I86" s="485" t="s">
        <v>199</v>
      </c>
      <c r="J86" s="485"/>
      <c r="K86" s="485"/>
      <c r="L86" s="485"/>
      <c r="M86" s="485"/>
      <c r="N86" s="485"/>
      <c r="O86" s="485"/>
      <c r="P86" s="485"/>
      <c r="Q86" s="485"/>
    </row>
    <row r="87" spans="1:17">
      <c r="A87" s="485">
        <v>77</v>
      </c>
      <c r="B87" s="485" t="s">
        <v>1321</v>
      </c>
      <c r="C87" s="485" t="s">
        <v>617</v>
      </c>
      <c r="D87" s="485">
        <v>63</v>
      </c>
      <c r="E87" s="485">
        <v>47</v>
      </c>
      <c r="F87" s="490">
        <f t="shared" si="2"/>
        <v>0.36299999999999999</v>
      </c>
      <c r="G87" s="490">
        <f t="shared" si="3"/>
        <v>1.0629999999999999</v>
      </c>
      <c r="H87" s="485"/>
      <c r="I87" s="485"/>
      <c r="J87" s="485"/>
      <c r="K87" s="485"/>
      <c r="L87" s="485"/>
      <c r="M87" s="485"/>
      <c r="N87" s="485"/>
      <c r="O87" s="485"/>
      <c r="P87" s="485"/>
      <c r="Q87" s="485"/>
    </row>
    <row r="88" spans="1:17">
      <c r="A88" s="485">
        <v>78</v>
      </c>
      <c r="B88" s="485" t="s">
        <v>459</v>
      </c>
      <c r="C88" s="485" t="s">
        <v>802</v>
      </c>
      <c r="D88" s="485">
        <v>63</v>
      </c>
      <c r="E88" s="485">
        <v>13.4</v>
      </c>
      <c r="F88" s="490">
        <f t="shared" si="2"/>
        <v>0.36299999999999999</v>
      </c>
      <c r="G88" s="490">
        <f t="shared" si="3"/>
        <v>1.0629999999999999</v>
      </c>
      <c r="H88" s="485"/>
      <c r="I88" s="485"/>
      <c r="J88" s="485"/>
      <c r="K88" s="485"/>
      <c r="L88" s="485"/>
      <c r="M88" s="485"/>
      <c r="N88" s="485"/>
      <c r="O88" s="485"/>
      <c r="P88" s="485"/>
      <c r="Q88" s="485"/>
    </row>
    <row r="89" spans="1:17">
      <c r="A89" s="485">
        <v>79</v>
      </c>
      <c r="B89" s="485" t="s">
        <v>802</v>
      </c>
      <c r="C89" s="485" t="s">
        <v>458</v>
      </c>
      <c r="D89" s="485">
        <v>63</v>
      </c>
      <c r="E89" s="485">
        <v>158.30000000000001</v>
      </c>
      <c r="F89" s="490">
        <f t="shared" si="2"/>
        <v>0.36299999999999999</v>
      </c>
      <c r="G89" s="490">
        <f t="shared" si="3"/>
        <v>1.0629999999999999</v>
      </c>
      <c r="H89" s="485"/>
      <c r="I89" s="485"/>
      <c r="J89" s="485"/>
      <c r="K89" s="485"/>
      <c r="L89" s="485"/>
      <c r="M89" s="485"/>
      <c r="N89" s="485"/>
      <c r="O89" s="485"/>
      <c r="P89" s="485"/>
      <c r="Q89" s="485"/>
    </row>
    <row r="90" spans="1:17">
      <c r="A90" s="485">
        <v>80</v>
      </c>
      <c r="B90" s="485" t="s">
        <v>458</v>
      </c>
      <c r="C90" s="485" t="s">
        <v>683</v>
      </c>
      <c r="D90" s="485">
        <v>63</v>
      </c>
      <c r="E90" s="485">
        <v>59</v>
      </c>
      <c r="F90" s="490">
        <f t="shared" si="2"/>
        <v>0.36299999999999999</v>
      </c>
      <c r="G90" s="490">
        <f t="shared" si="3"/>
        <v>1.0629999999999999</v>
      </c>
      <c r="H90" s="485"/>
      <c r="I90" s="485"/>
      <c r="J90" s="485"/>
      <c r="K90" s="485"/>
      <c r="L90" s="485"/>
      <c r="M90" s="485"/>
      <c r="N90" s="485"/>
      <c r="O90" s="485"/>
      <c r="P90" s="485"/>
      <c r="Q90" s="485"/>
    </row>
    <row r="91" spans="1:17">
      <c r="A91" s="485">
        <v>81</v>
      </c>
      <c r="B91" s="485" t="s">
        <v>458</v>
      </c>
      <c r="C91" s="485" t="s">
        <v>460</v>
      </c>
      <c r="D91" s="485">
        <v>63</v>
      </c>
      <c r="E91" s="485">
        <v>55.4</v>
      </c>
      <c r="F91" s="490">
        <f t="shared" si="2"/>
        <v>0.36299999999999999</v>
      </c>
      <c r="G91" s="490">
        <f t="shared" si="3"/>
        <v>1.0629999999999999</v>
      </c>
      <c r="H91" s="485"/>
      <c r="I91" s="485"/>
      <c r="J91" s="485"/>
      <c r="K91" s="485"/>
      <c r="L91" s="485"/>
      <c r="M91" s="485"/>
      <c r="N91" s="485"/>
      <c r="O91" s="485"/>
      <c r="P91" s="485"/>
      <c r="Q91" s="485"/>
    </row>
    <row r="92" spans="1:17">
      <c r="A92" s="485">
        <v>82</v>
      </c>
      <c r="B92" s="485" t="s">
        <v>460</v>
      </c>
      <c r="C92" s="485" t="s">
        <v>686</v>
      </c>
      <c r="D92" s="485">
        <v>63</v>
      </c>
      <c r="E92" s="485">
        <v>120.8</v>
      </c>
      <c r="F92" s="490">
        <f t="shared" si="2"/>
        <v>0.36299999999999999</v>
      </c>
      <c r="G92" s="490">
        <f t="shared" si="3"/>
        <v>1.0629999999999999</v>
      </c>
      <c r="H92" s="485"/>
      <c r="I92" s="485"/>
      <c r="J92" s="485"/>
      <c r="K92" s="485"/>
      <c r="L92" s="485"/>
      <c r="M92" s="485"/>
      <c r="N92" s="485"/>
      <c r="O92" s="485"/>
      <c r="P92" s="485"/>
      <c r="Q92" s="485"/>
    </row>
    <row r="93" spans="1:17">
      <c r="A93" s="485">
        <v>83</v>
      </c>
      <c r="B93" s="485" t="s">
        <v>460</v>
      </c>
      <c r="C93" s="485" t="s">
        <v>585</v>
      </c>
      <c r="D93" s="485">
        <v>75</v>
      </c>
      <c r="E93" s="485">
        <v>112</v>
      </c>
      <c r="F93" s="490">
        <f t="shared" si="2"/>
        <v>0.375</v>
      </c>
      <c r="G93" s="490">
        <f t="shared" si="3"/>
        <v>1.075</v>
      </c>
      <c r="H93" s="485"/>
      <c r="I93" s="485"/>
      <c r="J93" s="485"/>
      <c r="K93" s="485"/>
      <c r="L93" s="485"/>
      <c r="M93" s="485"/>
      <c r="N93" s="485"/>
      <c r="O93" s="485"/>
      <c r="P93" s="485"/>
      <c r="Q93" s="486"/>
    </row>
    <row r="94" spans="1:17">
      <c r="A94" s="485">
        <v>84</v>
      </c>
      <c r="B94" s="485" t="s">
        <v>585</v>
      </c>
      <c r="C94" s="485" t="s">
        <v>577</v>
      </c>
      <c r="D94" s="485">
        <v>75</v>
      </c>
      <c r="E94" s="485">
        <v>77.7</v>
      </c>
      <c r="F94" s="490">
        <f t="shared" si="2"/>
        <v>0.375</v>
      </c>
      <c r="G94" s="490">
        <f t="shared" si="3"/>
        <v>1.075</v>
      </c>
      <c r="H94" s="485"/>
      <c r="I94" s="485"/>
      <c r="J94" s="485"/>
      <c r="K94" s="485"/>
      <c r="L94" s="485"/>
      <c r="M94" s="485"/>
      <c r="N94" s="485"/>
      <c r="O94" s="485"/>
      <c r="P94" s="485"/>
      <c r="Q94" s="486"/>
    </row>
    <row r="95" spans="1:17">
      <c r="A95" s="485">
        <v>85</v>
      </c>
      <c r="B95" s="485" t="s">
        <v>585</v>
      </c>
      <c r="C95" s="485" t="s">
        <v>1997</v>
      </c>
      <c r="D95" s="485">
        <v>63</v>
      </c>
      <c r="E95" s="485">
        <v>164.5</v>
      </c>
      <c r="F95" s="490">
        <f t="shared" si="2"/>
        <v>0.36299999999999999</v>
      </c>
      <c r="G95" s="490">
        <f t="shared" si="3"/>
        <v>1.0629999999999999</v>
      </c>
      <c r="H95" s="485"/>
      <c r="I95" s="485"/>
      <c r="J95" s="485"/>
      <c r="K95" s="485"/>
      <c r="L95" s="485"/>
      <c r="M95" s="485"/>
      <c r="N95" s="485"/>
      <c r="O95" s="485"/>
      <c r="P95" s="485"/>
      <c r="Q95" s="486"/>
    </row>
    <row r="96" spans="1:17">
      <c r="A96" s="485">
        <v>86</v>
      </c>
      <c r="B96" s="485" t="s">
        <v>1997</v>
      </c>
      <c r="C96" s="485" t="s">
        <v>1997</v>
      </c>
      <c r="D96" s="485">
        <v>75</v>
      </c>
      <c r="E96" s="485">
        <v>40.700000000000003</v>
      </c>
      <c r="F96" s="490">
        <f t="shared" si="2"/>
        <v>0.375</v>
      </c>
      <c r="G96" s="490">
        <f t="shared" si="3"/>
        <v>1.075</v>
      </c>
      <c r="H96" s="485"/>
      <c r="I96" s="485"/>
      <c r="J96" s="485"/>
      <c r="K96" s="485"/>
      <c r="L96" s="485"/>
      <c r="M96" s="485"/>
      <c r="N96" s="485"/>
      <c r="O96" s="485"/>
      <c r="P96" s="485"/>
      <c r="Q96" s="486"/>
    </row>
    <row r="97" spans="1:17">
      <c r="A97" s="485">
        <v>87</v>
      </c>
      <c r="B97" s="485" t="s">
        <v>1997</v>
      </c>
      <c r="C97" s="485" t="s">
        <v>706</v>
      </c>
      <c r="D97" s="485">
        <v>63</v>
      </c>
      <c r="E97" s="485">
        <v>91.7</v>
      </c>
      <c r="F97" s="490">
        <f t="shared" si="2"/>
        <v>0.36299999999999999</v>
      </c>
      <c r="G97" s="490">
        <f t="shared" si="3"/>
        <v>1.0629999999999999</v>
      </c>
      <c r="H97" s="485"/>
      <c r="I97" s="485"/>
      <c r="J97" s="485"/>
      <c r="K97" s="485"/>
      <c r="L97" s="485"/>
      <c r="M97" s="485"/>
      <c r="N97" s="485"/>
      <c r="O97" s="485"/>
      <c r="P97" s="485"/>
      <c r="Q97" s="486"/>
    </row>
    <row r="98" spans="1:17">
      <c r="A98" s="485">
        <v>88</v>
      </c>
      <c r="B98" s="485" t="s">
        <v>1998</v>
      </c>
      <c r="C98" s="485" t="s">
        <v>706</v>
      </c>
      <c r="D98" s="485">
        <v>75</v>
      </c>
      <c r="E98" s="485">
        <v>50.1</v>
      </c>
      <c r="F98" s="490">
        <f t="shared" si="2"/>
        <v>0.375</v>
      </c>
      <c r="G98" s="490">
        <f t="shared" si="3"/>
        <v>1.075</v>
      </c>
      <c r="H98" s="485"/>
      <c r="I98" s="485" t="s">
        <v>199</v>
      </c>
      <c r="J98" s="485"/>
      <c r="K98" s="485"/>
      <c r="L98" s="485"/>
      <c r="M98" s="485"/>
      <c r="N98" s="485"/>
      <c r="O98" s="485"/>
      <c r="P98" s="485"/>
      <c r="Q98" s="486"/>
    </row>
    <row r="99" spans="1:17">
      <c r="A99" s="485">
        <v>89</v>
      </c>
      <c r="B99" s="485" t="s">
        <v>1998</v>
      </c>
      <c r="C99" s="485" t="s">
        <v>706</v>
      </c>
      <c r="D99" s="485">
        <v>75</v>
      </c>
      <c r="E99" s="485">
        <v>56</v>
      </c>
      <c r="F99" s="490">
        <f t="shared" si="2"/>
        <v>0.375</v>
      </c>
      <c r="G99" s="490">
        <f t="shared" si="3"/>
        <v>1.075</v>
      </c>
      <c r="H99" s="485"/>
      <c r="I99" s="485"/>
      <c r="J99" s="485"/>
      <c r="K99" s="485"/>
      <c r="L99" s="485"/>
      <c r="M99" s="485"/>
      <c r="N99" s="485"/>
      <c r="O99" s="485"/>
      <c r="P99" s="485"/>
      <c r="Q99" s="486"/>
    </row>
    <row r="100" spans="1:17">
      <c r="A100" s="485">
        <v>90</v>
      </c>
      <c r="B100" s="485" t="s">
        <v>303</v>
      </c>
      <c r="C100" s="485" t="s">
        <v>290</v>
      </c>
      <c r="D100" s="485">
        <v>63</v>
      </c>
      <c r="E100" s="485">
        <v>87.1</v>
      </c>
      <c r="F100" s="490">
        <f t="shared" si="2"/>
        <v>0.36299999999999999</v>
      </c>
      <c r="G100" s="490">
        <f t="shared" si="3"/>
        <v>1.0629999999999999</v>
      </c>
      <c r="H100" s="485"/>
      <c r="I100" s="485"/>
      <c r="J100" s="485"/>
      <c r="K100" s="485"/>
      <c r="L100" s="485"/>
      <c r="M100" s="485"/>
      <c r="N100" s="485"/>
      <c r="O100" s="485"/>
      <c r="P100" s="485"/>
      <c r="Q100" s="486"/>
    </row>
    <row r="101" spans="1:17">
      <c r="A101" s="485">
        <v>91</v>
      </c>
      <c r="B101" s="485" t="s">
        <v>290</v>
      </c>
      <c r="C101" s="485" t="s">
        <v>289</v>
      </c>
      <c r="D101" s="485">
        <v>63</v>
      </c>
      <c r="E101" s="485">
        <v>77.900000000000006</v>
      </c>
      <c r="F101" s="490">
        <f t="shared" si="2"/>
        <v>0.36299999999999999</v>
      </c>
      <c r="G101" s="490">
        <f t="shared" si="3"/>
        <v>1.0629999999999999</v>
      </c>
      <c r="H101" s="485"/>
      <c r="I101" s="485"/>
      <c r="J101" s="485"/>
      <c r="K101" s="485"/>
      <c r="L101" s="485"/>
      <c r="M101" s="485"/>
      <c r="N101" s="485"/>
      <c r="O101" s="485"/>
      <c r="P101" s="485"/>
      <c r="Q101" s="486"/>
    </row>
    <row r="102" spans="1:17">
      <c r="A102" s="485">
        <v>92</v>
      </c>
      <c r="B102" s="485" t="s">
        <v>290</v>
      </c>
      <c r="C102" s="485" t="s">
        <v>288</v>
      </c>
      <c r="D102" s="485">
        <v>63</v>
      </c>
      <c r="E102" s="485">
        <v>160.30000000000001</v>
      </c>
      <c r="F102" s="490">
        <f t="shared" si="2"/>
        <v>0.36299999999999999</v>
      </c>
      <c r="G102" s="490">
        <f t="shared" si="3"/>
        <v>1.0629999999999999</v>
      </c>
      <c r="H102" s="485"/>
      <c r="I102" s="485"/>
      <c r="J102" s="485"/>
      <c r="K102" s="485"/>
      <c r="L102" s="485"/>
      <c r="M102" s="485"/>
      <c r="N102" s="485"/>
      <c r="O102" s="485"/>
      <c r="P102" s="485"/>
      <c r="Q102" s="486"/>
    </row>
    <row r="103" spans="1:17">
      <c r="A103" s="485">
        <v>93</v>
      </c>
      <c r="B103" s="485" t="s">
        <v>565</v>
      </c>
      <c r="C103" s="485" t="s">
        <v>572</v>
      </c>
      <c r="D103" s="485">
        <v>63</v>
      </c>
      <c r="E103" s="485">
        <v>126</v>
      </c>
      <c r="F103" s="490">
        <f t="shared" si="2"/>
        <v>0.36299999999999999</v>
      </c>
      <c r="G103" s="490">
        <f t="shared" si="3"/>
        <v>1.0629999999999999</v>
      </c>
      <c r="H103" s="485"/>
      <c r="I103" s="485"/>
      <c r="J103" s="485"/>
      <c r="K103" s="485"/>
      <c r="L103" s="485"/>
      <c r="M103" s="485"/>
      <c r="N103" s="485"/>
      <c r="O103" s="485"/>
      <c r="P103" s="485"/>
      <c r="Q103" s="486"/>
    </row>
    <row r="104" spans="1:17">
      <c r="A104" s="485">
        <v>94</v>
      </c>
      <c r="B104" s="485" t="s">
        <v>203</v>
      </c>
      <c r="C104" s="485" t="s">
        <v>238</v>
      </c>
      <c r="D104" s="485">
        <v>90</v>
      </c>
      <c r="E104" s="485">
        <v>437</v>
      </c>
      <c r="F104" s="490">
        <f t="shared" si="2"/>
        <v>0.39</v>
      </c>
      <c r="G104" s="490">
        <f t="shared" si="3"/>
        <v>1.0900000000000001</v>
      </c>
      <c r="H104" s="485"/>
      <c r="I104" s="485"/>
      <c r="J104" s="485"/>
      <c r="K104" s="485"/>
      <c r="L104" s="485"/>
      <c r="M104" s="485"/>
      <c r="N104" s="485"/>
      <c r="O104" s="485"/>
      <c r="P104" s="485"/>
      <c r="Q104" s="486"/>
    </row>
    <row r="105" spans="1:17">
      <c r="A105" s="485">
        <v>95</v>
      </c>
      <c r="B105" s="485" t="s">
        <v>215</v>
      </c>
      <c r="C105" s="485" t="s">
        <v>614</v>
      </c>
      <c r="D105" s="485">
        <v>63</v>
      </c>
      <c r="E105" s="485">
        <v>105</v>
      </c>
      <c r="F105" s="490">
        <f t="shared" si="2"/>
        <v>0.36299999999999999</v>
      </c>
      <c r="G105" s="490">
        <f t="shared" si="3"/>
        <v>1.0629999999999999</v>
      </c>
      <c r="H105" s="485"/>
      <c r="I105" s="485" t="s">
        <v>199</v>
      </c>
      <c r="J105" s="485"/>
      <c r="K105" s="485"/>
      <c r="L105" s="485"/>
      <c r="M105" s="485"/>
      <c r="N105" s="485"/>
      <c r="O105" s="485"/>
      <c r="P105" s="485"/>
      <c r="Q105" s="486"/>
    </row>
    <row r="106" spans="1:17">
      <c r="A106" s="485">
        <v>96</v>
      </c>
      <c r="B106" s="485" t="s">
        <v>215</v>
      </c>
      <c r="C106" s="485" t="s">
        <v>614</v>
      </c>
      <c r="D106" s="485">
        <v>63</v>
      </c>
      <c r="E106" s="485">
        <v>138</v>
      </c>
      <c r="F106" s="490">
        <f t="shared" si="2"/>
        <v>0.36299999999999999</v>
      </c>
      <c r="G106" s="490">
        <f t="shared" si="3"/>
        <v>1.0629999999999999</v>
      </c>
      <c r="H106" s="485"/>
      <c r="I106" s="485"/>
      <c r="J106" s="485"/>
      <c r="K106" s="485"/>
      <c r="L106" s="485"/>
      <c r="M106" s="485"/>
      <c r="N106" s="485"/>
      <c r="O106" s="485"/>
      <c r="P106" s="485"/>
      <c r="Q106" s="486"/>
    </row>
    <row r="107" spans="1:17">
      <c r="A107" s="485">
        <v>97</v>
      </c>
      <c r="B107" s="485" t="s">
        <v>215</v>
      </c>
      <c r="C107" s="485" t="s">
        <v>614</v>
      </c>
      <c r="D107" s="485">
        <v>63</v>
      </c>
      <c r="E107" s="485">
        <v>43</v>
      </c>
      <c r="F107" s="490">
        <f t="shared" si="2"/>
        <v>0.36299999999999999</v>
      </c>
      <c r="G107" s="490">
        <f t="shared" si="3"/>
        <v>1.0629999999999999</v>
      </c>
      <c r="H107" s="485"/>
      <c r="I107" s="485"/>
      <c r="J107" s="485"/>
      <c r="K107" s="485"/>
      <c r="L107" s="485"/>
      <c r="M107" s="485"/>
      <c r="N107" s="485"/>
      <c r="O107" s="485"/>
      <c r="P107" s="485"/>
      <c r="Q107" s="486"/>
    </row>
    <row r="108" spans="1:17">
      <c r="A108" s="485">
        <v>98</v>
      </c>
      <c r="B108" s="485" t="s">
        <v>463</v>
      </c>
      <c r="C108" s="485" t="s">
        <v>715</v>
      </c>
      <c r="D108" s="485">
        <v>63</v>
      </c>
      <c r="E108" s="485">
        <v>6</v>
      </c>
      <c r="F108" s="490">
        <f t="shared" si="2"/>
        <v>0.36299999999999999</v>
      </c>
      <c r="G108" s="490">
        <f t="shared" si="3"/>
        <v>1.0629999999999999</v>
      </c>
      <c r="H108" s="485"/>
      <c r="I108" s="485" t="s">
        <v>1999</v>
      </c>
      <c r="J108" s="485"/>
      <c r="K108" s="485"/>
      <c r="L108" s="485"/>
      <c r="M108" s="485"/>
      <c r="N108" s="485"/>
      <c r="O108" s="485"/>
      <c r="P108" s="485"/>
      <c r="Q108" s="486"/>
    </row>
    <row r="109" spans="1:17">
      <c r="A109" s="485">
        <v>99</v>
      </c>
      <c r="B109" s="485" t="s">
        <v>463</v>
      </c>
      <c r="C109" s="485" t="s">
        <v>715</v>
      </c>
      <c r="D109" s="485">
        <v>63</v>
      </c>
      <c r="E109" s="485">
        <v>103</v>
      </c>
      <c r="F109" s="490">
        <f t="shared" si="2"/>
        <v>0.36299999999999999</v>
      </c>
      <c r="G109" s="490">
        <f t="shared" si="3"/>
        <v>1.0629999999999999</v>
      </c>
      <c r="H109" s="485"/>
      <c r="I109" s="485"/>
      <c r="J109" s="485"/>
      <c r="K109" s="485"/>
      <c r="L109" s="485"/>
      <c r="M109" s="485"/>
      <c r="N109" s="485"/>
      <c r="O109" s="485"/>
      <c r="P109" s="485"/>
      <c r="Q109" s="486"/>
    </row>
    <row r="110" spans="1:17">
      <c r="A110" s="485">
        <v>100</v>
      </c>
      <c r="B110" s="485" t="s">
        <v>339</v>
      </c>
      <c r="C110" s="485" t="s">
        <v>337</v>
      </c>
      <c r="D110" s="485">
        <v>110</v>
      </c>
      <c r="E110" s="485">
        <v>87</v>
      </c>
      <c r="F110" s="490">
        <f t="shared" si="2"/>
        <v>0.41</v>
      </c>
      <c r="G110" s="490">
        <f t="shared" si="3"/>
        <v>1.1100000000000001</v>
      </c>
      <c r="H110" s="485"/>
      <c r="I110" s="485"/>
      <c r="J110" s="485"/>
      <c r="K110" s="485"/>
      <c r="L110" s="485"/>
      <c r="M110" s="485"/>
      <c r="N110" s="485"/>
      <c r="O110" s="485"/>
      <c r="P110" s="485"/>
      <c r="Q110" s="486"/>
    </row>
    <row r="111" spans="1:17">
      <c r="A111" s="485">
        <v>101</v>
      </c>
      <c r="B111" s="485" t="s">
        <v>337</v>
      </c>
      <c r="C111" s="485" t="s">
        <v>662</v>
      </c>
      <c r="D111" s="485">
        <v>90</v>
      </c>
      <c r="E111" s="485">
        <v>388</v>
      </c>
      <c r="F111" s="490">
        <f t="shared" si="2"/>
        <v>0.39</v>
      </c>
      <c r="G111" s="490">
        <f t="shared" si="3"/>
        <v>1.0900000000000001</v>
      </c>
      <c r="H111" s="485"/>
      <c r="I111" s="485"/>
      <c r="J111" s="485"/>
      <c r="K111" s="485"/>
      <c r="L111" s="485"/>
      <c r="M111" s="485"/>
      <c r="N111" s="485"/>
      <c r="O111" s="485"/>
      <c r="P111" s="485"/>
      <c r="Q111" s="486"/>
    </row>
    <row r="112" spans="1:17">
      <c r="A112" s="485">
        <v>102</v>
      </c>
      <c r="B112" s="485" t="s">
        <v>229</v>
      </c>
      <c r="C112" s="485" t="s">
        <v>337</v>
      </c>
      <c r="D112" s="485">
        <v>110</v>
      </c>
      <c r="E112" s="485">
        <v>233.6</v>
      </c>
      <c r="F112" s="490">
        <f t="shared" si="2"/>
        <v>0.41</v>
      </c>
      <c r="G112" s="490">
        <f t="shared" si="3"/>
        <v>1.1100000000000001</v>
      </c>
      <c r="H112" s="485"/>
      <c r="I112" s="485"/>
      <c r="J112" s="485"/>
      <c r="K112" s="485"/>
      <c r="L112" s="485"/>
      <c r="M112" s="485"/>
      <c r="N112" s="485"/>
      <c r="O112" s="485"/>
      <c r="P112" s="485"/>
      <c r="Q112" s="486"/>
    </row>
    <row r="113" spans="1:17">
      <c r="A113" s="485">
        <v>103</v>
      </c>
      <c r="B113" s="485" t="s">
        <v>339</v>
      </c>
      <c r="C113" s="485" t="s">
        <v>340</v>
      </c>
      <c r="D113" s="485">
        <v>90</v>
      </c>
      <c r="E113" s="485">
        <v>76.599999999999994</v>
      </c>
      <c r="F113" s="490">
        <f t="shared" si="2"/>
        <v>0.39</v>
      </c>
      <c r="G113" s="490">
        <f t="shared" si="3"/>
        <v>1.0900000000000001</v>
      </c>
      <c r="H113" s="485"/>
      <c r="I113" s="485"/>
      <c r="J113" s="485"/>
      <c r="K113" s="485"/>
      <c r="L113" s="485"/>
      <c r="M113" s="485"/>
      <c r="N113" s="485"/>
      <c r="O113" s="485"/>
      <c r="P113" s="485"/>
      <c r="Q113" s="486"/>
    </row>
    <row r="114" spans="1:17">
      <c r="A114" s="485">
        <v>104</v>
      </c>
      <c r="B114" s="485" t="s">
        <v>340</v>
      </c>
      <c r="C114" s="485" t="s">
        <v>235</v>
      </c>
      <c r="D114" s="485">
        <v>90</v>
      </c>
      <c r="E114" s="485">
        <v>100.2</v>
      </c>
      <c r="F114" s="490">
        <f t="shared" si="2"/>
        <v>0.39</v>
      </c>
      <c r="G114" s="490">
        <f t="shared" si="3"/>
        <v>1.0900000000000001</v>
      </c>
      <c r="H114" s="485"/>
      <c r="I114" s="485" t="s">
        <v>1990</v>
      </c>
      <c r="J114" s="485"/>
      <c r="K114" s="485"/>
      <c r="L114" s="485"/>
      <c r="M114" s="485"/>
      <c r="N114" s="485"/>
      <c r="O114" s="485"/>
      <c r="P114" s="485"/>
      <c r="Q114" s="486"/>
    </row>
    <row r="115" spans="1:17">
      <c r="A115" s="485">
        <v>105</v>
      </c>
      <c r="B115" s="485" t="s">
        <v>234</v>
      </c>
      <c r="C115" s="485" t="s">
        <v>336</v>
      </c>
      <c r="D115" s="485">
        <v>63</v>
      </c>
      <c r="E115" s="485">
        <v>16.399999999999999</v>
      </c>
      <c r="F115" s="490">
        <f t="shared" si="2"/>
        <v>0.36299999999999999</v>
      </c>
      <c r="G115" s="490">
        <f t="shared" si="3"/>
        <v>1.0629999999999999</v>
      </c>
      <c r="H115" s="485"/>
      <c r="I115" s="485" t="s">
        <v>1990</v>
      </c>
      <c r="J115" s="485"/>
      <c r="K115" s="485"/>
      <c r="L115" s="485"/>
      <c r="M115" s="485"/>
      <c r="N115" s="485"/>
      <c r="O115" s="485"/>
      <c r="P115" s="485"/>
      <c r="Q115" s="486"/>
    </row>
    <row r="116" spans="1:17">
      <c r="A116" s="485">
        <v>106</v>
      </c>
      <c r="B116" s="485" t="s">
        <v>336</v>
      </c>
      <c r="C116" s="485" t="s">
        <v>338</v>
      </c>
      <c r="D116" s="485">
        <v>90</v>
      </c>
      <c r="E116" s="485">
        <v>20</v>
      </c>
      <c r="F116" s="490">
        <f t="shared" si="2"/>
        <v>0.39</v>
      </c>
      <c r="G116" s="490">
        <f t="shared" si="3"/>
        <v>1.0900000000000001</v>
      </c>
      <c r="H116" s="485"/>
      <c r="I116" s="485" t="s">
        <v>1990</v>
      </c>
      <c r="J116" s="485"/>
      <c r="K116" s="485"/>
      <c r="L116" s="485"/>
      <c r="M116" s="485"/>
      <c r="N116" s="485"/>
      <c r="O116" s="485"/>
      <c r="P116" s="485"/>
      <c r="Q116" s="486"/>
    </row>
    <row r="117" spans="1:17">
      <c r="A117" s="485">
        <v>107</v>
      </c>
      <c r="B117" s="485" t="s">
        <v>235</v>
      </c>
      <c r="C117" s="485" t="s">
        <v>336</v>
      </c>
      <c r="D117" s="485">
        <v>90</v>
      </c>
      <c r="E117" s="485">
        <v>6</v>
      </c>
      <c r="F117" s="490">
        <f t="shared" si="2"/>
        <v>0.39</v>
      </c>
      <c r="G117" s="490">
        <f t="shared" si="3"/>
        <v>1.0900000000000001</v>
      </c>
      <c r="H117" s="485"/>
      <c r="I117" s="485"/>
      <c r="J117" s="485"/>
      <c r="K117" s="485"/>
      <c r="L117" s="485"/>
      <c r="M117" s="485"/>
      <c r="N117" s="485"/>
      <c r="O117" s="485"/>
      <c r="P117" s="485"/>
      <c r="Q117" s="486"/>
    </row>
    <row r="118" spans="1:17">
      <c r="A118" s="485">
        <v>108</v>
      </c>
      <c r="B118" s="485" t="s">
        <v>336</v>
      </c>
      <c r="C118" s="485" t="s">
        <v>338</v>
      </c>
      <c r="D118" s="485">
        <v>90</v>
      </c>
      <c r="E118" s="485">
        <v>20</v>
      </c>
      <c r="F118" s="490">
        <f t="shared" si="2"/>
        <v>0.39</v>
      </c>
      <c r="G118" s="490">
        <f t="shared" si="3"/>
        <v>1.0900000000000001</v>
      </c>
      <c r="H118" s="485"/>
      <c r="I118" s="485"/>
      <c r="J118" s="485"/>
      <c r="K118" s="485"/>
      <c r="L118" s="485"/>
      <c r="M118" s="485"/>
      <c r="N118" s="485"/>
      <c r="O118" s="485"/>
      <c r="P118" s="485"/>
      <c r="Q118" s="486"/>
    </row>
    <row r="119" spans="1:17">
      <c r="A119" s="485">
        <v>111</v>
      </c>
      <c r="B119" s="485" t="s">
        <v>235</v>
      </c>
      <c r="C119" s="485" t="s">
        <v>640</v>
      </c>
      <c r="D119" s="485">
        <v>63</v>
      </c>
      <c r="E119" s="485">
        <v>85</v>
      </c>
      <c r="F119" s="490">
        <f t="shared" si="2"/>
        <v>0.36299999999999999</v>
      </c>
      <c r="G119" s="490">
        <f t="shared" si="3"/>
        <v>1.0629999999999999</v>
      </c>
      <c r="H119" s="485"/>
      <c r="I119" s="485"/>
      <c r="J119" s="485"/>
      <c r="K119" s="485"/>
      <c r="L119" s="485"/>
      <c r="M119" s="485"/>
      <c r="N119" s="485"/>
      <c r="O119" s="485"/>
      <c r="P119" s="485"/>
      <c r="Q119" s="486"/>
    </row>
    <row r="120" spans="1:17">
      <c r="A120" s="485">
        <v>112</v>
      </c>
      <c r="B120" s="485" t="s">
        <v>308</v>
      </c>
      <c r="C120" s="485" t="s">
        <v>359</v>
      </c>
      <c r="D120" s="485">
        <v>90</v>
      </c>
      <c r="E120" s="485">
        <v>164</v>
      </c>
      <c r="F120" s="490">
        <f t="shared" si="2"/>
        <v>0.39</v>
      </c>
      <c r="G120" s="490">
        <f t="shared" si="3"/>
        <v>1.0900000000000001</v>
      </c>
      <c r="H120" s="485"/>
      <c r="I120" s="485"/>
      <c r="J120" s="485"/>
      <c r="K120" s="485"/>
      <c r="L120" s="485"/>
      <c r="M120" s="485"/>
      <c r="N120" s="485"/>
      <c r="O120" s="485"/>
      <c r="P120" s="485"/>
      <c r="Q120" s="486"/>
    </row>
    <row r="121" spans="1:17">
      <c r="A121" s="485">
        <v>113</v>
      </c>
      <c r="B121" s="485" t="s">
        <v>359</v>
      </c>
      <c r="C121" s="485" t="s">
        <v>339</v>
      </c>
      <c r="D121" s="485">
        <v>110</v>
      </c>
      <c r="E121" s="485">
        <v>105.8</v>
      </c>
      <c r="F121" s="490">
        <f t="shared" si="2"/>
        <v>0.41</v>
      </c>
      <c r="G121" s="490">
        <f t="shared" si="3"/>
        <v>1.1100000000000001</v>
      </c>
      <c r="H121" s="485"/>
      <c r="I121" s="485"/>
      <c r="J121" s="485"/>
      <c r="K121" s="485"/>
      <c r="L121" s="485"/>
      <c r="M121" s="485"/>
      <c r="N121" s="485"/>
      <c r="O121" s="485"/>
      <c r="P121" s="485"/>
      <c r="Q121" s="486"/>
    </row>
    <row r="122" spans="1:17">
      <c r="A122" s="485">
        <v>114</v>
      </c>
      <c r="B122" s="485" t="s">
        <v>242</v>
      </c>
      <c r="C122" s="485" t="s">
        <v>333</v>
      </c>
      <c r="D122" s="485">
        <v>63</v>
      </c>
      <c r="E122" s="485">
        <v>57</v>
      </c>
      <c r="F122" s="490">
        <f t="shared" si="2"/>
        <v>0.36299999999999999</v>
      </c>
      <c r="G122" s="490">
        <f t="shared" si="3"/>
        <v>1.0629999999999999</v>
      </c>
      <c r="H122" s="485"/>
      <c r="I122" s="485" t="s">
        <v>1990</v>
      </c>
      <c r="J122" s="485"/>
      <c r="K122" s="485"/>
      <c r="L122" s="485"/>
      <c r="M122" s="485"/>
      <c r="N122" s="485"/>
      <c r="O122" s="485"/>
      <c r="P122" s="485"/>
      <c r="Q122" s="486"/>
    </row>
    <row r="123" spans="1:17">
      <c r="A123" s="485">
        <v>115</v>
      </c>
      <c r="B123" s="485">
        <v>138</v>
      </c>
      <c r="C123" s="485">
        <v>139</v>
      </c>
      <c r="D123" s="485">
        <v>90</v>
      </c>
      <c r="E123" s="485">
        <v>93</v>
      </c>
      <c r="F123" s="490">
        <f t="shared" si="2"/>
        <v>0.39</v>
      </c>
      <c r="G123" s="490">
        <f t="shared" si="3"/>
        <v>1.0900000000000001</v>
      </c>
      <c r="H123" s="485"/>
      <c r="I123" s="485"/>
      <c r="J123" s="485"/>
      <c r="K123" s="485"/>
      <c r="L123" s="485"/>
      <c r="M123" s="485"/>
      <c r="N123" s="485"/>
      <c r="O123" s="485"/>
      <c r="P123" s="485"/>
      <c r="Q123" s="486"/>
    </row>
    <row r="124" spans="1:17">
      <c r="A124" s="485">
        <v>116</v>
      </c>
      <c r="B124" s="485" t="s">
        <v>242</v>
      </c>
      <c r="C124" s="485" t="s">
        <v>241</v>
      </c>
      <c r="D124" s="485">
        <v>90</v>
      </c>
      <c r="E124" s="485">
        <v>52</v>
      </c>
      <c r="F124" s="490">
        <f t="shared" si="2"/>
        <v>0.39</v>
      </c>
      <c r="G124" s="490">
        <f t="shared" si="3"/>
        <v>1.0900000000000001</v>
      </c>
      <c r="H124" s="485"/>
      <c r="I124" s="485"/>
      <c r="J124" s="485"/>
      <c r="K124" s="485"/>
      <c r="L124" s="485"/>
      <c r="M124" s="485"/>
      <c r="N124" s="485"/>
      <c r="O124" s="485"/>
      <c r="P124" s="485"/>
      <c r="Q124" s="486"/>
    </row>
    <row r="125" spans="1:17">
      <c r="A125" s="485">
        <v>117</v>
      </c>
      <c r="B125" s="485" t="s">
        <v>2000</v>
      </c>
      <c r="C125" s="485" t="s">
        <v>2001</v>
      </c>
      <c r="D125" s="485">
        <v>63</v>
      </c>
      <c r="E125" s="485">
        <v>42</v>
      </c>
      <c r="F125" s="490">
        <f t="shared" si="2"/>
        <v>0.36299999999999999</v>
      </c>
      <c r="G125" s="490">
        <f t="shared" si="3"/>
        <v>1.0629999999999999</v>
      </c>
      <c r="H125" s="485"/>
      <c r="I125" s="485"/>
      <c r="J125" s="485"/>
      <c r="K125" s="485"/>
      <c r="L125" s="485"/>
      <c r="M125" s="485"/>
      <c r="N125" s="485"/>
      <c r="O125" s="485"/>
      <c r="P125" s="485"/>
      <c r="Q125" s="486"/>
    </row>
    <row r="126" spans="1:17">
      <c r="A126" s="485">
        <v>118</v>
      </c>
      <c r="B126" s="485" t="s">
        <v>2002</v>
      </c>
      <c r="C126" s="485" t="s">
        <v>2003</v>
      </c>
      <c r="D126" s="485">
        <v>63</v>
      </c>
      <c r="E126" s="485">
        <v>25</v>
      </c>
      <c r="F126" s="490">
        <f t="shared" si="2"/>
        <v>0.36299999999999999</v>
      </c>
      <c r="G126" s="490">
        <f t="shared" si="3"/>
        <v>1.0629999999999999</v>
      </c>
      <c r="H126" s="485"/>
      <c r="I126" s="485"/>
      <c r="J126" s="485"/>
      <c r="K126" s="485"/>
      <c r="L126" s="485"/>
      <c r="M126" s="485"/>
      <c r="N126" s="485"/>
      <c r="O126" s="485"/>
      <c r="P126" s="485"/>
      <c r="Q126" s="486"/>
    </row>
    <row r="127" spans="1:17">
      <c r="A127" s="485">
        <v>119</v>
      </c>
      <c r="B127" s="485" t="s">
        <v>338</v>
      </c>
      <c r="C127" s="485" t="s">
        <v>310</v>
      </c>
      <c r="D127" s="485">
        <v>75</v>
      </c>
      <c r="E127" s="485">
        <v>38</v>
      </c>
      <c r="F127" s="490">
        <f t="shared" si="2"/>
        <v>0.375</v>
      </c>
      <c r="G127" s="490">
        <f t="shared" si="3"/>
        <v>1.075</v>
      </c>
      <c r="H127" s="485"/>
      <c r="I127" s="485" t="s">
        <v>199</v>
      </c>
      <c r="J127" s="485"/>
      <c r="K127" s="485"/>
      <c r="L127" s="485"/>
      <c r="M127" s="485"/>
      <c r="N127" s="485"/>
      <c r="O127" s="485"/>
      <c r="P127" s="485"/>
      <c r="Q127" s="486"/>
    </row>
    <row r="128" spans="1:17">
      <c r="A128" s="485">
        <v>120</v>
      </c>
      <c r="B128" s="485" t="s">
        <v>310</v>
      </c>
      <c r="C128" s="485" t="s">
        <v>434</v>
      </c>
      <c r="D128" s="485">
        <v>75</v>
      </c>
      <c r="E128" s="485">
        <v>67</v>
      </c>
      <c r="F128" s="490">
        <f t="shared" si="2"/>
        <v>0.375</v>
      </c>
      <c r="G128" s="490">
        <f t="shared" si="3"/>
        <v>1.075</v>
      </c>
      <c r="H128" s="485"/>
      <c r="I128" s="485"/>
      <c r="J128" s="485"/>
      <c r="K128" s="485"/>
      <c r="L128" s="485"/>
      <c r="M128" s="485"/>
      <c r="N128" s="485"/>
      <c r="O128" s="485"/>
      <c r="P128" s="485"/>
      <c r="Q128" s="486"/>
    </row>
    <row r="129" spans="1:17">
      <c r="A129" s="485">
        <v>121</v>
      </c>
      <c r="B129" s="485" t="s">
        <v>434</v>
      </c>
      <c r="C129" s="485" t="s">
        <v>519</v>
      </c>
      <c r="D129" s="485">
        <v>63</v>
      </c>
      <c r="E129" s="485">
        <v>75</v>
      </c>
      <c r="F129" s="490">
        <f t="shared" si="2"/>
        <v>0.36299999999999999</v>
      </c>
      <c r="G129" s="490">
        <f t="shared" si="3"/>
        <v>1.0629999999999999</v>
      </c>
      <c r="H129" s="485"/>
      <c r="I129" s="485"/>
      <c r="J129" s="485"/>
      <c r="K129" s="485"/>
      <c r="L129" s="485"/>
      <c r="M129" s="485"/>
      <c r="N129" s="485"/>
      <c r="O129" s="485"/>
      <c r="P129" s="485"/>
      <c r="Q129" s="486"/>
    </row>
    <row r="130" spans="1:17">
      <c r="A130" s="485">
        <v>122</v>
      </c>
      <c r="B130" s="485" t="s">
        <v>434</v>
      </c>
      <c r="C130" s="485" t="s">
        <v>293</v>
      </c>
      <c r="D130" s="485">
        <v>63</v>
      </c>
      <c r="E130" s="485">
        <v>9</v>
      </c>
      <c r="F130" s="490">
        <f t="shared" si="2"/>
        <v>0.36299999999999999</v>
      </c>
      <c r="G130" s="490">
        <f t="shared" si="3"/>
        <v>1.0629999999999999</v>
      </c>
      <c r="H130" s="485"/>
      <c r="I130" s="485"/>
      <c r="J130" s="485"/>
      <c r="K130" s="485"/>
      <c r="L130" s="485"/>
      <c r="M130" s="485"/>
      <c r="N130" s="485"/>
      <c r="O130" s="485"/>
      <c r="P130" s="485"/>
      <c r="Q130" s="486"/>
    </row>
    <row r="131" spans="1:17">
      <c r="A131" s="485">
        <v>123</v>
      </c>
      <c r="B131" s="485" t="s">
        <v>434</v>
      </c>
      <c r="C131" s="485" t="s">
        <v>293</v>
      </c>
      <c r="D131" s="485">
        <v>63</v>
      </c>
      <c r="E131" s="485">
        <v>34</v>
      </c>
      <c r="F131" s="490">
        <f t="shared" si="2"/>
        <v>0.36299999999999999</v>
      </c>
      <c r="G131" s="490">
        <f t="shared" si="3"/>
        <v>1.0629999999999999</v>
      </c>
      <c r="H131" s="485"/>
      <c r="I131" s="485" t="s">
        <v>199</v>
      </c>
      <c r="J131" s="485"/>
      <c r="K131" s="485"/>
      <c r="L131" s="485"/>
      <c r="M131" s="485"/>
      <c r="N131" s="485"/>
      <c r="O131" s="485"/>
      <c r="P131" s="485"/>
      <c r="Q131" s="486"/>
    </row>
    <row r="132" spans="1:17">
      <c r="A132" s="485">
        <v>124</v>
      </c>
      <c r="B132" s="485" t="s">
        <v>2004</v>
      </c>
      <c r="C132" s="485" t="s">
        <v>862</v>
      </c>
      <c r="D132" s="485">
        <v>63</v>
      </c>
      <c r="E132" s="485">
        <v>37.6</v>
      </c>
      <c r="F132" s="490">
        <f t="shared" si="2"/>
        <v>0.36299999999999999</v>
      </c>
      <c r="G132" s="490">
        <f t="shared" si="3"/>
        <v>1.0629999999999999</v>
      </c>
      <c r="H132" s="485"/>
      <c r="I132" s="485"/>
      <c r="J132" s="485"/>
      <c r="K132" s="485"/>
      <c r="L132" s="485"/>
      <c r="M132" s="485"/>
      <c r="N132" s="485"/>
      <c r="O132" s="485"/>
      <c r="P132" s="485"/>
      <c r="Q132" s="486"/>
    </row>
    <row r="133" spans="1:17">
      <c r="A133" s="485">
        <v>125</v>
      </c>
      <c r="B133" s="485" t="s">
        <v>293</v>
      </c>
      <c r="C133" s="485" t="s">
        <v>801</v>
      </c>
      <c r="D133" s="485">
        <v>63</v>
      </c>
      <c r="E133" s="485">
        <v>16</v>
      </c>
      <c r="F133" s="490">
        <f t="shared" si="2"/>
        <v>0.36299999999999999</v>
      </c>
      <c r="G133" s="490">
        <f t="shared" si="3"/>
        <v>1.0629999999999999</v>
      </c>
      <c r="H133" s="485"/>
      <c r="I133" s="485" t="s">
        <v>199</v>
      </c>
      <c r="J133" s="485"/>
      <c r="K133" s="485"/>
      <c r="L133" s="485"/>
      <c r="M133" s="485"/>
      <c r="N133" s="485"/>
      <c r="O133" s="485"/>
      <c r="P133" s="485"/>
      <c r="Q133" s="486"/>
    </row>
    <row r="134" spans="1:17">
      <c r="A134" s="485">
        <v>126</v>
      </c>
      <c r="B134" s="485" t="s">
        <v>801</v>
      </c>
      <c r="C134" s="485" t="s">
        <v>2005</v>
      </c>
      <c r="D134" s="485">
        <v>63</v>
      </c>
      <c r="E134" s="485">
        <v>43</v>
      </c>
      <c r="F134" s="490">
        <f t="shared" si="2"/>
        <v>0.36299999999999999</v>
      </c>
      <c r="G134" s="490">
        <f t="shared" si="3"/>
        <v>1.0629999999999999</v>
      </c>
      <c r="H134" s="485"/>
      <c r="I134" s="485"/>
      <c r="J134" s="485"/>
      <c r="K134" s="485"/>
      <c r="L134" s="485"/>
      <c r="M134" s="485"/>
      <c r="N134" s="485"/>
      <c r="O134" s="485"/>
      <c r="P134" s="485"/>
      <c r="Q134" s="486"/>
    </row>
    <row r="135" spans="1:17">
      <c r="A135" s="485">
        <v>127</v>
      </c>
      <c r="B135" s="485" t="s">
        <v>801</v>
      </c>
      <c r="C135" s="485" t="s">
        <v>295</v>
      </c>
      <c r="D135" s="485">
        <v>63</v>
      </c>
      <c r="E135" s="485">
        <v>27</v>
      </c>
      <c r="F135" s="490">
        <f t="shared" si="2"/>
        <v>0.36299999999999999</v>
      </c>
      <c r="G135" s="490">
        <f t="shared" si="3"/>
        <v>1.0629999999999999</v>
      </c>
      <c r="H135" s="485"/>
      <c r="I135" s="485"/>
      <c r="J135" s="485"/>
      <c r="K135" s="485"/>
      <c r="L135" s="485"/>
      <c r="M135" s="485"/>
      <c r="N135" s="485"/>
      <c r="O135" s="485"/>
      <c r="P135" s="485"/>
      <c r="Q135" s="486"/>
    </row>
    <row r="136" spans="1:17">
      <c r="A136" s="485">
        <v>128</v>
      </c>
      <c r="B136" s="485" t="s">
        <v>295</v>
      </c>
      <c r="C136" s="485" t="s">
        <v>549</v>
      </c>
      <c r="D136" s="485">
        <v>63</v>
      </c>
      <c r="E136" s="485">
        <v>72</v>
      </c>
      <c r="F136" s="490">
        <f t="shared" si="2"/>
        <v>0.36299999999999999</v>
      </c>
      <c r="G136" s="490">
        <f t="shared" si="3"/>
        <v>1.0629999999999999</v>
      </c>
      <c r="H136" s="485"/>
      <c r="I136" s="485"/>
      <c r="J136" s="485"/>
      <c r="K136" s="485"/>
      <c r="L136" s="485"/>
      <c r="M136" s="485"/>
      <c r="N136" s="485"/>
      <c r="O136" s="485"/>
      <c r="P136" s="485"/>
      <c r="Q136" s="486"/>
    </row>
    <row r="137" spans="1:17">
      <c r="A137" s="485">
        <v>129</v>
      </c>
      <c r="B137" s="485" t="s">
        <v>295</v>
      </c>
      <c r="C137" s="485" t="s">
        <v>296</v>
      </c>
      <c r="D137" s="485">
        <v>63</v>
      </c>
      <c r="E137" s="485">
        <v>40</v>
      </c>
      <c r="F137" s="490">
        <f t="shared" si="2"/>
        <v>0.36299999999999999</v>
      </c>
      <c r="G137" s="490">
        <f t="shared" si="3"/>
        <v>1.0629999999999999</v>
      </c>
      <c r="H137" s="485"/>
      <c r="I137" s="485"/>
      <c r="J137" s="485"/>
      <c r="K137" s="485"/>
      <c r="L137" s="485"/>
      <c r="M137" s="485"/>
      <c r="N137" s="485"/>
      <c r="O137" s="485"/>
      <c r="P137" s="485"/>
      <c r="Q137" s="486"/>
    </row>
    <row r="138" spans="1:17">
      <c r="A138" s="485">
        <v>130</v>
      </c>
      <c r="B138" s="485" t="s">
        <v>295</v>
      </c>
      <c r="C138" s="485" t="s">
        <v>297</v>
      </c>
      <c r="D138" s="485">
        <v>63</v>
      </c>
      <c r="E138" s="485">
        <v>4</v>
      </c>
      <c r="F138" s="490">
        <f t="shared" si="2"/>
        <v>0.36299999999999999</v>
      </c>
      <c r="G138" s="490">
        <f t="shared" si="3"/>
        <v>1.0629999999999999</v>
      </c>
      <c r="H138" s="485"/>
      <c r="I138" s="485"/>
      <c r="J138" s="485"/>
      <c r="K138" s="485"/>
      <c r="L138" s="485"/>
      <c r="M138" s="485"/>
      <c r="N138" s="485"/>
      <c r="O138" s="485"/>
      <c r="P138" s="485"/>
      <c r="Q138" s="486"/>
    </row>
    <row r="139" spans="1:17">
      <c r="A139" s="485">
        <v>131</v>
      </c>
      <c r="B139" s="485" t="s">
        <v>297</v>
      </c>
      <c r="C139" s="485" t="s">
        <v>461</v>
      </c>
      <c r="D139" s="485">
        <v>63</v>
      </c>
      <c r="E139" s="485">
        <v>30</v>
      </c>
      <c r="F139" s="490">
        <f t="shared" si="2"/>
        <v>0.36299999999999999</v>
      </c>
      <c r="G139" s="490">
        <f t="shared" si="3"/>
        <v>1.0629999999999999</v>
      </c>
      <c r="H139" s="485"/>
      <c r="I139" s="485"/>
      <c r="J139" s="485"/>
      <c r="K139" s="485"/>
      <c r="L139" s="485"/>
      <c r="M139" s="485"/>
      <c r="N139" s="485"/>
      <c r="O139" s="485"/>
      <c r="P139" s="485"/>
      <c r="Q139" s="486"/>
    </row>
    <row r="140" spans="1:17">
      <c r="A140" s="485">
        <v>132</v>
      </c>
      <c r="B140" s="485" t="s">
        <v>297</v>
      </c>
      <c r="C140" s="485" t="s">
        <v>456</v>
      </c>
      <c r="D140" s="485">
        <v>63</v>
      </c>
      <c r="E140" s="485">
        <v>74.400000000000006</v>
      </c>
      <c r="F140" s="490">
        <f t="shared" si="2"/>
        <v>0.36299999999999999</v>
      </c>
      <c r="G140" s="490">
        <f t="shared" si="3"/>
        <v>1.0629999999999999</v>
      </c>
      <c r="H140" s="485"/>
      <c r="I140" s="485"/>
      <c r="J140" s="485"/>
      <c r="K140" s="485"/>
      <c r="L140" s="485"/>
      <c r="M140" s="485"/>
      <c r="N140" s="485"/>
      <c r="O140" s="485"/>
      <c r="P140" s="485"/>
      <c r="Q140" s="486"/>
    </row>
    <row r="141" spans="1:17">
      <c r="A141" s="485">
        <v>133</v>
      </c>
      <c r="B141" s="485" t="s">
        <v>456</v>
      </c>
      <c r="C141" s="485" t="s">
        <v>287</v>
      </c>
      <c r="D141" s="485">
        <v>75</v>
      </c>
      <c r="E141" s="485">
        <v>218.5</v>
      </c>
      <c r="F141" s="490">
        <f t="shared" ref="F141:F149" si="4">(300+D141)/1000</f>
        <v>0.375</v>
      </c>
      <c r="G141" s="490">
        <f t="shared" ref="G141:G149" si="5">(1000+D141)/1000</f>
        <v>1.075</v>
      </c>
      <c r="H141" s="485"/>
      <c r="I141" s="485" t="s">
        <v>1990</v>
      </c>
      <c r="J141" s="485"/>
      <c r="K141" s="485"/>
      <c r="L141" s="485"/>
      <c r="M141" s="485"/>
      <c r="N141" s="485"/>
      <c r="O141" s="485"/>
      <c r="P141" s="485"/>
      <c r="Q141" s="486"/>
    </row>
    <row r="142" spans="1:17">
      <c r="A142" s="485">
        <v>134</v>
      </c>
      <c r="B142" s="485" t="s">
        <v>302</v>
      </c>
      <c r="C142" s="485" t="s">
        <v>320</v>
      </c>
      <c r="D142" s="485">
        <v>63</v>
      </c>
      <c r="E142" s="485">
        <v>27</v>
      </c>
      <c r="F142" s="490">
        <f t="shared" si="4"/>
        <v>0.36299999999999999</v>
      </c>
      <c r="G142" s="490">
        <f t="shared" si="5"/>
        <v>1.0629999999999999</v>
      </c>
      <c r="H142" s="485"/>
      <c r="I142" s="485"/>
      <c r="J142" s="485"/>
      <c r="K142" s="485"/>
      <c r="L142" s="485"/>
      <c r="M142" s="485"/>
      <c r="N142" s="485"/>
      <c r="O142" s="485"/>
      <c r="P142" s="485"/>
      <c r="Q142" s="486"/>
    </row>
    <row r="143" spans="1:17">
      <c r="A143" s="485">
        <v>135</v>
      </c>
      <c r="B143" s="485" t="s">
        <v>541</v>
      </c>
      <c r="C143" s="485" t="s">
        <v>456</v>
      </c>
      <c r="D143" s="485">
        <v>75</v>
      </c>
      <c r="E143" s="485">
        <v>68</v>
      </c>
      <c r="F143" s="490">
        <f t="shared" si="4"/>
        <v>0.375</v>
      </c>
      <c r="G143" s="490">
        <f t="shared" si="5"/>
        <v>1.075</v>
      </c>
      <c r="H143" s="485"/>
      <c r="I143" s="485" t="s">
        <v>1990</v>
      </c>
      <c r="J143" s="485"/>
      <c r="K143" s="485"/>
      <c r="L143" s="485"/>
      <c r="M143" s="485"/>
      <c r="N143" s="485"/>
      <c r="O143" s="485"/>
      <c r="P143" s="485"/>
      <c r="Q143" s="486"/>
    </row>
    <row r="144" spans="1:17">
      <c r="A144" s="485">
        <v>136</v>
      </c>
      <c r="B144" s="485" t="s">
        <v>541</v>
      </c>
      <c r="C144" s="485" t="s">
        <v>434</v>
      </c>
      <c r="D144" s="485">
        <v>75</v>
      </c>
      <c r="E144" s="485">
        <v>30</v>
      </c>
      <c r="F144" s="490">
        <f t="shared" si="4"/>
        <v>0.375</v>
      </c>
      <c r="G144" s="490">
        <f t="shared" si="5"/>
        <v>1.075</v>
      </c>
      <c r="H144" s="485"/>
      <c r="I144" s="485"/>
      <c r="J144" s="485"/>
      <c r="K144" s="485"/>
      <c r="L144" s="485"/>
      <c r="M144" s="485"/>
      <c r="N144" s="485"/>
      <c r="O144" s="485"/>
      <c r="P144" s="485"/>
      <c r="Q144" s="486"/>
    </row>
    <row r="145" spans="1:18">
      <c r="A145" s="485">
        <v>137</v>
      </c>
      <c r="B145" s="485" t="s">
        <v>541</v>
      </c>
      <c r="C145" s="485" t="s">
        <v>2006</v>
      </c>
      <c r="D145" s="485">
        <v>63</v>
      </c>
      <c r="E145" s="485">
        <v>80</v>
      </c>
      <c r="F145" s="490">
        <f t="shared" si="4"/>
        <v>0.36299999999999999</v>
      </c>
      <c r="G145" s="490">
        <f t="shared" si="5"/>
        <v>1.0629999999999999</v>
      </c>
      <c r="H145" s="485"/>
      <c r="I145" s="485"/>
      <c r="J145" s="485"/>
      <c r="K145" s="485"/>
      <c r="L145" s="485"/>
      <c r="M145" s="485"/>
      <c r="N145" s="485"/>
      <c r="O145" s="485"/>
      <c r="P145" s="485"/>
      <c r="Q145" s="486"/>
    </row>
    <row r="146" spans="1:18">
      <c r="A146" s="485">
        <v>138</v>
      </c>
      <c r="B146" s="485" t="s">
        <v>2006</v>
      </c>
      <c r="C146" s="485" t="s">
        <v>2007</v>
      </c>
      <c r="D146" s="485">
        <v>63</v>
      </c>
      <c r="E146" s="485">
        <v>41.4</v>
      </c>
      <c r="F146" s="490">
        <f t="shared" si="4"/>
        <v>0.36299999999999999</v>
      </c>
      <c r="G146" s="490">
        <f t="shared" si="5"/>
        <v>1.0629999999999999</v>
      </c>
      <c r="H146" s="485"/>
      <c r="I146" s="485"/>
      <c r="J146" s="485"/>
      <c r="K146" s="485"/>
      <c r="L146" s="485"/>
      <c r="M146" s="485"/>
      <c r="N146" s="485"/>
      <c r="O146" s="485"/>
      <c r="P146" s="485"/>
      <c r="Q146" s="486"/>
    </row>
    <row r="147" spans="1:18">
      <c r="A147" s="485">
        <v>139</v>
      </c>
      <c r="B147" s="485" t="s">
        <v>2006</v>
      </c>
      <c r="C147" s="485" t="s">
        <v>190</v>
      </c>
      <c r="D147" s="485">
        <v>63</v>
      </c>
      <c r="E147" s="485">
        <v>203</v>
      </c>
      <c r="F147" s="490">
        <f t="shared" si="4"/>
        <v>0.36299999999999999</v>
      </c>
      <c r="G147" s="490">
        <f t="shared" si="5"/>
        <v>1.0629999999999999</v>
      </c>
      <c r="H147" s="485"/>
      <c r="I147" s="485"/>
      <c r="J147" s="485"/>
      <c r="K147" s="485"/>
      <c r="L147" s="485"/>
      <c r="M147" s="485"/>
      <c r="N147" s="485"/>
      <c r="O147" s="485"/>
      <c r="P147" s="485"/>
      <c r="Q147" s="486"/>
    </row>
    <row r="148" spans="1:18">
      <c r="A148" s="485">
        <v>140</v>
      </c>
      <c r="B148" s="485" t="s">
        <v>190</v>
      </c>
      <c r="C148" s="485" t="s">
        <v>189</v>
      </c>
      <c r="D148" s="485">
        <v>63</v>
      </c>
      <c r="E148" s="485">
        <v>44.7</v>
      </c>
      <c r="F148" s="490">
        <f t="shared" si="4"/>
        <v>0.36299999999999999</v>
      </c>
      <c r="G148" s="490">
        <f t="shared" si="5"/>
        <v>1.0629999999999999</v>
      </c>
      <c r="H148" s="485"/>
      <c r="I148" s="485"/>
      <c r="J148" s="485"/>
      <c r="K148" s="485"/>
      <c r="L148" s="485"/>
      <c r="M148" s="485"/>
      <c r="N148" s="485"/>
      <c r="O148" s="485"/>
      <c r="P148" s="485"/>
      <c r="Q148" s="486"/>
    </row>
    <row r="149" spans="1:18">
      <c r="A149" s="485">
        <v>141</v>
      </c>
      <c r="B149" s="485" t="s">
        <v>190</v>
      </c>
      <c r="C149" s="485" t="s">
        <v>291</v>
      </c>
      <c r="D149" s="485">
        <v>63</v>
      </c>
      <c r="E149" s="485">
        <v>130.1</v>
      </c>
      <c r="F149" s="490">
        <f t="shared" si="4"/>
        <v>0.36299999999999999</v>
      </c>
      <c r="G149" s="490">
        <f t="shared" si="5"/>
        <v>1.0629999999999999</v>
      </c>
      <c r="H149" s="485"/>
      <c r="I149" s="485" t="s">
        <v>199</v>
      </c>
      <c r="J149" s="485"/>
      <c r="K149" s="485"/>
      <c r="L149" s="485"/>
      <c r="M149" s="485"/>
      <c r="N149" s="485"/>
      <c r="O149" s="485"/>
      <c r="P149" s="485"/>
      <c r="Q149" s="486"/>
    </row>
    <row r="150" spans="1:18">
      <c r="A150" s="488"/>
      <c r="B150" s="488"/>
      <c r="C150" s="488"/>
      <c r="D150" s="488"/>
      <c r="E150" s="488">
        <f>SUM(E12:E149)</f>
        <v>13697.400000000003</v>
      </c>
      <c r="F150" s="488"/>
      <c r="G150" s="488"/>
      <c r="H150" s="488"/>
      <c r="I150" s="488"/>
      <c r="J150" s="488"/>
      <c r="K150" s="488"/>
      <c r="L150" s="488"/>
      <c r="M150" s="488"/>
      <c r="N150" s="488"/>
      <c r="O150" s="488"/>
      <c r="P150" s="488"/>
      <c r="Q150" s="489"/>
    </row>
    <row r="151" spans="1:18" ht="101.25" customHeight="1">
      <c r="A151" s="493" t="s">
        <v>175</v>
      </c>
      <c r="B151" s="493"/>
      <c r="C151" s="493"/>
      <c r="D151" s="493"/>
      <c r="E151" s="493"/>
      <c r="F151" s="493"/>
      <c r="G151" s="493"/>
      <c r="H151" s="493" t="s">
        <v>176</v>
      </c>
      <c r="I151" s="493"/>
      <c r="J151" s="493"/>
      <c r="K151" s="493"/>
      <c r="L151" s="493"/>
      <c r="M151" s="493" t="s">
        <v>177</v>
      </c>
      <c r="N151" s="493"/>
      <c r="O151" s="493"/>
      <c r="P151" s="493"/>
      <c r="Q151" s="493"/>
      <c r="R151" s="493"/>
    </row>
    <row r="152" spans="1:18">
      <c r="A152" s="487"/>
    </row>
    <row r="153" spans="1:18">
      <c r="A153" s="487"/>
    </row>
    <row r="154" spans="1:18">
      <c r="A154" s="487"/>
    </row>
    <row r="155" spans="1:18">
      <c r="A155" s="487"/>
      <c r="C155">
        <v>63</v>
      </c>
      <c r="D155">
        <v>75</v>
      </c>
      <c r="E155">
        <v>90</v>
      </c>
      <c r="F155">
        <v>110</v>
      </c>
      <c r="G155">
        <v>125</v>
      </c>
      <c r="H155">
        <v>140</v>
      </c>
      <c r="I155">
        <v>160</v>
      </c>
    </row>
    <row r="156" spans="1:18">
      <c r="A156" s="487"/>
      <c r="C156">
        <f>+SUMIF($D$12:$D$149,C155,$E$12:$E$149)</f>
        <v>7061.5</v>
      </c>
      <c r="D156">
        <f t="shared" ref="D156:I156" si="6">+SUMIF($D$12:$D$149,D155,$E$12:$E$149)</f>
        <v>1957.7</v>
      </c>
      <c r="E156">
        <f t="shared" si="6"/>
        <v>2838.3999999999996</v>
      </c>
      <c r="F156">
        <f t="shared" si="6"/>
        <v>1018.1</v>
      </c>
      <c r="G156">
        <f t="shared" si="6"/>
        <v>0</v>
      </c>
      <c r="H156">
        <f t="shared" si="6"/>
        <v>821.7</v>
      </c>
      <c r="I156">
        <f t="shared" si="6"/>
        <v>0</v>
      </c>
    </row>
    <row r="157" spans="1:18">
      <c r="A157" s="487"/>
    </row>
    <row r="158" spans="1:18">
      <c r="A158" s="487"/>
    </row>
    <row r="159" spans="1:18">
      <c r="A159" s="487"/>
    </row>
    <row r="160" spans="1:18">
      <c r="A160" s="487"/>
    </row>
    <row r="161" spans="1:1">
      <c r="A161" s="487"/>
    </row>
    <row r="162" spans="1:1">
      <c r="A162" s="487"/>
    </row>
    <row r="163" spans="1:1">
      <c r="A163" s="487"/>
    </row>
    <row r="164" spans="1:1">
      <c r="A164" s="487"/>
    </row>
    <row r="165" spans="1:1">
      <c r="A165" s="487"/>
    </row>
    <row r="166" spans="1:1">
      <c r="A166" s="487"/>
    </row>
    <row r="167" spans="1:1">
      <c r="A167" s="487"/>
    </row>
    <row r="168" spans="1:1">
      <c r="A168" s="487"/>
    </row>
    <row r="169" spans="1:1">
      <c r="A169" s="487"/>
    </row>
    <row r="170" spans="1:1">
      <c r="A170" s="487"/>
    </row>
    <row r="171" spans="1:1">
      <c r="A171" s="487"/>
    </row>
    <row r="172" spans="1:1">
      <c r="A172" s="487"/>
    </row>
    <row r="173" spans="1:1">
      <c r="A173" s="487"/>
    </row>
    <row r="174" spans="1:1">
      <c r="A174" s="487"/>
    </row>
    <row r="175" spans="1:1">
      <c r="A175" s="487"/>
    </row>
    <row r="176" spans="1:1">
      <c r="A176" s="487"/>
    </row>
    <row r="177" spans="1:1">
      <c r="A177" s="487"/>
    </row>
    <row r="178" spans="1:1">
      <c r="A178" s="487"/>
    </row>
    <row r="179" spans="1:1">
      <c r="A179" s="487"/>
    </row>
    <row r="180" spans="1:1">
      <c r="A180" s="487"/>
    </row>
    <row r="181" spans="1:1">
      <c r="A181" s="487"/>
    </row>
    <row r="182" spans="1:1">
      <c r="A182" s="487"/>
    </row>
    <row r="183" spans="1:1">
      <c r="A183" s="487"/>
    </row>
    <row r="184" spans="1:1">
      <c r="A184" s="487"/>
    </row>
    <row r="185" spans="1:1">
      <c r="A185" s="487"/>
    </row>
    <row r="186" spans="1:1">
      <c r="A186" s="487"/>
    </row>
    <row r="187" spans="1:1">
      <c r="A187" s="487"/>
    </row>
    <row r="188" spans="1:1">
      <c r="A188" s="487"/>
    </row>
    <row r="189" spans="1:1">
      <c r="A189" s="487"/>
    </row>
    <row r="190" spans="1:1">
      <c r="A190" s="487"/>
    </row>
    <row r="191" spans="1:1">
      <c r="A191" s="487"/>
    </row>
    <row r="192" spans="1:1">
      <c r="A192" s="487"/>
    </row>
    <row r="193" spans="1:1">
      <c r="A193" s="487"/>
    </row>
    <row r="194" spans="1:1">
      <c r="A194" s="487"/>
    </row>
    <row r="195" spans="1:1">
      <c r="A195" s="487"/>
    </row>
    <row r="196" spans="1:1">
      <c r="A196" s="487"/>
    </row>
    <row r="197" spans="1:1">
      <c r="A197" s="487"/>
    </row>
    <row r="198" spans="1:1">
      <c r="A198" s="487"/>
    </row>
    <row r="199" spans="1:1">
      <c r="A199" s="487"/>
    </row>
    <row r="200" spans="1:1">
      <c r="A200" s="487"/>
    </row>
    <row r="201" spans="1:1">
      <c r="A201" s="487"/>
    </row>
    <row r="202" spans="1:1">
      <c r="A202" s="487"/>
    </row>
    <row r="203" spans="1:1">
      <c r="A203" s="487"/>
    </row>
    <row r="204" spans="1:1">
      <c r="A204" s="487"/>
    </row>
    <row r="205" spans="1:1">
      <c r="A205" s="487"/>
    </row>
    <row r="206" spans="1:1">
      <c r="A206" s="487"/>
    </row>
    <row r="207" spans="1:1">
      <c r="A207" s="487"/>
    </row>
    <row r="208" spans="1:1">
      <c r="A208" s="487"/>
    </row>
    <row r="209" spans="1:1">
      <c r="A209" s="487"/>
    </row>
    <row r="210" spans="1:1">
      <c r="A210" s="487"/>
    </row>
    <row r="211" spans="1:1">
      <c r="A211" s="487"/>
    </row>
    <row r="212" spans="1:1">
      <c r="A212" s="487"/>
    </row>
    <row r="213" spans="1:1">
      <c r="A213" s="487"/>
    </row>
    <row r="214" spans="1:1">
      <c r="A214" s="487"/>
    </row>
  </sheetData>
  <autoFilter ref="A11:R151"/>
  <mergeCells count="18">
    <mergeCell ref="A1:Q1"/>
    <mergeCell ref="A2:Q2"/>
    <mergeCell ref="A3:Q3"/>
    <mergeCell ref="A4:Q4"/>
    <mergeCell ref="A5:N5"/>
    <mergeCell ref="A6:B6"/>
    <mergeCell ref="C6:E6"/>
    <mergeCell ref="A151:G151"/>
    <mergeCell ref="H151:L151"/>
    <mergeCell ref="M151:R151"/>
    <mergeCell ref="A10:B10"/>
    <mergeCell ref="C10:E10"/>
    <mergeCell ref="A7:B7"/>
    <mergeCell ref="C7:E7"/>
    <mergeCell ref="A8:B8"/>
    <mergeCell ref="C8:E8"/>
    <mergeCell ref="A9:B9"/>
    <mergeCell ref="C9:E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topLeftCell="A7" workbookViewId="0">
      <selection activeCell="A23" sqref="A23:R23"/>
    </sheetView>
  </sheetViews>
  <sheetFormatPr defaultRowHeight="15"/>
  <sheetData>
    <row r="1" spans="1:18" ht="21">
      <c r="A1" s="510" t="s">
        <v>0</v>
      </c>
      <c r="B1" s="510"/>
      <c r="C1" s="510"/>
      <c r="D1" s="510"/>
      <c r="E1" s="510"/>
      <c r="F1" s="510"/>
      <c r="G1" s="510"/>
      <c r="H1" s="510"/>
      <c r="I1" s="510"/>
      <c r="J1" s="510"/>
      <c r="K1" s="510"/>
      <c r="L1" s="510"/>
      <c r="M1" s="510"/>
      <c r="N1" s="510"/>
      <c r="O1" s="510"/>
      <c r="P1" s="510"/>
      <c r="Q1" s="510"/>
      <c r="R1" s="510"/>
    </row>
    <row r="2" spans="1:18" ht="21">
      <c r="A2" s="510" t="s">
        <v>1</v>
      </c>
      <c r="B2" s="510"/>
      <c r="C2" s="510"/>
      <c r="D2" s="510"/>
      <c r="E2" s="510"/>
      <c r="F2" s="510"/>
      <c r="G2" s="510"/>
      <c r="H2" s="510"/>
      <c r="I2" s="510"/>
      <c r="J2" s="510"/>
      <c r="K2" s="510"/>
      <c r="L2" s="510"/>
      <c r="M2" s="510"/>
      <c r="N2" s="510"/>
      <c r="O2" s="510"/>
      <c r="P2" s="510"/>
      <c r="Q2" s="510"/>
      <c r="R2" s="510"/>
    </row>
    <row r="3" spans="1:18" ht="21">
      <c r="A3" s="510" t="s">
        <v>2</v>
      </c>
      <c r="B3" s="510"/>
      <c r="C3" s="510"/>
      <c r="D3" s="510"/>
      <c r="E3" s="510"/>
      <c r="F3" s="510"/>
      <c r="G3" s="510"/>
      <c r="H3" s="510"/>
      <c r="I3" s="510"/>
      <c r="J3" s="510"/>
      <c r="K3" s="510"/>
      <c r="L3" s="510"/>
      <c r="M3" s="510"/>
      <c r="N3" s="510"/>
      <c r="O3" s="510"/>
      <c r="P3" s="510"/>
      <c r="Q3" s="510"/>
      <c r="R3" s="510"/>
    </row>
    <row r="4" spans="1:18" ht="18.75">
      <c r="A4" s="511" t="s">
        <v>3</v>
      </c>
      <c r="B4" s="511"/>
      <c r="C4" s="511"/>
      <c r="D4" s="511"/>
      <c r="E4" s="511"/>
      <c r="F4" s="511"/>
      <c r="G4" s="511"/>
      <c r="H4" s="511"/>
      <c r="I4" s="511"/>
      <c r="J4" s="511"/>
      <c r="K4" s="511"/>
      <c r="L4" s="511"/>
      <c r="M4" s="511"/>
      <c r="N4" s="511"/>
      <c r="O4" s="511"/>
      <c r="P4" s="511"/>
      <c r="Q4" s="511"/>
      <c r="R4" s="511"/>
    </row>
    <row r="5" spans="1:18" ht="21">
      <c r="A5" s="496" t="s">
        <v>4</v>
      </c>
      <c r="B5" s="496"/>
      <c r="C5" s="496"/>
      <c r="D5" s="496"/>
      <c r="E5" s="496"/>
      <c r="F5" s="496"/>
      <c r="G5" s="496"/>
      <c r="H5" s="496"/>
      <c r="I5" s="496"/>
      <c r="J5" s="496"/>
      <c r="K5" s="496"/>
      <c r="L5" s="496"/>
      <c r="M5" s="496"/>
      <c r="N5" s="496"/>
      <c r="O5" s="496"/>
      <c r="P5" s="441"/>
      <c r="Q5" s="441"/>
      <c r="R5" s="441"/>
    </row>
    <row r="6" spans="1:18" ht="21">
      <c r="A6" s="514" t="s">
        <v>5</v>
      </c>
      <c r="B6" s="514"/>
      <c r="C6" s="512" t="s">
        <v>1915</v>
      </c>
      <c r="D6" s="512"/>
      <c r="E6" s="512"/>
      <c r="F6" s="512"/>
      <c r="G6" s="349"/>
      <c r="H6" s="349"/>
      <c r="I6" s="349"/>
      <c r="J6" s="349"/>
      <c r="K6" s="349"/>
      <c r="L6" s="349"/>
      <c r="M6" s="349"/>
      <c r="N6" s="349"/>
      <c r="O6" s="349"/>
      <c r="P6" s="349"/>
      <c r="Q6" s="349"/>
      <c r="R6" s="349"/>
    </row>
    <row r="7" spans="1:18" ht="21">
      <c r="A7" s="514" t="s">
        <v>6</v>
      </c>
      <c r="B7" s="514"/>
      <c r="C7" s="512" t="s">
        <v>1784</v>
      </c>
      <c r="D7" s="512"/>
      <c r="E7" s="512"/>
      <c r="F7" s="512"/>
      <c r="G7" s="349"/>
      <c r="H7" s="349"/>
      <c r="I7" s="349"/>
      <c r="J7" s="349"/>
      <c r="K7" s="349"/>
      <c r="L7" s="349"/>
      <c r="M7" s="349"/>
      <c r="N7" s="349"/>
      <c r="O7" s="349"/>
      <c r="P7" s="349"/>
      <c r="Q7" s="349"/>
      <c r="R7" s="349"/>
    </row>
    <row r="8" spans="1:18" ht="21">
      <c r="A8" s="514" t="s">
        <v>7</v>
      </c>
      <c r="B8" s="514"/>
      <c r="C8" s="512" t="s">
        <v>8</v>
      </c>
      <c r="D8" s="512"/>
      <c r="E8" s="512"/>
      <c r="F8" s="512"/>
      <c r="G8" s="349"/>
      <c r="H8" s="349"/>
      <c r="I8" s="349"/>
      <c r="J8" s="349"/>
      <c r="K8" s="349"/>
      <c r="L8" s="349"/>
      <c r="M8" s="349"/>
      <c r="N8" s="349"/>
      <c r="O8" s="349"/>
      <c r="P8" s="349"/>
      <c r="Q8" s="349"/>
      <c r="R8" s="349"/>
    </row>
    <row r="9" spans="1:18" ht="21">
      <c r="A9" s="514" t="s">
        <v>9</v>
      </c>
      <c r="B9" s="514"/>
      <c r="C9" s="512" t="s">
        <v>373</v>
      </c>
      <c r="D9" s="512"/>
      <c r="E9" s="512"/>
      <c r="F9" s="512"/>
      <c r="G9" s="349"/>
      <c r="H9" s="349"/>
      <c r="I9" s="349"/>
      <c r="J9" s="349"/>
      <c r="K9" s="349"/>
      <c r="L9" s="349"/>
      <c r="M9" s="349"/>
      <c r="N9" s="349"/>
      <c r="O9" s="349"/>
      <c r="P9" s="349"/>
      <c r="Q9" s="349"/>
      <c r="R9" s="349"/>
    </row>
    <row r="10" spans="1:18" ht="21">
      <c r="A10" s="514" t="s">
        <v>10</v>
      </c>
      <c r="B10" s="514"/>
      <c r="C10" s="512" t="s">
        <v>8</v>
      </c>
      <c r="D10" s="512"/>
      <c r="E10" s="512"/>
      <c r="F10" s="512"/>
      <c r="G10" s="349"/>
      <c r="H10" s="349"/>
      <c r="I10" s="349"/>
      <c r="J10" s="349"/>
      <c r="K10" s="349"/>
      <c r="L10" s="349"/>
      <c r="M10" s="349"/>
      <c r="N10" s="349"/>
      <c r="O10" s="349"/>
      <c r="P10" s="349"/>
      <c r="Q10" s="349"/>
      <c r="R10" s="349"/>
    </row>
    <row r="11" spans="1:18" ht="78.75">
      <c r="A11" s="350" t="s">
        <v>11</v>
      </c>
      <c r="B11" s="350" t="s">
        <v>12</v>
      </c>
      <c r="C11" s="350" t="s">
        <v>13</v>
      </c>
      <c r="D11" s="350" t="s">
        <v>14</v>
      </c>
      <c r="E11" s="350" t="s">
        <v>15</v>
      </c>
      <c r="F11" s="350" t="s">
        <v>16</v>
      </c>
      <c r="G11" s="350" t="s">
        <v>17</v>
      </c>
      <c r="H11" s="350" t="s">
        <v>18</v>
      </c>
      <c r="I11" s="350" t="s">
        <v>19</v>
      </c>
      <c r="J11" s="350" t="s">
        <v>20</v>
      </c>
      <c r="K11" s="350" t="s">
        <v>21</v>
      </c>
      <c r="L11" s="350" t="s">
        <v>22</v>
      </c>
      <c r="M11" s="350" t="s">
        <v>23</v>
      </c>
      <c r="N11" s="350" t="s">
        <v>24</v>
      </c>
      <c r="O11" s="350" t="s">
        <v>25</v>
      </c>
      <c r="P11" s="350" t="s">
        <v>26</v>
      </c>
      <c r="Q11" s="350" t="s">
        <v>27</v>
      </c>
      <c r="R11" s="355" t="s">
        <v>28</v>
      </c>
    </row>
    <row r="12" spans="1:18">
      <c r="A12" s="444">
        <v>1</v>
      </c>
      <c r="B12" s="444" t="s">
        <v>821</v>
      </c>
      <c r="C12" s="444" t="s">
        <v>1916</v>
      </c>
      <c r="D12" s="444">
        <v>250</v>
      </c>
      <c r="E12" s="444"/>
      <c r="F12" s="444">
        <v>368</v>
      </c>
      <c r="G12" s="445">
        <v>0.55000000000000004</v>
      </c>
      <c r="H12" s="445">
        <v>1.25</v>
      </c>
      <c r="I12" s="445"/>
      <c r="J12" s="445"/>
      <c r="K12" s="445"/>
      <c r="L12" s="445"/>
      <c r="M12" s="445"/>
      <c r="N12" s="445"/>
      <c r="O12" s="445"/>
      <c r="P12" s="445"/>
      <c r="Q12" s="445"/>
      <c r="R12" s="445"/>
    </row>
    <row r="13" spans="1:18">
      <c r="A13" s="444">
        <f>1+A12</f>
        <v>2</v>
      </c>
      <c r="B13" s="444" t="s">
        <v>1916</v>
      </c>
      <c r="C13" s="444" t="s">
        <v>140</v>
      </c>
      <c r="D13" s="444">
        <v>200</v>
      </c>
      <c r="E13" s="444"/>
      <c r="F13" s="444">
        <f>640-368</f>
        <v>272</v>
      </c>
      <c r="G13" s="445">
        <v>0.5</v>
      </c>
      <c r="H13" s="452">
        <v>1.2</v>
      </c>
      <c r="I13" s="445"/>
      <c r="J13" s="445"/>
      <c r="K13" s="445"/>
      <c r="L13" s="445"/>
      <c r="M13" s="445"/>
      <c r="N13" s="445"/>
      <c r="O13" s="445"/>
      <c r="P13" s="445"/>
      <c r="Q13" s="445"/>
      <c r="R13" s="445"/>
    </row>
    <row r="14" spans="1:18">
      <c r="A14" s="444">
        <f t="shared" ref="A14:A21" si="0">1+A13</f>
        <v>3</v>
      </c>
      <c r="B14" s="444" t="s">
        <v>1916</v>
      </c>
      <c r="C14" s="444" t="s">
        <v>115</v>
      </c>
      <c r="D14" s="444">
        <v>200</v>
      </c>
      <c r="E14" s="444"/>
      <c r="F14" s="444">
        <v>26</v>
      </c>
      <c r="G14" s="452">
        <v>0.5</v>
      </c>
      <c r="H14" s="452">
        <v>1.2</v>
      </c>
      <c r="I14" s="445"/>
      <c r="J14" s="445" t="s">
        <v>45</v>
      </c>
      <c r="K14" s="445">
        <v>0.5</v>
      </c>
      <c r="L14" s="445">
        <v>26</v>
      </c>
      <c r="M14" s="445">
        <f>+L14*K14</f>
        <v>13</v>
      </c>
      <c r="N14" s="452">
        <v>0.5</v>
      </c>
      <c r="O14" s="452">
        <v>26</v>
      </c>
      <c r="P14" s="452">
        <f>+O14*N14</f>
        <v>13</v>
      </c>
      <c r="Q14" s="445" t="s">
        <v>1930</v>
      </c>
      <c r="R14" s="445"/>
    </row>
    <row r="15" spans="1:18">
      <c r="A15" s="444">
        <f t="shared" si="0"/>
        <v>4</v>
      </c>
      <c r="B15" s="444" t="s">
        <v>115</v>
      </c>
      <c r="C15" s="444" t="s">
        <v>154</v>
      </c>
      <c r="D15" s="444">
        <v>200</v>
      </c>
      <c r="E15" s="444"/>
      <c r="F15" s="444">
        <v>106</v>
      </c>
      <c r="G15" s="452">
        <v>0.5</v>
      </c>
      <c r="H15" s="452">
        <v>1.2</v>
      </c>
      <c r="I15" s="445"/>
      <c r="J15" s="445"/>
      <c r="K15" s="445"/>
      <c r="L15" s="445"/>
      <c r="M15" s="445"/>
      <c r="N15" s="445"/>
      <c r="O15" s="445"/>
      <c r="P15" s="445"/>
      <c r="Q15" s="445"/>
      <c r="R15" s="445"/>
    </row>
    <row r="16" spans="1:18">
      <c r="A16" s="444">
        <f t="shared" si="0"/>
        <v>5</v>
      </c>
      <c r="B16" s="444" t="s">
        <v>1775</v>
      </c>
      <c r="C16" s="444" t="s">
        <v>1917</v>
      </c>
      <c r="D16" s="444">
        <v>63</v>
      </c>
      <c r="E16" s="444"/>
      <c r="F16" s="444">
        <v>219</v>
      </c>
      <c r="G16" s="445">
        <v>0.36</v>
      </c>
      <c r="H16" s="445">
        <v>1.06</v>
      </c>
      <c r="I16" s="445"/>
      <c r="J16" s="445"/>
      <c r="K16" s="445"/>
      <c r="L16" s="445"/>
      <c r="M16" s="445"/>
      <c r="N16" s="445"/>
      <c r="O16" s="445"/>
      <c r="P16" s="445"/>
      <c r="Q16" s="445"/>
      <c r="R16" s="445"/>
    </row>
    <row r="17" spans="1:21">
      <c r="A17" s="444">
        <f t="shared" si="0"/>
        <v>6</v>
      </c>
      <c r="B17" s="444" t="s">
        <v>91</v>
      </c>
      <c r="C17" s="444" t="s">
        <v>1375</v>
      </c>
      <c r="D17" s="444">
        <v>63</v>
      </c>
      <c r="E17" s="444"/>
      <c r="F17" s="444">
        <v>525</v>
      </c>
      <c r="G17" s="452">
        <v>0.36</v>
      </c>
      <c r="H17" s="452">
        <v>1.06</v>
      </c>
      <c r="I17" s="445"/>
      <c r="J17" s="445"/>
      <c r="K17" s="445"/>
      <c r="L17" s="445"/>
      <c r="M17" s="445"/>
      <c r="N17" s="445"/>
      <c r="O17" s="445"/>
      <c r="P17" s="445"/>
      <c r="Q17" s="445"/>
      <c r="R17" s="445"/>
    </row>
    <row r="18" spans="1:21">
      <c r="A18" s="444">
        <f t="shared" si="0"/>
        <v>7</v>
      </c>
      <c r="B18" s="444" t="s">
        <v>162</v>
      </c>
      <c r="C18" s="444" t="s">
        <v>128</v>
      </c>
      <c r="D18" s="444">
        <v>63</v>
      </c>
      <c r="E18" s="444"/>
      <c r="F18" s="444">
        <v>325.39999999999998</v>
      </c>
      <c r="G18" s="452">
        <v>0.36</v>
      </c>
      <c r="H18" s="452">
        <v>1.06</v>
      </c>
      <c r="I18" s="445"/>
      <c r="J18" s="445"/>
      <c r="K18" s="445"/>
      <c r="L18" s="445"/>
      <c r="M18" s="445"/>
      <c r="N18" s="445"/>
      <c r="O18" s="445"/>
      <c r="P18" s="445"/>
      <c r="Q18" s="445"/>
      <c r="R18" s="445"/>
    </row>
    <row r="19" spans="1:21">
      <c r="A19" s="444">
        <f t="shared" si="0"/>
        <v>8</v>
      </c>
      <c r="B19" s="444" t="s">
        <v>836</v>
      </c>
      <c r="C19" s="444" t="s">
        <v>1516</v>
      </c>
      <c r="D19" s="444">
        <v>63</v>
      </c>
      <c r="E19" s="444"/>
      <c r="F19" s="444">
        <v>300</v>
      </c>
      <c r="G19" s="452">
        <v>0.36</v>
      </c>
      <c r="H19" s="452">
        <v>1.06</v>
      </c>
      <c r="I19" s="445"/>
      <c r="J19" s="445"/>
      <c r="K19" s="445"/>
      <c r="L19" s="445"/>
      <c r="M19" s="445"/>
      <c r="N19" s="445"/>
      <c r="O19" s="445"/>
      <c r="P19" s="445"/>
      <c r="Q19" s="445"/>
      <c r="R19" s="445"/>
      <c r="U19">
        <f>22255+156</f>
        <v>22411</v>
      </c>
    </row>
    <row r="20" spans="1:21">
      <c r="A20" s="444">
        <f t="shared" si="0"/>
        <v>9</v>
      </c>
      <c r="B20" s="444" t="s">
        <v>165</v>
      </c>
      <c r="C20" s="444" t="s">
        <v>1918</v>
      </c>
      <c r="D20" s="444">
        <v>63</v>
      </c>
      <c r="E20" s="444"/>
      <c r="F20" s="444">
        <v>156.19999999999999</v>
      </c>
      <c r="G20" s="452">
        <v>0.36</v>
      </c>
      <c r="H20" s="452">
        <v>1.06</v>
      </c>
      <c r="I20" s="445"/>
      <c r="J20" s="445"/>
      <c r="K20" s="445"/>
      <c r="L20" s="445"/>
      <c r="M20" s="445"/>
      <c r="N20" s="445"/>
      <c r="O20" s="445"/>
      <c r="P20" s="445"/>
      <c r="Q20" s="445"/>
      <c r="R20" s="445"/>
      <c r="T20">
        <v>22447.5</v>
      </c>
    </row>
    <row r="21" spans="1:21">
      <c r="A21" s="444">
        <f t="shared" si="0"/>
        <v>10</v>
      </c>
      <c r="B21" s="444" t="s">
        <v>59</v>
      </c>
      <c r="C21" s="444" t="s">
        <v>1919</v>
      </c>
      <c r="D21" s="444">
        <v>63</v>
      </c>
      <c r="E21" s="444"/>
      <c r="F21" s="444">
        <v>205.3</v>
      </c>
      <c r="G21" s="452">
        <v>0.36</v>
      </c>
      <c r="H21" s="452">
        <v>1.06</v>
      </c>
      <c r="I21" s="445"/>
      <c r="J21" s="445"/>
      <c r="K21" s="445"/>
      <c r="L21" s="445"/>
      <c r="M21" s="445"/>
      <c r="N21" s="445"/>
      <c r="O21" s="445"/>
      <c r="P21" s="445"/>
      <c r="Q21" s="445"/>
      <c r="R21" s="445"/>
      <c r="T21">
        <v>11740.3</v>
      </c>
      <c r="U21">
        <f>36389+156.2</f>
        <v>36545.199999999997</v>
      </c>
    </row>
    <row r="22" spans="1:21">
      <c r="A22" s="445"/>
      <c r="B22" s="445"/>
      <c r="C22" s="445"/>
      <c r="D22" s="445"/>
      <c r="E22" s="445"/>
      <c r="F22" s="445">
        <f>SUM(F12:F21)</f>
        <v>2502.9</v>
      </c>
      <c r="G22" s="445"/>
      <c r="H22" s="445"/>
      <c r="I22" s="445"/>
      <c r="J22" s="445"/>
      <c r="K22" s="445"/>
      <c r="L22" s="445"/>
      <c r="M22" s="445"/>
      <c r="N22" s="445"/>
      <c r="O22" s="445"/>
      <c r="P22" s="445"/>
      <c r="Q22" s="445"/>
      <c r="R22" s="445"/>
      <c r="T22">
        <v>2502.9</v>
      </c>
    </row>
    <row r="23" spans="1:21" ht="110.25" customHeight="1">
      <c r="A23" s="515" t="s">
        <v>175</v>
      </c>
      <c r="B23" s="513"/>
      <c r="C23" s="513"/>
      <c r="D23" s="513"/>
      <c r="E23" s="513"/>
      <c r="F23" s="513"/>
      <c r="G23" s="516"/>
      <c r="H23" s="517" t="s">
        <v>176</v>
      </c>
      <c r="I23" s="517"/>
      <c r="J23" s="517"/>
      <c r="K23" s="517"/>
      <c r="L23" s="517"/>
      <c r="M23" s="515" t="s">
        <v>177</v>
      </c>
      <c r="N23" s="513"/>
      <c r="O23" s="513"/>
      <c r="P23" s="513"/>
      <c r="Q23" s="513"/>
      <c r="R23" s="516"/>
      <c r="T23">
        <f>SUM(T20:T22)</f>
        <v>36690.700000000004</v>
      </c>
    </row>
  </sheetData>
  <mergeCells count="18">
    <mergeCell ref="A1:R1"/>
    <mergeCell ref="A2:R2"/>
    <mergeCell ref="A3:R3"/>
    <mergeCell ref="A4:R4"/>
    <mergeCell ref="A5:O5"/>
    <mergeCell ref="H23:L23"/>
    <mergeCell ref="A23:G23"/>
    <mergeCell ref="M23:R23"/>
    <mergeCell ref="A6:B6"/>
    <mergeCell ref="C6:F6"/>
    <mergeCell ref="A10:B10"/>
    <mergeCell ref="C10:F10"/>
    <mergeCell ref="A7:B7"/>
    <mergeCell ref="C7:F7"/>
    <mergeCell ref="A8:B8"/>
    <mergeCell ref="C8:F8"/>
    <mergeCell ref="A9:B9"/>
    <mergeCell ref="C9:F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C3:L269"/>
  <sheetViews>
    <sheetView workbookViewId="0">
      <selection activeCell="I13" sqref="I13:I241"/>
    </sheetView>
  </sheetViews>
  <sheetFormatPr defaultColWidth="9" defaultRowHeight="15"/>
  <cols>
    <col min="3" max="3" width="12" customWidth="1"/>
    <col min="4" max="4" width="13.7109375" customWidth="1"/>
    <col min="5" max="5" width="12.140625" customWidth="1"/>
    <col min="6" max="6" width="15" customWidth="1"/>
    <col min="7" max="7" width="15.28515625" customWidth="1"/>
    <col min="8" max="8" width="15.42578125" customWidth="1"/>
    <col min="9" max="9" width="14.28515625" customWidth="1"/>
    <col min="10" max="10" width="15.140625" customWidth="1"/>
    <col min="11" max="11" width="13.7109375" customWidth="1"/>
    <col min="12" max="12" width="16.140625" customWidth="1"/>
  </cols>
  <sheetData>
    <row r="3" spans="3:12" ht="18.75">
      <c r="C3" s="502" t="s">
        <v>178</v>
      </c>
      <c r="D3" s="502"/>
      <c r="E3" s="502"/>
      <c r="F3" s="502"/>
      <c r="G3" s="502"/>
      <c r="H3" s="502"/>
      <c r="I3" s="502"/>
      <c r="J3" s="502"/>
      <c r="K3" s="502"/>
      <c r="L3" s="502"/>
    </row>
    <row r="4" spans="3:12" ht="37.5">
      <c r="C4" s="25" t="s">
        <v>179</v>
      </c>
      <c r="D4" s="25" t="s">
        <v>180</v>
      </c>
      <c r="E4" s="25" t="s">
        <v>13</v>
      </c>
      <c r="F4" s="26" t="s">
        <v>181</v>
      </c>
      <c r="G4" s="27" t="s">
        <v>182</v>
      </c>
      <c r="H4" s="26" t="s">
        <v>183</v>
      </c>
      <c r="I4" s="28" t="s">
        <v>184</v>
      </c>
      <c r="J4" s="26" t="s">
        <v>185</v>
      </c>
      <c r="K4" s="26" t="s">
        <v>186</v>
      </c>
      <c r="L4" s="26" t="s">
        <v>187</v>
      </c>
    </row>
    <row r="5" spans="3:12" hidden="1">
      <c r="C5" s="6">
        <v>1</v>
      </c>
      <c r="D5" s="5" t="s">
        <v>188</v>
      </c>
      <c r="E5" s="5" t="s">
        <v>189</v>
      </c>
      <c r="F5" s="5"/>
      <c r="G5" s="5"/>
      <c r="H5" s="5">
        <v>63</v>
      </c>
      <c r="I5" s="6">
        <v>133.6</v>
      </c>
      <c r="J5" s="5">
        <f>+I5</f>
        <v>133.6</v>
      </c>
      <c r="K5" s="5">
        <v>1.06</v>
      </c>
      <c r="L5" s="5"/>
    </row>
    <row r="6" spans="3:12" hidden="1">
      <c r="C6" s="6">
        <f>1+C5</f>
        <v>2</v>
      </c>
      <c r="D6" s="5" t="s">
        <v>189</v>
      </c>
      <c r="E6" s="5" t="s">
        <v>190</v>
      </c>
      <c r="F6" s="5"/>
      <c r="G6" s="5"/>
      <c r="H6" s="5">
        <v>63</v>
      </c>
      <c r="I6" s="6">
        <v>75.900000000000006</v>
      </c>
      <c r="J6" s="5">
        <f>+J5+I6</f>
        <v>209.5</v>
      </c>
      <c r="K6" s="5">
        <v>1.06</v>
      </c>
      <c r="L6" s="5"/>
    </row>
    <row r="7" spans="3:12" hidden="1">
      <c r="C7" s="6">
        <f t="shared" ref="C7:C70" si="0">1+C6</f>
        <v>3</v>
      </c>
      <c r="D7" s="5" t="s">
        <v>190</v>
      </c>
      <c r="E7" s="5" t="s">
        <v>191</v>
      </c>
      <c r="F7" s="5"/>
      <c r="G7" s="5"/>
      <c r="H7" s="5">
        <v>63</v>
      </c>
      <c r="I7" s="6">
        <v>274.3</v>
      </c>
      <c r="J7" s="5">
        <f t="shared" ref="J7:J70" si="1">+J6+I7</f>
        <v>483.8</v>
      </c>
      <c r="K7" s="5">
        <v>1.06</v>
      </c>
      <c r="L7" s="5"/>
    </row>
    <row r="8" spans="3:12" hidden="1">
      <c r="C8" s="6">
        <f t="shared" si="0"/>
        <v>4</v>
      </c>
      <c r="D8" s="5" t="s">
        <v>191</v>
      </c>
      <c r="E8" s="5" t="s">
        <v>192</v>
      </c>
      <c r="F8" s="5" t="s">
        <v>193</v>
      </c>
      <c r="G8" s="5">
        <v>0.36</v>
      </c>
      <c r="H8" s="5">
        <v>63</v>
      </c>
      <c r="I8" s="6">
        <v>3</v>
      </c>
      <c r="J8" s="5">
        <f t="shared" si="1"/>
        <v>486.8</v>
      </c>
      <c r="K8" s="5">
        <v>1.06</v>
      </c>
      <c r="L8" s="5"/>
    </row>
    <row r="9" spans="3:12" hidden="1">
      <c r="C9" s="6">
        <f t="shared" si="0"/>
        <v>5</v>
      </c>
      <c r="D9" s="5" t="s">
        <v>191</v>
      </c>
      <c r="E9" s="5" t="s">
        <v>192</v>
      </c>
      <c r="F9" s="5"/>
      <c r="G9" s="5"/>
      <c r="H9" s="5">
        <v>63</v>
      </c>
      <c r="I9" s="6">
        <v>66.2</v>
      </c>
      <c r="J9" s="5">
        <f t="shared" si="1"/>
        <v>553</v>
      </c>
      <c r="K9" s="5">
        <v>1.06</v>
      </c>
      <c r="L9" s="5"/>
    </row>
    <row r="10" spans="3:12" hidden="1">
      <c r="C10" s="6">
        <f t="shared" si="0"/>
        <v>6</v>
      </c>
      <c r="D10" s="5" t="s">
        <v>192</v>
      </c>
      <c r="E10" s="5" t="s">
        <v>194</v>
      </c>
      <c r="F10" s="5"/>
      <c r="G10" s="5"/>
      <c r="H10" s="5">
        <v>63</v>
      </c>
      <c r="I10" s="6">
        <v>66.599999999999994</v>
      </c>
      <c r="J10" s="5">
        <f t="shared" si="1"/>
        <v>619.6</v>
      </c>
      <c r="K10" s="5">
        <v>1.06</v>
      </c>
      <c r="L10" s="5"/>
    </row>
    <row r="11" spans="3:12" hidden="1">
      <c r="C11" s="6">
        <f t="shared" si="0"/>
        <v>7</v>
      </c>
      <c r="D11" s="5" t="s">
        <v>192</v>
      </c>
      <c r="E11" s="5" t="s">
        <v>195</v>
      </c>
      <c r="F11" s="5"/>
      <c r="G11" s="5"/>
      <c r="H11" s="5">
        <v>63</v>
      </c>
      <c r="I11" s="6">
        <f>154.7+7</f>
        <v>161.69999999999999</v>
      </c>
      <c r="J11" s="5">
        <f t="shared" si="1"/>
        <v>781.3</v>
      </c>
      <c r="K11" s="5">
        <v>1.06</v>
      </c>
      <c r="L11" s="5"/>
    </row>
    <row r="12" spans="3:12" hidden="1">
      <c r="C12" s="6">
        <f t="shared" si="0"/>
        <v>8</v>
      </c>
      <c r="D12" s="5" t="s">
        <v>195</v>
      </c>
      <c r="E12" s="5" t="s">
        <v>196</v>
      </c>
      <c r="F12" s="5"/>
      <c r="G12" s="5"/>
      <c r="H12" s="5">
        <v>63</v>
      </c>
      <c r="I12" s="6">
        <v>18.8</v>
      </c>
      <c r="J12" s="5">
        <f t="shared" si="1"/>
        <v>800.09999999999991</v>
      </c>
      <c r="K12" s="5">
        <v>1.06</v>
      </c>
      <c r="L12" s="5"/>
    </row>
    <row r="13" spans="3:12" hidden="1">
      <c r="C13" s="6">
        <f t="shared" si="0"/>
        <v>9</v>
      </c>
      <c r="D13" s="5" t="s">
        <v>197</v>
      </c>
      <c r="E13" s="5" t="s">
        <v>198</v>
      </c>
      <c r="F13" s="5" t="s">
        <v>199</v>
      </c>
      <c r="G13" s="5">
        <v>0.36</v>
      </c>
      <c r="H13" s="5">
        <v>63</v>
      </c>
      <c r="I13" s="6">
        <v>3.1</v>
      </c>
      <c r="J13" s="5">
        <f t="shared" si="1"/>
        <v>803.19999999999993</v>
      </c>
      <c r="K13" s="5">
        <v>1.06</v>
      </c>
      <c r="L13" s="5"/>
    </row>
    <row r="14" spans="3:12" hidden="1">
      <c r="C14" s="6">
        <f t="shared" si="0"/>
        <v>10</v>
      </c>
      <c r="D14" s="5" t="s">
        <v>200</v>
      </c>
      <c r="E14" s="5" t="s">
        <v>201</v>
      </c>
      <c r="F14" s="5"/>
      <c r="G14" s="5"/>
      <c r="H14" s="5">
        <v>63</v>
      </c>
      <c r="I14" s="6">
        <v>19.3</v>
      </c>
      <c r="J14" s="5">
        <f t="shared" si="1"/>
        <v>822.49999999999989</v>
      </c>
      <c r="K14" s="5">
        <v>1.06</v>
      </c>
      <c r="L14" s="5"/>
    </row>
    <row r="15" spans="3:12" hidden="1">
      <c r="C15" s="6">
        <f t="shared" si="0"/>
        <v>11</v>
      </c>
      <c r="D15" s="5" t="s">
        <v>195</v>
      </c>
      <c r="E15" s="5" t="s">
        <v>202</v>
      </c>
      <c r="F15" s="5"/>
      <c r="G15" s="5"/>
      <c r="H15" s="5">
        <v>63</v>
      </c>
      <c r="I15" s="6">
        <v>40.1</v>
      </c>
      <c r="J15" s="5">
        <f t="shared" si="1"/>
        <v>862.59999999999991</v>
      </c>
      <c r="K15" s="5">
        <v>1.06</v>
      </c>
      <c r="L15" s="5"/>
    </row>
    <row r="16" spans="3:12" hidden="1">
      <c r="C16" s="6">
        <f t="shared" si="0"/>
        <v>12</v>
      </c>
      <c r="D16" s="5" t="s">
        <v>203</v>
      </c>
      <c r="E16" s="5" t="s">
        <v>204</v>
      </c>
      <c r="F16" s="5"/>
      <c r="G16" s="5"/>
      <c r="H16" s="5">
        <v>63</v>
      </c>
      <c r="I16" s="6">
        <f>108.9+8</f>
        <v>116.9</v>
      </c>
      <c r="J16" s="5">
        <f t="shared" si="1"/>
        <v>979.49999999999989</v>
      </c>
      <c r="K16" s="5">
        <v>1.06</v>
      </c>
      <c r="L16" s="5"/>
    </row>
    <row r="17" spans="3:12" hidden="1">
      <c r="C17" s="6">
        <f t="shared" si="0"/>
        <v>13</v>
      </c>
      <c r="D17" s="5" t="s">
        <v>204</v>
      </c>
      <c r="E17" s="5" t="s">
        <v>205</v>
      </c>
      <c r="F17" s="5"/>
      <c r="G17" s="5"/>
      <c r="H17" s="5">
        <v>63</v>
      </c>
      <c r="I17" s="6">
        <v>70.2</v>
      </c>
      <c r="J17" s="5">
        <f t="shared" si="1"/>
        <v>1049.6999999999998</v>
      </c>
      <c r="K17" s="5">
        <v>1.06</v>
      </c>
      <c r="L17" s="5"/>
    </row>
    <row r="18" spans="3:12" hidden="1">
      <c r="C18" s="6">
        <f t="shared" si="0"/>
        <v>14</v>
      </c>
      <c r="D18" s="5" t="s">
        <v>205</v>
      </c>
      <c r="E18" s="5" t="s">
        <v>206</v>
      </c>
      <c r="F18" s="5"/>
      <c r="G18" s="5"/>
      <c r="H18" s="5">
        <v>63</v>
      </c>
      <c r="I18" s="6">
        <v>23.4</v>
      </c>
      <c r="J18" s="5">
        <f t="shared" si="1"/>
        <v>1073.0999999999999</v>
      </c>
      <c r="K18" s="5">
        <v>1.06</v>
      </c>
      <c r="L18" s="5"/>
    </row>
    <row r="19" spans="3:12" hidden="1">
      <c r="C19" s="6">
        <f t="shared" si="0"/>
        <v>15</v>
      </c>
      <c r="D19" s="5" t="s">
        <v>205</v>
      </c>
      <c r="E19" s="5" t="s">
        <v>207</v>
      </c>
      <c r="F19" s="5"/>
      <c r="G19" s="5"/>
      <c r="H19" s="5">
        <v>63</v>
      </c>
      <c r="I19" s="6">
        <v>25.8</v>
      </c>
      <c r="J19" s="5">
        <f t="shared" si="1"/>
        <v>1098.8999999999999</v>
      </c>
      <c r="K19" s="5">
        <v>1.06</v>
      </c>
      <c r="L19" s="5"/>
    </row>
    <row r="20" spans="3:12" hidden="1">
      <c r="C20" s="6">
        <f t="shared" si="0"/>
        <v>16</v>
      </c>
      <c r="D20" s="5" t="s">
        <v>207</v>
      </c>
      <c r="E20" s="5" t="s">
        <v>208</v>
      </c>
      <c r="F20" s="5"/>
      <c r="G20" s="5"/>
      <c r="H20" s="5">
        <v>63</v>
      </c>
      <c r="I20" s="6">
        <v>35.700000000000003</v>
      </c>
      <c r="J20" s="5">
        <f t="shared" si="1"/>
        <v>1134.5999999999999</v>
      </c>
      <c r="K20" s="5">
        <v>1.06</v>
      </c>
      <c r="L20" s="5"/>
    </row>
    <row r="21" spans="3:12" hidden="1">
      <c r="C21" s="6">
        <f t="shared" si="0"/>
        <v>17</v>
      </c>
      <c r="D21" s="5" t="s">
        <v>207</v>
      </c>
      <c r="E21" s="5" t="s">
        <v>209</v>
      </c>
      <c r="F21" s="5"/>
      <c r="G21" s="5"/>
      <c r="H21" s="5">
        <v>63</v>
      </c>
      <c r="I21" s="6">
        <v>36.5</v>
      </c>
      <c r="J21" s="5">
        <f t="shared" si="1"/>
        <v>1171.0999999999999</v>
      </c>
      <c r="K21" s="5">
        <v>1.06</v>
      </c>
      <c r="L21" s="5"/>
    </row>
    <row r="22" spans="3:12" hidden="1">
      <c r="C22" s="6">
        <f t="shared" si="0"/>
        <v>18</v>
      </c>
      <c r="D22" s="5" t="s">
        <v>204</v>
      </c>
      <c r="E22" s="5" t="s">
        <v>210</v>
      </c>
      <c r="F22" s="5"/>
      <c r="G22" s="5"/>
      <c r="H22" s="5">
        <v>63</v>
      </c>
      <c r="I22" s="6">
        <f>107.5+8</f>
        <v>115.5</v>
      </c>
      <c r="J22" s="5">
        <f t="shared" si="1"/>
        <v>1286.5999999999999</v>
      </c>
      <c r="K22" s="5">
        <v>1.06</v>
      </c>
      <c r="L22" s="5"/>
    </row>
    <row r="23" spans="3:12" hidden="1">
      <c r="C23" s="6">
        <f t="shared" si="0"/>
        <v>19</v>
      </c>
      <c r="D23" s="5" t="s">
        <v>210</v>
      </c>
      <c r="E23" s="5" t="s">
        <v>211</v>
      </c>
      <c r="F23" s="5"/>
      <c r="G23" s="5"/>
      <c r="H23" s="5">
        <v>63</v>
      </c>
      <c r="I23" s="6">
        <v>73.8</v>
      </c>
      <c r="J23" s="5">
        <f t="shared" si="1"/>
        <v>1360.3999999999999</v>
      </c>
      <c r="K23" s="5">
        <v>1.06</v>
      </c>
      <c r="L23" s="5"/>
    </row>
    <row r="24" spans="3:12" hidden="1">
      <c r="C24" s="6">
        <f t="shared" si="0"/>
        <v>20</v>
      </c>
      <c r="D24" s="5" t="s">
        <v>210</v>
      </c>
      <c r="E24" s="5" t="s">
        <v>212</v>
      </c>
      <c r="F24" s="5"/>
      <c r="G24" s="5"/>
      <c r="H24" s="5">
        <v>63</v>
      </c>
      <c r="I24" s="6">
        <f>282.8+12</f>
        <v>294.8</v>
      </c>
      <c r="J24" s="5">
        <f t="shared" si="1"/>
        <v>1655.1999999999998</v>
      </c>
      <c r="K24" s="5">
        <v>1.06</v>
      </c>
      <c r="L24" s="5"/>
    </row>
    <row r="25" spans="3:12" hidden="1">
      <c r="C25" s="6">
        <f t="shared" si="0"/>
        <v>21</v>
      </c>
      <c r="D25" s="5" t="s">
        <v>212</v>
      </c>
      <c r="E25" s="5" t="s">
        <v>213</v>
      </c>
      <c r="F25" s="5"/>
      <c r="G25" s="5"/>
      <c r="H25" s="5">
        <v>63</v>
      </c>
      <c r="I25" s="6">
        <f>21.5+19.8</f>
        <v>41.3</v>
      </c>
      <c r="J25" s="5">
        <f t="shared" si="1"/>
        <v>1696.4999999999998</v>
      </c>
      <c r="K25" s="5">
        <v>1.06</v>
      </c>
      <c r="L25" s="5"/>
    </row>
    <row r="26" spans="3:12" hidden="1">
      <c r="C26" s="6">
        <f t="shared" si="0"/>
        <v>22</v>
      </c>
      <c r="D26" s="5" t="s">
        <v>212</v>
      </c>
      <c r="E26" s="5" t="s">
        <v>214</v>
      </c>
      <c r="F26" s="5"/>
      <c r="G26" s="5"/>
      <c r="H26" s="5">
        <v>63</v>
      </c>
      <c r="I26" s="6">
        <f>162.6+8</f>
        <v>170.6</v>
      </c>
      <c r="J26" s="5">
        <f t="shared" si="1"/>
        <v>1867.0999999999997</v>
      </c>
      <c r="K26" s="5">
        <v>1.06</v>
      </c>
      <c r="L26" s="5"/>
    </row>
    <row r="27" spans="3:12" hidden="1">
      <c r="C27" s="6">
        <f t="shared" si="0"/>
        <v>23</v>
      </c>
      <c r="D27" s="5" t="s">
        <v>212</v>
      </c>
      <c r="E27" s="5" t="s">
        <v>214</v>
      </c>
      <c r="F27" s="5" t="s">
        <v>193</v>
      </c>
      <c r="G27" s="5">
        <v>0.36</v>
      </c>
      <c r="H27" s="5">
        <v>63</v>
      </c>
      <c r="I27" s="6">
        <v>4.7</v>
      </c>
      <c r="J27" s="5">
        <f t="shared" si="1"/>
        <v>1871.7999999999997</v>
      </c>
      <c r="K27" s="5">
        <v>1.06</v>
      </c>
      <c r="L27" s="5"/>
    </row>
    <row r="28" spans="3:12" hidden="1">
      <c r="C28" s="6">
        <f t="shared" si="0"/>
        <v>24</v>
      </c>
      <c r="D28" s="5" t="s">
        <v>214</v>
      </c>
      <c r="E28" s="5" t="s">
        <v>215</v>
      </c>
      <c r="F28" s="5" t="s">
        <v>193</v>
      </c>
      <c r="G28" s="5">
        <v>0.36</v>
      </c>
      <c r="H28" s="5">
        <v>63</v>
      </c>
      <c r="I28" s="6">
        <v>4.7</v>
      </c>
      <c r="J28" s="5">
        <f t="shared" si="1"/>
        <v>1876.4999999999998</v>
      </c>
      <c r="K28" s="5">
        <v>1.06</v>
      </c>
      <c r="L28" s="5"/>
    </row>
    <row r="29" spans="3:12" hidden="1">
      <c r="C29" s="6">
        <f t="shared" si="0"/>
        <v>25</v>
      </c>
      <c r="D29" s="5" t="s">
        <v>214</v>
      </c>
      <c r="E29" s="5" t="s">
        <v>215</v>
      </c>
      <c r="F29" s="5"/>
      <c r="G29" s="5"/>
      <c r="H29" s="5">
        <v>63</v>
      </c>
      <c r="I29" s="6">
        <v>50.6</v>
      </c>
      <c r="J29" s="5">
        <f t="shared" si="1"/>
        <v>1927.0999999999997</v>
      </c>
      <c r="K29" s="5">
        <v>1.06</v>
      </c>
      <c r="L29" s="5"/>
    </row>
    <row r="30" spans="3:12" hidden="1">
      <c r="C30" s="6">
        <f t="shared" si="0"/>
        <v>26</v>
      </c>
      <c r="D30" s="5" t="s">
        <v>214</v>
      </c>
      <c r="E30" s="5" t="s">
        <v>216</v>
      </c>
      <c r="F30" s="5"/>
      <c r="G30" s="5"/>
      <c r="H30" s="5">
        <v>63</v>
      </c>
      <c r="I30" s="6">
        <f>100.8+8</f>
        <v>108.8</v>
      </c>
      <c r="J30" s="5">
        <f t="shared" si="1"/>
        <v>2035.8999999999996</v>
      </c>
      <c r="K30" s="5">
        <v>1.06</v>
      </c>
      <c r="L30" s="5"/>
    </row>
    <row r="31" spans="3:12" hidden="1">
      <c r="C31" s="6">
        <f t="shared" si="0"/>
        <v>27</v>
      </c>
      <c r="D31" s="5" t="s">
        <v>216</v>
      </c>
      <c r="E31" s="5" t="s">
        <v>217</v>
      </c>
      <c r="F31" s="5" t="s">
        <v>193</v>
      </c>
      <c r="G31" s="5">
        <v>0.36</v>
      </c>
      <c r="H31" s="5">
        <v>63</v>
      </c>
      <c r="I31" s="6">
        <v>5.2</v>
      </c>
      <c r="J31" s="5">
        <f t="shared" si="1"/>
        <v>2041.0999999999997</v>
      </c>
      <c r="K31" s="5">
        <v>1.06</v>
      </c>
      <c r="L31" s="5"/>
    </row>
    <row r="32" spans="3:12" hidden="1">
      <c r="C32" s="6">
        <f t="shared" si="0"/>
        <v>28</v>
      </c>
      <c r="D32" s="5" t="s">
        <v>216</v>
      </c>
      <c r="E32" s="5" t="s">
        <v>217</v>
      </c>
      <c r="F32" s="5"/>
      <c r="G32" s="5"/>
      <c r="H32" s="5">
        <v>63</v>
      </c>
      <c r="I32" s="6">
        <f>355.7+14</f>
        <v>369.7</v>
      </c>
      <c r="J32" s="5">
        <f t="shared" si="1"/>
        <v>2410.7999999999997</v>
      </c>
      <c r="K32" s="5">
        <v>1.06</v>
      </c>
      <c r="L32" s="5"/>
    </row>
    <row r="33" spans="3:12" hidden="1">
      <c r="C33" s="6">
        <f t="shared" si="0"/>
        <v>29</v>
      </c>
      <c r="D33" s="5" t="s">
        <v>217</v>
      </c>
      <c r="E33" s="5" t="s">
        <v>218</v>
      </c>
      <c r="F33" s="5"/>
      <c r="G33" s="5"/>
      <c r="H33" s="5">
        <v>63</v>
      </c>
      <c r="I33" s="6">
        <v>47.7</v>
      </c>
      <c r="J33" s="5">
        <f t="shared" si="1"/>
        <v>2458.4999999999995</v>
      </c>
      <c r="K33" s="5">
        <v>1.06</v>
      </c>
      <c r="L33" s="5"/>
    </row>
    <row r="34" spans="3:12" hidden="1">
      <c r="C34" s="6">
        <f t="shared" si="0"/>
        <v>30</v>
      </c>
      <c r="D34" s="5" t="s">
        <v>217</v>
      </c>
      <c r="E34" s="5" t="s">
        <v>219</v>
      </c>
      <c r="F34" s="5"/>
      <c r="G34" s="5"/>
      <c r="H34" s="5">
        <v>63</v>
      </c>
      <c r="I34" s="6">
        <f>113.4+7</f>
        <v>120.4</v>
      </c>
      <c r="J34" s="5">
        <f t="shared" si="1"/>
        <v>2578.8999999999996</v>
      </c>
      <c r="K34" s="5">
        <v>1.06</v>
      </c>
      <c r="L34" s="5"/>
    </row>
    <row r="35" spans="3:12" hidden="1">
      <c r="C35" s="6">
        <f t="shared" si="0"/>
        <v>31</v>
      </c>
      <c r="D35" s="5" t="s">
        <v>219</v>
      </c>
      <c r="E35" s="5" t="s">
        <v>220</v>
      </c>
      <c r="F35" s="5" t="s">
        <v>193</v>
      </c>
      <c r="G35" s="5">
        <v>0.36</v>
      </c>
      <c r="H35" s="5">
        <v>63</v>
      </c>
      <c r="I35" s="6">
        <v>3.3</v>
      </c>
      <c r="J35" s="5">
        <f t="shared" si="1"/>
        <v>2582.1999999999998</v>
      </c>
      <c r="K35" s="5">
        <v>1.06</v>
      </c>
      <c r="L35" s="5"/>
    </row>
    <row r="36" spans="3:12" hidden="1">
      <c r="C36" s="6">
        <f t="shared" si="0"/>
        <v>32</v>
      </c>
      <c r="D36" s="5" t="s">
        <v>219</v>
      </c>
      <c r="E36" s="5" t="s">
        <v>220</v>
      </c>
      <c r="F36" s="5"/>
      <c r="G36" s="5"/>
      <c r="H36" s="5">
        <v>63</v>
      </c>
      <c r="I36" s="6">
        <v>36.9</v>
      </c>
      <c r="J36" s="5">
        <f t="shared" si="1"/>
        <v>2619.1</v>
      </c>
      <c r="K36" s="5">
        <v>1.06</v>
      </c>
      <c r="L36" s="5"/>
    </row>
    <row r="37" spans="3:12" hidden="1">
      <c r="C37" s="6">
        <f t="shared" si="0"/>
        <v>33</v>
      </c>
      <c r="D37" s="5" t="s">
        <v>219</v>
      </c>
      <c r="E37" s="5" t="s">
        <v>221</v>
      </c>
      <c r="F37" s="5"/>
      <c r="G37" s="5"/>
      <c r="H37" s="5">
        <v>63</v>
      </c>
      <c r="I37" s="6">
        <v>66.7</v>
      </c>
      <c r="J37" s="5">
        <f t="shared" si="1"/>
        <v>2685.7999999999997</v>
      </c>
      <c r="K37" s="5">
        <v>1.06</v>
      </c>
      <c r="L37" s="5"/>
    </row>
    <row r="38" spans="3:12" hidden="1">
      <c r="C38" s="6">
        <f t="shared" si="0"/>
        <v>34</v>
      </c>
      <c r="D38" s="5" t="s">
        <v>221</v>
      </c>
      <c r="E38" s="5" t="s">
        <v>222</v>
      </c>
      <c r="F38" s="5" t="s">
        <v>193</v>
      </c>
      <c r="G38" s="5">
        <v>0.36</v>
      </c>
      <c r="H38" s="5">
        <v>63</v>
      </c>
      <c r="I38" s="6">
        <v>3.2</v>
      </c>
      <c r="J38" s="5">
        <f t="shared" si="1"/>
        <v>2688.9999999999995</v>
      </c>
      <c r="K38" s="5">
        <v>1.06</v>
      </c>
      <c r="L38" s="5"/>
    </row>
    <row r="39" spans="3:12" hidden="1">
      <c r="C39" s="6">
        <f t="shared" si="0"/>
        <v>35</v>
      </c>
      <c r="D39" s="5" t="s">
        <v>221</v>
      </c>
      <c r="E39" s="5" t="s">
        <v>222</v>
      </c>
      <c r="F39" s="5"/>
      <c r="G39" s="5"/>
      <c r="H39" s="5">
        <v>63</v>
      </c>
      <c r="I39" s="6">
        <v>41.6</v>
      </c>
      <c r="J39" s="5">
        <f t="shared" si="1"/>
        <v>2730.5999999999995</v>
      </c>
      <c r="K39" s="5">
        <v>1.06</v>
      </c>
      <c r="L39" s="5"/>
    </row>
    <row r="40" spans="3:12" hidden="1">
      <c r="C40" s="6">
        <f t="shared" si="0"/>
        <v>36</v>
      </c>
      <c r="D40" s="5" t="s">
        <v>221</v>
      </c>
      <c r="E40" s="5" t="s">
        <v>223</v>
      </c>
      <c r="F40" s="5"/>
      <c r="G40" s="5"/>
      <c r="H40" s="5">
        <v>63</v>
      </c>
      <c r="I40" s="6">
        <v>67.400000000000006</v>
      </c>
      <c r="J40" s="5">
        <f t="shared" si="1"/>
        <v>2797.9999999999995</v>
      </c>
      <c r="K40" s="5">
        <v>1.06</v>
      </c>
      <c r="L40" s="5"/>
    </row>
    <row r="41" spans="3:12" hidden="1">
      <c r="C41" s="6">
        <f t="shared" si="0"/>
        <v>37</v>
      </c>
      <c r="D41" s="5" t="s">
        <v>223</v>
      </c>
      <c r="E41" s="5" t="s">
        <v>224</v>
      </c>
      <c r="F41" s="5" t="s">
        <v>193</v>
      </c>
      <c r="G41" s="5">
        <v>0.36</v>
      </c>
      <c r="H41" s="5">
        <v>63</v>
      </c>
      <c r="I41" s="6">
        <v>3</v>
      </c>
      <c r="J41" s="5">
        <f t="shared" si="1"/>
        <v>2800.9999999999995</v>
      </c>
      <c r="K41" s="5">
        <v>1.06</v>
      </c>
      <c r="L41" s="5"/>
    </row>
    <row r="42" spans="3:12" hidden="1">
      <c r="C42" s="6">
        <f t="shared" si="0"/>
        <v>38</v>
      </c>
      <c r="D42" s="5" t="s">
        <v>223</v>
      </c>
      <c r="E42" s="5" t="s">
        <v>224</v>
      </c>
      <c r="F42" s="5"/>
      <c r="G42" s="5"/>
      <c r="H42" s="5">
        <v>63</v>
      </c>
      <c r="I42" s="6">
        <v>26.8</v>
      </c>
      <c r="J42" s="5">
        <f t="shared" si="1"/>
        <v>2827.7999999999997</v>
      </c>
      <c r="K42" s="5">
        <v>1.06</v>
      </c>
      <c r="L42" s="5"/>
    </row>
    <row r="43" spans="3:12" hidden="1">
      <c r="C43" s="6">
        <f t="shared" si="0"/>
        <v>39</v>
      </c>
      <c r="D43" s="5" t="s">
        <v>223</v>
      </c>
      <c r="E43" s="5" t="s">
        <v>225</v>
      </c>
      <c r="F43" s="5"/>
      <c r="G43" s="5"/>
      <c r="H43" s="5">
        <v>63</v>
      </c>
      <c r="I43" s="6">
        <v>46.1</v>
      </c>
      <c r="J43" s="5">
        <f t="shared" si="1"/>
        <v>2873.8999999999996</v>
      </c>
      <c r="K43" s="5">
        <v>1.06</v>
      </c>
      <c r="L43" s="5"/>
    </row>
    <row r="44" spans="3:12" hidden="1">
      <c r="C44" s="6">
        <f t="shared" si="0"/>
        <v>40</v>
      </c>
      <c r="D44" s="5" t="s">
        <v>226</v>
      </c>
      <c r="E44" s="5" t="s">
        <v>227</v>
      </c>
      <c r="F44" s="5"/>
      <c r="G44" s="5"/>
      <c r="H44" s="5">
        <v>63</v>
      </c>
      <c r="I44" s="6">
        <v>20.100000000000001</v>
      </c>
      <c r="J44" s="5">
        <f t="shared" si="1"/>
        <v>2893.9999999999995</v>
      </c>
      <c r="K44" s="5">
        <v>1.06</v>
      </c>
      <c r="L44" s="5"/>
    </row>
    <row r="45" spans="3:12" hidden="1">
      <c r="C45" s="6">
        <f t="shared" si="0"/>
        <v>41</v>
      </c>
      <c r="D45" s="5" t="s">
        <v>225</v>
      </c>
      <c r="E45" s="5" t="s">
        <v>228</v>
      </c>
      <c r="F45" s="5" t="s">
        <v>193</v>
      </c>
      <c r="G45" s="5">
        <v>0.36</v>
      </c>
      <c r="H45" s="5">
        <v>63</v>
      </c>
      <c r="I45" s="6">
        <v>3</v>
      </c>
      <c r="J45" s="5">
        <f t="shared" si="1"/>
        <v>2896.9999999999995</v>
      </c>
      <c r="K45" s="5">
        <v>1.06</v>
      </c>
      <c r="L45" s="5"/>
    </row>
    <row r="46" spans="3:12" hidden="1">
      <c r="C46" s="6">
        <f t="shared" si="0"/>
        <v>42</v>
      </c>
      <c r="D46" s="5" t="s">
        <v>225</v>
      </c>
      <c r="E46" s="5" t="s">
        <v>228</v>
      </c>
      <c r="F46" s="5"/>
      <c r="G46" s="5"/>
      <c r="H46" s="5">
        <v>63</v>
      </c>
      <c r="I46" s="6">
        <v>43.5</v>
      </c>
      <c r="J46" s="5">
        <f t="shared" si="1"/>
        <v>2940.4999999999995</v>
      </c>
      <c r="K46" s="5">
        <v>1.06</v>
      </c>
      <c r="L46" s="5"/>
    </row>
    <row r="47" spans="3:12" hidden="1">
      <c r="C47" s="6">
        <f t="shared" si="0"/>
        <v>43</v>
      </c>
      <c r="D47" s="5" t="s">
        <v>229</v>
      </c>
      <c r="E47" s="5" t="s">
        <v>190</v>
      </c>
      <c r="F47" s="5"/>
      <c r="G47" s="5"/>
      <c r="H47" s="5">
        <v>63</v>
      </c>
      <c r="I47" s="6">
        <f>127.4+9</f>
        <v>136.4</v>
      </c>
      <c r="J47" s="5">
        <f t="shared" si="1"/>
        <v>3076.8999999999996</v>
      </c>
      <c r="K47" s="5">
        <v>1.06</v>
      </c>
      <c r="L47" s="5"/>
    </row>
    <row r="48" spans="3:12" hidden="1">
      <c r="C48" s="6">
        <f t="shared" si="0"/>
        <v>44</v>
      </c>
      <c r="D48" s="5" t="s">
        <v>189</v>
      </c>
      <c r="E48" s="5" t="s">
        <v>230</v>
      </c>
      <c r="F48" s="5"/>
      <c r="G48" s="5"/>
      <c r="H48" s="5">
        <v>63</v>
      </c>
      <c r="I48" s="6">
        <f>210.1+9</f>
        <v>219.1</v>
      </c>
      <c r="J48" s="5">
        <f t="shared" si="1"/>
        <v>3295.9999999999995</v>
      </c>
      <c r="K48" s="5">
        <v>1.06</v>
      </c>
      <c r="L48" s="5"/>
    </row>
    <row r="49" spans="3:12" hidden="1">
      <c r="C49" s="6">
        <f t="shared" si="0"/>
        <v>45</v>
      </c>
      <c r="D49" s="5" t="s">
        <v>230</v>
      </c>
      <c r="E49" s="5" t="s">
        <v>231</v>
      </c>
      <c r="F49" s="5"/>
      <c r="G49" s="5"/>
      <c r="H49" s="5">
        <v>63</v>
      </c>
      <c r="I49" s="6">
        <v>31.5</v>
      </c>
      <c r="J49" s="5">
        <f t="shared" si="1"/>
        <v>3327.4999999999995</v>
      </c>
      <c r="K49" s="5">
        <v>1.06</v>
      </c>
      <c r="L49" s="5"/>
    </row>
    <row r="50" spans="3:12" hidden="1">
      <c r="C50" s="6">
        <f t="shared" si="0"/>
        <v>46</v>
      </c>
      <c r="D50" s="5" t="s">
        <v>231</v>
      </c>
      <c r="E50" s="5" t="s">
        <v>232</v>
      </c>
      <c r="F50" s="5" t="s">
        <v>193</v>
      </c>
      <c r="G50" s="5">
        <v>0.36</v>
      </c>
      <c r="H50" s="5">
        <v>63</v>
      </c>
      <c r="I50" s="6">
        <v>3</v>
      </c>
      <c r="J50" s="5">
        <f t="shared" si="1"/>
        <v>3330.4999999999995</v>
      </c>
      <c r="K50" s="5">
        <v>1.06</v>
      </c>
      <c r="L50" s="5"/>
    </row>
    <row r="51" spans="3:12" hidden="1">
      <c r="C51" s="6">
        <f t="shared" si="0"/>
        <v>47</v>
      </c>
      <c r="D51" s="5" t="s">
        <v>231</v>
      </c>
      <c r="E51" s="5" t="s">
        <v>232</v>
      </c>
      <c r="F51" s="5"/>
      <c r="G51" s="5"/>
      <c r="H51" s="5">
        <v>63</v>
      </c>
      <c r="I51" s="6">
        <v>47.2</v>
      </c>
      <c r="J51" s="5">
        <f t="shared" si="1"/>
        <v>3377.6999999999994</v>
      </c>
      <c r="K51" s="5">
        <v>1.06</v>
      </c>
      <c r="L51" s="5"/>
    </row>
    <row r="52" spans="3:12" hidden="1">
      <c r="C52" s="6">
        <f t="shared" si="0"/>
        <v>48</v>
      </c>
      <c r="D52" s="5" t="s">
        <v>231</v>
      </c>
      <c r="E52" s="5" t="s">
        <v>191</v>
      </c>
      <c r="F52" s="5"/>
      <c r="G52" s="5"/>
      <c r="H52" s="5">
        <v>63</v>
      </c>
      <c r="I52" s="6">
        <v>92.1</v>
      </c>
      <c r="J52" s="5">
        <f t="shared" si="1"/>
        <v>3469.7999999999993</v>
      </c>
      <c r="K52" s="5">
        <v>1.06</v>
      </c>
      <c r="L52" s="5"/>
    </row>
    <row r="53" spans="3:12" hidden="1">
      <c r="C53" s="6">
        <f t="shared" si="0"/>
        <v>49</v>
      </c>
      <c r="D53" s="5" t="s">
        <v>230</v>
      </c>
      <c r="E53" s="5" t="s">
        <v>214</v>
      </c>
      <c r="F53" s="5" t="s">
        <v>193</v>
      </c>
      <c r="G53" s="5">
        <v>0.36</v>
      </c>
      <c r="H53" s="5">
        <v>63</v>
      </c>
      <c r="I53" s="6">
        <v>7.8</v>
      </c>
      <c r="J53" s="5">
        <f t="shared" si="1"/>
        <v>3477.5999999999995</v>
      </c>
      <c r="K53" s="5">
        <v>1.06</v>
      </c>
      <c r="L53" s="5"/>
    </row>
    <row r="54" spans="3:12" hidden="1">
      <c r="C54" s="6">
        <f t="shared" si="0"/>
        <v>50</v>
      </c>
      <c r="D54" s="5" t="s">
        <v>230</v>
      </c>
      <c r="E54" s="5" t="s">
        <v>214</v>
      </c>
      <c r="F54" s="5"/>
      <c r="G54" s="5"/>
      <c r="H54" s="5">
        <v>63</v>
      </c>
      <c r="I54" s="6">
        <f>120.8+8</f>
        <v>128.80000000000001</v>
      </c>
      <c r="J54" s="5">
        <f t="shared" si="1"/>
        <v>3606.3999999999996</v>
      </c>
      <c r="K54" s="5">
        <v>1.06</v>
      </c>
      <c r="L54" s="5"/>
    </row>
    <row r="55" spans="3:12" hidden="1">
      <c r="C55" s="6">
        <f t="shared" si="0"/>
        <v>51</v>
      </c>
      <c r="D55" s="5" t="s">
        <v>216</v>
      </c>
      <c r="E55" s="5" t="s">
        <v>233</v>
      </c>
      <c r="F55" s="5"/>
      <c r="G55" s="5"/>
      <c r="H55" s="5">
        <v>63</v>
      </c>
      <c r="I55" s="6">
        <v>76.599999999999994</v>
      </c>
      <c r="J55" s="5">
        <f t="shared" si="1"/>
        <v>3682.9999999999995</v>
      </c>
      <c r="K55" s="5">
        <v>1.06</v>
      </c>
      <c r="L55" s="5"/>
    </row>
    <row r="56" spans="3:12" hidden="1">
      <c r="C56" s="6">
        <f t="shared" si="0"/>
        <v>52</v>
      </c>
      <c r="D56" s="5" t="s">
        <v>234</v>
      </c>
      <c r="E56" s="5" t="s">
        <v>235</v>
      </c>
      <c r="F56" s="5"/>
      <c r="G56" s="5"/>
      <c r="H56" s="5">
        <v>63</v>
      </c>
      <c r="I56" s="6">
        <v>32.6</v>
      </c>
      <c r="J56" s="5">
        <f t="shared" si="1"/>
        <v>3715.5999999999995</v>
      </c>
      <c r="K56" s="5">
        <v>1.06</v>
      </c>
      <c r="L56" s="5"/>
    </row>
    <row r="57" spans="3:12" hidden="1">
      <c r="C57" s="6">
        <f t="shared" si="0"/>
        <v>53</v>
      </c>
      <c r="D57" s="5" t="s">
        <v>236</v>
      </c>
      <c r="E57" s="5" t="s">
        <v>237</v>
      </c>
      <c r="F57" s="5"/>
      <c r="G57" s="5"/>
      <c r="H57" s="5">
        <v>63</v>
      </c>
      <c r="I57" s="6">
        <v>27.1</v>
      </c>
      <c r="J57" s="5">
        <f t="shared" si="1"/>
        <v>3742.6999999999994</v>
      </c>
      <c r="K57" s="5">
        <v>1.06</v>
      </c>
      <c r="L57" s="5"/>
    </row>
    <row r="58" spans="3:12" hidden="1">
      <c r="C58" s="6">
        <f t="shared" si="0"/>
        <v>54</v>
      </c>
      <c r="D58" s="5" t="s">
        <v>238</v>
      </c>
      <c r="E58" s="5" t="s">
        <v>239</v>
      </c>
      <c r="F58" s="5"/>
      <c r="G58" s="5"/>
      <c r="H58" s="5">
        <v>63</v>
      </c>
      <c r="I58" s="6">
        <v>58.2</v>
      </c>
      <c r="J58" s="5">
        <f t="shared" si="1"/>
        <v>3800.8999999999992</v>
      </c>
      <c r="K58" s="5">
        <v>1.06</v>
      </c>
      <c r="L58" s="5"/>
    </row>
    <row r="59" spans="3:12" hidden="1">
      <c r="C59" s="6">
        <f t="shared" si="0"/>
        <v>55</v>
      </c>
      <c r="D59" s="5" t="s">
        <v>239</v>
      </c>
      <c r="E59" s="5" t="s">
        <v>240</v>
      </c>
      <c r="F59" s="5"/>
      <c r="G59" s="5"/>
      <c r="H59" s="5">
        <v>63</v>
      </c>
      <c r="I59" s="6">
        <v>130.19999999999999</v>
      </c>
      <c r="J59" s="5">
        <f t="shared" si="1"/>
        <v>3931.099999999999</v>
      </c>
      <c r="K59" s="5">
        <v>1.06</v>
      </c>
      <c r="L59" s="5"/>
    </row>
    <row r="60" spans="3:12" hidden="1">
      <c r="C60" s="6">
        <f t="shared" si="0"/>
        <v>56</v>
      </c>
      <c r="D60" s="5" t="s">
        <v>240</v>
      </c>
      <c r="E60" s="5" t="s">
        <v>241</v>
      </c>
      <c r="F60" s="5" t="s">
        <v>193</v>
      </c>
      <c r="G60" s="5">
        <v>0.36</v>
      </c>
      <c r="H60" s="5">
        <v>63</v>
      </c>
      <c r="I60" s="6">
        <v>4</v>
      </c>
      <c r="J60" s="5">
        <f t="shared" si="1"/>
        <v>3935.099999999999</v>
      </c>
      <c r="K60" s="5">
        <v>1.06</v>
      </c>
      <c r="L60" s="5"/>
    </row>
    <row r="61" spans="3:12" hidden="1">
      <c r="C61" s="6">
        <f t="shared" si="0"/>
        <v>57</v>
      </c>
      <c r="D61" s="5" t="s">
        <v>240</v>
      </c>
      <c r="E61" s="5" t="s">
        <v>241</v>
      </c>
      <c r="F61" s="5"/>
      <c r="G61" s="5"/>
      <c r="H61" s="5">
        <v>63</v>
      </c>
      <c r="I61" s="6">
        <v>110</v>
      </c>
      <c r="J61" s="5">
        <f t="shared" si="1"/>
        <v>4045.099999999999</v>
      </c>
      <c r="K61" s="5">
        <v>1.06</v>
      </c>
      <c r="L61" s="5"/>
    </row>
    <row r="62" spans="3:12" hidden="1">
      <c r="C62" s="6">
        <f t="shared" si="0"/>
        <v>58</v>
      </c>
      <c r="D62" s="5" t="s">
        <v>240</v>
      </c>
      <c r="E62" s="5" t="s">
        <v>242</v>
      </c>
      <c r="F62" s="5"/>
      <c r="G62" s="5"/>
      <c r="H62" s="5">
        <v>63</v>
      </c>
      <c r="I62" s="6">
        <v>130.6</v>
      </c>
      <c r="J62" s="5">
        <f t="shared" si="1"/>
        <v>4175.6999999999989</v>
      </c>
      <c r="K62" s="5">
        <v>1.06</v>
      </c>
      <c r="L62" s="5"/>
    </row>
    <row r="63" spans="3:12" hidden="1">
      <c r="C63" s="6">
        <f t="shared" si="0"/>
        <v>59</v>
      </c>
      <c r="D63" s="5" t="s">
        <v>243</v>
      </c>
      <c r="E63" s="5" t="s">
        <v>244</v>
      </c>
      <c r="F63" s="5"/>
      <c r="G63" s="5"/>
      <c r="H63" s="5">
        <v>63</v>
      </c>
      <c r="I63" s="6">
        <v>21.3</v>
      </c>
      <c r="J63" s="5">
        <f t="shared" si="1"/>
        <v>4196.9999999999991</v>
      </c>
      <c r="K63" s="5">
        <v>1.06</v>
      </c>
      <c r="L63" s="5"/>
    </row>
    <row r="64" spans="3:12" hidden="1">
      <c r="C64" s="6">
        <f t="shared" si="0"/>
        <v>60</v>
      </c>
      <c r="D64" s="5" t="s">
        <v>245</v>
      </c>
      <c r="E64" s="5" t="s">
        <v>246</v>
      </c>
      <c r="F64" s="5"/>
      <c r="G64" s="5"/>
      <c r="H64" s="5">
        <v>63</v>
      </c>
      <c r="I64" s="6">
        <v>24.8</v>
      </c>
      <c r="J64" s="5">
        <f t="shared" si="1"/>
        <v>4221.7999999999993</v>
      </c>
      <c r="K64" s="5">
        <v>1.06</v>
      </c>
      <c r="L64" s="5"/>
    </row>
    <row r="65" spans="3:12" hidden="1">
      <c r="C65" s="6">
        <f t="shared" si="0"/>
        <v>61</v>
      </c>
      <c r="D65" s="5" t="s">
        <v>247</v>
      </c>
      <c r="E65" s="5" t="s">
        <v>248</v>
      </c>
      <c r="F65" s="5"/>
      <c r="G65" s="5"/>
      <c r="H65" s="5">
        <v>63</v>
      </c>
      <c r="I65" s="6">
        <v>116.4</v>
      </c>
      <c r="J65" s="5">
        <f t="shared" si="1"/>
        <v>4338.1999999999989</v>
      </c>
      <c r="K65" s="5">
        <v>1.06</v>
      </c>
      <c r="L65" s="5"/>
    </row>
    <row r="66" spans="3:12" hidden="1">
      <c r="C66" s="6">
        <f t="shared" si="0"/>
        <v>62</v>
      </c>
      <c r="D66" s="5" t="s">
        <v>249</v>
      </c>
      <c r="E66" s="5" t="s">
        <v>250</v>
      </c>
      <c r="F66" s="5"/>
      <c r="G66" s="5"/>
      <c r="H66" s="5">
        <v>63</v>
      </c>
      <c r="I66" s="6">
        <v>34.700000000000003</v>
      </c>
      <c r="J66" s="5">
        <f t="shared" si="1"/>
        <v>4372.8999999999987</v>
      </c>
      <c r="K66" s="5">
        <v>1.06</v>
      </c>
      <c r="L66" s="5"/>
    </row>
    <row r="67" spans="3:12" hidden="1">
      <c r="C67" s="6">
        <f t="shared" si="0"/>
        <v>63</v>
      </c>
      <c r="D67" s="5" t="s">
        <v>251</v>
      </c>
      <c r="E67" s="5" t="s">
        <v>252</v>
      </c>
      <c r="F67" s="5"/>
      <c r="G67" s="5"/>
      <c r="H67" s="5">
        <v>63</v>
      </c>
      <c r="I67" s="6">
        <v>166.4</v>
      </c>
      <c r="J67" s="5">
        <f t="shared" si="1"/>
        <v>4539.2999999999984</v>
      </c>
      <c r="K67" s="5">
        <v>1.06</v>
      </c>
      <c r="L67" s="5"/>
    </row>
    <row r="68" spans="3:12" hidden="1">
      <c r="C68" s="6">
        <f t="shared" si="0"/>
        <v>64</v>
      </c>
      <c r="D68" s="5" t="s">
        <v>252</v>
      </c>
      <c r="E68" s="5" t="s">
        <v>253</v>
      </c>
      <c r="F68" s="5" t="s">
        <v>193</v>
      </c>
      <c r="G68" s="5">
        <v>0.36</v>
      </c>
      <c r="H68" s="5">
        <v>63</v>
      </c>
      <c r="I68" s="6">
        <v>4.2</v>
      </c>
      <c r="J68" s="5">
        <f t="shared" si="1"/>
        <v>4543.4999999999982</v>
      </c>
      <c r="K68" s="5">
        <v>1.06</v>
      </c>
      <c r="L68" s="5"/>
    </row>
    <row r="69" spans="3:12" hidden="1">
      <c r="C69" s="6">
        <f t="shared" si="0"/>
        <v>65</v>
      </c>
      <c r="D69" s="5" t="s">
        <v>252</v>
      </c>
      <c r="E69" s="5" t="s">
        <v>253</v>
      </c>
      <c r="F69" s="5"/>
      <c r="G69" s="5"/>
      <c r="H69" s="5">
        <v>63</v>
      </c>
      <c r="I69" s="6">
        <v>80.599999999999994</v>
      </c>
      <c r="J69" s="5">
        <f t="shared" si="1"/>
        <v>4624.0999999999985</v>
      </c>
      <c r="K69" s="5">
        <v>1.06</v>
      </c>
      <c r="L69" s="5"/>
    </row>
    <row r="70" spans="3:12" hidden="1">
      <c r="C70" s="6">
        <f t="shared" si="0"/>
        <v>66</v>
      </c>
      <c r="D70" s="5" t="s">
        <v>198</v>
      </c>
      <c r="E70" s="5" t="s">
        <v>254</v>
      </c>
      <c r="F70" s="5"/>
      <c r="G70" s="5"/>
      <c r="H70" s="5">
        <v>63</v>
      </c>
      <c r="I70" s="6">
        <f>194.3+12</f>
        <v>206.3</v>
      </c>
      <c r="J70" s="5">
        <f t="shared" si="1"/>
        <v>4830.3999999999987</v>
      </c>
      <c r="K70" s="5">
        <v>1.06</v>
      </c>
      <c r="L70" s="5"/>
    </row>
    <row r="71" spans="3:12" hidden="1">
      <c r="C71" s="6">
        <f t="shared" ref="C71:C134" si="2">1+C70</f>
        <v>67</v>
      </c>
      <c r="D71" s="5" t="s">
        <v>198</v>
      </c>
      <c r="E71" s="5" t="s">
        <v>255</v>
      </c>
      <c r="F71" s="5"/>
      <c r="G71" s="5"/>
      <c r="H71" s="5">
        <v>63</v>
      </c>
      <c r="I71" s="6">
        <v>131.19999999999999</v>
      </c>
      <c r="J71" s="5">
        <f t="shared" ref="J71:J134" si="3">+J70+I71</f>
        <v>4961.5999999999985</v>
      </c>
      <c r="K71" s="5">
        <v>1.06</v>
      </c>
      <c r="L71" s="5"/>
    </row>
    <row r="72" spans="3:12" hidden="1">
      <c r="C72" s="6">
        <f t="shared" si="2"/>
        <v>68</v>
      </c>
      <c r="D72" s="5" t="s">
        <v>255</v>
      </c>
      <c r="E72" s="5" t="s">
        <v>256</v>
      </c>
      <c r="F72" s="5"/>
      <c r="G72" s="5"/>
      <c r="H72" s="5">
        <v>63</v>
      </c>
      <c r="I72" s="6">
        <v>10.8</v>
      </c>
      <c r="J72" s="5">
        <f t="shared" si="3"/>
        <v>4972.3999999999987</v>
      </c>
      <c r="K72" s="5">
        <v>1.06</v>
      </c>
      <c r="L72" s="5"/>
    </row>
    <row r="73" spans="3:12" hidden="1">
      <c r="C73" s="6">
        <f t="shared" si="2"/>
        <v>69</v>
      </c>
      <c r="D73" s="5" t="s">
        <v>255</v>
      </c>
      <c r="E73" s="5" t="s">
        <v>257</v>
      </c>
      <c r="F73" s="5"/>
      <c r="G73" s="5"/>
      <c r="H73" s="5">
        <v>63</v>
      </c>
      <c r="I73" s="6">
        <v>121.3</v>
      </c>
      <c r="J73" s="5">
        <f t="shared" si="3"/>
        <v>5093.6999999999989</v>
      </c>
      <c r="K73" s="5">
        <v>1.06</v>
      </c>
      <c r="L73" s="5"/>
    </row>
    <row r="74" spans="3:12" hidden="1">
      <c r="C74" s="6">
        <f t="shared" si="2"/>
        <v>70</v>
      </c>
      <c r="D74" s="5" t="s">
        <v>255</v>
      </c>
      <c r="E74" s="5" t="s">
        <v>257</v>
      </c>
      <c r="F74" s="5" t="s">
        <v>199</v>
      </c>
      <c r="G74" s="5">
        <v>0.36</v>
      </c>
      <c r="H74" s="5">
        <v>63</v>
      </c>
      <c r="I74" s="6">
        <v>3</v>
      </c>
      <c r="J74" s="5">
        <f t="shared" si="3"/>
        <v>5096.6999999999989</v>
      </c>
      <c r="K74" s="5">
        <v>1.06</v>
      </c>
      <c r="L74" s="5"/>
    </row>
    <row r="75" spans="3:12" hidden="1">
      <c r="C75" s="6">
        <f t="shared" si="2"/>
        <v>71</v>
      </c>
      <c r="D75" s="5" t="s">
        <v>257</v>
      </c>
      <c r="E75" s="5" t="s">
        <v>197</v>
      </c>
      <c r="F75" s="5"/>
      <c r="G75" s="5"/>
      <c r="H75" s="5">
        <v>63</v>
      </c>
      <c r="I75" s="6">
        <f>252.4+15</f>
        <v>267.39999999999998</v>
      </c>
      <c r="J75" s="5">
        <f t="shared" si="3"/>
        <v>5364.0999999999985</v>
      </c>
      <c r="K75" s="5">
        <v>1.06</v>
      </c>
      <c r="L75" s="5"/>
    </row>
    <row r="76" spans="3:12" hidden="1">
      <c r="C76" s="6">
        <f t="shared" si="2"/>
        <v>72</v>
      </c>
      <c r="D76" s="5" t="s">
        <v>197</v>
      </c>
      <c r="E76" s="5" t="s">
        <v>252</v>
      </c>
      <c r="F76" s="5"/>
      <c r="G76" s="5"/>
      <c r="H76" s="5">
        <v>63</v>
      </c>
      <c r="I76" s="6">
        <v>61.5</v>
      </c>
      <c r="J76" s="5">
        <f t="shared" si="3"/>
        <v>5425.5999999999985</v>
      </c>
      <c r="K76" s="5">
        <v>1.06</v>
      </c>
      <c r="L76" s="5"/>
    </row>
    <row r="77" spans="3:12" hidden="1">
      <c r="C77" s="6">
        <f t="shared" si="2"/>
        <v>73</v>
      </c>
      <c r="D77" s="5" t="s">
        <v>198</v>
      </c>
      <c r="E77" s="5" t="s">
        <v>197</v>
      </c>
      <c r="F77" s="5"/>
      <c r="G77" s="5"/>
      <c r="H77" s="5">
        <v>63</v>
      </c>
      <c r="I77" s="6">
        <v>141.9</v>
      </c>
      <c r="J77" s="5">
        <f t="shared" si="3"/>
        <v>5567.4999999999982</v>
      </c>
      <c r="K77" s="5">
        <v>1.06</v>
      </c>
      <c r="L77" s="5"/>
    </row>
    <row r="78" spans="3:12" hidden="1">
      <c r="C78" s="6">
        <f t="shared" si="2"/>
        <v>74</v>
      </c>
      <c r="D78" s="5" t="s">
        <v>257</v>
      </c>
      <c r="E78" s="5" t="s">
        <v>258</v>
      </c>
      <c r="F78" s="5"/>
      <c r="G78" s="5"/>
      <c r="H78" s="5">
        <v>63</v>
      </c>
      <c r="I78" s="6">
        <v>17.7</v>
      </c>
      <c r="J78" s="5">
        <f t="shared" si="3"/>
        <v>5585.199999999998</v>
      </c>
      <c r="K78" s="5">
        <v>1.06</v>
      </c>
      <c r="L78" s="5"/>
    </row>
    <row r="79" spans="3:12" hidden="1">
      <c r="C79" s="6">
        <f t="shared" si="2"/>
        <v>75</v>
      </c>
      <c r="D79" s="5" t="s">
        <v>258</v>
      </c>
      <c r="E79" s="5" t="s">
        <v>259</v>
      </c>
      <c r="F79" s="5"/>
      <c r="G79" s="5"/>
      <c r="H79" s="5">
        <v>63</v>
      </c>
      <c r="I79" s="6">
        <v>79.7</v>
      </c>
      <c r="J79" s="5">
        <f t="shared" si="3"/>
        <v>5664.8999999999978</v>
      </c>
      <c r="K79" s="5">
        <v>1.06</v>
      </c>
      <c r="L79" s="5"/>
    </row>
    <row r="80" spans="3:12" hidden="1">
      <c r="C80" s="6">
        <f t="shared" si="2"/>
        <v>76</v>
      </c>
      <c r="D80" s="5" t="s">
        <v>259</v>
      </c>
      <c r="E80" s="5" t="s">
        <v>260</v>
      </c>
      <c r="F80" s="5"/>
      <c r="G80" s="5"/>
      <c r="H80" s="5">
        <v>63</v>
      </c>
      <c r="I80" s="6">
        <v>59.6</v>
      </c>
      <c r="J80" s="5">
        <f t="shared" si="3"/>
        <v>5724.4999999999982</v>
      </c>
      <c r="K80" s="5">
        <v>1.06</v>
      </c>
      <c r="L80" s="5"/>
    </row>
    <row r="81" spans="3:12" hidden="1">
      <c r="C81" s="6">
        <f t="shared" si="2"/>
        <v>77</v>
      </c>
      <c r="D81" s="5" t="s">
        <v>259</v>
      </c>
      <c r="E81" s="5" t="s">
        <v>261</v>
      </c>
      <c r="F81" s="5"/>
      <c r="G81" s="5"/>
      <c r="H81" s="5">
        <v>63</v>
      </c>
      <c r="I81" s="6">
        <v>34.9</v>
      </c>
      <c r="J81" s="5">
        <f t="shared" si="3"/>
        <v>5759.3999999999978</v>
      </c>
      <c r="K81" s="5">
        <v>1.06</v>
      </c>
      <c r="L81" s="5"/>
    </row>
    <row r="82" spans="3:12" hidden="1">
      <c r="C82" s="6">
        <f t="shared" si="2"/>
        <v>78</v>
      </c>
      <c r="D82" s="5" t="s">
        <v>261</v>
      </c>
      <c r="E82" s="5" t="s">
        <v>262</v>
      </c>
      <c r="F82" s="5"/>
      <c r="G82" s="5"/>
      <c r="H82" s="5">
        <v>63</v>
      </c>
      <c r="I82" s="6">
        <v>57.7</v>
      </c>
      <c r="J82" s="5">
        <f t="shared" si="3"/>
        <v>5817.0999999999976</v>
      </c>
      <c r="K82" s="5">
        <v>1.06</v>
      </c>
      <c r="L82" s="5"/>
    </row>
    <row r="83" spans="3:12" hidden="1">
      <c r="C83" s="6">
        <f t="shared" si="2"/>
        <v>79</v>
      </c>
      <c r="D83" s="5" t="s">
        <v>261</v>
      </c>
      <c r="E83" s="5" t="s">
        <v>263</v>
      </c>
      <c r="F83" s="5"/>
      <c r="G83" s="5"/>
      <c r="H83" s="5">
        <v>63</v>
      </c>
      <c r="I83" s="6">
        <v>17.5</v>
      </c>
      <c r="J83" s="5">
        <f t="shared" si="3"/>
        <v>5834.5999999999976</v>
      </c>
      <c r="K83" s="5">
        <v>1.06</v>
      </c>
      <c r="L83" s="5"/>
    </row>
    <row r="84" spans="3:12" hidden="1">
      <c r="C84" s="6">
        <f t="shared" si="2"/>
        <v>80</v>
      </c>
      <c r="D84" s="5" t="s">
        <v>264</v>
      </c>
      <c r="E84" s="5" t="s">
        <v>251</v>
      </c>
      <c r="F84" s="5"/>
      <c r="G84" s="5"/>
      <c r="H84" s="5">
        <v>63</v>
      </c>
      <c r="I84" s="6">
        <f>143.6+3</f>
        <v>146.6</v>
      </c>
      <c r="J84" s="5">
        <f t="shared" si="3"/>
        <v>5981.199999999998</v>
      </c>
      <c r="K84" s="5">
        <v>1.06</v>
      </c>
      <c r="L84" s="5"/>
    </row>
    <row r="85" spans="3:12" hidden="1">
      <c r="C85" s="6">
        <f t="shared" si="2"/>
        <v>81</v>
      </c>
      <c r="D85" s="5" t="s">
        <v>265</v>
      </c>
      <c r="E85" s="5" t="s">
        <v>266</v>
      </c>
      <c r="F85" s="5"/>
      <c r="G85" s="5"/>
      <c r="H85" s="5">
        <v>63</v>
      </c>
      <c r="I85" s="6">
        <v>94.4</v>
      </c>
      <c r="J85" s="5">
        <f t="shared" si="3"/>
        <v>6075.5999999999976</v>
      </c>
      <c r="K85" s="5">
        <v>1.06</v>
      </c>
      <c r="L85" s="5"/>
    </row>
    <row r="86" spans="3:12" hidden="1">
      <c r="C86" s="6">
        <f t="shared" si="2"/>
        <v>82</v>
      </c>
      <c r="D86" s="5" t="s">
        <v>267</v>
      </c>
      <c r="E86" s="5" t="s">
        <v>268</v>
      </c>
      <c r="F86" s="5"/>
      <c r="G86" s="5"/>
      <c r="H86" s="5">
        <v>63</v>
      </c>
      <c r="I86" s="6">
        <v>57.5</v>
      </c>
      <c r="J86" s="5">
        <f t="shared" si="3"/>
        <v>6133.0999999999976</v>
      </c>
      <c r="K86" s="5">
        <v>1.06</v>
      </c>
      <c r="L86" s="5"/>
    </row>
    <row r="87" spans="3:12" hidden="1">
      <c r="C87" s="6">
        <f t="shared" si="2"/>
        <v>83</v>
      </c>
      <c r="D87" s="5" t="s">
        <v>258</v>
      </c>
      <c r="E87" s="5" t="s">
        <v>269</v>
      </c>
      <c r="F87" s="5" t="s">
        <v>199</v>
      </c>
      <c r="G87" s="5">
        <v>0.36</v>
      </c>
      <c r="H87" s="5">
        <v>63</v>
      </c>
      <c r="I87" s="6">
        <v>51.4</v>
      </c>
      <c r="J87" s="5">
        <f t="shared" si="3"/>
        <v>6184.4999999999973</v>
      </c>
      <c r="K87" s="5">
        <v>1.06</v>
      </c>
      <c r="L87" s="5"/>
    </row>
    <row r="88" spans="3:12" hidden="1">
      <c r="C88" s="6">
        <f t="shared" si="2"/>
        <v>84</v>
      </c>
      <c r="D88" s="5" t="s">
        <v>258</v>
      </c>
      <c r="E88" s="5" t="s">
        <v>269</v>
      </c>
      <c r="F88" s="5"/>
      <c r="G88" s="5"/>
      <c r="H88" s="5">
        <v>63</v>
      </c>
      <c r="I88" s="6">
        <v>23.9</v>
      </c>
      <c r="J88" s="5">
        <f t="shared" si="3"/>
        <v>6208.3999999999969</v>
      </c>
      <c r="K88" s="5">
        <v>1.06</v>
      </c>
      <c r="L88" s="5"/>
    </row>
    <row r="89" spans="3:12" hidden="1">
      <c r="C89" s="6">
        <f t="shared" si="2"/>
        <v>85</v>
      </c>
      <c r="D89" s="5" t="s">
        <v>269</v>
      </c>
      <c r="E89" s="5" t="s">
        <v>270</v>
      </c>
      <c r="F89" s="5"/>
      <c r="G89" s="5"/>
      <c r="H89" s="5">
        <v>63</v>
      </c>
      <c r="I89" s="6">
        <v>38</v>
      </c>
      <c r="J89" s="5">
        <f t="shared" si="3"/>
        <v>6246.3999999999969</v>
      </c>
      <c r="K89" s="5">
        <v>1.06</v>
      </c>
      <c r="L89" s="5"/>
    </row>
    <row r="90" spans="3:12" hidden="1">
      <c r="C90" s="6">
        <f t="shared" si="2"/>
        <v>86</v>
      </c>
      <c r="D90" s="5" t="s">
        <v>269</v>
      </c>
      <c r="E90" s="5" t="s">
        <v>271</v>
      </c>
      <c r="F90" s="5"/>
      <c r="G90" s="5"/>
      <c r="H90" s="5">
        <v>63</v>
      </c>
      <c r="I90" s="6">
        <v>96.6</v>
      </c>
      <c r="J90" s="5">
        <f t="shared" si="3"/>
        <v>6342.9999999999973</v>
      </c>
      <c r="K90" s="5">
        <v>1.06</v>
      </c>
      <c r="L90" s="5"/>
    </row>
    <row r="91" spans="3:12" hidden="1">
      <c r="C91" s="6">
        <f t="shared" si="2"/>
        <v>87</v>
      </c>
      <c r="D91" s="5" t="s">
        <v>269</v>
      </c>
      <c r="E91" s="5" t="s">
        <v>272</v>
      </c>
      <c r="F91" s="5" t="s">
        <v>193</v>
      </c>
      <c r="G91" s="5">
        <v>0.36</v>
      </c>
      <c r="H91" s="5">
        <v>63</v>
      </c>
      <c r="I91" s="6">
        <v>4.3</v>
      </c>
      <c r="J91" s="5">
        <f t="shared" si="3"/>
        <v>6347.2999999999975</v>
      </c>
      <c r="K91" s="5">
        <v>1.06</v>
      </c>
      <c r="L91" s="5"/>
    </row>
    <row r="92" spans="3:12" hidden="1">
      <c r="C92" s="6">
        <f t="shared" si="2"/>
        <v>88</v>
      </c>
      <c r="D92" s="5" t="s">
        <v>271</v>
      </c>
      <c r="E92" s="5" t="s">
        <v>273</v>
      </c>
      <c r="F92" s="5" t="s">
        <v>193</v>
      </c>
      <c r="G92" s="5">
        <v>0.36</v>
      </c>
      <c r="H92" s="5">
        <v>63</v>
      </c>
      <c r="I92" s="6">
        <v>3.8</v>
      </c>
      <c r="J92" s="5">
        <f t="shared" si="3"/>
        <v>6351.0999999999976</v>
      </c>
      <c r="K92" s="5">
        <v>1.06</v>
      </c>
      <c r="L92" s="5"/>
    </row>
    <row r="93" spans="3:12" hidden="1">
      <c r="C93" s="6">
        <f t="shared" si="2"/>
        <v>89</v>
      </c>
      <c r="D93" s="5" t="s">
        <v>272</v>
      </c>
      <c r="E93" s="5" t="s">
        <v>273</v>
      </c>
      <c r="F93" s="5"/>
      <c r="G93" s="5"/>
      <c r="H93" s="5">
        <v>63</v>
      </c>
      <c r="I93" s="6">
        <v>20.7</v>
      </c>
      <c r="J93" s="5">
        <f t="shared" si="3"/>
        <v>6371.7999999999975</v>
      </c>
      <c r="K93" s="5">
        <v>1.06</v>
      </c>
      <c r="L93" s="5"/>
    </row>
    <row r="94" spans="3:12" hidden="1">
      <c r="C94" s="6">
        <f t="shared" si="2"/>
        <v>90</v>
      </c>
      <c r="D94" s="5" t="s">
        <v>272</v>
      </c>
      <c r="E94" s="5" t="s">
        <v>274</v>
      </c>
      <c r="F94" s="5"/>
      <c r="G94" s="5"/>
      <c r="H94" s="5">
        <v>63</v>
      </c>
      <c r="I94" s="6">
        <v>225.2</v>
      </c>
      <c r="J94" s="5">
        <f t="shared" si="3"/>
        <v>6596.9999999999973</v>
      </c>
      <c r="K94" s="5">
        <v>1.06</v>
      </c>
      <c r="L94" s="5"/>
    </row>
    <row r="95" spans="3:12" hidden="1">
      <c r="C95" s="6">
        <f t="shared" si="2"/>
        <v>91</v>
      </c>
      <c r="D95" s="5" t="s">
        <v>271</v>
      </c>
      <c r="E95" s="5" t="s">
        <v>272</v>
      </c>
      <c r="F95" s="5"/>
      <c r="G95" s="5"/>
      <c r="H95" s="5">
        <v>63</v>
      </c>
      <c r="I95" s="6">
        <v>186.9</v>
      </c>
      <c r="J95" s="5">
        <f t="shared" si="3"/>
        <v>6783.8999999999969</v>
      </c>
      <c r="K95" s="5">
        <v>1.06</v>
      </c>
      <c r="L95" s="5"/>
    </row>
    <row r="96" spans="3:12" hidden="1">
      <c r="C96" s="6">
        <f t="shared" si="2"/>
        <v>92</v>
      </c>
      <c r="D96" s="5" t="s">
        <v>272</v>
      </c>
      <c r="E96" s="5" t="s">
        <v>275</v>
      </c>
      <c r="F96" s="5"/>
      <c r="G96" s="5"/>
      <c r="H96" s="5">
        <v>63</v>
      </c>
      <c r="I96" s="6">
        <v>71.400000000000006</v>
      </c>
      <c r="J96" s="5">
        <f t="shared" si="3"/>
        <v>6855.2999999999965</v>
      </c>
      <c r="K96" s="5">
        <v>1.06</v>
      </c>
      <c r="L96" s="5"/>
    </row>
    <row r="97" spans="3:12" hidden="1">
      <c r="C97" s="6">
        <f t="shared" si="2"/>
        <v>93</v>
      </c>
      <c r="D97" s="5" t="s">
        <v>276</v>
      </c>
      <c r="E97" s="5" t="s">
        <v>277</v>
      </c>
      <c r="F97" s="5"/>
      <c r="G97" s="5"/>
      <c r="H97" s="5">
        <v>63</v>
      </c>
      <c r="I97" s="6">
        <v>205.2</v>
      </c>
      <c r="J97" s="5">
        <f t="shared" si="3"/>
        <v>7060.4999999999964</v>
      </c>
      <c r="K97" s="5">
        <v>1.06</v>
      </c>
      <c r="L97" s="5"/>
    </row>
    <row r="98" spans="3:12" hidden="1">
      <c r="C98" s="6">
        <f t="shared" si="2"/>
        <v>94</v>
      </c>
      <c r="D98" s="5" t="s">
        <v>278</v>
      </c>
      <c r="E98" s="5" t="s">
        <v>279</v>
      </c>
      <c r="F98" s="5"/>
      <c r="G98" s="5"/>
      <c r="H98" s="5">
        <v>63</v>
      </c>
      <c r="I98" s="6">
        <v>17.8</v>
      </c>
      <c r="J98" s="5">
        <f t="shared" si="3"/>
        <v>7078.2999999999965</v>
      </c>
      <c r="K98" s="5">
        <v>1.06</v>
      </c>
      <c r="L98" s="5"/>
    </row>
    <row r="99" spans="3:12" hidden="1">
      <c r="C99" s="6">
        <f t="shared" si="2"/>
        <v>95</v>
      </c>
      <c r="D99" s="5" t="s">
        <v>280</v>
      </c>
      <c r="E99" s="5" t="s">
        <v>281</v>
      </c>
      <c r="F99" s="5"/>
      <c r="G99" s="5"/>
      <c r="H99" s="5">
        <v>63</v>
      </c>
      <c r="I99" s="6">
        <v>40.299999999999997</v>
      </c>
      <c r="J99" s="5">
        <f t="shared" si="3"/>
        <v>7118.5999999999967</v>
      </c>
      <c r="K99" s="5">
        <v>1.06</v>
      </c>
      <c r="L99" s="5"/>
    </row>
    <row r="100" spans="3:12" hidden="1">
      <c r="C100" s="6">
        <f t="shared" si="2"/>
        <v>96</v>
      </c>
      <c r="D100" s="5" t="s">
        <v>281</v>
      </c>
      <c r="E100" s="5" t="s">
        <v>282</v>
      </c>
      <c r="F100" s="5"/>
      <c r="G100" s="5"/>
      <c r="H100" s="5">
        <v>63</v>
      </c>
      <c r="I100" s="6">
        <v>11.1</v>
      </c>
      <c r="J100" s="5">
        <f t="shared" si="3"/>
        <v>7129.6999999999971</v>
      </c>
      <c r="K100" s="5">
        <v>1.06</v>
      </c>
      <c r="L100" s="5"/>
    </row>
    <row r="101" spans="3:12" hidden="1">
      <c r="C101" s="6">
        <f t="shared" si="2"/>
        <v>97</v>
      </c>
      <c r="D101" s="5" t="s">
        <v>282</v>
      </c>
      <c r="E101" s="5" t="s">
        <v>283</v>
      </c>
      <c r="F101" s="5"/>
      <c r="G101" s="5"/>
      <c r="H101" s="5">
        <v>63</v>
      </c>
      <c r="I101" s="6">
        <v>29.3</v>
      </c>
      <c r="J101" s="5">
        <f t="shared" si="3"/>
        <v>7158.9999999999973</v>
      </c>
      <c r="K101" s="5">
        <v>1.06</v>
      </c>
      <c r="L101" s="5"/>
    </row>
    <row r="102" spans="3:12" hidden="1">
      <c r="C102" s="6">
        <f t="shared" si="2"/>
        <v>98</v>
      </c>
      <c r="D102" s="5" t="s">
        <v>282</v>
      </c>
      <c r="E102" s="5" t="s">
        <v>284</v>
      </c>
      <c r="F102" s="5"/>
      <c r="G102" s="5"/>
      <c r="H102" s="5">
        <v>63</v>
      </c>
      <c r="I102" s="6">
        <v>14.5</v>
      </c>
      <c r="J102" s="5">
        <f t="shared" si="3"/>
        <v>7173.4999999999973</v>
      </c>
      <c r="K102" s="5">
        <v>1.06</v>
      </c>
      <c r="L102" s="5"/>
    </row>
    <row r="103" spans="3:12" hidden="1">
      <c r="C103" s="6">
        <f t="shared" si="2"/>
        <v>99</v>
      </c>
      <c r="D103" s="5" t="s">
        <v>282</v>
      </c>
      <c r="E103" s="5" t="s">
        <v>279</v>
      </c>
      <c r="F103" s="5"/>
      <c r="G103" s="5"/>
      <c r="H103" s="5">
        <v>63</v>
      </c>
      <c r="I103" s="6">
        <v>34.299999999999997</v>
      </c>
      <c r="J103" s="5">
        <f t="shared" si="3"/>
        <v>7207.7999999999975</v>
      </c>
      <c r="K103" s="5">
        <v>1.06</v>
      </c>
      <c r="L103" s="5"/>
    </row>
    <row r="104" spans="3:12" hidden="1">
      <c r="C104" s="6">
        <f t="shared" si="2"/>
        <v>100</v>
      </c>
      <c r="D104" s="5" t="s">
        <v>281</v>
      </c>
      <c r="E104" s="5" t="s">
        <v>285</v>
      </c>
      <c r="F104" s="5" t="s">
        <v>199</v>
      </c>
      <c r="G104" s="5">
        <v>0.36</v>
      </c>
      <c r="H104" s="5">
        <v>63</v>
      </c>
      <c r="I104" s="6">
        <v>21.8</v>
      </c>
      <c r="J104" s="5">
        <f t="shared" si="3"/>
        <v>7229.5999999999976</v>
      </c>
      <c r="K104" s="5">
        <v>1.06</v>
      </c>
      <c r="L104" s="5"/>
    </row>
    <row r="105" spans="3:12" hidden="1">
      <c r="C105" s="6">
        <f t="shared" si="2"/>
        <v>101</v>
      </c>
      <c r="D105" s="5" t="s">
        <v>285</v>
      </c>
      <c r="E105" s="5" t="s">
        <v>201</v>
      </c>
      <c r="F105" s="5"/>
      <c r="G105" s="5"/>
      <c r="H105" s="5">
        <v>63</v>
      </c>
      <c r="I105" s="6">
        <v>21.3</v>
      </c>
      <c r="J105" s="5">
        <f t="shared" si="3"/>
        <v>7250.8999999999978</v>
      </c>
      <c r="K105" s="5">
        <v>1.06</v>
      </c>
      <c r="L105" s="5"/>
    </row>
    <row r="106" spans="3:12" hidden="1">
      <c r="C106" s="6">
        <f t="shared" si="2"/>
        <v>102</v>
      </c>
      <c r="D106" s="5" t="s">
        <v>286</v>
      </c>
      <c r="E106" s="5" t="s">
        <v>285</v>
      </c>
      <c r="F106" s="5" t="s">
        <v>199</v>
      </c>
      <c r="G106" s="5">
        <v>0.36</v>
      </c>
      <c r="H106" s="5">
        <v>63</v>
      </c>
      <c r="I106" s="6">
        <v>29</v>
      </c>
      <c r="J106" s="5">
        <f t="shared" si="3"/>
        <v>7279.8999999999978</v>
      </c>
      <c r="K106" s="5">
        <v>1.06</v>
      </c>
      <c r="L106" s="5"/>
    </row>
    <row r="107" spans="3:12" hidden="1">
      <c r="C107" s="6">
        <f t="shared" si="2"/>
        <v>103</v>
      </c>
      <c r="D107" s="5" t="s">
        <v>286</v>
      </c>
      <c r="E107" s="5" t="s">
        <v>285</v>
      </c>
      <c r="F107" s="5"/>
      <c r="G107" s="5"/>
      <c r="H107" s="5">
        <v>63</v>
      </c>
      <c r="I107" s="6">
        <v>51.1</v>
      </c>
      <c r="J107" s="5">
        <f t="shared" si="3"/>
        <v>7330.9999999999982</v>
      </c>
      <c r="K107" s="5">
        <v>1.06</v>
      </c>
      <c r="L107" s="5"/>
    </row>
    <row r="108" spans="3:12" hidden="1">
      <c r="C108" s="6">
        <f t="shared" si="2"/>
        <v>104</v>
      </c>
      <c r="D108" s="5" t="s">
        <v>287</v>
      </c>
      <c r="E108" s="5" t="s">
        <v>288</v>
      </c>
      <c r="F108" s="5"/>
      <c r="G108" s="5"/>
      <c r="H108" s="5">
        <v>63</v>
      </c>
      <c r="I108" s="6">
        <v>264.89999999999998</v>
      </c>
      <c r="J108" s="5">
        <f t="shared" si="3"/>
        <v>7595.8999999999978</v>
      </c>
      <c r="K108" s="5">
        <v>1.06</v>
      </c>
      <c r="L108" s="5"/>
    </row>
    <row r="109" spans="3:12" hidden="1">
      <c r="C109" s="6">
        <f t="shared" si="2"/>
        <v>105</v>
      </c>
      <c r="D109" s="5" t="s">
        <v>288</v>
      </c>
      <c r="E109" s="5" t="s">
        <v>289</v>
      </c>
      <c r="F109" s="5"/>
      <c r="G109" s="5"/>
      <c r="H109" s="5">
        <v>63</v>
      </c>
      <c r="I109" s="6">
        <v>91.4</v>
      </c>
      <c r="J109" s="5">
        <f t="shared" si="3"/>
        <v>7687.2999999999975</v>
      </c>
      <c r="K109" s="5">
        <v>1.06</v>
      </c>
      <c r="L109" s="5"/>
    </row>
    <row r="110" spans="3:12" hidden="1">
      <c r="C110" s="6">
        <f t="shared" si="2"/>
        <v>106</v>
      </c>
      <c r="D110" s="5" t="s">
        <v>288</v>
      </c>
      <c r="E110" s="5" t="s">
        <v>290</v>
      </c>
      <c r="F110" s="5" t="s">
        <v>193</v>
      </c>
      <c r="G110" s="5">
        <v>0.36</v>
      </c>
      <c r="H110" s="5">
        <v>63</v>
      </c>
      <c r="I110" s="6">
        <v>3</v>
      </c>
      <c r="J110" s="5">
        <f t="shared" si="3"/>
        <v>7690.2999999999975</v>
      </c>
      <c r="K110" s="5">
        <v>1.06</v>
      </c>
      <c r="L110" s="5"/>
    </row>
    <row r="111" spans="3:12" hidden="1">
      <c r="C111" s="6">
        <f t="shared" si="2"/>
        <v>107</v>
      </c>
      <c r="D111" s="5" t="s">
        <v>288</v>
      </c>
      <c r="E111" s="5" t="s">
        <v>290</v>
      </c>
      <c r="F111" s="5"/>
      <c r="G111" s="5"/>
      <c r="H111" s="5">
        <v>63</v>
      </c>
      <c r="I111" s="6">
        <v>78.3</v>
      </c>
      <c r="J111" s="5">
        <f t="shared" si="3"/>
        <v>7768.5999999999976</v>
      </c>
      <c r="K111" s="5">
        <v>1.06</v>
      </c>
      <c r="L111" s="5"/>
    </row>
    <row r="112" spans="3:12" hidden="1">
      <c r="C112" s="6">
        <f t="shared" si="2"/>
        <v>108</v>
      </c>
      <c r="D112" s="5" t="s">
        <v>288</v>
      </c>
      <c r="E112" s="5" t="s">
        <v>291</v>
      </c>
      <c r="F112" s="5"/>
      <c r="G112" s="5"/>
      <c r="H112" s="5">
        <v>63</v>
      </c>
      <c r="I112" s="6">
        <v>311.8</v>
      </c>
      <c r="J112" s="5">
        <f t="shared" si="3"/>
        <v>8080.3999999999978</v>
      </c>
      <c r="K112" s="5">
        <v>1.06</v>
      </c>
      <c r="L112" s="5"/>
    </row>
    <row r="113" spans="3:12" hidden="1">
      <c r="C113" s="6">
        <f t="shared" si="2"/>
        <v>109</v>
      </c>
      <c r="D113" s="5" t="s">
        <v>291</v>
      </c>
      <c r="E113" s="5" t="s">
        <v>292</v>
      </c>
      <c r="F113" s="5" t="s">
        <v>193</v>
      </c>
      <c r="G113" s="5">
        <v>0.36</v>
      </c>
      <c r="H113" s="5">
        <v>63</v>
      </c>
      <c r="I113" s="6">
        <v>3.4</v>
      </c>
      <c r="J113" s="5">
        <f t="shared" si="3"/>
        <v>8083.7999999999975</v>
      </c>
      <c r="K113" s="5">
        <v>1.06</v>
      </c>
      <c r="L113" s="5"/>
    </row>
    <row r="114" spans="3:12" hidden="1">
      <c r="C114" s="6">
        <f t="shared" si="2"/>
        <v>110</v>
      </c>
      <c r="D114" s="5" t="s">
        <v>291</v>
      </c>
      <c r="E114" s="5" t="s">
        <v>292</v>
      </c>
      <c r="F114" s="5"/>
      <c r="G114" s="5"/>
      <c r="H114" s="5">
        <v>63</v>
      </c>
      <c r="I114" s="6">
        <v>40.1</v>
      </c>
      <c r="J114" s="5">
        <f t="shared" si="3"/>
        <v>8123.8999999999978</v>
      </c>
      <c r="K114" s="5">
        <v>1.06</v>
      </c>
      <c r="L114" s="5"/>
    </row>
    <row r="115" spans="3:12" hidden="1">
      <c r="C115" s="6">
        <f t="shared" si="2"/>
        <v>111</v>
      </c>
      <c r="D115" s="5" t="s">
        <v>292</v>
      </c>
      <c r="E115" s="5" t="s">
        <v>293</v>
      </c>
      <c r="F115" s="5"/>
      <c r="G115" s="5"/>
      <c r="H115" s="5">
        <v>63</v>
      </c>
      <c r="I115" s="6">
        <v>16</v>
      </c>
      <c r="J115" s="5">
        <f t="shared" si="3"/>
        <v>8139.8999999999978</v>
      </c>
      <c r="K115" s="5">
        <v>1.06</v>
      </c>
      <c r="L115" s="5"/>
    </row>
    <row r="116" spans="3:12" hidden="1">
      <c r="C116" s="6">
        <f t="shared" si="2"/>
        <v>112</v>
      </c>
      <c r="D116" s="5" t="s">
        <v>292</v>
      </c>
      <c r="E116" s="5" t="s">
        <v>294</v>
      </c>
      <c r="F116" s="5"/>
      <c r="G116" s="5"/>
      <c r="H116" s="5">
        <v>63</v>
      </c>
      <c r="I116" s="6">
        <v>14</v>
      </c>
      <c r="J116" s="5">
        <f t="shared" si="3"/>
        <v>8153.8999999999978</v>
      </c>
      <c r="K116" s="5">
        <v>1.06</v>
      </c>
      <c r="L116" s="5"/>
    </row>
    <row r="117" spans="3:12" hidden="1">
      <c r="C117" s="6">
        <f t="shared" si="2"/>
        <v>113</v>
      </c>
      <c r="D117" s="5" t="s">
        <v>294</v>
      </c>
      <c r="E117" s="5" t="s">
        <v>295</v>
      </c>
      <c r="F117" s="5"/>
      <c r="G117" s="5"/>
      <c r="H117" s="5">
        <v>63</v>
      </c>
      <c r="I117" s="6">
        <v>31.6</v>
      </c>
      <c r="J117" s="5">
        <f t="shared" si="3"/>
        <v>8185.4999999999982</v>
      </c>
      <c r="K117" s="5">
        <v>1.06</v>
      </c>
      <c r="L117" s="5"/>
    </row>
    <row r="118" spans="3:12" hidden="1">
      <c r="C118" s="6">
        <f t="shared" si="2"/>
        <v>114</v>
      </c>
      <c r="D118" s="5" t="s">
        <v>294</v>
      </c>
      <c r="E118" s="5" t="s">
        <v>296</v>
      </c>
      <c r="F118" s="5"/>
      <c r="G118" s="5"/>
      <c r="H118" s="5">
        <v>63</v>
      </c>
      <c r="I118" s="6">
        <v>45.2</v>
      </c>
      <c r="J118" s="5">
        <f t="shared" si="3"/>
        <v>8230.6999999999989</v>
      </c>
      <c r="K118" s="5">
        <v>1.06</v>
      </c>
      <c r="L118" s="5"/>
    </row>
    <row r="119" spans="3:12" hidden="1">
      <c r="C119" s="6">
        <f t="shared" si="2"/>
        <v>115</v>
      </c>
      <c r="D119" s="5" t="s">
        <v>296</v>
      </c>
      <c r="E119" s="5" t="s">
        <v>297</v>
      </c>
      <c r="F119" s="5"/>
      <c r="G119" s="5"/>
      <c r="H119" s="5">
        <v>63</v>
      </c>
      <c r="I119" s="6">
        <v>74.3</v>
      </c>
      <c r="J119" s="5">
        <f t="shared" si="3"/>
        <v>8304.9999999999982</v>
      </c>
      <c r="K119" s="5">
        <v>1.06</v>
      </c>
      <c r="L119" s="5"/>
    </row>
    <row r="120" spans="3:12" hidden="1">
      <c r="C120" s="6">
        <f t="shared" si="2"/>
        <v>116</v>
      </c>
      <c r="D120" s="5" t="s">
        <v>296</v>
      </c>
      <c r="E120" s="5" t="s">
        <v>298</v>
      </c>
      <c r="F120" s="5"/>
      <c r="G120" s="5"/>
      <c r="H120" s="5">
        <v>63</v>
      </c>
      <c r="I120" s="6">
        <v>95.9</v>
      </c>
      <c r="J120" s="5">
        <f t="shared" si="3"/>
        <v>8400.8999999999978</v>
      </c>
      <c r="K120" s="5">
        <v>1.06</v>
      </c>
      <c r="L120" s="5"/>
    </row>
    <row r="121" spans="3:12" hidden="1">
      <c r="C121" s="6">
        <f t="shared" si="2"/>
        <v>117</v>
      </c>
      <c r="D121" s="5" t="s">
        <v>291</v>
      </c>
      <c r="E121" s="5" t="s">
        <v>299</v>
      </c>
      <c r="F121" s="5"/>
      <c r="G121" s="5"/>
      <c r="H121" s="5">
        <v>63</v>
      </c>
      <c r="I121" s="6">
        <v>59.9</v>
      </c>
      <c r="J121" s="5">
        <f t="shared" si="3"/>
        <v>8460.7999999999975</v>
      </c>
      <c r="K121" s="5">
        <v>1.06</v>
      </c>
      <c r="L121" s="5"/>
    </row>
    <row r="122" spans="3:12" hidden="1">
      <c r="C122" s="6">
        <f t="shared" si="2"/>
        <v>118</v>
      </c>
      <c r="D122" s="5" t="s">
        <v>299</v>
      </c>
      <c r="E122" s="5" t="s">
        <v>300</v>
      </c>
      <c r="F122" s="5" t="s">
        <v>193</v>
      </c>
      <c r="G122" s="5">
        <v>0.36</v>
      </c>
      <c r="H122" s="5">
        <v>63</v>
      </c>
      <c r="I122" s="6">
        <v>2.9</v>
      </c>
      <c r="J122" s="5">
        <f t="shared" si="3"/>
        <v>8463.6999999999971</v>
      </c>
      <c r="K122" s="5">
        <v>1.06</v>
      </c>
      <c r="L122" s="5"/>
    </row>
    <row r="123" spans="3:12">
      <c r="C123" s="6">
        <f t="shared" si="2"/>
        <v>119</v>
      </c>
      <c r="D123" s="5" t="s">
        <v>299</v>
      </c>
      <c r="E123" s="5" t="s">
        <v>300</v>
      </c>
      <c r="F123" s="5" t="s">
        <v>301</v>
      </c>
      <c r="G123" s="5">
        <v>0.36</v>
      </c>
      <c r="H123" s="5">
        <v>63</v>
      </c>
      <c r="I123" s="6">
        <v>58.9</v>
      </c>
      <c r="J123" s="5">
        <f t="shared" si="3"/>
        <v>8522.5999999999967</v>
      </c>
      <c r="K123" s="5">
        <v>1.06</v>
      </c>
      <c r="L123" s="5"/>
    </row>
    <row r="124" spans="3:12" hidden="1">
      <c r="C124" s="6">
        <f t="shared" si="2"/>
        <v>120</v>
      </c>
      <c r="D124" s="5" t="s">
        <v>299</v>
      </c>
      <c r="E124" s="5" t="s">
        <v>300</v>
      </c>
      <c r="F124" s="5"/>
      <c r="G124" s="5"/>
      <c r="H124" s="5">
        <v>63</v>
      </c>
      <c r="I124" s="6">
        <v>13.2</v>
      </c>
      <c r="J124" s="5">
        <f t="shared" si="3"/>
        <v>8535.7999999999975</v>
      </c>
      <c r="K124" s="5">
        <v>1.06</v>
      </c>
      <c r="L124" s="5"/>
    </row>
    <row r="125" spans="3:12" hidden="1">
      <c r="C125" s="6">
        <f t="shared" si="2"/>
        <v>121</v>
      </c>
      <c r="D125" s="5" t="s">
        <v>302</v>
      </c>
      <c r="E125" s="5" t="s">
        <v>303</v>
      </c>
      <c r="F125" s="5" t="s">
        <v>304</v>
      </c>
      <c r="G125" s="5"/>
      <c r="H125" s="5">
        <v>63</v>
      </c>
      <c r="I125" s="6">
        <v>3.2</v>
      </c>
      <c r="J125" s="5">
        <f t="shared" si="3"/>
        <v>8538.9999999999982</v>
      </c>
      <c r="K125" s="5">
        <v>1.06</v>
      </c>
      <c r="L125" s="5" t="s">
        <v>304</v>
      </c>
    </row>
    <row r="126" spans="3:12" hidden="1">
      <c r="C126" s="6">
        <f t="shared" si="2"/>
        <v>122</v>
      </c>
      <c r="D126" s="5" t="s">
        <v>302</v>
      </c>
      <c r="E126" s="5" t="s">
        <v>303</v>
      </c>
      <c r="F126" s="5"/>
      <c r="G126" s="5"/>
      <c r="H126" s="5">
        <v>63</v>
      </c>
      <c r="I126" s="6">
        <v>80.3</v>
      </c>
      <c r="J126" s="5">
        <f t="shared" si="3"/>
        <v>8619.2999999999975</v>
      </c>
      <c r="K126" s="5">
        <v>1.06</v>
      </c>
      <c r="L126" s="5"/>
    </row>
    <row r="127" spans="3:12" hidden="1">
      <c r="C127" s="6">
        <f t="shared" si="2"/>
        <v>123</v>
      </c>
      <c r="D127" s="5" t="s">
        <v>302</v>
      </c>
      <c r="E127" s="5" t="s">
        <v>303</v>
      </c>
      <c r="F127" s="5"/>
      <c r="G127" s="5"/>
      <c r="H127" s="5">
        <v>63</v>
      </c>
      <c r="I127" s="6">
        <v>133.69999999999999</v>
      </c>
      <c r="J127" s="5">
        <f t="shared" si="3"/>
        <v>8752.9999999999982</v>
      </c>
      <c r="K127" s="5">
        <v>1.06</v>
      </c>
      <c r="L127" s="8"/>
    </row>
    <row r="128" spans="3:12" hidden="1">
      <c r="C128" s="6">
        <f t="shared" si="2"/>
        <v>124</v>
      </c>
      <c r="D128" s="5" t="s">
        <v>302</v>
      </c>
      <c r="E128" s="5" t="s">
        <v>305</v>
      </c>
      <c r="F128" s="5" t="s">
        <v>193</v>
      </c>
      <c r="G128" s="5">
        <v>0.36</v>
      </c>
      <c r="H128" s="5">
        <v>63</v>
      </c>
      <c r="I128" s="6">
        <v>2.8</v>
      </c>
      <c r="J128" s="5">
        <f t="shared" si="3"/>
        <v>8755.7999999999975</v>
      </c>
      <c r="K128" s="5">
        <v>1.06</v>
      </c>
      <c r="L128" s="8"/>
    </row>
    <row r="129" spans="3:12" hidden="1">
      <c r="C129" s="6">
        <f t="shared" si="2"/>
        <v>125</v>
      </c>
      <c r="D129" s="5" t="s">
        <v>302</v>
      </c>
      <c r="E129" s="5" t="s">
        <v>305</v>
      </c>
      <c r="F129" s="5"/>
      <c r="G129" s="5"/>
      <c r="H129" s="5">
        <v>63</v>
      </c>
      <c r="I129" s="6">
        <v>99.3</v>
      </c>
      <c r="J129" s="5">
        <f t="shared" si="3"/>
        <v>8855.0999999999967</v>
      </c>
      <c r="K129" s="5">
        <v>1.06</v>
      </c>
      <c r="L129" s="8"/>
    </row>
    <row r="130" spans="3:12" hidden="1">
      <c r="C130" s="6">
        <f t="shared" si="2"/>
        <v>126</v>
      </c>
      <c r="D130" s="5" t="s">
        <v>299</v>
      </c>
      <c r="E130" s="5" t="s">
        <v>302</v>
      </c>
      <c r="F130" s="5"/>
      <c r="G130" s="5"/>
      <c r="H130" s="5">
        <v>63</v>
      </c>
      <c r="I130" s="6">
        <v>140.1</v>
      </c>
      <c r="J130" s="5">
        <f t="shared" si="3"/>
        <v>8995.1999999999971</v>
      </c>
      <c r="K130" s="5">
        <v>1.06</v>
      </c>
      <c r="L130" s="8"/>
    </row>
    <row r="131" spans="3:12" hidden="1">
      <c r="C131" s="6">
        <f t="shared" si="2"/>
        <v>127</v>
      </c>
      <c r="D131" s="5" t="s">
        <v>291</v>
      </c>
      <c r="E131" s="5" t="s">
        <v>306</v>
      </c>
      <c r="F131" s="5"/>
      <c r="G131" s="5"/>
      <c r="H131" s="5">
        <v>63</v>
      </c>
      <c r="I131" s="6">
        <v>624.70000000000005</v>
      </c>
      <c r="J131" s="5">
        <f t="shared" si="3"/>
        <v>9619.8999999999978</v>
      </c>
      <c r="K131" s="5">
        <v>1.06</v>
      </c>
      <c r="L131" s="5"/>
    </row>
    <row r="132" spans="3:12" hidden="1">
      <c r="C132" s="6">
        <f t="shared" si="2"/>
        <v>128</v>
      </c>
      <c r="D132" s="5" t="s">
        <v>291</v>
      </c>
      <c r="E132" s="5" t="s">
        <v>306</v>
      </c>
      <c r="F132" s="5" t="s">
        <v>304</v>
      </c>
      <c r="G132" s="5"/>
      <c r="H132" s="5">
        <v>63</v>
      </c>
      <c r="I132" s="6">
        <v>20</v>
      </c>
      <c r="J132" s="5">
        <f t="shared" si="3"/>
        <v>9639.8999999999978</v>
      </c>
      <c r="K132" s="5">
        <v>1.06</v>
      </c>
      <c r="L132" s="5" t="s">
        <v>304</v>
      </c>
    </row>
    <row r="133" spans="3:12" hidden="1">
      <c r="C133" s="6">
        <f t="shared" si="2"/>
        <v>129</v>
      </c>
      <c r="D133" s="5" t="s">
        <v>291</v>
      </c>
      <c r="E133" s="5" t="s">
        <v>306</v>
      </c>
      <c r="F133" s="5" t="s">
        <v>193</v>
      </c>
      <c r="G133" s="5">
        <v>0.36</v>
      </c>
      <c r="H133" s="5">
        <v>63</v>
      </c>
      <c r="I133" s="6">
        <v>3.6</v>
      </c>
      <c r="J133" s="5">
        <f t="shared" si="3"/>
        <v>9643.4999999999982</v>
      </c>
      <c r="K133" s="5">
        <v>1.06</v>
      </c>
      <c r="L133" s="5"/>
    </row>
    <row r="134" spans="3:12" hidden="1">
      <c r="C134" s="6">
        <f t="shared" si="2"/>
        <v>130</v>
      </c>
      <c r="D134" s="5" t="s">
        <v>307</v>
      </c>
      <c r="E134" s="5" t="s">
        <v>308</v>
      </c>
      <c r="F134" s="5" t="s">
        <v>193</v>
      </c>
      <c r="G134" s="5">
        <v>0.36</v>
      </c>
      <c r="H134" s="5">
        <v>63</v>
      </c>
      <c r="I134" s="6">
        <v>3.1</v>
      </c>
      <c r="J134" s="5">
        <f t="shared" si="3"/>
        <v>9646.5999999999985</v>
      </c>
      <c r="K134" s="5">
        <v>1.06</v>
      </c>
      <c r="L134" s="8"/>
    </row>
    <row r="135" spans="3:12" hidden="1">
      <c r="C135" s="6">
        <f t="shared" ref="C135:C198" si="4">1+C134</f>
        <v>131</v>
      </c>
      <c r="D135" s="5" t="s">
        <v>307</v>
      </c>
      <c r="E135" s="5" t="s">
        <v>308</v>
      </c>
      <c r="F135" s="5"/>
      <c r="G135" s="5"/>
      <c r="H135" s="5">
        <v>63</v>
      </c>
      <c r="I135" s="6">
        <v>70.3</v>
      </c>
      <c r="J135" s="5">
        <f t="shared" ref="J135:J198" si="5">+J134+I135</f>
        <v>9716.8999999999978</v>
      </c>
      <c r="K135" s="5">
        <v>1.06</v>
      </c>
      <c r="L135" s="8"/>
    </row>
    <row r="136" spans="3:12" hidden="1">
      <c r="C136" s="6">
        <f t="shared" si="4"/>
        <v>132</v>
      </c>
      <c r="D136" s="5" t="s">
        <v>309</v>
      </c>
      <c r="E136" s="5" t="s">
        <v>310</v>
      </c>
      <c r="F136" s="5"/>
      <c r="G136" s="5"/>
      <c r="H136" s="5">
        <v>63</v>
      </c>
      <c r="I136" s="6">
        <v>416.6</v>
      </c>
      <c r="J136" s="5">
        <f t="shared" si="5"/>
        <v>10133.499999999998</v>
      </c>
      <c r="K136" s="5">
        <v>1.06</v>
      </c>
      <c r="L136" s="8"/>
    </row>
    <row r="137" spans="3:12" hidden="1">
      <c r="C137" s="6">
        <f t="shared" si="4"/>
        <v>133</v>
      </c>
      <c r="D137" s="5" t="s">
        <v>310</v>
      </c>
      <c r="E137" s="5" t="s">
        <v>311</v>
      </c>
      <c r="F137" s="5"/>
      <c r="G137" s="5"/>
      <c r="H137" s="5">
        <v>63</v>
      </c>
      <c r="I137" s="6">
        <v>74</v>
      </c>
      <c r="J137" s="5">
        <f t="shared" si="5"/>
        <v>10207.499999999998</v>
      </c>
      <c r="K137" s="5">
        <v>1.06</v>
      </c>
      <c r="L137" s="5"/>
    </row>
    <row r="138" spans="3:12" hidden="1">
      <c r="C138" s="6">
        <f t="shared" si="4"/>
        <v>134</v>
      </c>
      <c r="D138" s="5" t="s">
        <v>267</v>
      </c>
      <c r="E138" s="5" t="s">
        <v>268</v>
      </c>
      <c r="F138" s="8"/>
      <c r="G138" s="5"/>
      <c r="H138" s="5">
        <v>63</v>
      </c>
      <c r="I138" s="6">
        <v>23.6</v>
      </c>
      <c r="J138" s="5">
        <f t="shared" si="5"/>
        <v>10231.099999999999</v>
      </c>
      <c r="K138" s="5">
        <v>1.06</v>
      </c>
      <c r="L138" s="5"/>
    </row>
    <row r="139" spans="3:12" hidden="1">
      <c r="C139" s="6">
        <f t="shared" si="4"/>
        <v>135</v>
      </c>
      <c r="D139" s="5" t="s">
        <v>312</v>
      </c>
      <c r="E139" s="5" t="s">
        <v>313</v>
      </c>
      <c r="F139" s="8"/>
      <c r="G139" s="5"/>
      <c r="H139" s="5">
        <v>63</v>
      </c>
      <c r="I139" s="6">
        <f>65.3+2</f>
        <v>67.3</v>
      </c>
      <c r="J139" s="5">
        <f t="shared" si="5"/>
        <v>10298.399999999998</v>
      </c>
      <c r="K139" s="5">
        <v>1.06</v>
      </c>
      <c r="L139" s="5"/>
    </row>
    <row r="140" spans="3:12" hidden="1">
      <c r="C140" s="6">
        <f t="shared" si="4"/>
        <v>136</v>
      </c>
      <c r="D140" s="5" t="s">
        <v>314</v>
      </c>
      <c r="E140" s="5" t="s">
        <v>315</v>
      </c>
      <c r="F140" s="8"/>
      <c r="G140" s="5"/>
      <c r="H140" s="5">
        <v>63</v>
      </c>
      <c r="I140" s="6">
        <v>65.400000000000006</v>
      </c>
      <c r="J140" s="5">
        <f t="shared" si="5"/>
        <v>10363.799999999997</v>
      </c>
      <c r="K140" s="5">
        <v>1.06</v>
      </c>
      <c r="L140" s="5"/>
    </row>
    <row r="141" spans="3:12" hidden="1">
      <c r="C141" s="6">
        <f t="shared" si="4"/>
        <v>137</v>
      </c>
      <c r="D141" s="5" t="s">
        <v>316</v>
      </c>
      <c r="E141" s="5" t="s">
        <v>317</v>
      </c>
      <c r="F141" s="8"/>
      <c r="G141" s="5"/>
      <c r="H141" s="5">
        <v>63</v>
      </c>
      <c r="I141" s="6">
        <v>39.6</v>
      </c>
      <c r="J141" s="5">
        <f t="shared" si="5"/>
        <v>10403.399999999998</v>
      </c>
      <c r="K141" s="5">
        <v>1.06</v>
      </c>
      <c r="L141" s="5"/>
    </row>
    <row r="142" spans="3:12" hidden="1">
      <c r="C142" s="6">
        <f t="shared" si="4"/>
        <v>138</v>
      </c>
      <c r="D142" s="5" t="s">
        <v>318</v>
      </c>
      <c r="E142" s="5" t="s">
        <v>319</v>
      </c>
      <c r="F142" s="5" t="s">
        <v>193</v>
      </c>
      <c r="G142" s="5">
        <v>0.36</v>
      </c>
      <c r="H142" s="5">
        <v>63</v>
      </c>
      <c r="I142" s="6">
        <v>3</v>
      </c>
      <c r="J142" s="5">
        <f t="shared" si="5"/>
        <v>10406.399999999998</v>
      </c>
      <c r="K142" s="5">
        <v>1.06</v>
      </c>
      <c r="L142" s="5"/>
    </row>
    <row r="143" spans="3:12" hidden="1">
      <c r="C143" s="6">
        <f t="shared" si="4"/>
        <v>139</v>
      </c>
      <c r="D143" s="5" t="s">
        <v>318</v>
      </c>
      <c r="E143" s="5" t="s">
        <v>319</v>
      </c>
      <c r="F143" s="8"/>
      <c r="G143" s="5"/>
      <c r="H143" s="5">
        <v>63</v>
      </c>
      <c r="I143" s="6">
        <v>65.599999999999994</v>
      </c>
      <c r="J143" s="5">
        <f t="shared" si="5"/>
        <v>10471.999999999998</v>
      </c>
      <c r="K143" s="5">
        <v>1.06</v>
      </c>
      <c r="L143" s="5"/>
    </row>
    <row r="144" spans="3:12" hidden="1">
      <c r="C144" s="6">
        <f t="shared" si="4"/>
        <v>140</v>
      </c>
      <c r="D144" s="5" t="s">
        <v>320</v>
      </c>
      <c r="E144" s="5" t="s">
        <v>321</v>
      </c>
      <c r="F144" s="8"/>
      <c r="G144" s="5"/>
      <c r="H144" s="5">
        <v>63</v>
      </c>
      <c r="I144" s="6">
        <v>63.1</v>
      </c>
      <c r="J144" s="5">
        <f t="shared" si="5"/>
        <v>10535.099999999999</v>
      </c>
      <c r="K144" s="5">
        <v>1.06</v>
      </c>
      <c r="L144" s="5"/>
    </row>
    <row r="145" spans="3:12" hidden="1">
      <c r="C145" s="6">
        <f t="shared" si="4"/>
        <v>141</v>
      </c>
      <c r="D145" s="5" t="s">
        <v>322</v>
      </c>
      <c r="E145" s="5" t="s">
        <v>323</v>
      </c>
      <c r="F145" s="5" t="s">
        <v>193</v>
      </c>
      <c r="G145" s="5">
        <v>0.36</v>
      </c>
      <c r="H145" s="5">
        <v>63</v>
      </c>
      <c r="I145" s="6">
        <v>3</v>
      </c>
      <c r="J145" s="5">
        <f t="shared" si="5"/>
        <v>10538.099999999999</v>
      </c>
      <c r="K145" s="5">
        <v>1.06</v>
      </c>
      <c r="L145" s="5"/>
    </row>
    <row r="146" spans="3:12" hidden="1">
      <c r="C146" s="6">
        <f t="shared" si="4"/>
        <v>142</v>
      </c>
      <c r="D146" s="5" t="s">
        <v>322</v>
      </c>
      <c r="E146" s="5" t="s">
        <v>323</v>
      </c>
      <c r="F146" s="8"/>
      <c r="G146" s="5"/>
      <c r="H146" s="5">
        <v>63</v>
      </c>
      <c r="I146" s="6">
        <v>64.599999999999994</v>
      </c>
      <c r="J146" s="5">
        <f t="shared" si="5"/>
        <v>10602.699999999999</v>
      </c>
      <c r="K146" s="5">
        <v>1.06</v>
      </c>
      <c r="L146" s="5"/>
    </row>
    <row r="147" spans="3:12" hidden="1">
      <c r="C147" s="6">
        <f t="shared" si="4"/>
        <v>143</v>
      </c>
      <c r="D147" s="5" t="s">
        <v>324</v>
      </c>
      <c r="E147" s="5" t="s">
        <v>325</v>
      </c>
      <c r="F147" s="5" t="s">
        <v>199</v>
      </c>
      <c r="G147" s="5">
        <v>0.36</v>
      </c>
      <c r="H147" s="5">
        <v>63</v>
      </c>
      <c r="I147" s="6">
        <f>14.5</f>
        <v>14.5</v>
      </c>
      <c r="J147" s="5">
        <f t="shared" si="5"/>
        <v>10617.199999999999</v>
      </c>
      <c r="K147" s="5">
        <v>1.06</v>
      </c>
      <c r="L147" s="5"/>
    </row>
    <row r="148" spans="3:12">
      <c r="C148" s="6">
        <f t="shared" si="4"/>
        <v>144</v>
      </c>
      <c r="D148" s="5" t="s">
        <v>324</v>
      </c>
      <c r="E148" s="5" t="s">
        <v>325</v>
      </c>
      <c r="F148" s="5" t="s">
        <v>301</v>
      </c>
      <c r="G148" s="5">
        <v>0.36</v>
      </c>
      <c r="H148" s="5">
        <v>63</v>
      </c>
      <c r="I148" s="6">
        <v>7.6</v>
      </c>
      <c r="J148" s="5">
        <f t="shared" si="5"/>
        <v>10624.8</v>
      </c>
      <c r="K148" s="5">
        <v>1.06</v>
      </c>
      <c r="L148" s="5"/>
    </row>
    <row r="149" spans="3:12" hidden="1">
      <c r="C149" s="6">
        <f t="shared" si="4"/>
        <v>145</v>
      </c>
      <c r="D149" s="5" t="s">
        <v>324</v>
      </c>
      <c r="E149" s="5" t="s">
        <v>325</v>
      </c>
      <c r="F149" s="8"/>
      <c r="G149" s="5"/>
      <c r="H149" s="5">
        <v>63</v>
      </c>
      <c r="I149" s="6">
        <v>6.7</v>
      </c>
      <c r="J149" s="5">
        <f t="shared" si="5"/>
        <v>10631.5</v>
      </c>
      <c r="K149" s="5">
        <v>1.06</v>
      </c>
      <c r="L149" s="5"/>
    </row>
    <row r="150" spans="3:12" hidden="1">
      <c r="C150" s="6">
        <f t="shared" si="4"/>
        <v>146</v>
      </c>
      <c r="D150" s="5" t="s">
        <v>326</v>
      </c>
      <c r="E150" s="5" t="s">
        <v>327</v>
      </c>
      <c r="F150" s="5" t="s">
        <v>199</v>
      </c>
      <c r="G150" s="5">
        <v>0.36</v>
      </c>
      <c r="H150" s="5">
        <v>63</v>
      </c>
      <c r="I150" s="6">
        <v>3.6</v>
      </c>
      <c r="J150" s="5">
        <f t="shared" si="5"/>
        <v>10635.1</v>
      </c>
      <c r="K150" s="5">
        <v>1.06</v>
      </c>
      <c r="L150" s="5"/>
    </row>
    <row r="151" spans="3:12" hidden="1">
      <c r="C151" s="6">
        <f t="shared" si="4"/>
        <v>147</v>
      </c>
      <c r="D151" s="5" t="s">
        <v>326</v>
      </c>
      <c r="E151" s="5" t="s">
        <v>327</v>
      </c>
      <c r="F151" s="8"/>
      <c r="G151" s="5"/>
      <c r="H151" s="5">
        <v>63</v>
      </c>
      <c r="I151" s="6">
        <v>50</v>
      </c>
      <c r="J151" s="5">
        <f t="shared" si="5"/>
        <v>10685.1</v>
      </c>
      <c r="K151" s="5">
        <v>1.06</v>
      </c>
      <c r="L151" s="5"/>
    </row>
    <row r="152" spans="3:12">
      <c r="C152" s="6">
        <f t="shared" si="4"/>
        <v>148</v>
      </c>
      <c r="D152" s="5" t="s">
        <v>327</v>
      </c>
      <c r="E152" s="5" t="s">
        <v>328</v>
      </c>
      <c r="F152" s="5" t="s">
        <v>301</v>
      </c>
      <c r="G152" s="5">
        <v>0.36</v>
      </c>
      <c r="H152" s="5">
        <v>63</v>
      </c>
      <c r="I152" s="6">
        <v>4.5</v>
      </c>
      <c r="J152" s="5">
        <f t="shared" si="5"/>
        <v>10689.6</v>
      </c>
      <c r="K152" s="5">
        <v>1.06</v>
      </c>
      <c r="L152" s="5"/>
    </row>
    <row r="153" spans="3:12" hidden="1">
      <c r="C153" s="6">
        <f t="shared" si="4"/>
        <v>149</v>
      </c>
      <c r="D153" s="5" t="s">
        <v>327</v>
      </c>
      <c r="E153" s="5" t="s">
        <v>328</v>
      </c>
      <c r="F153" s="8"/>
      <c r="G153" s="5"/>
      <c r="H153" s="5">
        <v>63</v>
      </c>
      <c r="I153" s="6">
        <v>19.3</v>
      </c>
      <c r="J153" s="5">
        <f t="shared" si="5"/>
        <v>10708.9</v>
      </c>
      <c r="K153" s="5">
        <v>1.06</v>
      </c>
      <c r="L153" s="5"/>
    </row>
    <row r="154" spans="3:12" hidden="1">
      <c r="C154" s="6">
        <f t="shared" si="4"/>
        <v>150</v>
      </c>
      <c r="D154" s="5" t="s">
        <v>329</v>
      </c>
      <c r="E154" s="5" t="s">
        <v>330</v>
      </c>
      <c r="F154" s="8"/>
      <c r="G154" s="5"/>
      <c r="H154" s="5">
        <v>63</v>
      </c>
      <c r="I154" s="6">
        <v>16.100000000000001</v>
      </c>
      <c r="J154" s="5">
        <f t="shared" si="5"/>
        <v>10725</v>
      </c>
      <c r="K154" s="5">
        <v>1.06</v>
      </c>
      <c r="L154" s="5"/>
    </row>
    <row r="155" spans="3:12" hidden="1">
      <c r="C155" s="6">
        <f t="shared" si="4"/>
        <v>151</v>
      </c>
      <c r="D155" s="5" t="s">
        <v>329</v>
      </c>
      <c r="E155" s="5" t="s">
        <v>330</v>
      </c>
      <c r="F155" s="8"/>
      <c r="G155" s="5"/>
      <c r="H155" s="5">
        <v>63</v>
      </c>
      <c r="I155" s="6">
        <v>3.7</v>
      </c>
      <c r="J155" s="5">
        <f t="shared" si="5"/>
        <v>10728.7</v>
      </c>
      <c r="K155" s="5">
        <v>1.06</v>
      </c>
      <c r="L155" s="5"/>
    </row>
    <row r="156" spans="3:12" hidden="1">
      <c r="C156" s="6">
        <f t="shared" si="4"/>
        <v>152</v>
      </c>
      <c r="D156" s="5" t="s">
        <v>328</v>
      </c>
      <c r="E156" s="5" t="s">
        <v>331</v>
      </c>
      <c r="F156" s="8"/>
      <c r="G156" s="5"/>
      <c r="H156" s="5">
        <v>63</v>
      </c>
      <c r="I156" s="6">
        <v>47.8</v>
      </c>
      <c r="J156" s="5">
        <f t="shared" si="5"/>
        <v>10776.5</v>
      </c>
      <c r="K156" s="5">
        <v>1.06</v>
      </c>
      <c r="L156" s="5"/>
    </row>
    <row r="157" spans="3:12">
      <c r="C157" s="6">
        <f t="shared" si="4"/>
        <v>153</v>
      </c>
      <c r="D157" s="5" t="s">
        <v>326</v>
      </c>
      <c r="E157" s="5" t="s">
        <v>332</v>
      </c>
      <c r="F157" s="5" t="s">
        <v>301</v>
      </c>
      <c r="G157" s="5">
        <v>0.36</v>
      </c>
      <c r="H157" s="5">
        <v>63</v>
      </c>
      <c r="I157" s="6">
        <v>3</v>
      </c>
      <c r="J157" s="5">
        <f t="shared" si="5"/>
        <v>10779.5</v>
      </c>
      <c r="K157" s="5">
        <v>1.06</v>
      </c>
      <c r="L157" s="5"/>
    </row>
    <row r="158" spans="3:12" hidden="1">
      <c r="C158" s="6">
        <f t="shared" si="4"/>
        <v>154</v>
      </c>
      <c r="D158" s="5" t="s">
        <v>326</v>
      </c>
      <c r="E158" s="5" t="s">
        <v>332</v>
      </c>
      <c r="F158" s="8"/>
      <c r="G158" s="5"/>
      <c r="H158" s="5">
        <v>63</v>
      </c>
      <c r="I158" s="6">
        <v>20.100000000000001</v>
      </c>
      <c r="J158" s="5">
        <f t="shared" si="5"/>
        <v>10799.6</v>
      </c>
      <c r="K158" s="5">
        <v>1.06</v>
      </c>
      <c r="L158" s="5"/>
    </row>
    <row r="159" spans="3:12" hidden="1">
      <c r="C159" s="6">
        <f t="shared" si="4"/>
        <v>155</v>
      </c>
      <c r="D159" s="5" t="s">
        <v>310</v>
      </c>
      <c r="E159" s="5" t="s">
        <v>333</v>
      </c>
      <c r="F159" s="5"/>
      <c r="G159" s="5"/>
      <c r="H159" s="5">
        <v>63</v>
      </c>
      <c r="I159" s="6">
        <v>203</v>
      </c>
      <c r="J159" s="5">
        <f t="shared" si="5"/>
        <v>11002.6</v>
      </c>
      <c r="K159" s="5">
        <v>1.06</v>
      </c>
      <c r="L159" s="5"/>
    </row>
    <row r="160" spans="3:12" hidden="1">
      <c r="C160" s="6">
        <f t="shared" si="4"/>
        <v>156</v>
      </c>
      <c r="D160" s="5" t="s">
        <v>333</v>
      </c>
      <c r="E160" s="5" t="s">
        <v>334</v>
      </c>
      <c r="F160" s="5"/>
      <c r="G160" s="5"/>
      <c r="H160" s="5">
        <v>63</v>
      </c>
      <c r="I160" s="6">
        <v>248.5</v>
      </c>
      <c r="J160" s="5">
        <f t="shared" si="5"/>
        <v>11251.1</v>
      </c>
      <c r="K160" s="5">
        <v>1.06</v>
      </c>
      <c r="L160" s="5"/>
    </row>
    <row r="161" spans="3:12" hidden="1">
      <c r="C161" s="6">
        <f t="shared" si="4"/>
        <v>157</v>
      </c>
      <c r="D161" s="5" t="s">
        <v>335</v>
      </c>
      <c r="E161" s="5" t="s">
        <v>336</v>
      </c>
      <c r="F161" s="5"/>
      <c r="G161" s="5"/>
      <c r="H161" s="5">
        <v>63</v>
      </c>
      <c r="I161" s="6">
        <v>158.4</v>
      </c>
      <c r="J161" s="5">
        <f t="shared" si="5"/>
        <v>11409.5</v>
      </c>
      <c r="K161" s="5">
        <v>1.06</v>
      </c>
      <c r="L161" s="5"/>
    </row>
    <row r="162" spans="3:12" hidden="1">
      <c r="C162" s="6">
        <f t="shared" si="4"/>
        <v>158</v>
      </c>
      <c r="D162" s="5" t="s">
        <v>335</v>
      </c>
      <c r="E162" s="5" t="s">
        <v>336</v>
      </c>
      <c r="F162" s="5" t="s">
        <v>199</v>
      </c>
      <c r="G162" s="5">
        <v>0.36</v>
      </c>
      <c r="H162" s="5">
        <v>63</v>
      </c>
      <c r="I162" s="6">
        <v>4.2</v>
      </c>
      <c r="J162" s="5">
        <f t="shared" si="5"/>
        <v>11413.7</v>
      </c>
      <c r="K162" s="5">
        <v>1.06</v>
      </c>
      <c r="L162" s="5"/>
    </row>
    <row r="163" spans="3:12" hidden="1">
      <c r="C163" s="6">
        <f t="shared" si="4"/>
        <v>159</v>
      </c>
      <c r="D163" s="5" t="s">
        <v>336</v>
      </c>
      <c r="E163" s="5" t="s">
        <v>337</v>
      </c>
      <c r="F163" s="5"/>
      <c r="G163" s="5"/>
      <c r="H163" s="5">
        <v>63</v>
      </c>
      <c r="I163" s="6">
        <v>298.89999999999998</v>
      </c>
      <c r="J163" s="5">
        <f t="shared" si="5"/>
        <v>11712.6</v>
      </c>
      <c r="K163" s="5">
        <v>1.06</v>
      </c>
      <c r="L163" s="5"/>
    </row>
    <row r="164" spans="3:12" hidden="1">
      <c r="C164" s="6">
        <f t="shared" si="4"/>
        <v>160</v>
      </c>
      <c r="D164" s="5" t="s">
        <v>336</v>
      </c>
      <c r="E164" s="5" t="s">
        <v>338</v>
      </c>
      <c r="F164" s="5"/>
      <c r="G164" s="5"/>
      <c r="H164" s="5">
        <v>63</v>
      </c>
      <c r="I164" s="6">
        <v>371.1</v>
      </c>
      <c r="J164" s="5">
        <f t="shared" si="5"/>
        <v>12083.7</v>
      </c>
      <c r="K164" s="5">
        <v>1.06</v>
      </c>
      <c r="L164" s="5"/>
    </row>
    <row r="165" spans="3:12" hidden="1">
      <c r="C165" s="6">
        <f t="shared" si="4"/>
        <v>161</v>
      </c>
      <c r="D165" s="5" t="s">
        <v>335</v>
      </c>
      <c r="E165" s="5" t="s">
        <v>339</v>
      </c>
      <c r="F165" s="5" t="s">
        <v>199</v>
      </c>
      <c r="G165" s="5">
        <v>0.36</v>
      </c>
      <c r="H165" s="5">
        <v>63</v>
      </c>
      <c r="I165" s="6">
        <v>3</v>
      </c>
      <c r="J165" s="5">
        <f t="shared" si="5"/>
        <v>12086.7</v>
      </c>
      <c r="K165" s="5">
        <v>1.06</v>
      </c>
      <c r="L165" s="5"/>
    </row>
    <row r="166" spans="3:12" hidden="1">
      <c r="C166" s="6">
        <f t="shared" si="4"/>
        <v>162</v>
      </c>
      <c r="D166" s="5" t="s">
        <v>335</v>
      </c>
      <c r="E166" s="5" t="s">
        <v>339</v>
      </c>
      <c r="F166" s="5"/>
      <c r="G166" s="5"/>
      <c r="H166" s="5">
        <v>63</v>
      </c>
      <c r="I166" s="6">
        <v>152.5</v>
      </c>
      <c r="J166" s="5">
        <f t="shared" si="5"/>
        <v>12239.2</v>
      </c>
      <c r="K166" s="5">
        <v>1.06</v>
      </c>
      <c r="L166" s="5"/>
    </row>
    <row r="167" spans="3:12" hidden="1">
      <c r="C167" s="6">
        <f t="shared" si="4"/>
        <v>163</v>
      </c>
      <c r="D167" s="5" t="s">
        <v>339</v>
      </c>
      <c r="E167" s="5" t="s">
        <v>340</v>
      </c>
      <c r="F167" s="5"/>
      <c r="G167" s="5"/>
      <c r="H167" s="5">
        <v>63</v>
      </c>
      <c r="I167" s="6">
        <v>98.9</v>
      </c>
      <c r="J167" s="5">
        <f t="shared" si="5"/>
        <v>12338.1</v>
      </c>
      <c r="K167" s="5">
        <v>1.06</v>
      </c>
      <c r="L167" s="5"/>
    </row>
    <row r="168" spans="3:12" hidden="1">
      <c r="C168" s="6">
        <f t="shared" si="4"/>
        <v>164</v>
      </c>
      <c r="D168" s="5" t="s">
        <v>339</v>
      </c>
      <c r="E168" s="5" t="s">
        <v>341</v>
      </c>
      <c r="F168" s="5"/>
      <c r="G168" s="5"/>
      <c r="H168" s="5">
        <v>63</v>
      </c>
      <c r="I168" s="6">
        <v>42.9</v>
      </c>
      <c r="J168" s="5">
        <f t="shared" si="5"/>
        <v>12381</v>
      </c>
      <c r="K168" s="5">
        <v>1.06</v>
      </c>
      <c r="L168" s="5"/>
    </row>
    <row r="169" spans="3:12" hidden="1">
      <c r="C169" s="6">
        <f t="shared" si="4"/>
        <v>165</v>
      </c>
      <c r="D169" s="5" t="s">
        <v>341</v>
      </c>
      <c r="E169" s="5" t="s">
        <v>342</v>
      </c>
      <c r="F169" s="5"/>
      <c r="G169" s="5"/>
      <c r="H169" s="5">
        <v>63</v>
      </c>
      <c r="I169" s="6">
        <v>33</v>
      </c>
      <c r="J169" s="5">
        <f t="shared" si="5"/>
        <v>12414</v>
      </c>
      <c r="K169" s="5">
        <v>1.06</v>
      </c>
      <c r="L169" s="5"/>
    </row>
    <row r="170" spans="3:12" hidden="1">
      <c r="C170" s="6">
        <f t="shared" si="4"/>
        <v>166</v>
      </c>
      <c r="D170" s="5" t="s">
        <v>341</v>
      </c>
      <c r="E170" s="5" t="s">
        <v>343</v>
      </c>
      <c r="F170" s="5"/>
      <c r="G170" s="5"/>
      <c r="H170" s="5">
        <v>63</v>
      </c>
      <c r="I170" s="6">
        <v>41.3</v>
      </c>
      <c r="J170" s="5">
        <f t="shared" si="5"/>
        <v>12455.3</v>
      </c>
      <c r="K170" s="5">
        <v>1.06</v>
      </c>
      <c r="L170" s="5"/>
    </row>
    <row r="171" spans="3:12" hidden="1">
      <c r="C171" s="6">
        <f t="shared" si="4"/>
        <v>167</v>
      </c>
      <c r="D171" s="5" t="s">
        <v>343</v>
      </c>
      <c r="E171" s="5" t="s">
        <v>309</v>
      </c>
      <c r="F171" s="5" t="s">
        <v>199</v>
      </c>
      <c r="G171" s="5">
        <v>0.36</v>
      </c>
      <c r="H171" s="5">
        <v>63</v>
      </c>
      <c r="I171" s="6">
        <v>55.3</v>
      </c>
      <c r="J171" s="5">
        <f t="shared" si="5"/>
        <v>12510.599999999999</v>
      </c>
      <c r="K171" s="5">
        <v>1.06</v>
      </c>
      <c r="L171" s="5"/>
    </row>
    <row r="172" spans="3:12" hidden="1">
      <c r="C172" s="6">
        <f t="shared" si="4"/>
        <v>168</v>
      </c>
      <c r="D172" s="5" t="s">
        <v>343</v>
      </c>
      <c r="E172" s="5" t="s">
        <v>309</v>
      </c>
      <c r="F172" s="5" t="s">
        <v>199</v>
      </c>
      <c r="G172" s="5">
        <v>0.36</v>
      </c>
      <c r="H172" s="5">
        <v>63</v>
      </c>
      <c r="I172" s="6">
        <v>75.599999999999994</v>
      </c>
      <c r="J172" s="5">
        <f t="shared" si="5"/>
        <v>12586.199999999999</v>
      </c>
      <c r="K172" s="5">
        <v>1.06</v>
      </c>
      <c r="L172" s="5"/>
    </row>
    <row r="173" spans="3:12" hidden="1">
      <c r="C173" s="6">
        <f t="shared" si="4"/>
        <v>169</v>
      </c>
      <c r="D173" s="5" t="s">
        <v>343</v>
      </c>
      <c r="E173" s="5" t="s">
        <v>309</v>
      </c>
      <c r="F173" s="5"/>
      <c r="G173" s="5"/>
      <c r="H173" s="5">
        <v>63</v>
      </c>
      <c r="I173" s="6">
        <v>29</v>
      </c>
      <c r="J173" s="5">
        <f t="shared" si="5"/>
        <v>12615.199999999999</v>
      </c>
      <c r="K173" s="5">
        <v>1.06</v>
      </c>
      <c r="L173" s="5"/>
    </row>
    <row r="174" spans="3:12" hidden="1">
      <c r="C174" s="6">
        <f t="shared" si="4"/>
        <v>170</v>
      </c>
      <c r="D174" s="5" t="s">
        <v>343</v>
      </c>
      <c r="E174" s="5" t="s">
        <v>309</v>
      </c>
      <c r="F174" s="5" t="s">
        <v>199</v>
      </c>
      <c r="G174" s="5">
        <v>0.36</v>
      </c>
      <c r="H174" s="5">
        <v>63</v>
      </c>
      <c r="I174" s="6">
        <v>3</v>
      </c>
      <c r="J174" s="5">
        <f t="shared" si="5"/>
        <v>12618.199999999999</v>
      </c>
      <c r="K174" s="5">
        <v>1.06</v>
      </c>
      <c r="L174" s="5"/>
    </row>
    <row r="175" spans="3:12" hidden="1">
      <c r="C175" s="6">
        <f t="shared" si="4"/>
        <v>171</v>
      </c>
      <c r="D175" s="5" t="s">
        <v>343</v>
      </c>
      <c r="E175" s="5" t="s">
        <v>344</v>
      </c>
      <c r="F175" s="5" t="s">
        <v>193</v>
      </c>
      <c r="G175" s="5">
        <v>0.36</v>
      </c>
      <c r="H175" s="5">
        <v>63</v>
      </c>
      <c r="I175" s="6">
        <v>74.3</v>
      </c>
      <c r="J175" s="5">
        <f t="shared" si="5"/>
        <v>12692.499999999998</v>
      </c>
      <c r="K175" s="5">
        <v>1.06</v>
      </c>
      <c r="L175" s="5"/>
    </row>
    <row r="176" spans="3:12" hidden="1">
      <c r="C176" s="6">
        <f t="shared" si="4"/>
        <v>172</v>
      </c>
      <c r="D176" s="5" t="s">
        <v>344</v>
      </c>
      <c r="E176" s="5" t="s">
        <v>345</v>
      </c>
      <c r="F176" s="5" t="s">
        <v>199</v>
      </c>
      <c r="G176" s="5">
        <v>0.36</v>
      </c>
      <c r="H176" s="5">
        <v>63</v>
      </c>
      <c r="I176" s="6">
        <v>49.1</v>
      </c>
      <c r="J176" s="5">
        <f t="shared" si="5"/>
        <v>12741.599999999999</v>
      </c>
      <c r="K176" s="5">
        <v>1.06</v>
      </c>
      <c r="L176" s="5"/>
    </row>
    <row r="177" spans="3:12" hidden="1">
      <c r="C177" s="6">
        <f t="shared" si="4"/>
        <v>173</v>
      </c>
      <c r="D177" s="5" t="s">
        <v>344</v>
      </c>
      <c r="E177" s="5" t="s">
        <v>345</v>
      </c>
      <c r="F177" s="5"/>
      <c r="G177" s="5"/>
      <c r="H177" s="5">
        <v>63</v>
      </c>
      <c r="I177" s="6">
        <v>36.700000000000003</v>
      </c>
      <c r="J177" s="5">
        <f t="shared" si="5"/>
        <v>12778.3</v>
      </c>
      <c r="K177" s="5">
        <v>1.06</v>
      </c>
      <c r="L177" s="5"/>
    </row>
    <row r="178" spans="3:12" hidden="1">
      <c r="C178" s="6">
        <f t="shared" si="4"/>
        <v>174</v>
      </c>
      <c r="D178" s="5" t="s">
        <v>344</v>
      </c>
      <c r="E178" s="5" t="s">
        <v>346</v>
      </c>
      <c r="F178" s="5" t="s">
        <v>199</v>
      </c>
      <c r="G178" s="5">
        <v>0.36</v>
      </c>
      <c r="H178" s="5">
        <v>63</v>
      </c>
      <c r="I178" s="6">
        <v>4.2</v>
      </c>
      <c r="J178" s="5">
        <f t="shared" si="5"/>
        <v>12782.5</v>
      </c>
      <c r="K178" s="5">
        <v>1.06</v>
      </c>
      <c r="L178" s="5"/>
    </row>
    <row r="179" spans="3:12" hidden="1">
      <c r="C179" s="6">
        <f t="shared" si="4"/>
        <v>175</v>
      </c>
      <c r="D179" s="5" t="s">
        <v>344</v>
      </c>
      <c r="E179" s="5" t="s">
        <v>346</v>
      </c>
      <c r="F179" s="5" t="s">
        <v>193</v>
      </c>
      <c r="G179" s="5">
        <v>0.36</v>
      </c>
      <c r="H179" s="5">
        <v>63</v>
      </c>
      <c r="I179" s="6">
        <v>63</v>
      </c>
      <c r="J179" s="5">
        <f t="shared" si="5"/>
        <v>12845.5</v>
      </c>
      <c r="K179" s="5">
        <v>1.06</v>
      </c>
      <c r="L179" s="5"/>
    </row>
    <row r="180" spans="3:12" hidden="1">
      <c r="C180" s="6">
        <f t="shared" si="4"/>
        <v>176</v>
      </c>
      <c r="D180" s="5" t="s">
        <v>344</v>
      </c>
      <c r="E180" s="5" t="s">
        <v>346</v>
      </c>
      <c r="F180" s="5"/>
      <c r="G180" s="5"/>
      <c r="H180" s="5">
        <v>63</v>
      </c>
      <c r="I180" s="6">
        <v>49.8</v>
      </c>
      <c r="J180" s="5">
        <f t="shared" si="5"/>
        <v>12895.3</v>
      </c>
      <c r="K180" s="5">
        <v>1.06</v>
      </c>
      <c r="L180" s="5"/>
    </row>
    <row r="181" spans="3:12" hidden="1">
      <c r="C181" s="6">
        <f t="shared" si="4"/>
        <v>177</v>
      </c>
      <c r="D181" s="5" t="s">
        <v>346</v>
      </c>
      <c r="E181" s="5" t="s">
        <v>323</v>
      </c>
      <c r="F181" s="5"/>
      <c r="G181" s="5"/>
      <c r="H181" s="5">
        <v>63</v>
      </c>
      <c r="I181" s="6">
        <v>98.7</v>
      </c>
      <c r="J181" s="5">
        <f t="shared" si="5"/>
        <v>12994</v>
      </c>
      <c r="K181" s="5">
        <v>1.06</v>
      </c>
      <c r="L181" s="5"/>
    </row>
    <row r="182" spans="3:12" hidden="1">
      <c r="C182" s="6">
        <f t="shared" si="4"/>
        <v>178</v>
      </c>
      <c r="D182" s="5" t="s">
        <v>346</v>
      </c>
      <c r="E182" s="5" t="s">
        <v>347</v>
      </c>
      <c r="F182" s="5"/>
      <c r="G182" s="5"/>
      <c r="H182" s="5">
        <v>63</v>
      </c>
      <c r="I182" s="6">
        <v>58</v>
      </c>
      <c r="J182" s="5">
        <f t="shared" si="5"/>
        <v>13052</v>
      </c>
      <c r="K182" s="5">
        <v>1.06</v>
      </c>
      <c r="L182" s="5"/>
    </row>
    <row r="183" spans="3:12" hidden="1">
      <c r="C183" s="6">
        <f t="shared" si="4"/>
        <v>179</v>
      </c>
      <c r="D183" s="5" t="s">
        <v>346</v>
      </c>
      <c r="E183" s="5" t="s">
        <v>347</v>
      </c>
      <c r="F183" s="5" t="s">
        <v>193</v>
      </c>
      <c r="G183" s="5">
        <v>0.36</v>
      </c>
      <c r="H183" s="5">
        <v>63</v>
      </c>
      <c r="I183" s="6">
        <v>4</v>
      </c>
      <c r="J183" s="5">
        <f t="shared" si="5"/>
        <v>13056</v>
      </c>
      <c r="K183" s="5">
        <v>1.06</v>
      </c>
      <c r="L183" s="5"/>
    </row>
    <row r="184" spans="3:12" hidden="1">
      <c r="C184" s="6">
        <f t="shared" si="4"/>
        <v>180</v>
      </c>
      <c r="D184" s="5" t="s">
        <v>346</v>
      </c>
      <c r="E184" s="5" t="s">
        <v>347</v>
      </c>
      <c r="F184" s="5"/>
      <c r="G184" s="5"/>
      <c r="H184" s="5">
        <v>63</v>
      </c>
      <c r="I184" s="6">
        <v>43.2</v>
      </c>
      <c r="J184" s="5">
        <f t="shared" si="5"/>
        <v>13099.2</v>
      </c>
      <c r="K184" s="5">
        <v>1.06</v>
      </c>
      <c r="L184" s="5"/>
    </row>
    <row r="185" spans="3:12" hidden="1">
      <c r="C185" s="6">
        <f t="shared" si="4"/>
        <v>181</v>
      </c>
      <c r="D185" s="5" t="s">
        <v>225</v>
      </c>
      <c r="E185" s="5" t="s">
        <v>227</v>
      </c>
      <c r="F185" s="5"/>
      <c r="G185" s="5"/>
      <c r="H185" s="5">
        <v>75</v>
      </c>
      <c r="I185" s="6">
        <v>3.7</v>
      </c>
      <c r="J185" s="5">
        <f t="shared" si="5"/>
        <v>13102.900000000001</v>
      </c>
      <c r="K185" s="5">
        <v>1.07</v>
      </c>
      <c r="L185" s="5"/>
    </row>
    <row r="186" spans="3:12" hidden="1">
      <c r="C186" s="6">
        <f t="shared" si="4"/>
        <v>182</v>
      </c>
      <c r="D186" s="5" t="s">
        <v>227</v>
      </c>
      <c r="E186" s="5" t="s">
        <v>188</v>
      </c>
      <c r="F186" s="5"/>
      <c r="G186" s="5"/>
      <c r="H186" s="5">
        <v>75</v>
      </c>
      <c r="I186" s="6">
        <v>81.8</v>
      </c>
      <c r="J186" s="5">
        <f t="shared" si="5"/>
        <v>13184.7</v>
      </c>
      <c r="K186" s="5">
        <v>1.07</v>
      </c>
      <c r="L186" s="5"/>
    </row>
    <row r="187" spans="3:12" hidden="1">
      <c r="C187" s="6">
        <f t="shared" si="4"/>
        <v>183</v>
      </c>
      <c r="D187" s="5" t="s">
        <v>227</v>
      </c>
      <c r="E187" s="5" t="s">
        <v>188</v>
      </c>
      <c r="F187" s="5" t="s">
        <v>193</v>
      </c>
      <c r="G187" s="5">
        <v>0.38</v>
      </c>
      <c r="H187" s="5">
        <v>75</v>
      </c>
      <c r="I187" s="6">
        <v>6.1</v>
      </c>
      <c r="J187" s="5">
        <f t="shared" si="5"/>
        <v>13190.800000000001</v>
      </c>
      <c r="K187" s="5">
        <v>1.07</v>
      </c>
      <c r="L187" s="5"/>
    </row>
    <row r="188" spans="3:12" hidden="1">
      <c r="C188" s="6">
        <f t="shared" si="4"/>
        <v>184</v>
      </c>
      <c r="D188" s="5" t="s">
        <v>188</v>
      </c>
      <c r="E188" s="5" t="s">
        <v>242</v>
      </c>
      <c r="F188" s="5"/>
      <c r="G188" s="5"/>
      <c r="H188" s="5">
        <v>75</v>
      </c>
      <c r="I188" s="6">
        <v>78.5</v>
      </c>
      <c r="J188" s="5">
        <f t="shared" si="5"/>
        <v>13269.300000000001</v>
      </c>
      <c r="K188" s="5">
        <v>1.07</v>
      </c>
      <c r="L188" s="5"/>
    </row>
    <row r="189" spans="3:12" hidden="1">
      <c r="C189" s="6">
        <f t="shared" si="4"/>
        <v>185</v>
      </c>
      <c r="D189" s="5" t="s">
        <v>242</v>
      </c>
      <c r="E189" s="5" t="s">
        <v>229</v>
      </c>
      <c r="F189" s="5"/>
      <c r="G189" s="5"/>
      <c r="H189" s="5">
        <v>75</v>
      </c>
      <c r="I189" s="6">
        <v>11.4</v>
      </c>
      <c r="J189" s="5">
        <f t="shared" si="5"/>
        <v>13280.7</v>
      </c>
      <c r="K189" s="5">
        <v>1.07</v>
      </c>
      <c r="L189" s="5"/>
    </row>
    <row r="190" spans="3:12" hidden="1">
      <c r="C190" s="6">
        <f t="shared" si="4"/>
        <v>186</v>
      </c>
      <c r="D190" s="5" t="s">
        <v>229</v>
      </c>
      <c r="E190" s="5" t="s">
        <v>234</v>
      </c>
      <c r="F190" s="5"/>
      <c r="G190" s="5"/>
      <c r="H190" s="5">
        <v>75</v>
      </c>
      <c r="I190" s="6">
        <v>94.6</v>
      </c>
      <c r="J190" s="5">
        <f t="shared" si="5"/>
        <v>13375.300000000001</v>
      </c>
      <c r="K190" s="5">
        <v>1.07</v>
      </c>
      <c r="L190" s="5"/>
    </row>
    <row r="191" spans="3:12" hidden="1">
      <c r="C191" s="6">
        <f t="shared" si="4"/>
        <v>187</v>
      </c>
      <c r="D191" s="5" t="s">
        <v>234</v>
      </c>
      <c r="E191" s="5" t="s">
        <v>236</v>
      </c>
      <c r="F191" s="5" t="s">
        <v>199</v>
      </c>
      <c r="G191" s="5">
        <v>0.38</v>
      </c>
      <c r="H191" s="5">
        <v>75</v>
      </c>
      <c r="I191" s="6">
        <v>3.8</v>
      </c>
      <c r="J191" s="5">
        <f t="shared" si="5"/>
        <v>13379.1</v>
      </c>
      <c r="K191" s="5">
        <v>1.07</v>
      </c>
      <c r="L191" s="5"/>
    </row>
    <row r="192" spans="3:12" hidden="1">
      <c r="C192" s="6">
        <f t="shared" si="4"/>
        <v>188</v>
      </c>
      <c r="D192" s="5" t="s">
        <v>234</v>
      </c>
      <c r="E192" s="5" t="s">
        <v>236</v>
      </c>
      <c r="F192" s="5"/>
      <c r="G192" s="5"/>
      <c r="H192" s="5">
        <v>75</v>
      </c>
      <c r="I192" s="6">
        <v>24.1</v>
      </c>
      <c r="J192" s="5">
        <f t="shared" si="5"/>
        <v>13403.2</v>
      </c>
      <c r="K192" s="5">
        <v>1.07</v>
      </c>
      <c r="L192" s="5"/>
    </row>
    <row r="193" spans="3:12" hidden="1">
      <c r="C193" s="6">
        <f t="shared" si="4"/>
        <v>189</v>
      </c>
      <c r="D193" s="5" t="s">
        <v>348</v>
      </c>
      <c r="E193" s="5" t="s">
        <v>239</v>
      </c>
      <c r="F193" s="5"/>
      <c r="G193" s="5"/>
      <c r="H193" s="5">
        <v>75</v>
      </c>
      <c r="I193" s="6">
        <v>55.1</v>
      </c>
      <c r="J193" s="5">
        <f t="shared" si="5"/>
        <v>13458.300000000001</v>
      </c>
      <c r="K193" s="5">
        <v>1.07</v>
      </c>
      <c r="L193" s="5"/>
    </row>
    <row r="194" spans="3:12" hidden="1">
      <c r="C194" s="6">
        <f t="shared" si="4"/>
        <v>190</v>
      </c>
      <c r="D194" s="5" t="s">
        <v>349</v>
      </c>
      <c r="E194" s="5" t="s">
        <v>350</v>
      </c>
      <c r="F194" s="5"/>
      <c r="G194" s="5"/>
      <c r="H194" s="5">
        <v>75</v>
      </c>
      <c r="I194" s="6">
        <v>14</v>
      </c>
      <c r="J194" s="5">
        <f t="shared" si="5"/>
        <v>13472.300000000001</v>
      </c>
      <c r="K194" s="5">
        <v>1.07</v>
      </c>
      <c r="L194" s="5"/>
    </row>
    <row r="195" spans="3:12" hidden="1">
      <c r="C195" s="6">
        <f t="shared" si="4"/>
        <v>191</v>
      </c>
      <c r="D195" s="5" t="s">
        <v>350</v>
      </c>
      <c r="E195" s="5" t="s">
        <v>251</v>
      </c>
      <c r="F195" s="5"/>
      <c r="G195" s="5"/>
      <c r="H195" s="5">
        <v>75</v>
      </c>
      <c r="I195" s="6">
        <v>81.400000000000006</v>
      </c>
      <c r="J195" s="5">
        <f t="shared" si="5"/>
        <v>13553.7</v>
      </c>
      <c r="K195" s="5">
        <v>1.07</v>
      </c>
      <c r="L195" s="5"/>
    </row>
    <row r="196" spans="3:12" hidden="1">
      <c r="C196" s="6">
        <f t="shared" si="4"/>
        <v>192</v>
      </c>
      <c r="D196" s="5" t="s">
        <v>261</v>
      </c>
      <c r="E196" s="5" t="s">
        <v>319</v>
      </c>
      <c r="F196" s="5"/>
      <c r="G196" s="5"/>
      <c r="H196" s="5">
        <v>75</v>
      </c>
      <c r="I196" s="6">
        <v>86.8</v>
      </c>
      <c r="J196" s="5">
        <f t="shared" si="5"/>
        <v>13640.5</v>
      </c>
      <c r="K196" s="5">
        <v>1.07</v>
      </c>
      <c r="L196" s="5"/>
    </row>
    <row r="197" spans="3:12" hidden="1">
      <c r="C197" s="6">
        <f t="shared" si="4"/>
        <v>193</v>
      </c>
      <c r="D197" s="5" t="s">
        <v>266</v>
      </c>
      <c r="E197" s="5" t="s">
        <v>267</v>
      </c>
      <c r="F197" s="5"/>
      <c r="G197" s="5"/>
      <c r="H197" s="5">
        <v>75</v>
      </c>
      <c r="I197" s="6">
        <v>43.3</v>
      </c>
      <c r="J197" s="5">
        <f t="shared" si="5"/>
        <v>13683.8</v>
      </c>
      <c r="K197" s="5">
        <v>1.07</v>
      </c>
      <c r="L197" s="5"/>
    </row>
    <row r="198" spans="3:12" hidden="1">
      <c r="C198" s="6">
        <f t="shared" si="4"/>
        <v>194</v>
      </c>
      <c r="D198" s="5" t="s">
        <v>272</v>
      </c>
      <c r="E198" s="5" t="s">
        <v>351</v>
      </c>
      <c r="F198" s="5"/>
      <c r="G198" s="5"/>
      <c r="H198" s="5">
        <v>75</v>
      </c>
      <c r="I198" s="6">
        <v>69.099999999999994</v>
      </c>
      <c r="J198" s="5">
        <f t="shared" si="5"/>
        <v>13752.9</v>
      </c>
      <c r="K198" s="5">
        <v>1.07</v>
      </c>
      <c r="L198" s="5"/>
    </row>
    <row r="199" spans="3:12" hidden="1">
      <c r="C199" s="6">
        <f t="shared" ref="C199:C249" si="6">1+C198</f>
        <v>195</v>
      </c>
      <c r="D199" s="5" t="s">
        <v>277</v>
      </c>
      <c r="E199" s="5" t="s">
        <v>267</v>
      </c>
      <c r="F199" s="5"/>
      <c r="G199" s="5"/>
      <c r="H199" s="5">
        <v>75</v>
      </c>
      <c r="I199" s="6">
        <v>31</v>
      </c>
      <c r="J199" s="5">
        <f t="shared" ref="J199:J249" si="7">+J198+I199</f>
        <v>13783.9</v>
      </c>
      <c r="K199" s="5">
        <v>1.07</v>
      </c>
      <c r="L199" s="5"/>
    </row>
    <row r="200" spans="3:12" hidden="1">
      <c r="C200" s="6">
        <f t="shared" si="6"/>
        <v>196</v>
      </c>
      <c r="D200" s="5" t="s">
        <v>347</v>
      </c>
      <c r="E200" s="5" t="s">
        <v>352</v>
      </c>
      <c r="F200" s="5" t="s">
        <v>199</v>
      </c>
      <c r="G200" s="5">
        <v>0.38</v>
      </c>
      <c r="H200" s="5">
        <v>75</v>
      </c>
      <c r="I200" s="6">
        <v>6.6</v>
      </c>
      <c r="J200" s="5">
        <f t="shared" si="7"/>
        <v>13790.5</v>
      </c>
      <c r="K200" s="5">
        <v>1.07</v>
      </c>
      <c r="L200" s="5"/>
    </row>
    <row r="201" spans="3:12" hidden="1">
      <c r="C201" s="6">
        <f t="shared" si="6"/>
        <v>197</v>
      </c>
      <c r="D201" s="5" t="s">
        <v>345</v>
      </c>
      <c r="E201" s="5" t="s">
        <v>309</v>
      </c>
      <c r="F201" s="5"/>
      <c r="G201" s="5"/>
      <c r="H201" s="5">
        <v>75</v>
      </c>
      <c r="I201" s="6">
        <v>104</v>
      </c>
      <c r="J201" s="5">
        <f t="shared" si="7"/>
        <v>13894.5</v>
      </c>
      <c r="K201" s="5">
        <v>1.07</v>
      </c>
      <c r="L201" s="5"/>
    </row>
    <row r="202" spans="3:12" hidden="1">
      <c r="C202" s="6">
        <f t="shared" si="6"/>
        <v>198</v>
      </c>
      <c r="D202" s="5" t="s">
        <v>309</v>
      </c>
      <c r="E202" s="5" t="s">
        <v>335</v>
      </c>
      <c r="F202" s="5"/>
      <c r="G202" s="5"/>
      <c r="H202" s="5">
        <v>75</v>
      </c>
      <c r="I202" s="6">
        <v>23.6</v>
      </c>
      <c r="J202" s="5">
        <f t="shared" si="7"/>
        <v>13918.1</v>
      </c>
      <c r="K202" s="5">
        <v>1.07</v>
      </c>
      <c r="L202" s="5"/>
    </row>
    <row r="203" spans="3:12" hidden="1">
      <c r="C203" s="6">
        <f t="shared" si="6"/>
        <v>199</v>
      </c>
      <c r="D203" s="5" t="s">
        <v>347</v>
      </c>
      <c r="E203" s="5" t="s">
        <v>352</v>
      </c>
      <c r="F203" s="5" t="s">
        <v>193</v>
      </c>
      <c r="G203" s="5">
        <v>0.38</v>
      </c>
      <c r="H203" s="5">
        <v>75</v>
      </c>
      <c r="I203" s="6">
        <v>6.1</v>
      </c>
      <c r="J203" s="5">
        <f t="shared" si="7"/>
        <v>13924.2</v>
      </c>
      <c r="K203" s="5">
        <v>1.07</v>
      </c>
      <c r="L203" s="5"/>
    </row>
    <row r="204" spans="3:12" hidden="1">
      <c r="C204" s="6">
        <f t="shared" si="6"/>
        <v>200</v>
      </c>
      <c r="D204" s="5" t="s">
        <v>347</v>
      </c>
      <c r="E204" s="5" t="s">
        <v>352</v>
      </c>
      <c r="F204" s="5"/>
      <c r="G204" s="5"/>
      <c r="H204" s="5">
        <v>75</v>
      </c>
      <c r="I204" s="6">
        <v>141.1</v>
      </c>
      <c r="J204" s="5">
        <f t="shared" si="7"/>
        <v>14065.300000000001</v>
      </c>
      <c r="K204" s="5">
        <v>1.07</v>
      </c>
      <c r="L204" s="5"/>
    </row>
    <row r="205" spans="3:12" hidden="1">
      <c r="C205" s="6">
        <f t="shared" si="6"/>
        <v>201</v>
      </c>
      <c r="D205" s="5" t="s">
        <v>353</v>
      </c>
      <c r="E205" s="5" t="s">
        <v>354</v>
      </c>
      <c r="F205" s="8"/>
      <c r="G205" s="8"/>
      <c r="H205" s="5">
        <v>75</v>
      </c>
      <c r="I205" s="6">
        <v>21.5</v>
      </c>
      <c r="J205" s="5">
        <f t="shared" si="7"/>
        <v>14086.800000000001</v>
      </c>
      <c r="K205" s="5">
        <v>1.07</v>
      </c>
      <c r="L205" s="5"/>
    </row>
    <row r="206" spans="3:12" hidden="1">
      <c r="C206" s="6">
        <f t="shared" si="6"/>
        <v>202</v>
      </c>
      <c r="D206" s="5" t="s">
        <v>322</v>
      </c>
      <c r="E206" s="5" t="s">
        <v>345</v>
      </c>
      <c r="F206" s="5"/>
      <c r="G206" s="5"/>
      <c r="H206" s="5">
        <v>90</v>
      </c>
      <c r="I206" s="6">
        <v>134.6</v>
      </c>
      <c r="J206" s="5">
        <f t="shared" si="7"/>
        <v>14221.400000000001</v>
      </c>
      <c r="K206" s="10">
        <v>1.0900000000000001</v>
      </c>
      <c r="L206" s="5"/>
    </row>
    <row r="207" spans="3:12" hidden="1">
      <c r="C207" s="6">
        <f t="shared" si="6"/>
        <v>203</v>
      </c>
      <c r="D207" s="5" t="s">
        <v>345</v>
      </c>
      <c r="E207" s="5" t="s">
        <v>238</v>
      </c>
      <c r="F207" s="8"/>
      <c r="G207" s="8"/>
      <c r="H207" s="5">
        <v>110</v>
      </c>
      <c r="I207" s="6">
        <v>132.80000000000001</v>
      </c>
      <c r="J207" s="5">
        <f t="shared" si="7"/>
        <v>14354.2</v>
      </c>
      <c r="K207" s="5">
        <v>1.1100000000000001</v>
      </c>
      <c r="L207" s="8"/>
    </row>
    <row r="208" spans="3:12" hidden="1">
      <c r="C208" s="6">
        <f t="shared" si="6"/>
        <v>204</v>
      </c>
      <c r="D208" s="5" t="s">
        <v>238</v>
      </c>
      <c r="E208" s="5" t="s">
        <v>348</v>
      </c>
      <c r="F208" s="8"/>
      <c r="G208" s="8"/>
      <c r="H208" s="5">
        <v>110</v>
      </c>
      <c r="I208" s="6">
        <v>52.8</v>
      </c>
      <c r="J208" s="5">
        <f t="shared" si="7"/>
        <v>14407</v>
      </c>
      <c r="K208" s="5">
        <v>1.1100000000000001</v>
      </c>
      <c r="L208" s="8"/>
    </row>
    <row r="209" spans="3:12" hidden="1">
      <c r="C209" s="6">
        <f t="shared" si="6"/>
        <v>205</v>
      </c>
      <c r="D209" s="5" t="s">
        <v>355</v>
      </c>
      <c r="E209" s="5" t="s">
        <v>249</v>
      </c>
      <c r="F209" s="8"/>
      <c r="G209" s="8"/>
      <c r="H209" s="5">
        <v>110</v>
      </c>
      <c r="I209" s="6">
        <v>17.600000000000001</v>
      </c>
      <c r="J209" s="5">
        <f t="shared" si="7"/>
        <v>14424.6</v>
      </c>
      <c r="K209" s="5">
        <v>1.1100000000000001</v>
      </c>
      <c r="L209" s="8"/>
    </row>
    <row r="210" spans="3:12" hidden="1">
      <c r="C210" s="6">
        <f t="shared" si="6"/>
        <v>206</v>
      </c>
      <c r="D210" s="5" t="s">
        <v>249</v>
      </c>
      <c r="E210" s="5" t="s">
        <v>314</v>
      </c>
      <c r="F210" s="8"/>
      <c r="G210" s="8"/>
      <c r="H210" s="5">
        <v>110</v>
      </c>
      <c r="I210" s="6">
        <v>57.7</v>
      </c>
      <c r="J210" s="5">
        <f t="shared" si="7"/>
        <v>14482.300000000001</v>
      </c>
      <c r="K210" s="5">
        <v>1.1100000000000001</v>
      </c>
      <c r="L210" s="8"/>
    </row>
    <row r="211" spans="3:12" hidden="1">
      <c r="C211" s="6">
        <f t="shared" si="6"/>
        <v>207</v>
      </c>
      <c r="D211" s="5" t="s">
        <v>314</v>
      </c>
      <c r="E211" s="5" t="s">
        <v>356</v>
      </c>
      <c r="F211" s="8"/>
      <c r="G211" s="8"/>
      <c r="H211" s="5">
        <v>110</v>
      </c>
      <c r="I211" s="6">
        <v>39.200000000000003</v>
      </c>
      <c r="J211" s="5">
        <f t="shared" si="7"/>
        <v>14521.500000000002</v>
      </c>
      <c r="K211" s="5">
        <v>1.1100000000000001</v>
      </c>
      <c r="L211" s="8"/>
    </row>
    <row r="212" spans="3:12" hidden="1">
      <c r="C212" s="6">
        <f t="shared" si="6"/>
        <v>208</v>
      </c>
      <c r="D212" s="5" t="s">
        <v>356</v>
      </c>
      <c r="E212" s="5" t="s">
        <v>349</v>
      </c>
      <c r="F212" s="8"/>
      <c r="G212" s="8"/>
      <c r="H212" s="5">
        <v>110</v>
      </c>
      <c r="I212" s="6">
        <v>63.5</v>
      </c>
      <c r="J212" s="5">
        <f t="shared" si="7"/>
        <v>14585.000000000002</v>
      </c>
      <c r="K212" s="5">
        <v>1.1100000000000001</v>
      </c>
      <c r="L212" s="8"/>
    </row>
    <row r="213" spans="3:12" hidden="1">
      <c r="C213" s="6">
        <f t="shared" si="6"/>
        <v>209</v>
      </c>
      <c r="D213" s="5" t="s">
        <v>356</v>
      </c>
      <c r="E213" s="5" t="s">
        <v>349</v>
      </c>
      <c r="F213" s="5" t="s">
        <v>193</v>
      </c>
      <c r="G213" s="5">
        <v>0.41</v>
      </c>
      <c r="H213" s="5">
        <v>110</v>
      </c>
      <c r="I213" s="6">
        <v>3.5</v>
      </c>
      <c r="J213" s="5">
        <f t="shared" si="7"/>
        <v>14588.500000000002</v>
      </c>
      <c r="K213" s="5">
        <v>1.1100000000000001</v>
      </c>
      <c r="L213" s="8"/>
    </row>
    <row r="214" spans="3:12" hidden="1">
      <c r="C214" s="6">
        <f t="shared" si="6"/>
        <v>210</v>
      </c>
      <c r="D214" s="5" t="s">
        <v>278</v>
      </c>
      <c r="E214" s="5" t="s">
        <v>357</v>
      </c>
      <c r="F214" s="8"/>
      <c r="G214" s="8"/>
      <c r="H214" s="5">
        <v>110</v>
      </c>
      <c r="I214" s="6">
        <v>27.4</v>
      </c>
      <c r="J214" s="5">
        <f t="shared" si="7"/>
        <v>14615.900000000001</v>
      </c>
      <c r="K214" s="5">
        <v>1.1100000000000001</v>
      </c>
      <c r="L214" s="8"/>
    </row>
    <row r="215" spans="3:12" hidden="1">
      <c r="C215" s="6">
        <f t="shared" si="6"/>
        <v>211</v>
      </c>
      <c r="D215" s="5" t="s">
        <v>352</v>
      </c>
      <c r="E215" s="5" t="s">
        <v>322</v>
      </c>
      <c r="F215" s="8"/>
      <c r="G215" s="8"/>
      <c r="H215" s="5">
        <v>110</v>
      </c>
      <c r="I215" s="6">
        <v>175.3</v>
      </c>
      <c r="J215" s="5">
        <f t="shared" si="7"/>
        <v>14791.2</v>
      </c>
      <c r="K215" s="5">
        <v>1.1100000000000001</v>
      </c>
      <c r="L215" s="8"/>
    </row>
    <row r="216" spans="3:12" hidden="1">
      <c r="C216" s="6">
        <f t="shared" si="6"/>
        <v>212</v>
      </c>
      <c r="D216" s="5" t="s">
        <v>358</v>
      </c>
      <c r="E216" s="5" t="s">
        <v>352</v>
      </c>
      <c r="F216" s="8"/>
      <c r="G216" s="8"/>
      <c r="H216" s="5">
        <v>110</v>
      </c>
      <c r="I216" s="6">
        <v>37.299999999999997</v>
      </c>
      <c r="J216" s="5">
        <f t="shared" si="7"/>
        <v>14828.5</v>
      </c>
      <c r="K216" s="5">
        <v>1.1100000000000001</v>
      </c>
      <c r="L216" s="8"/>
    </row>
    <row r="217" spans="3:12" hidden="1">
      <c r="C217" s="6">
        <f t="shared" si="6"/>
        <v>213</v>
      </c>
      <c r="D217" s="5" t="s">
        <v>348</v>
      </c>
      <c r="E217" s="5" t="s">
        <v>243</v>
      </c>
      <c r="F217" s="8"/>
      <c r="G217" s="8"/>
      <c r="H217" s="5">
        <v>140</v>
      </c>
      <c r="I217" s="6">
        <f>326.8+25</f>
        <v>351.8</v>
      </c>
      <c r="J217" s="5">
        <f t="shared" si="7"/>
        <v>15180.3</v>
      </c>
      <c r="K217" s="10">
        <v>1.1399999999999999</v>
      </c>
      <c r="L217" s="8"/>
    </row>
    <row r="218" spans="3:12" hidden="1">
      <c r="C218" s="6">
        <f t="shared" si="6"/>
        <v>214</v>
      </c>
      <c r="D218" s="5" t="s">
        <v>348</v>
      </c>
      <c r="E218" s="5" t="s">
        <v>243</v>
      </c>
      <c r="F218" s="5" t="s">
        <v>193</v>
      </c>
      <c r="G218" s="5">
        <v>0.44</v>
      </c>
      <c r="H218" s="5">
        <v>140</v>
      </c>
      <c r="I218" s="6">
        <v>3</v>
      </c>
      <c r="J218" s="5">
        <f t="shared" si="7"/>
        <v>15183.3</v>
      </c>
      <c r="K218" s="10">
        <v>1.1399999999999999</v>
      </c>
      <c r="L218" s="8"/>
    </row>
    <row r="219" spans="3:12" hidden="1">
      <c r="C219" s="6">
        <f t="shared" si="6"/>
        <v>215</v>
      </c>
      <c r="D219" s="5" t="s">
        <v>243</v>
      </c>
      <c r="E219" s="5" t="s">
        <v>359</v>
      </c>
      <c r="F219" s="8"/>
      <c r="G219" s="8"/>
      <c r="H219" s="5">
        <v>140</v>
      </c>
      <c r="I219" s="6">
        <f>225.5+20</f>
        <v>245.5</v>
      </c>
      <c r="J219" s="5">
        <f t="shared" si="7"/>
        <v>15428.8</v>
      </c>
      <c r="K219" s="10">
        <v>1.1399999999999999</v>
      </c>
      <c r="L219" s="8"/>
    </row>
    <row r="220" spans="3:12" hidden="1">
      <c r="C220" s="6">
        <f t="shared" si="6"/>
        <v>216</v>
      </c>
      <c r="D220" s="5" t="s">
        <v>243</v>
      </c>
      <c r="E220" s="5" t="s">
        <v>359</v>
      </c>
      <c r="F220" s="5" t="s">
        <v>304</v>
      </c>
      <c r="G220" s="8"/>
      <c r="H220" s="5">
        <v>140</v>
      </c>
      <c r="I220" s="6">
        <v>29.1</v>
      </c>
      <c r="J220" s="5">
        <f t="shared" si="7"/>
        <v>15457.9</v>
      </c>
      <c r="K220" s="10">
        <v>1.1399999999999999</v>
      </c>
      <c r="L220" s="5" t="s">
        <v>304</v>
      </c>
    </row>
    <row r="221" spans="3:12" hidden="1">
      <c r="C221" s="6">
        <f t="shared" si="6"/>
        <v>217</v>
      </c>
      <c r="D221" s="5" t="s">
        <v>243</v>
      </c>
      <c r="E221" s="5" t="s">
        <v>359</v>
      </c>
      <c r="F221" s="8"/>
      <c r="G221" s="8"/>
      <c r="H221" s="5">
        <v>140</v>
      </c>
      <c r="I221" s="6">
        <f>57.6+5</f>
        <v>62.6</v>
      </c>
      <c r="J221" s="5">
        <f t="shared" si="7"/>
        <v>15520.5</v>
      </c>
      <c r="K221" s="10">
        <v>1.1399999999999999</v>
      </c>
      <c r="L221" s="8"/>
    </row>
    <row r="222" spans="3:12" hidden="1">
      <c r="C222" s="6">
        <f t="shared" si="6"/>
        <v>218</v>
      </c>
      <c r="D222" s="5" t="s">
        <v>359</v>
      </c>
      <c r="E222" s="5" t="s">
        <v>360</v>
      </c>
      <c r="F222" s="5" t="s">
        <v>193</v>
      </c>
      <c r="G222" s="5">
        <v>0.46</v>
      </c>
      <c r="H222" s="5">
        <v>160</v>
      </c>
      <c r="I222" s="6">
        <v>8</v>
      </c>
      <c r="J222" s="5">
        <f t="shared" si="7"/>
        <v>15528.5</v>
      </c>
      <c r="K222" s="5">
        <v>1.1599999999999999</v>
      </c>
      <c r="L222" s="8"/>
    </row>
    <row r="223" spans="3:12" hidden="1">
      <c r="C223" s="6">
        <f t="shared" si="6"/>
        <v>219</v>
      </c>
      <c r="D223" s="5" t="s">
        <v>359</v>
      </c>
      <c r="E223" s="5" t="s">
        <v>360</v>
      </c>
      <c r="F223" s="8"/>
      <c r="G223" s="8"/>
      <c r="H223" s="5">
        <v>160</v>
      </c>
      <c r="I223" s="6">
        <f>34.5-3</f>
        <v>31.5</v>
      </c>
      <c r="J223" s="5">
        <f t="shared" si="7"/>
        <v>15560</v>
      </c>
      <c r="K223" s="5">
        <v>1.1599999999999999</v>
      </c>
      <c r="L223" s="8"/>
    </row>
    <row r="224" spans="3:12" hidden="1">
      <c r="C224" s="6">
        <f t="shared" si="6"/>
        <v>220</v>
      </c>
      <c r="D224" s="5" t="s">
        <v>360</v>
      </c>
      <c r="E224" s="5" t="s">
        <v>245</v>
      </c>
      <c r="F224" s="8"/>
      <c r="G224" s="8"/>
      <c r="H224" s="5">
        <v>160</v>
      </c>
      <c r="I224" s="6">
        <f>77.9-9.4</f>
        <v>68.5</v>
      </c>
      <c r="J224" s="5">
        <f t="shared" si="7"/>
        <v>15628.5</v>
      </c>
      <c r="K224" s="5">
        <v>1.1599999999999999</v>
      </c>
      <c r="L224" s="8"/>
    </row>
    <row r="225" spans="3:12" hidden="1">
      <c r="C225" s="6">
        <f t="shared" si="6"/>
        <v>221</v>
      </c>
      <c r="D225" s="5" t="s">
        <v>245</v>
      </c>
      <c r="E225" s="5" t="s">
        <v>306</v>
      </c>
      <c r="F225" s="5" t="s">
        <v>193</v>
      </c>
      <c r="G225" s="5">
        <v>0.46</v>
      </c>
      <c r="H225" s="5">
        <v>160</v>
      </c>
      <c r="I225" s="6">
        <v>8.5</v>
      </c>
      <c r="J225" s="5">
        <f t="shared" si="7"/>
        <v>15637</v>
      </c>
      <c r="K225" s="5">
        <v>1.1599999999999999</v>
      </c>
      <c r="L225" s="8"/>
    </row>
    <row r="226" spans="3:12" hidden="1">
      <c r="C226" s="6">
        <f t="shared" si="6"/>
        <v>222</v>
      </c>
      <c r="D226" s="5" t="s">
        <v>245</v>
      </c>
      <c r="E226" s="5" t="s">
        <v>306</v>
      </c>
      <c r="F226" s="8"/>
      <c r="G226" s="8"/>
      <c r="H226" s="5">
        <v>160</v>
      </c>
      <c r="I226" s="6">
        <f>272.7-20</f>
        <v>252.7</v>
      </c>
      <c r="J226" s="5">
        <f t="shared" si="7"/>
        <v>15889.7</v>
      </c>
      <c r="K226" s="5">
        <v>1.1599999999999999</v>
      </c>
      <c r="L226" s="8"/>
    </row>
    <row r="227" spans="3:12" hidden="1">
      <c r="C227" s="6">
        <f t="shared" si="6"/>
        <v>223</v>
      </c>
      <c r="D227" s="5" t="s">
        <v>245</v>
      </c>
      <c r="E227" s="5" t="s">
        <v>306</v>
      </c>
      <c r="F227" s="5" t="s">
        <v>304</v>
      </c>
      <c r="G227" s="8"/>
      <c r="H227" s="5">
        <v>160</v>
      </c>
      <c r="I227" s="6">
        <v>7.1</v>
      </c>
      <c r="J227" s="5">
        <f t="shared" si="7"/>
        <v>15896.800000000001</v>
      </c>
      <c r="K227" s="5">
        <v>1.1599999999999999</v>
      </c>
      <c r="L227" s="5" t="s">
        <v>304</v>
      </c>
    </row>
    <row r="228" spans="3:12" hidden="1">
      <c r="C228" s="6">
        <f t="shared" si="6"/>
        <v>224</v>
      </c>
      <c r="D228" s="5" t="s">
        <v>306</v>
      </c>
      <c r="E228" s="5" t="s">
        <v>361</v>
      </c>
      <c r="F228" s="5" t="s">
        <v>304</v>
      </c>
      <c r="G228" s="8"/>
      <c r="H228" s="5">
        <v>160</v>
      </c>
      <c r="I228" s="6">
        <v>7.1</v>
      </c>
      <c r="J228" s="5">
        <f t="shared" si="7"/>
        <v>15903.900000000001</v>
      </c>
      <c r="K228" s="5">
        <v>1.1599999999999999</v>
      </c>
      <c r="L228" s="5" t="s">
        <v>304</v>
      </c>
    </row>
    <row r="229" spans="3:12" hidden="1">
      <c r="C229" s="6">
        <f t="shared" si="6"/>
        <v>225</v>
      </c>
      <c r="D229" s="5" t="s">
        <v>306</v>
      </c>
      <c r="E229" s="5" t="s">
        <v>361</v>
      </c>
      <c r="F229" s="8"/>
      <c r="G229" s="8"/>
      <c r="H229" s="5">
        <v>160</v>
      </c>
      <c r="I229" s="6">
        <f>83.4-4-4.7</f>
        <v>74.7</v>
      </c>
      <c r="J229" s="5">
        <f t="shared" si="7"/>
        <v>15978.600000000002</v>
      </c>
      <c r="K229" s="5">
        <v>1.1599999999999999</v>
      </c>
      <c r="L229" s="8"/>
    </row>
    <row r="230" spans="3:12">
      <c r="C230" s="6">
        <f t="shared" si="6"/>
        <v>226</v>
      </c>
      <c r="D230" s="5" t="s">
        <v>361</v>
      </c>
      <c r="E230" s="5" t="s">
        <v>274</v>
      </c>
      <c r="F230" s="5" t="s">
        <v>301</v>
      </c>
      <c r="G230" s="5">
        <v>0.46</v>
      </c>
      <c r="H230" s="5">
        <v>160</v>
      </c>
      <c r="I230" s="6">
        <v>5.9</v>
      </c>
      <c r="J230" s="5">
        <f t="shared" si="7"/>
        <v>15984.500000000002</v>
      </c>
      <c r="K230" s="5">
        <v>1.1599999999999999</v>
      </c>
      <c r="L230" s="8"/>
    </row>
    <row r="231" spans="3:12" hidden="1">
      <c r="C231" s="6">
        <f t="shared" si="6"/>
        <v>227</v>
      </c>
      <c r="D231" s="5" t="s">
        <v>361</v>
      </c>
      <c r="E231" s="5" t="s">
        <v>274</v>
      </c>
      <c r="F231" s="8"/>
      <c r="G231" s="8"/>
      <c r="H231" s="5">
        <v>160</v>
      </c>
      <c r="I231" s="6">
        <f>221.9-20-4.7</f>
        <v>197.20000000000002</v>
      </c>
      <c r="J231" s="5">
        <f t="shared" si="7"/>
        <v>16181.700000000003</v>
      </c>
      <c r="K231" s="5">
        <v>1.1599999999999999</v>
      </c>
      <c r="L231" s="8"/>
    </row>
    <row r="232" spans="3:12" hidden="1">
      <c r="C232" s="6">
        <f t="shared" si="6"/>
        <v>228</v>
      </c>
      <c r="D232" s="5" t="s">
        <v>361</v>
      </c>
      <c r="E232" s="5" t="s">
        <v>274</v>
      </c>
      <c r="F232" s="5" t="s">
        <v>199</v>
      </c>
      <c r="G232" s="5">
        <v>0.46</v>
      </c>
      <c r="H232" s="5">
        <v>160</v>
      </c>
      <c r="I232" s="6">
        <v>5.6</v>
      </c>
      <c r="J232" s="5">
        <f t="shared" si="7"/>
        <v>16187.300000000003</v>
      </c>
      <c r="K232" s="5">
        <v>1.1599999999999999</v>
      </c>
      <c r="L232" s="8"/>
    </row>
    <row r="233" spans="3:12" hidden="1">
      <c r="C233" s="6">
        <f t="shared" si="6"/>
        <v>229</v>
      </c>
      <c r="D233" s="5" t="s">
        <v>361</v>
      </c>
      <c r="E233" s="5" t="s">
        <v>274</v>
      </c>
      <c r="F233" s="8"/>
      <c r="G233" s="8"/>
      <c r="H233" s="5">
        <v>160</v>
      </c>
      <c r="I233" s="6">
        <f>120.1-10-4.7</f>
        <v>105.39999999999999</v>
      </c>
      <c r="J233" s="5">
        <f t="shared" si="7"/>
        <v>16292.700000000003</v>
      </c>
      <c r="K233" s="5">
        <v>1.1599999999999999</v>
      </c>
      <c r="L233" s="8"/>
    </row>
    <row r="234" spans="3:12" hidden="1">
      <c r="C234" s="6">
        <f t="shared" si="6"/>
        <v>230</v>
      </c>
      <c r="D234" s="5" t="s">
        <v>274</v>
      </c>
      <c r="E234" s="5" t="s">
        <v>351</v>
      </c>
      <c r="F234" s="8"/>
      <c r="G234" s="8"/>
      <c r="H234" s="5">
        <v>160</v>
      </c>
      <c r="I234" s="6">
        <f>334.1-13-8-4.7</f>
        <v>308.40000000000003</v>
      </c>
      <c r="J234" s="5">
        <f t="shared" si="7"/>
        <v>16601.100000000002</v>
      </c>
      <c r="K234" s="5">
        <v>1.1599999999999999</v>
      </c>
      <c r="L234" s="8"/>
    </row>
    <row r="235" spans="3:12" hidden="1">
      <c r="C235" s="6">
        <f t="shared" si="6"/>
        <v>231</v>
      </c>
      <c r="D235" s="5" t="s">
        <v>274</v>
      </c>
      <c r="E235" s="5" t="s">
        <v>351</v>
      </c>
      <c r="F235" s="5" t="s">
        <v>193</v>
      </c>
      <c r="G235" s="5">
        <v>0.46</v>
      </c>
      <c r="H235" s="5">
        <v>160</v>
      </c>
      <c r="I235" s="6">
        <v>5.0999999999999996</v>
      </c>
      <c r="J235" s="5">
        <f t="shared" si="7"/>
        <v>16606.2</v>
      </c>
      <c r="K235" s="5">
        <v>1.1599999999999999</v>
      </c>
      <c r="L235" s="8"/>
    </row>
    <row r="236" spans="3:12" hidden="1">
      <c r="C236" s="6">
        <f t="shared" si="6"/>
        <v>232</v>
      </c>
      <c r="D236" s="5" t="s">
        <v>274</v>
      </c>
      <c r="E236" s="5" t="s">
        <v>351</v>
      </c>
      <c r="F236" s="8"/>
      <c r="G236" s="8"/>
      <c r="H236" s="5">
        <v>160</v>
      </c>
      <c r="I236" s="6">
        <v>1.2</v>
      </c>
      <c r="J236" s="5">
        <f t="shared" si="7"/>
        <v>16607.400000000001</v>
      </c>
      <c r="K236" s="5">
        <v>1.1599999999999999</v>
      </c>
      <c r="L236" s="8"/>
    </row>
    <row r="237" spans="3:12" hidden="1">
      <c r="C237" s="6">
        <f t="shared" si="6"/>
        <v>233</v>
      </c>
      <c r="D237" s="5" t="s">
        <v>351</v>
      </c>
      <c r="E237" s="5" t="s">
        <v>276</v>
      </c>
      <c r="F237" s="8"/>
      <c r="G237" s="8"/>
      <c r="H237" s="5">
        <v>160</v>
      </c>
      <c r="I237" s="6">
        <v>14.2</v>
      </c>
      <c r="J237" s="5">
        <f t="shared" si="7"/>
        <v>16621.600000000002</v>
      </c>
      <c r="K237" s="5">
        <v>1.1599999999999999</v>
      </c>
      <c r="L237" s="8"/>
    </row>
    <row r="238" spans="3:12" hidden="1">
      <c r="C238" s="6">
        <f t="shared" si="6"/>
        <v>234</v>
      </c>
      <c r="D238" s="5" t="s">
        <v>351</v>
      </c>
      <c r="E238" s="5" t="s">
        <v>276</v>
      </c>
      <c r="F238" s="5" t="s">
        <v>199</v>
      </c>
      <c r="G238" s="5">
        <v>0.46</v>
      </c>
      <c r="H238" s="5">
        <v>160</v>
      </c>
      <c r="I238" s="6">
        <v>10</v>
      </c>
      <c r="J238" s="5">
        <f t="shared" si="7"/>
        <v>16631.600000000002</v>
      </c>
      <c r="K238" s="5">
        <v>1.1599999999999999</v>
      </c>
      <c r="L238" s="8"/>
    </row>
    <row r="239" spans="3:12" hidden="1">
      <c r="C239" s="6">
        <f t="shared" si="6"/>
        <v>235</v>
      </c>
      <c r="D239" s="5" t="s">
        <v>351</v>
      </c>
      <c r="E239" s="5" t="s">
        <v>276</v>
      </c>
      <c r="F239" s="8"/>
      <c r="G239" s="8"/>
      <c r="H239" s="5">
        <v>160</v>
      </c>
      <c r="I239" s="6">
        <v>5.2</v>
      </c>
      <c r="J239" s="5">
        <f t="shared" si="7"/>
        <v>16636.800000000003</v>
      </c>
      <c r="K239" s="5">
        <v>1.1599999999999999</v>
      </c>
      <c r="L239" s="8"/>
    </row>
    <row r="240" spans="3:12" hidden="1">
      <c r="C240" s="6">
        <f t="shared" si="6"/>
        <v>236</v>
      </c>
      <c r="D240" s="5" t="s">
        <v>276</v>
      </c>
      <c r="E240" s="5" t="s">
        <v>286</v>
      </c>
      <c r="F240" s="8"/>
      <c r="G240" s="8"/>
      <c r="H240" s="5">
        <v>160</v>
      </c>
      <c r="I240" s="6">
        <f>172.1-15</f>
        <v>157.1</v>
      </c>
      <c r="J240" s="5">
        <f t="shared" si="7"/>
        <v>16793.900000000001</v>
      </c>
      <c r="K240" s="5">
        <v>1.1599999999999999</v>
      </c>
      <c r="L240" s="8"/>
    </row>
    <row r="241" spans="3:12" hidden="1">
      <c r="C241" s="6">
        <f t="shared" si="6"/>
        <v>237</v>
      </c>
      <c r="D241" s="5" t="s">
        <v>286</v>
      </c>
      <c r="E241" s="5" t="s">
        <v>247</v>
      </c>
      <c r="F241" s="5" t="s">
        <v>199</v>
      </c>
      <c r="G241" s="5">
        <v>0.46</v>
      </c>
      <c r="H241" s="5">
        <v>160</v>
      </c>
      <c r="I241" s="6">
        <v>5.7</v>
      </c>
      <c r="J241" s="5">
        <f t="shared" si="7"/>
        <v>16799.600000000002</v>
      </c>
      <c r="K241" s="5">
        <v>1.1599999999999999</v>
      </c>
      <c r="L241" s="8"/>
    </row>
    <row r="242" spans="3:12" hidden="1">
      <c r="C242" s="6">
        <f t="shared" si="6"/>
        <v>238</v>
      </c>
      <c r="D242" s="5" t="s">
        <v>286</v>
      </c>
      <c r="E242" s="5" t="s">
        <v>247</v>
      </c>
      <c r="F242" s="8"/>
      <c r="G242" s="8"/>
      <c r="H242" s="5">
        <v>160</v>
      </c>
      <c r="I242" s="6">
        <f>118.3-8-4.7</f>
        <v>105.6</v>
      </c>
      <c r="J242" s="5">
        <f t="shared" si="7"/>
        <v>16905.2</v>
      </c>
      <c r="K242" s="5">
        <v>1.1599999999999999</v>
      </c>
      <c r="L242" s="8"/>
    </row>
    <row r="243" spans="3:12" hidden="1">
      <c r="C243" s="6">
        <f t="shared" si="6"/>
        <v>239</v>
      </c>
      <c r="D243" s="5" t="s">
        <v>247</v>
      </c>
      <c r="E243" s="5" t="s">
        <v>355</v>
      </c>
      <c r="F243" s="8"/>
      <c r="G243" s="8"/>
      <c r="H243" s="5">
        <v>160</v>
      </c>
      <c r="I243" s="6">
        <f>194-12</f>
        <v>182</v>
      </c>
      <c r="J243" s="5">
        <f t="shared" si="7"/>
        <v>17087.2</v>
      </c>
      <c r="K243" s="5">
        <v>1.1599999999999999</v>
      </c>
      <c r="L243" s="8"/>
    </row>
    <row r="244" spans="3:12" hidden="1">
      <c r="C244" s="6">
        <f t="shared" si="6"/>
        <v>240</v>
      </c>
      <c r="D244" s="5" t="s">
        <v>355</v>
      </c>
      <c r="E244" s="5" t="s">
        <v>249</v>
      </c>
      <c r="F244" s="8"/>
      <c r="G244" s="8"/>
      <c r="H244" s="5">
        <v>160</v>
      </c>
      <c r="I244" s="6">
        <f>35.5-2</f>
        <v>33.5</v>
      </c>
      <c r="J244" s="5">
        <f t="shared" si="7"/>
        <v>17120.7</v>
      </c>
      <c r="K244" s="5">
        <v>1.1599999999999999</v>
      </c>
      <c r="L244" s="8"/>
    </row>
    <row r="245" spans="3:12" hidden="1">
      <c r="C245" s="6">
        <f t="shared" si="6"/>
        <v>241</v>
      </c>
      <c r="D245" s="5" t="s">
        <v>360</v>
      </c>
      <c r="E245" s="5" t="s">
        <v>307</v>
      </c>
      <c r="F245" s="8"/>
      <c r="G245" s="8"/>
      <c r="H245" s="5">
        <v>160</v>
      </c>
      <c r="I245" s="6">
        <f>140.2-12-1</f>
        <v>127.19999999999999</v>
      </c>
      <c r="J245" s="5">
        <f t="shared" si="7"/>
        <v>17247.900000000001</v>
      </c>
      <c r="K245" s="5">
        <v>1.1599999999999999</v>
      </c>
      <c r="L245" s="8"/>
    </row>
    <row r="246" spans="3:12" hidden="1">
      <c r="C246" s="6">
        <f t="shared" si="6"/>
        <v>242</v>
      </c>
      <c r="D246" s="5" t="s">
        <v>355</v>
      </c>
      <c r="E246" s="5" t="s">
        <v>362</v>
      </c>
      <c r="F246" s="8"/>
      <c r="G246" s="8"/>
      <c r="H246" s="5">
        <v>160</v>
      </c>
      <c r="I246" s="6">
        <f>29.5-4.7</f>
        <v>24.8</v>
      </c>
      <c r="J246" s="5">
        <f t="shared" si="7"/>
        <v>17272.7</v>
      </c>
      <c r="K246" s="5">
        <v>1.1599999999999999</v>
      </c>
      <c r="L246" s="8"/>
    </row>
    <row r="247" spans="3:12" hidden="1">
      <c r="C247" s="6">
        <f t="shared" si="6"/>
        <v>243</v>
      </c>
      <c r="D247" s="5" t="s">
        <v>357</v>
      </c>
      <c r="E247" s="5" t="s">
        <v>363</v>
      </c>
      <c r="F247" s="8"/>
      <c r="G247" s="8"/>
      <c r="H247" s="5">
        <v>160</v>
      </c>
      <c r="I247" s="6">
        <f>20-4.7</f>
        <v>15.3</v>
      </c>
      <c r="J247" s="5">
        <f t="shared" si="7"/>
        <v>17288</v>
      </c>
      <c r="K247" s="5">
        <v>1.1599999999999999</v>
      </c>
      <c r="L247" s="8"/>
    </row>
    <row r="248" spans="3:12" hidden="1">
      <c r="C248" s="6">
        <f t="shared" si="6"/>
        <v>244</v>
      </c>
      <c r="D248" s="5" t="s">
        <v>363</v>
      </c>
      <c r="E248" s="5" t="s">
        <v>364</v>
      </c>
      <c r="F248" s="8"/>
      <c r="G248" s="8"/>
      <c r="H248" s="5">
        <v>160</v>
      </c>
      <c r="I248" s="6">
        <f>76.3-5</f>
        <v>71.3</v>
      </c>
      <c r="J248" s="5">
        <f t="shared" si="7"/>
        <v>17359.3</v>
      </c>
      <c r="K248" s="5">
        <v>1.1599999999999999</v>
      </c>
      <c r="L248" s="8"/>
    </row>
    <row r="249" spans="3:12" hidden="1">
      <c r="C249" s="6">
        <f t="shared" si="6"/>
        <v>245</v>
      </c>
      <c r="D249" s="5" t="s">
        <v>307</v>
      </c>
      <c r="E249" s="5" t="s">
        <v>358</v>
      </c>
      <c r="F249" s="8"/>
      <c r="G249" s="8"/>
      <c r="H249" s="5">
        <v>160</v>
      </c>
      <c r="I249" s="6">
        <f>17.6-4.7</f>
        <v>12.900000000000002</v>
      </c>
      <c r="J249" s="5">
        <f t="shared" si="7"/>
        <v>17372.2</v>
      </c>
      <c r="K249" s="5">
        <v>1.1599999999999999</v>
      </c>
      <c r="L249" s="8"/>
    </row>
    <row r="250" spans="3:12">
      <c r="C250" s="234"/>
      <c r="D250" s="5"/>
      <c r="E250" s="5"/>
      <c r="F250" s="8"/>
      <c r="G250" s="8"/>
      <c r="H250" s="5"/>
      <c r="I250" s="5"/>
      <c r="J250" s="8"/>
      <c r="K250" s="8"/>
      <c r="L250" s="8"/>
    </row>
    <row r="251" spans="3:12">
      <c r="C251" s="8"/>
      <c r="D251" s="5">
        <v>63</v>
      </c>
      <c r="E251" s="5">
        <v>75</v>
      </c>
      <c r="F251" s="5">
        <v>90</v>
      </c>
      <c r="G251" s="5">
        <v>110</v>
      </c>
      <c r="H251" s="5">
        <v>140</v>
      </c>
      <c r="I251" s="47">
        <v>160</v>
      </c>
      <c r="J251" s="8"/>
      <c r="K251" s="8"/>
      <c r="L251" s="8"/>
    </row>
    <row r="252" spans="3:12">
      <c r="C252" s="8"/>
      <c r="D252" s="5">
        <f>13094.2+3+2</f>
        <v>13099.2</v>
      </c>
      <c r="E252" s="5">
        <v>987.6</v>
      </c>
      <c r="F252" s="5">
        <f>+SUMIF($H$5:$H$249,F251,$I$5:$I$249)</f>
        <v>134.6</v>
      </c>
      <c r="G252" s="5">
        <f>+SUMIF($H$5:$H$249,G251,$I$5:$I$249)</f>
        <v>607.09999999999991</v>
      </c>
      <c r="H252" s="5">
        <f>+SUMIF($H$5:$H$249,H251,$I$5:$I$249)</f>
        <v>692</v>
      </c>
      <c r="I252" s="5">
        <f>+SUMIF($H$5:$H$249,I251,$I$5:$I$249)</f>
        <v>1851.7</v>
      </c>
      <c r="J252" s="5">
        <f>+SUM(D252:I252)</f>
        <v>17372.2</v>
      </c>
      <c r="K252" s="8"/>
      <c r="L252" s="8"/>
    </row>
    <row r="253" spans="3:12">
      <c r="C253" s="79"/>
      <c r="D253" s="105">
        <v>13286</v>
      </c>
      <c r="E253" s="105">
        <v>1094</v>
      </c>
      <c r="F253" s="105">
        <v>123</v>
      </c>
      <c r="G253" s="105">
        <v>536</v>
      </c>
      <c r="H253" s="105">
        <v>693</v>
      </c>
      <c r="I253" s="105">
        <v>1924</v>
      </c>
      <c r="J253" s="105">
        <f>+SUM(D253:I253)</f>
        <v>17656</v>
      </c>
      <c r="K253" s="8"/>
      <c r="L253" s="8"/>
    </row>
    <row r="254" spans="3:12" ht="15.75">
      <c r="C254" s="522" t="s">
        <v>365</v>
      </c>
      <c r="D254" s="522"/>
      <c r="E254" s="522"/>
      <c r="F254" s="522"/>
      <c r="G254" s="523" t="s">
        <v>366</v>
      </c>
      <c r="H254" s="523"/>
      <c r="I254" s="523"/>
      <c r="J254" s="498" t="s">
        <v>367</v>
      </c>
      <c r="K254" s="498"/>
      <c r="L254" s="498"/>
    </row>
    <row r="255" spans="3:12" ht="21.75" customHeight="1">
      <c r="C255" s="7" t="s">
        <v>368</v>
      </c>
      <c r="D255" s="79"/>
      <c r="E255" s="80"/>
      <c r="F255" s="81"/>
      <c r="G255" s="8" t="s">
        <v>368</v>
      </c>
      <c r="H255" s="498"/>
      <c r="I255" s="498"/>
      <c r="J255" s="8" t="s">
        <v>368</v>
      </c>
      <c r="K255" s="498"/>
      <c r="L255" s="498"/>
    </row>
    <row r="256" spans="3:12" ht="21.75" customHeight="1">
      <c r="C256" s="7" t="s">
        <v>369</v>
      </c>
      <c r="D256" s="498"/>
      <c r="E256" s="498"/>
      <c r="F256" s="498"/>
      <c r="G256" s="8" t="s">
        <v>369</v>
      </c>
      <c r="H256" s="498"/>
      <c r="I256" s="498"/>
      <c r="J256" s="8" t="s">
        <v>369</v>
      </c>
      <c r="K256" s="498"/>
      <c r="L256" s="498"/>
    </row>
    <row r="257" spans="3:12" ht="33" customHeight="1">
      <c r="C257" s="362" t="s">
        <v>370</v>
      </c>
      <c r="D257" s="363"/>
      <c r="E257" s="363"/>
      <c r="F257" s="364"/>
      <c r="G257" s="8" t="s">
        <v>370</v>
      </c>
      <c r="H257" s="498"/>
      <c r="I257" s="498"/>
      <c r="J257" s="8" t="s">
        <v>370</v>
      </c>
      <c r="K257" s="498"/>
      <c r="L257" s="498"/>
    </row>
    <row r="266" spans="3:12">
      <c r="D266" s="178"/>
    </row>
    <row r="267" spans="3:12">
      <c r="D267" s="178"/>
      <c r="H267" s="178"/>
    </row>
    <row r="268" spans="3:12">
      <c r="H268" s="178"/>
      <c r="I268" s="178"/>
    </row>
    <row r="269" spans="3:12">
      <c r="I269" s="365"/>
    </row>
  </sheetData>
  <autoFilter ref="C4:L249">
    <filterColumn colId="3">
      <filters>
        <filter val="INTERLOCKING"/>
      </filters>
    </filterColumn>
  </autoFilter>
  <mergeCells count="11">
    <mergeCell ref="C3:L3"/>
    <mergeCell ref="C254:F254"/>
    <mergeCell ref="G254:I254"/>
    <mergeCell ref="J254:L254"/>
    <mergeCell ref="H255:I255"/>
    <mergeCell ref="K255:L255"/>
    <mergeCell ref="D256:F256"/>
    <mergeCell ref="H256:I256"/>
    <mergeCell ref="K256:L256"/>
    <mergeCell ref="H257:I257"/>
    <mergeCell ref="K257:L257"/>
  </mergeCells>
  <printOptions horizontalCentered="1"/>
  <pageMargins left="0.25" right="0.25" top="0.25" bottom="0.35" header="0.3" footer="0.3"/>
  <pageSetup paperSize="9" scale="99" fitToHeight="0"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1:S208"/>
  <sheetViews>
    <sheetView topLeftCell="A10" zoomScale="70" zoomScaleNormal="70" zoomScaleSheetLayoutView="70" workbookViewId="0">
      <selection activeCell="N34" sqref="N34:N156"/>
    </sheetView>
  </sheetViews>
  <sheetFormatPr defaultColWidth="9.140625" defaultRowHeight="15.75"/>
  <cols>
    <col min="1" max="1" width="9.140625" style="347"/>
    <col min="2" max="2" width="7.85546875" style="347" customWidth="1"/>
    <col min="3" max="3" width="13.42578125" style="347" customWidth="1"/>
    <col min="4" max="4" width="12.7109375" style="347" customWidth="1"/>
    <col min="5" max="5" width="11" style="347" customWidth="1"/>
    <col min="6" max="6" width="16.5703125" style="347" hidden="1" customWidth="1"/>
    <col min="7" max="7" width="12.7109375" style="347" customWidth="1"/>
    <col min="8" max="8" width="12.5703125" style="347" customWidth="1"/>
    <col min="9" max="10" width="10.7109375" style="347" customWidth="1"/>
    <col min="11" max="11" width="15.5703125" style="347" customWidth="1"/>
    <col min="12" max="12" width="13.5703125" style="347" customWidth="1"/>
    <col min="13" max="13" width="12.5703125" style="347" customWidth="1"/>
    <col min="14" max="14" width="13.7109375" style="347" customWidth="1"/>
    <col min="15" max="16" width="13.42578125" style="347" customWidth="1"/>
    <col min="17" max="17" width="14" style="347" customWidth="1"/>
    <col min="18" max="18" width="12.85546875" style="347" customWidth="1"/>
    <col min="19" max="19" width="17.28515625" style="347" customWidth="1"/>
    <col min="20" max="16384" width="9.140625" style="347"/>
  </cols>
  <sheetData>
    <row r="1" spans="2:19" s="343" customFormat="1">
      <c r="B1" s="347"/>
      <c r="C1" s="347"/>
      <c r="D1" s="347"/>
      <c r="E1" s="347"/>
      <c r="F1" s="347"/>
      <c r="G1" s="347"/>
      <c r="H1" s="347"/>
      <c r="I1" s="347"/>
      <c r="J1" s="347"/>
      <c r="K1" s="347"/>
      <c r="L1" s="347"/>
      <c r="M1" s="347"/>
      <c r="N1" s="347"/>
      <c r="O1" s="347"/>
      <c r="P1" s="347"/>
      <c r="Q1" s="347"/>
      <c r="R1" s="347"/>
      <c r="S1" s="347"/>
    </row>
    <row r="2" spans="2:19" s="343" customFormat="1">
      <c r="B2" s="347"/>
      <c r="C2" s="347"/>
      <c r="D2" s="347"/>
      <c r="E2" s="347"/>
      <c r="F2" s="347"/>
      <c r="G2" s="347"/>
      <c r="H2" s="347"/>
      <c r="I2" s="347"/>
      <c r="J2" s="347"/>
      <c r="K2" s="347"/>
      <c r="L2" s="347"/>
      <c r="M2" s="347"/>
      <c r="N2" s="347"/>
      <c r="O2" s="347"/>
      <c r="P2" s="347"/>
      <c r="Q2" s="347"/>
      <c r="R2" s="347"/>
      <c r="S2" s="347"/>
    </row>
    <row r="3" spans="2:19" s="344" customFormat="1" ht="35.25" customHeight="1">
      <c r="B3" s="510" t="s">
        <v>0</v>
      </c>
      <c r="C3" s="510"/>
      <c r="D3" s="510"/>
      <c r="E3" s="510"/>
      <c r="F3" s="510"/>
      <c r="G3" s="510"/>
      <c r="H3" s="510"/>
      <c r="I3" s="510"/>
      <c r="J3" s="510"/>
      <c r="K3" s="510"/>
      <c r="L3" s="510"/>
      <c r="M3" s="510"/>
      <c r="N3" s="510"/>
      <c r="O3" s="510"/>
      <c r="P3" s="510"/>
      <c r="Q3" s="510"/>
      <c r="R3" s="510"/>
      <c r="S3" s="510"/>
    </row>
    <row r="4" spans="2:19" s="344" customFormat="1" ht="35.25" customHeight="1">
      <c r="B4" s="510" t="s">
        <v>1</v>
      </c>
      <c r="C4" s="510"/>
      <c r="D4" s="510"/>
      <c r="E4" s="510"/>
      <c r="F4" s="510"/>
      <c r="G4" s="510"/>
      <c r="H4" s="510"/>
      <c r="I4" s="510"/>
      <c r="J4" s="510"/>
      <c r="K4" s="510"/>
      <c r="L4" s="510"/>
      <c r="M4" s="510"/>
      <c r="N4" s="510"/>
      <c r="O4" s="510"/>
      <c r="P4" s="510"/>
      <c r="Q4" s="510"/>
      <c r="R4" s="510"/>
      <c r="S4" s="510"/>
    </row>
    <row r="5" spans="2:19" s="343" customFormat="1" ht="28.9" customHeight="1">
      <c r="B5" s="510" t="s">
        <v>2</v>
      </c>
      <c r="C5" s="510"/>
      <c r="D5" s="510"/>
      <c r="E5" s="510"/>
      <c r="F5" s="510"/>
      <c r="G5" s="510"/>
      <c r="H5" s="510"/>
      <c r="I5" s="510"/>
      <c r="J5" s="510"/>
      <c r="K5" s="510"/>
      <c r="L5" s="510"/>
      <c r="M5" s="510"/>
      <c r="N5" s="510"/>
      <c r="O5" s="510"/>
      <c r="P5" s="510"/>
      <c r="Q5" s="510"/>
      <c r="R5" s="510"/>
      <c r="S5" s="510"/>
    </row>
    <row r="6" spans="2:19" s="343" customFormat="1" ht="38.450000000000003" customHeight="1">
      <c r="B6" s="511" t="s">
        <v>3</v>
      </c>
      <c r="C6" s="511"/>
      <c r="D6" s="511"/>
      <c r="E6" s="511"/>
      <c r="F6" s="511"/>
      <c r="G6" s="511"/>
      <c r="H6" s="511"/>
      <c r="I6" s="511"/>
      <c r="J6" s="511"/>
      <c r="K6" s="511"/>
      <c r="L6" s="511"/>
      <c r="M6" s="511"/>
      <c r="N6" s="511"/>
      <c r="O6" s="511"/>
      <c r="P6" s="511"/>
      <c r="Q6" s="511"/>
      <c r="R6" s="511"/>
      <c r="S6" s="511"/>
    </row>
    <row r="7" spans="2:19" s="343" customFormat="1" ht="24.75" customHeight="1">
      <c r="B7" s="496" t="s">
        <v>4</v>
      </c>
      <c r="C7" s="496"/>
      <c r="D7" s="496"/>
      <c r="E7" s="496"/>
      <c r="F7" s="496"/>
      <c r="G7" s="496"/>
      <c r="H7" s="496"/>
      <c r="I7" s="496"/>
      <c r="J7" s="496"/>
      <c r="K7" s="496"/>
      <c r="L7" s="496"/>
      <c r="M7" s="496"/>
      <c r="N7" s="496"/>
      <c r="O7" s="496"/>
      <c r="P7" s="496"/>
      <c r="Q7" s="348"/>
      <c r="R7" s="348"/>
      <c r="S7" s="348"/>
    </row>
    <row r="8" spans="2:19" s="343" customFormat="1" ht="24" customHeight="1">
      <c r="B8" s="514" t="s">
        <v>5</v>
      </c>
      <c r="C8" s="514"/>
      <c r="D8" s="512" t="s">
        <v>371</v>
      </c>
      <c r="E8" s="512"/>
      <c r="F8" s="512"/>
      <c r="G8" s="512"/>
      <c r="H8" s="349"/>
      <c r="I8" s="349"/>
      <c r="J8" s="349"/>
      <c r="K8" s="349"/>
      <c r="L8" s="349"/>
      <c r="M8" s="349"/>
      <c r="N8" s="349"/>
      <c r="O8" s="349"/>
      <c r="P8" s="349"/>
      <c r="Q8" s="349"/>
      <c r="R8" s="349"/>
      <c r="S8" s="349"/>
    </row>
    <row r="9" spans="2:19" s="343" customFormat="1" ht="24" customHeight="1">
      <c r="B9" s="514" t="s">
        <v>6</v>
      </c>
      <c r="C9" s="514"/>
      <c r="D9" s="512" t="s">
        <v>372</v>
      </c>
      <c r="E9" s="512"/>
      <c r="F9" s="512"/>
      <c r="G9" s="512"/>
      <c r="H9" s="349"/>
      <c r="I9" s="349"/>
      <c r="J9" s="349"/>
      <c r="K9" s="349"/>
      <c r="L9" s="349"/>
      <c r="M9" s="349"/>
      <c r="N9" s="349"/>
      <c r="O9" s="349"/>
      <c r="P9" s="349"/>
      <c r="Q9" s="349"/>
      <c r="R9" s="349"/>
      <c r="S9" s="349"/>
    </row>
    <row r="10" spans="2:19" s="343" customFormat="1" ht="24" customHeight="1">
      <c r="B10" s="514" t="s">
        <v>7</v>
      </c>
      <c r="C10" s="514"/>
      <c r="D10" s="512" t="s">
        <v>8</v>
      </c>
      <c r="E10" s="512"/>
      <c r="F10" s="512"/>
      <c r="G10" s="512"/>
      <c r="H10" s="349"/>
      <c r="I10" s="349"/>
      <c r="J10" s="349"/>
      <c r="K10" s="349"/>
      <c r="L10" s="349"/>
      <c r="M10" s="349"/>
      <c r="N10" s="349"/>
      <c r="O10" s="349"/>
      <c r="P10" s="349"/>
      <c r="Q10" s="349"/>
      <c r="R10" s="349"/>
      <c r="S10" s="349"/>
    </row>
    <row r="11" spans="2:19" s="343" customFormat="1" ht="24" customHeight="1">
      <c r="B11" s="514" t="s">
        <v>9</v>
      </c>
      <c r="C11" s="514"/>
      <c r="D11" s="512" t="s">
        <v>373</v>
      </c>
      <c r="E11" s="512"/>
      <c r="F11" s="512"/>
      <c r="G11" s="512"/>
      <c r="H11" s="349"/>
      <c r="I11" s="349"/>
      <c r="J11" s="349"/>
      <c r="K11" s="349"/>
      <c r="L11" s="349"/>
      <c r="M11" s="349"/>
      <c r="N11" s="349"/>
      <c r="O11" s="349"/>
      <c r="P11" s="349"/>
      <c r="Q11" s="349"/>
      <c r="R11" s="349"/>
      <c r="S11" s="349"/>
    </row>
    <row r="12" spans="2:19" s="343" customFormat="1" ht="24" customHeight="1">
      <c r="B12" s="514" t="s">
        <v>10</v>
      </c>
      <c r="C12" s="514"/>
      <c r="D12" s="512" t="s">
        <v>8</v>
      </c>
      <c r="E12" s="512"/>
      <c r="F12" s="512"/>
      <c r="G12" s="512"/>
      <c r="H12" s="349"/>
      <c r="I12" s="349"/>
      <c r="J12" s="349"/>
      <c r="K12" s="349"/>
      <c r="L12" s="349"/>
      <c r="M12" s="349"/>
      <c r="N12" s="349"/>
      <c r="O12" s="349"/>
      <c r="P12" s="349"/>
      <c r="Q12" s="349"/>
      <c r="R12" s="349"/>
      <c r="S12" s="349"/>
    </row>
    <row r="13" spans="2:19" s="345" customFormat="1" ht="52.15" customHeight="1">
      <c r="B13" s="350" t="s">
        <v>11</v>
      </c>
      <c r="C13" s="350" t="s">
        <v>12</v>
      </c>
      <c r="D13" s="350" t="s">
        <v>13</v>
      </c>
      <c r="E13" s="350" t="s">
        <v>14</v>
      </c>
      <c r="F13" s="350" t="s">
        <v>15</v>
      </c>
      <c r="G13" s="350" t="s">
        <v>16</v>
      </c>
      <c r="H13" s="350" t="s">
        <v>374</v>
      </c>
      <c r="I13" s="350" t="s">
        <v>18</v>
      </c>
      <c r="J13" s="350" t="s">
        <v>19</v>
      </c>
      <c r="K13" s="350" t="s">
        <v>20</v>
      </c>
      <c r="L13" s="350" t="s">
        <v>21</v>
      </c>
      <c r="M13" s="350" t="s">
        <v>22</v>
      </c>
      <c r="N13" s="350" t="s">
        <v>23</v>
      </c>
      <c r="O13" s="350" t="s">
        <v>24</v>
      </c>
      <c r="P13" s="350" t="s">
        <v>25</v>
      </c>
      <c r="Q13" s="350" t="s">
        <v>26</v>
      </c>
      <c r="R13" s="350" t="s">
        <v>27</v>
      </c>
      <c r="S13" s="355" t="s">
        <v>28</v>
      </c>
    </row>
    <row r="14" spans="2:19" ht="26.25" hidden="1" customHeight="1">
      <c r="B14" s="351">
        <v>1</v>
      </c>
      <c r="C14" s="351" t="s">
        <v>375</v>
      </c>
      <c r="D14" s="351" t="s">
        <v>314</v>
      </c>
      <c r="E14" s="351">
        <v>63</v>
      </c>
      <c r="F14" s="351">
        <v>85</v>
      </c>
      <c r="G14" s="351">
        <v>88</v>
      </c>
      <c r="H14" s="352">
        <f>(300+E14)/1000</f>
        <v>0.36299999999999999</v>
      </c>
      <c r="I14" s="352">
        <f>(1000+E14)/1000</f>
        <v>1.0629999999999999</v>
      </c>
      <c r="J14" s="351">
        <f>+I14*H14*G14</f>
        <v>33.956471999999998</v>
      </c>
      <c r="K14" s="351"/>
      <c r="L14" s="351"/>
      <c r="M14" s="351"/>
      <c r="N14" s="351"/>
      <c r="O14" s="351"/>
      <c r="P14" s="351"/>
      <c r="Q14" s="351"/>
      <c r="R14" s="351"/>
      <c r="S14" s="351"/>
    </row>
    <row r="15" spans="2:19" ht="26.25" hidden="1" customHeight="1">
      <c r="B15" s="351">
        <f>+B14+1</f>
        <v>2</v>
      </c>
      <c r="C15" s="351" t="s">
        <v>314</v>
      </c>
      <c r="D15" s="351" t="s">
        <v>249</v>
      </c>
      <c r="E15" s="351">
        <v>125</v>
      </c>
      <c r="F15" s="351">
        <v>106</v>
      </c>
      <c r="G15" s="351">
        <v>104.9</v>
      </c>
      <c r="H15" s="352">
        <f t="shared" ref="H15:H78" si="0">(300+E15)/1000</f>
        <v>0.42499999999999999</v>
      </c>
      <c r="I15" s="352">
        <f t="shared" ref="I15:I170" si="1">(1000+E15)/1000</f>
        <v>1.125</v>
      </c>
      <c r="J15" s="351">
        <f>+I15*H15*G15</f>
        <v>50.155312500000001</v>
      </c>
      <c r="K15" s="351"/>
      <c r="L15" s="351"/>
      <c r="M15" s="351"/>
      <c r="N15" s="351"/>
      <c r="O15" s="351"/>
      <c r="P15" s="351"/>
      <c r="Q15" s="351"/>
      <c r="R15" s="351"/>
      <c r="S15" s="351"/>
    </row>
    <row r="16" spans="2:19" ht="26.25" hidden="1" customHeight="1">
      <c r="B16" s="351">
        <f t="shared" ref="B16:B83" si="2">+B15+1</f>
        <v>3</v>
      </c>
      <c r="C16" s="351" t="s">
        <v>249</v>
      </c>
      <c r="D16" s="351" t="s">
        <v>250</v>
      </c>
      <c r="E16" s="351">
        <v>63</v>
      </c>
      <c r="F16" s="351">
        <v>25</v>
      </c>
      <c r="G16" s="353">
        <v>86.6</v>
      </c>
      <c r="H16" s="352">
        <f t="shared" si="0"/>
        <v>0.36299999999999999</v>
      </c>
      <c r="I16" s="352">
        <f t="shared" si="1"/>
        <v>1.0629999999999999</v>
      </c>
      <c r="J16" s="351">
        <f t="shared" ref="J16:J26" si="3">+I16*H16*G16</f>
        <v>33.416255399999997</v>
      </c>
      <c r="K16" s="351"/>
      <c r="L16" s="351"/>
      <c r="M16" s="351"/>
      <c r="N16" s="351"/>
      <c r="O16" s="351"/>
      <c r="P16" s="351"/>
      <c r="Q16" s="351"/>
      <c r="R16" s="351"/>
      <c r="S16" s="351"/>
    </row>
    <row r="17" spans="2:19" ht="26.25" hidden="1" customHeight="1">
      <c r="B17" s="351">
        <f t="shared" si="2"/>
        <v>4</v>
      </c>
      <c r="C17" s="351" t="s">
        <v>249</v>
      </c>
      <c r="D17" s="351" t="s">
        <v>362</v>
      </c>
      <c r="E17" s="351">
        <v>125</v>
      </c>
      <c r="F17" s="351">
        <v>81</v>
      </c>
      <c r="G17" s="353">
        <v>63.6</v>
      </c>
      <c r="H17" s="352">
        <f t="shared" si="0"/>
        <v>0.42499999999999999</v>
      </c>
      <c r="I17" s="352">
        <f t="shared" si="1"/>
        <v>1.125</v>
      </c>
      <c r="J17" s="351">
        <f t="shared" si="3"/>
        <v>30.408749999999998</v>
      </c>
      <c r="K17" s="351"/>
      <c r="L17" s="351"/>
      <c r="M17" s="351"/>
      <c r="N17" s="351"/>
      <c r="O17" s="351"/>
      <c r="P17" s="351"/>
      <c r="Q17" s="351"/>
      <c r="R17" s="351"/>
      <c r="S17" s="351"/>
    </row>
    <row r="18" spans="2:19" ht="26.25" hidden="1" customHeight="1">
      <c r="B18" s="351">
        <f t="shared" si="2"/>
        <v>5</v>
      </c>
      <c r="C18" s="351" t="s">
        <v>376</v>
      </c>
      <c r="D18" s="351" t="s">
        <v>108</v>
      </c>
      <c r="E18" s="351">
        <v>63</v>
      </c>
      <c r="F18" s="351">
        <v>72</v>
      </c>
      <c r="G18" s="353">
        <v>33.6</v>
      </c>
      <c r="H18" s="352">
        <f t="shared" si="0"/>
        <v>0.36299999999999999</v>
      </c>
      <c r="I18" s="352">
        <f t="shared" si="1"/>
        <v>1.0629999999999999</v>
      </c>
      <c r="J18" s="351">
        <f t="shared" si="3"/>
        <v>12.965198399999998</v>
      </c>
      <c r="K18" s="351"/>
      <c r="L18" s="351"/>
      <c r="M18" s="351"/>
      <c r="N18" s="351"/>
      <c r="O18" s="351"/>
      <c r="P18" s="351"/>
      <c r="Q18" s="351"/>
      <c r="R18" s="351"/>
      <c r="S18" s="351"/>
    </row>
    <row r="19" spans="2:19" ht="26.25" hidden="1" customHeight="1">
      <c r="B19" s="351">
        <f t="shared" si="2"/>
        <v>6</v>
      </c>
      <c r="C19" s="351" t="s">
        <v>306</v>
      </c>
      <c r="D19" s="351" t="s">
        <v>377</v>
      </c>
      <c r="E19" s="351">
        <v>63</v>
      </c>
      <c r="F19" s="351">
        <v>249</v>
      </c>
      <c r="G19" s="353">
        <v>95.6</v>
      </c>
      <c r="H19" s="352">
        <f t="shared" si="0"/>
        <v>0.36299999999999999</v>
      </c>
      <c r="I19" s="352">
        <f t="shared" si="1"/>
        <v>1.0629999999999999</v>
      </c>
      <c r="J19" s="351">
        <f t="shared" si="3"/>
        <v>36.889076399999993</v>
      </c>
      <c r="K19" s="351"/>
      <c r="L19" s="351"/>
      <c r="M19" s="351"/>
      <c r="N19" s="351"/>
      <c r="O19" s="351"/>
      <c r="P19" s="351"/>
      <c r="Q19" s="351"/>
      <c r="R19" s="351"/>
      <c r="S19" s="351"/>
    </row>
    <row r="20" spans="2:19" ht="26.25" hidden="1" customHeight="1">
      <c r="B20" s="351">
        <f t="shared" si="2"/>
        <v>7</v>
      </c>
      <c r="C20" s="351" t="s">
        <v>377</v>
      </c>
      <c r="D20" s="351" t="s">
        <v>378</v>
      </c>
      <c r="E20" s="351">
        <v>63</v>
      </c>
      <c r="F20" s="351"/>
      <c r="G20" s="347">
        <v>97.1</v>
      </c>
      <c r="H20" s="352">
        <f t="shared" si="0"/>
        <v>0.36299999999999999</v>
      </c>
      <c r="I20" s="352">
        <f t="shared" si="1"/>
        <v>1.0629999999999999</v>
      </c>
      <c r="J20" s="351">
        <f t="shared" si="3"/>
        <v>37.467879899999993</v>
      </c>
      <c r="K20" s="351"/>
      <c r="L20" s="351"/>
      <c r="M20" s="351"/>
      <c r="N20" s="351"/>
      <c r="O20" s="351"/>
      <c r="P20" s="351"/>
      <c r="Q20" s="351"/>
      <c r="R20" s="351"/>
      <c r="S20" s="351"/>
    </row>
    <row r="21" spans="2:19" ht="26.25" hidden="1" customHeight="1">
      <c r="B21" s="351">
        <f t="shared" si="2"/>
        <v>8</v>
      </c>
      <c r="C21" s="351" t="s">
        <v>235</v>
      </c>
      <c r="D21" s="351" t="s">
        <v>379</v>
      </c>
      <c r="E21" s="351">
        <v>63</v>
      </c>
      <c r="F21" s="524">
        <v>45</v>
      </c>
      <c r="G21" s="353">
        <v>24.9</v>
      </c>
      <c r="H21" s="352">
        <f t="shared" si="0"/>
        <v>0.36299999999999999</v>
      </c>
      <c r="I21" s="352">
        <f t="shared" si="1"/>
        <v>1.0629999999999999</v>
      </c>
      <c r="J21" s="351">
        <f t="shared" si="3"/>
        <v>9.6081380999999979</v>
      </c>
      <c r="K21" s="351"/>
      <c r="L21" s="351"/>
      <c r="M21" s="351"/>
      <c r="N21" s="351"/>
      <c r="O21" s="351"/>
      <c r="P21" s="351"/>
      <c r="Q21" s="351"/>
      <c r="R21" s="351"/>
      <c r="S21" s="351"/>
    </row>
    <row r="22" spans="2:19" ht="26.25" hidden="1" customHeight="1">
      <c r="B22" s="351">
        <f t="shared" si="2"/>
        <v>9</v>
      </c>
      <c r="C22" s="351" t="s">
        <v>379</v>
      </c>
      <c r="D22" s="351" t="s">
        <v>234</v>
      </c>
      <c r="E22" s="351">
        <v>63</v>
      </c>
      <c r="F22" s="525"/>
      <c r="G22" s="353">
        <v>15.7</v>
      </c>
      <c r="H22" s="352">
        <f t="shared" si="0"/>
        <v>0.36299999999999999</v>
      </c>
      <c r="I22" s="352">
        <f t="shared" si="1"/>
        <v>1.0629999999999999</v>
      </c>
      <c r="J22" s="351">
        <f t="shared" si="3"/>
        <v>6.0581432999999993</v>
      </c>
      <c r="K22" s="351"/>
      <c r="L22" s="351"/>
      <c r="M22" s="351"/>
      <c r="N22" s="351"/>
      <c r="O22" s="351"/>
      <c r="P22" s="351"/>
      <c r="Q22" s="351"/>
      <c r="R22" s="351"/>
      <c r="S22" s="351"/>
    </row>
    <row r="23" spans="2:19" ht="26.25" hidden="1" customHeight="1">
      <c r="B23" s="351">
        <f t="shared" si="2"/>
        <v>10</v>
      </c>
      <c r="C23" s="351" t="s">
        <v>234</v>
      </c>
      <c r="D23" s="351" t="s">
        <v>380</v>
      </c>
      <c r="E23" s="351">
        <v>63</v>
      </c>
      <c r="F23" s="351">
        <v>20</v>
      </c>
      <c r="G23" s="353">
        <v>12.9</v>
      </c>
      <c r="H23" s="352">
        <f t="shared" si="0"/>
        <v>0.36299999999999999</v>
      </c>
      <c r="I23" s="352">
        <f t="shared" ref="I23:I26" si="4">(1000+E23)/1000</f>
        <v>1.0629999999999999</v>
      </c>
      <c r="J23" s="351">
        <f t="shared" si="3"/>
        <v>4.9777100999999995</v>
      </c>
      <c r="K23" s="351"/>
      <c r="L23" s="351"/>
      <c r="M23" s="351"/>
      <c r="N23" s="351"/>
      <c r="O23" s="351"/>
      <c r="P23" s="351"/>
      <c r="Q23" s="351"/>
      <c r="R23" s="351"/>
      <c r="S23" s="351"/>
    </row>
    <row r="24" spans="2:19" ht="26.25" hidden="1" customHeight="1">
      <c r="B24" s="351">
        <f t="shared" si="2"/>
        <v>11</v>
      </c>
      <c r="C24" s="351" t="s">
        <v>380</v>
      </c>
      <c r="D24" s="351" t="s">
        <v>381</v>
      </c>
      <c r="E24" s="351">
        <v>63</v>
      </c>
      <c r="F24" s="351"/>
      <c r="G24" s="353">
        <v>38.799999999999997</v>
      </c>
      <c r="H24" s="352">
        <f t="shared" si="0"/>
        <v>0.36299999999999999</v>
      </c>
      <c r="I24" s="352">
        <f t="shared" si="4"/>
        <v>1.0629999999999999</v>
      </c>
      <c r="J24" s="351">
        <f t="shared" si="3"/>
        <v>14.971717199999997</v>
      </c>
      <c r="K24" s="351"/>
      <c r="L24" s="351"/>
      <c r="M24" s="351"/>
      <c r="N24" s="351"/>
      <c r="O24" s="351"/>
      <c r="P24" s="351"/>
      <c r="Q24" s="351"/>
      <c r="R24" s="351"/>
      <c r="S24" s="351"/>
    </row>
    <row r="25" spans="2:19" ht="26.25" hidden="1" customHeight="1">
      <c r="B25" s="351">
        <f t="shared" si="2"/>
        <v>12</v>
      </c>
      <c r="C25" s="351" t="s">
        <v>380</v>
      </c>
      <c r="D25" s="351" t="s">
        <v>338</v>
      </c>
      <c r="E25" s="351">
        <v>63</v>
      </c>
      <c r="F25" s="351">
        <v>21</v>
      </c>
      <c r="G25" s="353">
        <v>36.6</v>
      </c>
      <c r="H25" s="352">
        <f t="shared" si="0"/>
        <v>0.36299999999999999</v>
      </c>
      <c r="I25" s="352">
        <f t="shared" si="4"/>
        <v>1.0629999999999999</v>
      </c>
      <c r="J25" s="351">
        <f t="shared" si="3"/>
        <v>14.122805399999999</v>
      </c>
      <c r="K25" s="351"/>
      <c r="L25" s="351"/>
      <c r="M25" s="351"/>
      <c r="N25" s="351"/>
      <c r="O25" s="351"/>
      <c r="P25" s="351"/>
      <c r="Q25" s="351"/>
      <c r="R25" s="351"/>
      <c r="S25" s="351"/>
    </row>
    <row r="26" spans="2:19" ht="26.25" hidden="1" customHeight="1">
      <c r="B26" s="351">
        <f t="shared" si="2"/>
        <v>13</v>
      </c>
      <c r="C26" s="351" t="s">
        <v>240</v>
      </c>
      <c r="D26" s="351" t="s">
        <v>241</v>
      </c>
      <c r="E26" s="351">
        <v>63</v>
      </c>
      <c r="F26" s="351">
        <v>25</v>
      </c>
      <c r="G26" s="353">
        <v>31.3</v>
      </c>
      <c r="H26" s="352">
        <f t="shared" si="0"/>
        <v>0.36299999999999999</v>
      </c>
      <c r="I26" s="352">
        <f t="shared" si="4"/>
        <v>1.0629999999999999</v>
      </c>
      <c r="J26" s="351">
        <f t="shared" si="3"/>
        <v>12.077699699999998</v>
      </c>
      <c r="K26" s="351"/>
      <c r="L26" s="351"/>
      <c r="M26" s="351"/>
      <c r="N26" s="351"/>
      <c r="O26" s="351"/>
      <c r="P26" s="351"/>
      <c r="Q26" s="351"/>
      <c r="R26" s="351"/>
      <c r="S26" s="351"/>
    </row>
    <row r="27" spans="2:19" ht="26.25" hidden="1" customHeight="1">
      <c r="B27" s="351">
        <f t="shared" si="2"/>
        <v>14</v>
      </c>
      <c r="C27" s="351" t="s">
        <v>362</v>
      </c>
      <c r="D27" s="351" t="s">
        <v>382</v>
      </c>
      <c r="E27" s="351">
        <v>160</v>
      </c>
      <c r="F27" s="351">
        <v>83</v>
      </c>
      <c r="G27" s="353">
        <v>102.8</v>
      </c>
      <c r="H27" s="352">
        <f t="shared" si="0"/>
        <v>0.46</v>
      </c>
      <c r="I27" s="352">
        <f t="shared" si="1"/>
        <v>1.1599999999999999</v>
      </c>
      <c r="J27" s="351">
        <f t="shared" ref="J27:J92" si="5">+I27*H27*G27</f>
        <v>54.854079999999996</v>
      </c>
      <c r="K27" s="351" t="s">
        <v>199</v>
      </c>
      <c r="L27" s="351">
        <v>102.8</v>
      </c>
      <c r="M27" s="352">
        <f>(300+E27)/1000</f>
        <v>0.46</v>
      </c>
      <c r="N27" s="351">
        <f t="shared" ref="N27:N88" si="6">+M27*L27</f>
        <v>47.288000000000004</v>
      </c>
      <c r="O27" s="351"/>
      <c r="P27" s="352"/>
      <c r="Q27" s="351"/>
      <c r="R27" s="351"/>
      <c r="S27" s="351"/>
    </row>
    <row r="28" spans="2:19" ht="26.25" hidden="1" customHeight="1">
      <c r="B28" s="351">
        <f t="shared" si="2"/>
        <v>15</v>
      </c>
      <c r="C28" s="351" t="s">
        <v>382</v>
      </c>
      <c r="D28" s="351" t="s">
        <v>364</v>
      </c>
      <c r="E28" s="351">
        <v>63</v>
      </c>
      <c r="F28" s="351">
        <v>128</v>
      </c>
      <c r="G28" s="353">
        <v>166.8</v>
      </c>
      <c r="H28" s="352">
        <f t="shared" si="0"/>
        <v>0.36299999999999999</v>
      </c>
      <c r="I28" s="352">
        <f t="shared" si="1"/>
        <v>1.0629999999999999</v>
      </c>
      <c r="J28" s="351">
        <f t="shared" si="5"/>
        <v>64.362949200000003</v>
      </c>
      <c r="K28" s="351"/>
      <c r="L28" s="351"/>
      <c r="M28" s="352"/>
      <c r="N28" s="351"/>
      <c r="O28" s="351"/>
      <c r="P28" s="351"/>
      <c r="Q28" s="351"/>
      <c r="R28" s="351"/>
      <c r="S28" s="351"/>
    </row>
    <row r="29" spans="2:19" ht="26.25" hidden="1" customHeight="1">
      <c r="B29" s="351">
        <f t="shared" si="2"/>
        <v>16</v>
      </c>
      <c r="C29" s="351" t="s">
        <v>382</v>
      </c>
      <c r="D29" s="351" t="s">
        <v>356</v>
      </c>
      <c r="E29" s="351">
        <v>160</v>
      </c>
      <c r="F29" s="351">
        <v>144</v>
      </c>
      <c r="G29" s="353">
        <v>143.1</v>
      </c>
      <c r="H29" s="352">
        <f t="shared" si="0"/>
        <v>0.46</v>
      </c>
      <c r="I29" s="352">
        <f t="shared" si="1"/>
        <v>1.1599999999999999</v>
      </c>
      <c r="J29" s="351">
        <f t="shared" si="5"/>
        <v>76.358159999999998</v>
      </c>
      <c r="K29" s="351" t="s">
        <v>199</v>
      </c>
      <c r="L29" s="351">
        <v>143.1</v>
      </c>
      <c r="M29" s="352">
        <f t="shared" ref="M29:M90" si="7">(300+E29)/1000</f>
        <v>0.46</v>
      </c>
      <c r="N29" s="351">
        <f t="shared" si="6"/>
        <v>65.825999999999993</v>
      </c>
      <c r="O29" s="351"/>
      <c r="P29" s="352"/>
      <c r="Q29" s="351"/>
      <c r="R29" s="351"/>
      <c r="S29" s="351"/>
    </row>
    <row r="30" spans="2:19" ht="26.25" hidden="1" customHeight="1">
      <c r="B30" s="351">
        <f t="shared" si="2"/>
        <v>17</v>
      </c>
      <c r="C30" s="351" t="s">
        <v>356</v>
      </c>
      <c r="D30" s="351" t="s">
        <v>260</v>
      </c>
      <c r="E30" s="351">
        <v>160</v>
      </c>
      <c r="F30" s="351">
        <v>150</v>
      </c>
      <c r="G30" s="353">
        <v>157.80000000000001</v>
      </c>
      <c r="H30" s="352">
        <f t="shared" si="0"/>
        <v>0.46</v>
      </c>
      <c r="I30" s="352">
        <f t="shared" si="1"/>
        <v>1.1599999999999999</v>
      </c>
      <c r="J30" s="351">
        <f t="shared" si="5"/>
        <v>84.202079999999995</v>
      </c>
      <c r="K30" s="351"/>
      <c r="L30" s="351"/>
      <c r="M30" s="352"/>
      <c r="N30" s="351"/>
      <c r="O30" s="351"/>
      <c r="P30" s="351"/>
      <c r="Q30" s="351"/>
      <c r="R30" s="351"/>
      <c r="S30" s="351"/>
    </row>
    <row r="31" spans="2:19" ht="26.25" hidden="1" customHeight="1">
      <c r="B31" s="351">
        <f t="shared" si="2"/>
        <v>18</v>
      </c>
      <c r="C31" s="351" t="s">
        <v>260</v>
      </c>
      <c r="D31" s="351" t="s">
        <v>361</v>
      </c>
      <c r="E31" s="351">
        <v>140</v>
      </c>
      <c r="F31" s="524">
        <f>280+259</f>
        <v>539</v>
      </c>
      <c r="G31" s="353">
        <v>377.4</v>
      </c>
      <c r="H31" s="352">
        <f t="shared" si="0"/>
        <v>0.44</v>
      </c>
      <c r="I31" s="352">
        <f t="shared" si="1"/>
        <v>1.1399999999999999</v>
      </c>
      <c r="J31" s="351">
        <f t="shared" si="5"/>
        <v>189.30383999999995</v>
      </c>
      <c r="K31" s="351"/>
      <c r="L31" s="351"/>
      <c r="M31" s="352"/>
      <c r="N31" s="351"/>
      <c r="O31" s="351"/>
      <c r="P31" s="351"/>
      <c r="Q31" s="351"/>
      <c r="R31" s="351"/>
      <c r="S31" s="351"/>
    </row>
    <row r="32" spans="2:19" ht="26.25" hidden="1" customHeight="1">
      <c r="B32" s="351">
        <f t="shared" si="2"/>
        <v>19</v>
      </c>
      <c r="C32" s="351" t="s">
        <v>260</v>
      </c>
      <c r="D32" s="351" t="s">
        <v>361</v>
      </c>
      <c r="E32" s="351">
        <v>140</v>
      </c>
      <c r="F32" s="526"/>
      <c r="G32" s="353">
        <v>5.6</v>
      </c>
      <c r="H32" s="352">
        <f t="shared" si="0"/>
        <v>0.44</v>
      </c>
      <c r="I32" s="352">
        <f t="shared" si="1"/>
        <v>1.1399999999999999</v>
      </c>
      <c r="J32" s="351">
        <f t="shared" si="5"/>
        <v>2.8089599999999995</v>
      </c>
      <c r="K32" s="351"/>
      <c r="L32" s="351"/>
      <c r="M32" s="352"/>
      <c r="N32" s="351"/>
      <c r="O32" s="351"/>
      <c r="P32" s="351"/>
      <c r="Q32" s="351"/>
      <c r="R32" s="351"/>
      <c r="S32" s="351" t="s">
        <v>304</v>
      </c>
    </row>
    <row r="33" spans="2:19" ht="26.25" hidden="1" customHeight="1">
      <c r="B33" s="351">
        <f t="shared" si="2"/>
        <v>20</v>
      </c>
      <c r="C33" s="351" t="s">
        <v>260</v>
      </c>
      <c r="D33" s="351" t="s">
        <v>361</v>
      </c>
      <c r="E33" s="351">
        <v>140</v>
      </c>
      <c r="F33" s="525"/>
      <c r="G33" s="353">
        <v>159.19999999999999</v>
      </c>
      <c r="H33" s="352">
        <f t="shared" si="0"/>
        <v>0.44</v>
      </c>
      <c r="I33" s="352">
        <f t="shared" si="1"/>
        <v>1.1399999999999999</v>
      </c>
      <c r="J33" s="351">
        <f t="shared" si="5"/>
        <v>79.854719999999986</v>
      </c>
      <c r="K33" s="351"/>
      <c r="L33" s="351"/>
      <c r="M33" s="352"/>
      <c r="N33" s="351"/>
      <c r="O33" s="351"/>
      <c r="P33" s="351"/>
      <c r="Q33" s="351"/>
      <c r="R33" s="351"/>
      <c r="S33" s="351"/>
    </row>
    <row r="34" spans="2:19" ht="26.25" hidden="1" customHeight="1">
      <c r="B34" s="351">
        <f t="shared" si="2"/>
        <v>21</v>
      </c>
      <c r="C34" s="351" t="s">
        <v>361</v>
      </c>
      <c r="D34" s="351" t="s">
        <v>245</v>
      </c>
      <c r="E34" s="351">
        <v>125</v>
      </c>
      <c r="F34" s="524">
        <v>154</v>
      </c>
      <c r="G34" s="353">
        <v>3.8</v>
      </c>
      <c r="H34" s="352">
        <f t="shared" si="0"/>
        <v>0.42499999999999999</v>
      </c>
      <c r="I34" s="352">
        <f t="shared" si="1"/>
        <v>1.125</v>
      </c>
      <c r="J34" s="351">
        <f t="shared" si="5"/>
        <v>1.8168749999999998</v>
      </c>
      <c r="K34" s="351" t="s">
        <v>383</v>
      </c>
      <c r="L34" s="351">
        <v>3.8</v>
      </c>
      <c r="M34" s="352">
        <f t="shared" si="7"/>
        <v>0.42499999999999999</v>
      </c>
      <c r="N34" s="351">
        <f t="shared" si="6"/>
        <v>1.615</v>
      </c>
      <c r="O34" s="351"/>
      <c r="P34" s="352"/>
      <c r="Q34" s="351"/>
      <c r="R34" s="351"/>
      <c r="S34" s="351"/>
    </row>
    <row r="35" spans="2:19" ht="26.25" hidden="1" customHeight="1">
      <c r="B35" s="351">
        <f t="shared" si="2"/>
        <v>22</v>
      </c>
      <c r="C35" s="351" t="s">
        <v>361</v>
      </c>
      <c r="D35" s="351" t="s">
        <v>245</v>
      </c>
      <c r="E35" s="351">
        <v>125</v>
      </c>
      <c r="F35" s="525"/>
      <c r="G35" s="353">
        <v>157</v>
      </c>
      <c r="H35" s="352">
        <f t="shared" si="0"/>
        <v>0.42499999999999999</v>
      </c>
      <c r="I35" s="352">
        <f t="shared" si="1"/>
        <v>1.125</v>
      </c>
      <c r="J35" s="351">
        <f t="shared" si="5"/>
        <v>75.065624999999997</v>
      </c>
      <c r="K35" s="351"/>
      <c r="L35" s="351"/>
      <c r="M35" s="352"/>
      <c r="N35" s="351"/>
      <c r="O35" s="351"/>
      <c r="P35" s="351"/>
      <c r="Q35" s="351"/>
      <c r="R35" s="351"/>
      <c r="S35" s="351"/>
    </row>
    <row r="36" spans="2:19" ht="26.25" hidden="1" customHeight="1">
      <c r="B36" s="351">
        <f t="shared" si="2"/>
        <v>23</v>
      </c>
      <c r="C36" s="351" t="s">
        <v>245</v>
      </c>
      <c r="D36" s="351" t="s">
        <v>239</v>
      </c>
      <c r="E36" s="351">
        <v>75</v>
      </c>
      <c r="F36" s="351">
        <v>90</v>
      </c>
      <c r="G36" s="353">
        <v>63.2</v>
      </c>
      <c r="H36" s="352">
        <f t="shared" si="0"/>
        <v>0.375</v>
      </c>
      <c r="I36" s="352">
        <f t="shared" si="1"/>
        <v>1.075</v>
      </c>
      <c r="J36" s="351">
        <f t="shared" si="5"/>
        <v>25.477499999999999</v>
      </c>
      <c r="K36" s="351"/>
      <c r="L36" s="351"/>
      <c r="M36" s="352"/>
      <c r="N36" s="351"/>
      <c r="O36" s="351"/>
      <c r="P36" s="351"/>
      <c r="Q36" s="351"/>
      <c r="R36" s="351"/>
      <c r="S36" s="351"/>
    </row>
    <row r="37" spans="2:19" ht="26.25" hidden="1" customHeight="1">
      <c r="B37" s="351">
        <f t="shared" si="2"/>
        <v>24</v>
      </c>
      <c r="C37" s="351" t="s">
        <v>384</v>
      </c>
      <c r="D37" s="351" t="s">
        <v>385</v>
      </c>
      <c r="E37" s="351">
        <v>63</v>
      </c>
      <c r="F37" s="351"/>
      <c r="G37" s="353">
        <v>46.1</v>
      </c>
      <c r="H37" s="352">
        <f t="shared" si="0"/>
        <v>0.36299999999999999</v>
      </c>
      <c r="I37" s="352">
        <f t="shared" si="1"/>
        <v>1.0629999999999999</v>
      </c>
      <c r="J37" s="351">
        <f t="shared" si="5"/>
        <v>17.7885609</v>
      </c>
      <c r="K37" s="351"/>
      <c r="L37" s="351"/>
      <c r="M37" s="352"/>
      <c r="N37" s="351"/>
      <c r="O37" s="351"/>
      <c r="P37" s="351"/>
      <c r="Q37" s="351"/>
      <c r="R37" s="351"/>
      <c r="S37" s="351"/>
    </row>
    <row r="38" spans="2:19" ht="26.25" hidden="1" customHeight="1">
      <c r="B38" s="351">
        <f t="shared" si="2"/>
        <v>25</v>
      </c>
      <c r="C38" s="351" t="s">
        <v>361</v>
      </c>
      <c r="D38" s="351" t="s">
        <v>386</v>
      </c>
      <c r="E38" s="351">
        <v>125</v>
      </c>
      <c r="F38" s="351">
        <v>66</v>
      </c>
      <c r="G38" s="353">
        <v>67.599999999999994</v>
      </c>
      <c r="H38" s="352">
        <f t="shared" si="0"/>
        <v>0.42499999999999999</v>
      </c>
      <c r="I38" s="352">
        <f t="shared" si="1"/>
        <v>1.125</v>
      </c>
      <c r="J38" s="351">
        <f t="shared" si="5"/>
        <v>32.321249999999992</v>
      </c>
      <c r="K38" s="351"/>
      <c r="L38" s="351"/>
      <c r="M38" s="352"/>
      <c r="N38" s="351"/>
      <c r="O38" s="351"/>
      <c r="P38" s="351"/>
      <c r="Q38" s="351"/>
      <c r="R38" s="351"/>
      <c r="S38" s="351"/>
    </row>
    <row r="39" spans="2:19" ht="26.25" hidden="1" customHeight="1">
      <c r="B39" s="351">
        <f t="shared" si="2"/>
        <v>26</v>
      </c>
      <c r="C39" s="351" t="s">
        <v>386</v>
      </c>
      <c r="D39" s="351" t="s">
        <v>306</v>
      </c>
      <c r="E39" s="351">
        <v>125</v>
      </c>
      <c r="F39" s="351">
        <v>89</v>
      </c>
      <c r="G39" s="353">
        <v>89.1</v>
      </c>
      <c r="H39" s="352">
        <f t="shared" si="0"/>
        <v>0.42499999999999999</v>
      </c>
      <c r="I39" s="352">
        <f t="shared" si="1"/>
        <v>1.125</v>
      </c>
      <c r="J39" s="351">
        <f t="shared" si="5"/>
        <v>42.600937499999993</v>
      </c>
      <c r="K39" s="351"/>
      <c r="L39" s="351"/>
      <c r="M39" s="352"/>
      <c r="N39" s="351"/>
      <c r="O39" s="351"/>
      <c r="P39" s="351"/>
      <c r="Q39" s="351"/>
      <c r="R39" s="351"/>
      <c r="S39" s="351"/>
    </row>
    <row r="40" spans="2:19" ht="26.25" hidden="1" customHeight="1">
      <c r="B40" s="351">
        <f t="shared" si="2"/>
        <v>27</v>
      </c>
      <c r="C40" s="351" t="s">
        <v>386</v>
      </c>
      <c r="D40" s="351" t="s">
        <v>307</v>
      </c>
      <c r="E40" s="351">
        <v>90</v>
      </c>
      <c r="F40" s="524">
        <v>218</v>
      </c>
      <c r="G40" s="353">
        <v>98.2</v>
      </c>
      <c r="H40" s="352">
        <f t="shared" si="0"/>
        <v>0.39</v>
      </c>
      <c r="I40" s="352">
        <f t="shared" si="1"/>
        <v>1.0900000000000001</v>
      </c>
      <c r="J40" s="351">
        <f t="shared" si="5"/>
        <v>41.744820000000004</v>
      </c>
      <c r="K40" s="351" t="s">
        <v>383</v>
      </c>
      <c r="L40" s="351">
        <v>98.2</v>
      </c>
      <c r="M40" s="352">
        <f t="shared" si="7"/>
        <v>0.39</v>
      </c>
      <c r="N40" s="351">
        <f t="shared" si="6"/>
        <v>38.298000000000002</v>
      </c>
      <c r="O40" s="351"/>
      <c r="P40" s="352"/>
      <c r="Q40" s="351"/>
      <c r="R40" s="351"/>
      <c r="S40" s="351"/>
    </row>
    <row r="41" spans="2:19" ht="26.25" hidden="1" customHeight="1">
      <c r="B41" s="351">
        <f t="shared" si="2"/>
        <v>28</v>
      </c>
      <c r="C41" s="351" t="s">
        <v>386</v>
      </c>
      <c r="D41" s="351" t="s">
        <v>307</v>
      </c>
      <c r="E41" s="351">
        <v>90</v>
      </c>
      <c r="F41" s="526"/>
      <c r="G41" s="353">
        <v>88.1</v>
      </c>
      <c r="H41" s="352">
        <f t="shared" si="0"/>
        <v>0.39</v>
      </c>
      <c r="I41" s="352">
        <f t="shared" si="1"/>
        <v>1.0900000000000001</v>
      </c>
      <c r="J41" s="351">
        <f t="shared" si="5"/>
        <v>37.451309999999999</v>
      </c>
      <c r="K41" s="351" t="s">
        <v>383</v>
      </c>
      <c r="L41" s="351">
        <v>88.1</v>
      </c>
      <c r="M41" s="352">
        <f t="shared" si="7"/>
        <v>0.39</v>
      </c>
      <c r="N41" s="351">
        <f t="shared" si="6"/>
        <v>34.359000000000002</v>
      </c>
      <c r="O41" s="351"/>
      <c r="P41" s="352"/>
      <c r="Q41" s="351"/>
      <c r="R41" s="351"/>
      <c r="S41" s="351"/>
    </row>
    <row r="42" spans="2:19" ht="26.25" hidden="1" customHeight="1">
      <c r="B42" s="351">
        <f t="shared" si="2"/>
        <v>29</v>
      </c>
      <c r="C42" s="351" t="s">
        <v>386</v>
      </c>
      <c r="D42" s="351" t="s">
        <v>307</v>
      </c>
      <c r="E42" s="351">
        <v>90</v>
      </c>
      <c r="F42" s="525"/>
      <c r="G42" s="353">
        <v>43.1</v>
      </c>
      <c r="H42" s="352">
        <f t="shared" si="0"/>
        <v>0.39</v>
      </c>
      <c r="I42" s="352">
        <f>(900+E42)/1000</f>
        <v>0.99</v>
      </c>
      <c r="J42" s="351">
        <f t="shared" si="5"/>
        <v>16.640910000000002</v>
      </c>
      <c r="K42" s="353" t="s">
        <v>387</v>
      </c>
      <c r="L42" s="351">
        <v>43.1</v>
      </c>
      <c r="M42" s="352">
        <f t="shared" si="7"/>
        <v>0.39</v>
      </c>
      <c r="N42" s="351">
        <f t="shared" si="6"/>
        <v>16.809000000000001</v>
      </c>
      <c r="O42" s="351"/>
      <c r="P42" s="352"/>
      <c r="Q42" s="351"/>
      <c r="R42" s="351"/>
      <c r="S42" s="351"/>
    </row>
    <row r="43" spans="2:19" ht="26.25" hidden="1" customHeight="1">
      <c r="B43" s="351">
        <f t="shared" si="2"/>
        <v>30</v>
      </c>
      <c r="C43" s="351" t="s">
        <v>356</v>
      </c>
      <c r="D43" s="351" t="s">
        <v>315</v>
      </c>
      <c r="E43" s="351">
        <v>160</v>
      </c>
      <c r="F43" s="524">
        <v>115</v>
      </c>
      <c r="G43" s="353">
        <v>122.1</v>
      </c>
      <c r="H43" s="352">
        <f t="shared" si="0"/>
        <v>0.46</v>
      </c>
      <c r="I43" s="352">
        <f t="shared" si="1"/>
        <v>1.1599999999999999</v>
      </c>
      <c r="J43" s="351">
        <f t="shared" si="5"/>
        <v>65.152559999999994</v>
      </c>
      <c r="K43" s="351"/>
      <c r="L43" s="351"/>
      <c r="M43" s="352"/>
      <c r="N43" s="351"/>
      <c r="O43" s="351"/>
      <c r="P43" s="351"/>
      <c r="Q43" s="351"/>
      <c r="R43" s="351"/>
      <c r="S43" s="351"/>
    </row>
    <row r="44" spans="2:19" ht="26.25" hidden="1" customHeight="1">
      <c r="B44" s="351">
        <f t="shared" si="2"/>
        <v>31</v>
      </c>
      <c r="C44" s="351" t="s">
        <v>356</v>
      </c>
      <c r="D44" s="351" t="s">
        <v>388</v>
      </c>
      <c r="E44" s="351">
        <v>160</v>
      </c>
      <c r="F44" s="525"/>
      <c r="G44" s="353">
        <v>3</v>
      </c>
      <c r="H44" s="352">
        <f t="shared" si="0"/>
        <v>0.46</v>
      </c>
      <c r="I44" s="352">
        <f t="shared" si="1"/>
        <v>1.1599999999999999</v>
      </c>
      <c r="J44" s="351">
        <f t="shared" si="5"/>
        <v>1.6008</v>
      </c>
      <c r="K44" s="351" t="s">
        <v>383</v>
      </c>
      <c r="L44" s="351">
        <v>3</v>
      </c>
      <c r="M44" s="352">
        <f t="shared" si="7"/>
        <v>0.46</v>
      </c>
      <c r="N44" s="351">
        <f t="shared" si="6"/>
        <v>1.3800000000000001</v>
      </c>
      <c r="O44" s="351"/>
      <c r="P44" s="352"/>
      <c r="Q44" s="351"/>
      <c r="R44" s="351"/>
      <c r="S44" s="351"/>
    </row>
    <row r="45" spans="2:19" ht="26.25" hidden="1" customHeight="1">
      <c r="B45" s="351">
        <f t="shared" si="2"/>
        <v>32</v>
      </c>
      <c r="C45" s="351" t="s">
        <v>315</v>
      </c>
      <c r="D45" s="351" t="s">
        <v>389</v>
      </c>
      <c r="E45" s="351">
        <v>110</v>
      </c>
      <c r="F45" s="524">
        <f>28+85</f>
        <v>113</v>
      </c>
      <c r="G45" s="353">
        <v>68.2</v>
      </c>
      <c r="H45" s="352">
        <f t="shared" si="0"/>
        <v>0.41</v>
      </c>
      <c r="I45" s="352">
        <f t="shared" si="1"/>
        <v>1.1100000000000001</v>
      </c>
      <c r="J45" s="351">
        <f t="shared" si="5"/>
        <v>31.03782</v>
      </c>
      <c r="K45" s="351"/>
      <c r="L45" s="351"/>
      <c r="M45" s="352"/>
      <c r="N45" s="351"/>
      <c r="O45" s="351"/>
      <c r="P45" s="351"/>
      <c r="Q45" s="351"/>
      <c r="R45" s="351"/>
      <c r="S45" s="351"/>
    </row>
    <row r="46" spans="2:19" ht="26.25" hidden="1" customHeight="1">
      <c r="B46" s="351">
        <f t="shared" si="2"/>
        <v>33</v>
      </c>
      <c r="C46" s="351" t="s">
        <v>389</v>
      </c>
      <c r="D46" s="351" t="s">
        <v>390</v>
      </c>
      <c r="E46" s="351">
        <v>63</v>
      </c>
      <c r="F46" s="526"/>
      <c r="G46" s="353">
        <v>37.700000000000003</v>
      </c>
      <c r="H46" s="352">
        <f t="shared" si="0"/>
        <v>0.36299999999999999</v>
      </c>
      <c r="I46" s="352">
        <f t="shared" si="1"/>
        <v>1.0629999999999999</v>
      </c>
      <c r="J46" s="351">
        <f t="shared" si="5"/>
        <v>14.547261299999999</v>
      </c>
      <c r="K46" s="351"/>
      <c r="L46" s="351"/>
      <c r="M46" s="352"/>
      <c r="N46" s="351"/>
      <c r="O46" s="351"/>
      <c r="P46" s="351"/>
      <c r="Q46" s="351"/>
      <c r="R46" s="351"/>
      <c r="S46" s="351"/>
    </row>
    <row r="47" spans="2:19" ht="26.25" hidden="1" customHeight="1">
      <c r="B47" s="351">
        <f t="shared" si="2"/>
        <v>34</v>
      </c>
      <c r="C47" s="351" t="s">
        <v>389</v>
      </c>
      <c r="D47" s="351" t="s">
        <v>391</v>
      </c>
      <c r="E47" s="351">
        <v>110</v>
      </c>
      <c r="F47" s="525"/>
      <c r="G47" s="353">
        <v>45.1</v>
      </c>
      <c r="H47" s="352">
        <f t="shared" si="0"/>
        <v>0.41</v>
      </c>
      <c r="I47" s="352">
        <f t="shared" si="1"/>
        <v>1.1100000000000001</v>
      </c>
      <c r="J47" s="351">
        <f t="shared" si="5"/>
        <v>20.525010000000002</v>
      </c>
      <c r="K47" s="351"/>
      <c r="L47" s="351"/>
      <c r="M47" s="352"/>
      <c r="N47" s="351"/>
      <c r="O47" s="351"/>
      <c r="P47" s="351"/>
      <c r="Q47" s="351"/>
      <c r="R47" s="351"/>
      <c r="S47" s="351"/>
    </row>
    <row r="48" spans="2:19" ht="26.25" hidden="1" customHeight="1">
      <c r="B48" s="351">
        <f t="shared" si="2"/>
        <v>35</v>
      </c>
      <c r="C48" s="351" t="s">
        <v>391</v>
      </c>
      <c r="D48" s="351" t="s">
        <v>266</v>
      </c>
      <c r="E48" s="351">
        <v>63</v>
      </c>
      <c r="F48" s="351">
        <v>25</v>
      </c>
      <c r="G48" s="353">
        <v>14.1</v>
      </c>
      <c r="H48" s="352">
        <f t="shared" si="0"/>
        <v>0.36299999999999999</v>
      </c>
      <c r="I48" s="352">
        <f t="shared" si="1"/>
        <v>1.0629999999999999</v>
      </c>
      <c r="J48" s="351">
        <f t="shared" si="5"/>
        <v>5.4407528999999997</v>
      </c>
      <c r="K48" s="351"/>
      <c r="L48" s="351"/>
      <c r="M48" s="352"/>
      <c r="N48" s="351"/>
      <c r="O48" s="351"/>
      <c r="P48" s="351"/>
      <c r="Q48" s="351"/>
      <c r="R48" s="351"/>
      <c r="S48" s="351"/>
    </row>
    <row r="49" spans="2:19" ht="26.25" hidden="1" customHeight="1">
      <c r="B49" s="351">
        <f t="shared" si="2"/>
        <v>36</v>
      </c>
      <c r="C49" s="351" t="s">
        <v>391</v>
      </c>
      <c r="D49" s="351" t="s">
        <v>392</v>
      </c>
      <c r="E49" s="351">
        <v>110</v>
      </c>
      <c r="F49" s="351">
        <f>24+55</f>
        <v>79</v>
      </c>
      <c r="G49" s="353">
        <v>93.5</v>
      </c>
      <c r="H49" s="352">
        <f t="shared" si="0"/>
        <v>0.41</v>
      </c>
      <c r="I49" s="352">
        <f t="shared" si="1"/>
        <v>1.1100000000000001</v>
      </c>
      <c r="J49" s="351">
        <f t="shared" si="5"/>
        <v>42.551850000000002</v>
      </c>
      <c r="K49" s="351"/>
      <c r="L49" s="351"/>
      <c r="M49" s="352"/>
      <c r="N49" s="351"/>
      <c r="O49" s="351"/>
      <c r="P49" s="351"/>
      <c r="Q49" s="351"/>
      <c r="R49" s="351"/>
      <c r="S49" s="351"/>
    </row>
    <row r="50" spans="2:19" ht="26.25" hidden="1" customHeight="1">
      <c r="B50" s="351">
        <f t="shared" si="2"/>
        <v>37</v>
      </c>
      <c r="C50" s="351" t="s">
        <v>392</v>
      </c>
      <c r="D50" s="351" t="s">
        <v>247</v>
      </c>
      <c r="E50" s="351">
        <v>110</v>
      </c>
      <c r="F50" s="351">
        <v>60</v>
      </c>
      <c r="G50" s="353">
        <v>63</v>
      </c>
      <c r="H50" s="352">
        <f t="shared" si="0"/>
        <v>0.41</v>
      </c>
      <c r="I50" s="352">
        <f t="shared" si="1"/>
        <v>1.1100000000000001</v>
      </c>
      <c r="J50" s="351">
        <f t="shared" si="5"/>
        <v>28.671299999999999</v>
      </c>
      <c r="K50" s="351"/>
      <c r="L50" s="351"/>
      <c r="M50" s="352"/>
      <c r="N50" s="351"/>
      <c r="O50" s="351"/>
      <c r="P50" s="351"/>
      <c r="Q50" s="351"/>
      <c r="R50" s="351"/>
      <c r="S50" s="351"/>
    </row>
    <row r="51" spans="2:19" ht="26.25" hidden="1" customHeight="1">
      <c r="B51" s="351">
        <f t="shared" si="2"/>
        <v>38</v>
      </c>
      <c r="C51" s="351" t="s">
        <v>247</v>
      </c>
      <c r="D51" s="351" t="s">
        <v>393</v>
      </c>
      <c r="E51" s="351">
        <v>90</v>
      </c>
      <c r="F51" s="524">
        <v>90</v>
      </c>
      <c r="G51" s="353">
        <v>5.3</v>
      </c>
      <c r="H51" s="352">
        <f t="shared" si="0"/>
        <v>0.39</v>
      </c>
      <c r="I51" s="352">
        <f t="shared" si="1"/>
        <v>1.0900000000000001</v>
      </c>
      <c r="J51" s="351">
        <f t="shared" si="5"/>
        <v>2.2530300000000003</v>
      </c>
      <c r="K51" s="351" t="s">
        <v>199</v>
      </c>
      <c r="L51" s="351">
        <v>5.3</v>
      </c>
      <c r="M51" s="352">
        <f t="shared" si="7"/>
        <v>0.39</v>
      </c>
      <c r="N51" s="351">
        <f t="shared" si="6"/>
        <v>2.0670000000000002</v>
      </c>
      <c r="O51" s="351"/>
      <c r="P51" s="352"/>
      <c r="Q51" s="351"/>
      <c r="R51" s="351"/>
      <c r="S51" s="351"/>
    </row>
    <row r="52" spans="2:19" ht="26.25" hidden="1" customHeight="1">
      <c r="B52" s="351">
        <f t="shared" si="2"/>
        <v>39</v>
      </c>
      <c r="C52" s="351" t="s">
        <v>393</v>
      </c>
      <c r="D52" s="351" t="s">
        <v>248</v>
      </c>
      <c r="E52" s="351">
        <v>63</v>
      </c>
      <c r="F52" s="526"/>
      <c r="G52" s="353">
        <v>67.2</v>
      </c>
      <c r="H52" s="352">
        <f t="shared" si="0"/>
        <v>0.36299999999999999</v>
      </c>
      <c r="I52" s="352">
        <f t="shared" si="1"/>
        <v>1.0629999999999999</v>
      </c>
      <c r="J52" s="351">
        <f t="shared" si="5"/>
        <v>25.930396799999997</v>
      </c>
      <c r="K52" s="351" t="s">
        <v>199</v>
      </c>
      <c r="L52" s="351">
        <v>67.2</v>
      </c>
      <c r="M52" s="352">
        <f t="shared" si="7"/>
        <v>0.36299999999999999</v>
      </c>
      <c r="N52" s="351">
        <f t="shared" si="6"/>
        <v>24.393599999999999</v>
      </c>
      <c r="O52" s="351"/>
      <c r="P52" s="352"/>
      <c r="Q52" s="351"/>
      <c r="R52" s="351"/>
      <c r="S52" s="351"/>
    </row>
    <row r="53" spans="2:19" ht="26.25" hidden="1" customHeight="1">
      <c r="B53" s="351">
        <f t="shared" si="2"/>
        <v>40</v>
      </c>
      <c r="C53" s="351" t="s">
        <v>393</v>
      </c>
      <c r="D53" s="351" t="s">
        <v>248</v>
      </c>
      <c r="E53" s="351">
        <v>63</v>
      </c>
      <c r="F53" s="525"/>
      <c r="G53" s="353">
        <v>11.2</v>
      </c>
      <c r="H53" s="352">
        <f t="shared" si="0"/>
        <v>0.36299999999999999</v>
      </c>
      <c r="I53" s="352">
        <f t="shared" si="1"/>
        <v>1.0629999999999999</v>
      </c>
      <c r="J53" s="351">
        <f t="shared" si="5"/>
        <v>4.3217327999999995</v>
      </c>
      <c r="K53" s="351"/>
      <c r="L53" s="351"/>
      <c r="M53" s="352"/>
      <c r="N53" s="351"/>
      <c r="O53" s="351"/>
      <c r="P53" s="351"/>
      <c r="Q53" s="351"/>
      <c r="R53" s="351"/>
      <c r="S53" s="351"/>
    </row>
    <row r="54" spans="2:19" ht="26.25" hidden="1" customHeight="1">
      <c r="B54" s="351">
        <f t="shared" si="2"/>
        <v>41</v>
      </c>
      <c r="C54" s="351" t="s">
        <v>393</v>
      </c>
      <c r="D54" s="351" t="s">
        <v>394</v>
      </c>
      <c r="E54" s="351">
        <v>90</v>
      </c>
      <c r="F54" s="524">
        <v>132</v>
      </c>
      <c r="G54" s="353">
        <v>139.1</v>
      </c>
      <c r="H54" s="352">
        <f t="shared" si="0"/>
        <v>0.39</v>
      </c>
      <c r="I54" s="352">
        <f t="shared" si="1"/>
        <v>1.0900000000000001</v>
      </c>
      <c r="J54" s="351">
        <f t="shared" si="5"/>
        <v>59.131410000000002</v>
      </c>
      <c r="K54" s="351"/>
      <c r="L54" s="351"/>
      <c r="M54" s="352"/>
      <c r="N54" s="351"/>
      <c r="O54" s="351"/>
      <c r="P54" s="351"/>
      <c r="Q54" s="351"/>
      <c r="R54" s="351"/>
      <c r="S54" s="351"/>
    </row>
    <row r="55" spans="2:19" ht="26.25" hidden="1" customHeight="1">
      <c r="B55" s="351">
        <f t="shared" si="2"/>
        <v>42</v>
      </c>
      <c r="C55" s="351" t="s">
        <v>393</v>
      </c>
      <c r="D55" s="351" t="s">
        <v>394</v>
      </c>
      <c r="E55" s="351">
        <v>90</v>
      </c>
      <c r="F55" s="525"/>
      <c r="G55" s="353">
        <v>3</v>
      </c>
      <c r="H55" s="352">
        <f t="shared" si="0"/>
        <v>0.39</v>
      </c>
      <c r="I55" s="352">
        <f t="shared" si="1"/>
        <v>1.0900000000000001</v>
      </c>
      <c r="J55" s="351">
        <f t="shared" si="5"/>
        <v>1.2753000000000001</v>
      </c>
      <c r="K55" s="351" t="s">
        <v>199</v>
      </c>
      <c r="L55" s="351">
        <v>3</v>
      </c>
      <c r="M55" s="352">
        <f t="shared" si="7"/>
        <v>0.39</v>
      </c>
      <c r="N55" s="351">
        <f t="shared" si="6"/>
        <v>1.17</v>
      </c>
      <c r="O55" s="351"/>
      <c r="P55" s="352"/>
      <c r="Q55" s="351"/>
      <c r="R55" s="351"/>
      <c r="S55" s="351"/>
    </row>
    <row r="56" spans="2:19" ht="26.25" hidden="1" customHeight="1">
      <c r="B56" s="351">
        <f t="shared" si="2"/>
        <v>43</v>
      </c>
      <c r="C56" s="351" t="s">
        <v>394</v>
      </c>
      <c r="D56" s="351" t="s">
        <v>264</v>
      </c>
      <c r="E56" s="351">
        <v>63</v>
      </c>
      <c r="F56" s="351">
        <f>125+54</f>
        <v>179</v>
      </c>
      <c r="G56" s="353">
        <v>241.2</v>
      </c>
      <c r="H56" s="352">
        <f t="shared" si="0"/>
        <v>0.36299999999999999</v>
      </c>
      <c r="I56" s="352">
        <f t="shared" si="1"/>
        <v>1.0629999999999999</v>
      </c>
      <c r="J56" s="351">
        <f t="shared" si="5"/>
        <v>93.07160279999998</v>
      </c>
      <c r="K56" s="351"/>
      <c r="L56" s="351"/>
      <c r="M56" s="352"/>
      <c r="N56" s="351"/>
      <c r="O56" s="351"/>
      <c r="P56" s="351"/>
      <c r="Q56" s="351"/>
      <c r="R56" s="351"/>
      <c r="S56" s="351"/>
    </row>
    <row r="57" spans="2:19" ht="26.25" hidden="1" customHeight="1">
      <c r="B57" s="351">
        <f t="shared" si="2"/>
        <v>44</v>
      </c>
      <c r="C57" s="351" t="s">
        <v>247</v>
      </c>
      <c r="D57" s="351" t="s">
        <v>261</v>
      </c>
      <c r="E57" s="351">
        <v>90</v>
      </c>
      <c r="F57" s="351">
        <v>110</v>
      </c>
      <c r="G57" s="353">
        <v>115.9</v>
      </c>
      <c r="H57" s="352">
        <f t="shared" si="0"/>
        <v>0.39</v>
      </c>
      <c r="I57" s="352">
        <f t="shared" si="1"/>
        <v>1.0900000000000001</v>
      </c>
      <c r="J57" s="351">
        <f t="shared" si="5"/>
        <v>49.269090000000006</v>
      </c>
      <c r="K57" s="351"/>
      <c r="L57" s="351"/>
      <c r="M57" s="352"/>
      <c r="N57" s="351"/>
      <c r="O57" s="351"/>
      <c r="P57" s="351"/>
      <c r="Q57" s="351"/>
      <c r="R57" s="351"/>
      <c r="S57" s="351"/>
    </row>
    <row r="58" spans="2:19" ht="26.25" hidden="1" customHeight="1">
      <c r="B58" s="351">
        <f t="shared" si="2"/>
        <v>45</v>
      </c>
      <c r="C58" s="351" t="s">
        <v>261</v>
      </c>
      <c r="D58" s="351" t="s">
        <v>395</v>
      </c>
      <c r="E58" s="351">
        <v>63</v>
      </c>
      <c r="F58" s="524">
        <v>146</v>
      </c>
      <c r="G58" s="353">
        <v>3</v>
      </c>
      <c r="H58" s="352">
        <f t="shared" si="0"/>
        <v>0.36299999999999999</v>
      </c>
      <c r="I58" s="352">
        <f t="shared" si="1"/>
        <v>1.0629999999999999</v>
      </c>
      <c r="J58" s="351">
        <f t="shared" si="5"/>
        <v>1.1576069999999998</v>
      </c>
      <c r="K58" s="351" t="s">
        <v>199</v>
      </c>
      <c r="L58" s="351">
        <v>3</v>
      </c>
      <c r="M58" s="352">
        <f t="shared" si="7"/>
        <v>0.36299999999999999</v>
      </c>
      <c r="N58" s="351">
        <f t="shared" si="6"/>
        <v>1.089</v>
      </c>
      <c r="O58" s="351"/>
      <c r="P58" s="352"/>
      <c r="Q58" s="351"/>
      <c r="R58" s="351"/>
      <c r="S58" s="351"/>
    </row>
    <row r="59" spans="2:19" ht="26.25" hidden="1" customHeight="1">
      <c r="B59" s="351">
        <f t="shared" si="2"/>
        <v>46</v>
      </c>
      <c r="C59" s="351" t="s">
        <v>261</v>
      </c>
      <c r="D59" s="351" t="s">
        <v>395</v>
      </c>
      <c r="E59" s="351">
        <v>63</v>
      </c>
      <c r="F59" s="525"/>
      <c r="G59" s="353">
        <v>166.1</v>
      </c>
      <c r="H59" s="352">
        <f t="shared" si="0"/>
        <v>0.36299999999999999</v>
      </c>
      <c r="I59" s="352">
        <f>(1000+E59)/1000</f>
        <v>1.0629999999999999</v>
      </c>
      <c r="J59" s="351">
        <f t="shared" si="5"/>
        <v>64.092840899999985</v>
      </c>
      <c r="K59" s="351"/>
      <c r="L59" s="351"/>
      <c r="M59" s="352"/>
      <c r="N59" s="351"/>
      <c r="O59" s="351"/>
      <c r="P59" s="351"/>
      <c r="Q59" s="351"/>
      <c r="R59" s="351"/>
      <c r="S59" s="351"/>
    </row>
    <row r="60" spans="2:19" ht="26.25" hidden="1" customHeight="1">
      <c r="B60" s="351">
        <f t="shared" si="2"/>
        <v>47</v>
      </c>
      <c r="C60" s="351" t="s">
        <v>261</v>
      </c>
      <c r="D60" s="351" t="s">
        <v>252</v>
      </c>
      <c r="E60" s="351">
        <v>63</v>
      </c>
      <c r="F60" s="351">
        <v>19</v>
      </c>
      <c r="G60" s="353">
        <v>19.7</v>
      </c>
      <c r="H60" s="352">
        <f t="shared" si="0"/>
        <v>0.36299999999999999</v>
      </c>
      <c r="I60" s="352">
        <f t="shared" si="1"/>
        <v>1.0629999999999999</v>
      </c>
      <c r="J60" s="351">
        <f t="shared" si="5"/>
        <v>7.6016192999999994</v>
      </c>
      <c r="K60" s="351" t="s">
        <v>199</v>
      </c>
      <c r="L60" s="351">
        <v>19.7</v>
      </c>
      <c r="M60" s="352">
        <f t="shared" si="7"/>
        <v>0.36299999999999999</v>
      </c>
      <c r="N60" s="351">
        <f t="shared" si="6"/>
        <v>7.1510999999999996</v>
      </c>
      <c r="O60" s="351"/>
      <c r="P60" s="352"/>
      <c r="Q60" s="351"/>
      <c r="R60" s="351"/>
      <c r="S60" s="351"/>
    </row>
    <row r="61" spans="2:19" ht="26.25" hidden="1" customHeight="1">
      <c r="B61" s="351">
        <f t="shared" si="2"/>
        <v>48</v>
      </c>
      <c r="C61" s="351" t="s">
        <v>252</v>
      </c>
      <c r="D61" s="351" t="s">
        <v>396</v>
      </c>
      <c r="E61" s="351">
        <v>63</v>
      </c>
      <c r="F61" s="351">
        <v>53</v>
      </c>
      <c r="G61" s="353">
        <v>57.4</v>
      </c>
      <c r="H61" s="352">
        <f t="shared" si="0"/>
        <v>0.36299999999999999</v>
      </c>
      <c r="I61" s="352">
        <f t="shared" si="1"/>
        <v>1.0629999999999999</v>
      </c>
      <c r="J61" s="351">
        <f t="shared" si="5"/>
        <v>22.148880599999998</v>
      </c>
      <c r="K61" s="351"/>
      <c r="L61" s="351"/>
      <c r="M61" s="352"/>
      <c r="N61" s="351"/>
      <c r="O61" s="351"/>
      <c r="P61" s="351"/>
      <c r="Q61" s="351"/>
      <c r="R61" s="351"/>
      <c r="S61" s="351"/>
    </row>
    <row r="62" spans="2:19" ht="26.25" hidden="1" customHeight="1">
      <c r="B62" s="351">
        <f t="shared" si="2"/>
        <v>49</v>
      </c>
      <c r="C62" s="351" t="s">
        <v>396</v>
      </c>
      <c r="D62" s="351" t="s">
        <v>198</v>
      </c>
      <c r="E62" s="351">
        <v>63</v>
      </c>
      <c r="F62" s="351">
        <v>50</v>
      </c>
      <c r="G62" s="353">
        <v>48.8</v>
      </c>
      <c r="H62" s="352">
        <f t="shared" si="0"/>
        <v>0.36299999999999999</v>
      </c>
      <c r="I62" s="352">
        <f t="shared" si="1"/>
        <v>1.0629999999999999</v>
      </c>
      <c r="J62" s="351">
        <f t="shared" si="5"/>
        <v>18.830407199999996</v>
      </c>
      <c r="K62" s="351"/>
      <c r="L62" s="351"/>
      <c r="M62" s="352"/>
      <c r="N62" s="351"/>
      <c r="O62" s="351"/>
      <c r="P62" s="351"/>
      <c r="Q62" s="351"/>
      <c r="R62" s="351"/>
      <c r="S62" s="351"/>
    </row>
    <row r="63" spans="2:19" ht="26.25" hidden="1" customHeight="1">
      <c r="B63" s="351">
        <f t="shared" si="2"/>
        <v>50</v>
      </c>
      <c r="C63" s="351" t="s">
        <v>396</v>
      </c>
      <c r="D63" s="351" t="s">
        <v>275</v>
      </c>
      <c r="E63" s="351">
        <v>63</v>
      </c>
      <c r="F63" s="351">
        <v>60</v>
      </c>
      <c r="G63" s="353">
        <v>59.8</v>
      </c>
      <c r="H63" s="352">
        <f t="shared" si="0"/>
        <v>0.36299999999999999</v>
      </c>
      <c r="I63" s="352">
        <f t="shared" si="1"/>
        <v>1.0629999999999999</v>
      </c>
      <c r="J63" s="351">
        <f t="shared" si="5"/>
        <v>23.074966199999995</v>
      </c>
      <c r="K63" s="351"/>
      <c r="L63" s="351"/>
      <c r="M63" s="352"/>
      <c r="N63" s="351"/>
      <c r="O63" s="351"/>
      <c r="P63" s="351"/>
      <c r="Q63" s="351"/>
      <c r="R63" s="351"/>
      <c r="S63" s="351"/>
    </row>
    <row r="64" spans="2:19" ht="26.25" hidden="1" customHeight="1">
      <c r="B64" s="351">
        <f t="shared" si="2"/>
        <v>51</v>
      </c>
      <c r="C64" s="351" t="s">
        <v>275</v>
      </c>
      <c r="D64" s="351" t="s">
        <v>397</v>
      </c>
      <c r="E64" s="351">
        <v>63</v>
      </c>
      <c r="F64" s="524">
        <v>124</v>
      </c>
      <c r="G64" s="353">
        <v>2.7</v>
      </c>
      <c r="H64" s="352">
        <f t="shared" si="0"/>
        <v>0.36299999999999999</v>
      </c>
      <c r="I64" s="352">
        <f t="shared" si="1"/>
        <v>1.0629999999999999</v>
      </c>
      <c r="J64" s="351">
        <f t="shared" si="5"/>
        <v>1.0418463</v>
      </c>
      <c r="K64" s="351"/>
      <c r="L64" s="351"/>
      <c r="M64" s="352"/>
      <c r="N64" s="351"/>
      <c r="O64" s="351"/>
      <c r="P64" s="351"/>
      <c r="Q64" s="351"/>
      <c r="R64" s="351"/>
      <c r="S64" s="351"/>
    </row>
    <row r="65" spans="2:19" ht="26.25" hidden="1" customHeight="1">
      <c r="B65" s="351">
        <f t="shared" si="2"/>
        <v>52</v>
      </c>
      <c r="C65" s="351" t="s">
        <v>397</v>
      </c>
      <c r="D65" s="351" t="s">
        <v>271</v>
      </c>
      <c r="E65" s="351">
        <v>63</v>
      </c>
      <c r="F65" s="525"/>
      <c r="G65" s="353">
        <v>155.80000000000001</v>
      </c>
      <c r="H65" s="352">
        <f t="shared" si="0"/>
        <v>0.36299999999999999</v>
      </c>
      <c r="I65" s="352">
        <f t="shared" si="1"/>
        <v>1.0629999999999999</v>
      </c>
      <c r="J65" s="351">
        <f t="shared" si="5"/>
        <v>60.1183902</v>
      </c>
      <c r="K65" s="351"/>
      <c r="L65" s="351"/>
      <c r="M65" s="352"/>
      <c r="N65" s="351"/>
      <c r="O65" s="351"/>
      <c r="P65" s="351"/>
      <c r="Q65" s="351"/>
      <c r="R65" s="351"/>
      <c r="S65" s="351"/>
    </row>
    <row r="66" spans="2:19" ht="26.25" hidden="1" customHeight="1">
      <c r="B66" s="351">
        <f t="shared" si="2"/>
        <v>53</v>
      </c>
      <c r="C66" s="351" t="s">
        <v>397</v>
      </c>
      <c r="D66" s="351" t="s">
        <v>274</v>
      </c>
      <c r="E66" s="351">
        <v>63</v>
      </c>
      <c r="F66" s="351">
        <f>402+37</f>
        <v>439</v>
      </c>
      <c r="G66" s="353">
        <v>470.2</v>
      </c>
      <c r="H66" s="352">
        <f t="shared" si="0"/>
        <v>0.36299999999999999</v>
      </c>
      <c r="I66" s="352">
        <f t="shared" si="1"/>
        <v>1.0629999999999999</v>
      </c>
      <c r="J66" s="351">
        <f t="shared" si="5"/>
        <v>181.43560379999997</v>
      </c>
      <c r="K66" s="351"/>
      <c r="L66" s="351"/>
      <c r="M66" s="352"/>
      <c r="N66" s="351"/>
      <c r="O66" s="351"/>
      <c r="P66" s="351"/>
      <c r="Q66" s="351"/>
      <c r="R66" s="351"/>
      <c r="S66" s="351"/>
    </row>
    <row r="67" spans="2:19" ht="26.25" hidden="1" customHeight="1">
      <c r="B67" s="351">
        <f t="shared" si="2"/>
        <v>54</v>
      </c>
      <c r="C67" s="351" t="s">
        <v>398</v>
      </c>
      <c r="D67" s="351" t="s">
        <v>399</v>
      </c>
      <c r="E67" s="351">
        <v>63</v>
      </c>
      <c r="F67" s="524">
        <f>154+61</f>
        <v>215</v>
      </c>
      <c r="G67" s="353">
        <v>74.099999999999994</v>
      </c>
      <c r="H67" s="352">
        <f t="shared" si="0"/>
        <v>0.36299999999999999</v>
      </c>
      <c r="I67" s="352">
        <f t="shared" si="1"/>
        <v>1.0629999999999999</v>
      </c>
      <c r="J67" s="351">
        <f t="shared" si="5"/>
        <v>28.592892899999995</v>
      </c>
      <c r="K67" s="351"/>
      <c r="L67" s="351"/>
      <c r="M67" s="352"/>
      <c r="N67" s="351"/>
      <c r="O67" s="351"/>
      <c r="P67" s="351"/>
      <c r="Q67" s="351"/>
      <c r="R67" s="351"/>
      <c r="S67" s="351"/>
    </row>
    <row r="68" spans="2:19" ht="26.25" hidden="1" customHeight="1">
      <c r="B68" s="351">
        <f t="shared" si="2"/>
        <v>55</v>
      </c>
      <c r="C68" s="351" t="s">
        <v>398</v>
      </c>
      <c r="D68" s="351" t="s">
        <v>399</v>
      </c>
      <c r="E68" s="351">
        <v>63</v>
      </c>
      <c r="F68" s="526"/>
      <c r="G68" s="353">
        <v>5.2</v>
      </c>
      <c r="H68" s="352">
        <f t="shared" si="0"/>
        <v>0.36299999999999999</v>
      </c>
      <c r="I68" s="352">
        <f t="shared" si="1"/>
        <v>1.0629999999999999</v>
      </c>
      <c r="J68" s="351">
        <f t="shared" si="5"/>
        <v>2.0065187999999998</v>
      </c>
      <c r="K68" s="351"/>
      <c r="L68" s="351"/>
      <c r="M68" s="352"/>
      <c r="N68" s="351"/>
      <c r="O68" s="351"/>
      <c r="P68" s="351"/>
      <c r="Q68" s="351"/>
      <c r="R68" s="351"/>
      <c r="S68" s="351" t="s">
        <v>304</v>
      </c>
    </row>
    <row r="69" spans="2:19" ht="26.25" hidden="1" customHeight="1">
      <c r="B69" s="351">
        <f t="shared" si="2"/>
        <v>56</v>
      </c>
      <c r="C69" s="351" t="s">
        <v>398</v>
      </c>
      <c r="D69" s="351" t="s">
        <v>399</v>
      </c>
      <c r="E69" s="351">
        <v>63</v>
      </c>
      <c r="F69" s="525"/>
      <c r="G69" s="353">
        <v>141.80000000000001</v>
      </c>
      <c r="H69" s="352">
        <f t="shared" si="0"/>
        <v>0.36299999999999999</v>
      </c>
      <c r="I69" s="352">
        <f t="shared" si="1"/>
        <v>1.0629999999999999</v>
      </c>
      <c r="J69" s="351">
        <f t="shared" si="5"/>
        <v>54.716224199999999</v>
      </c>
      <c r="K69" s="351"/>
      <c r="L69" s="351"/>
      <c r="M69" s="352"/>
      <c r="N69" s="351"/>
      <c r="O69" s="351"/>
      <c r="P69" s="351"/>
      <c r="Q69" s="351"/>
      <c r="R69" s="351"/>
      <c r="S69" s="351"/>
    </row>
    <row r="70" spans="2:19" ht="26.25" hidden="1" customHeight="1">
      <c r="B70" s="351">
        <f t="shared" si="2"/>
        <v>57</v>
      </c>
      <c r="C70" s="351" t="s">
        <v>399</v>
      </c>
      <c r="D70" s="351" t="s">
        <v>400</v>
      </c>
      <c r="E70" s="351">
        <v>63</v>
      </c>
      <c r="F70" s="351">
        <v>94</v>
      </c>
      <c r="G70" s="353">
        <v>98.9</v>
      </c>
      <c r="H70" s="352">
        <f t="shared" si="0"/>
        <v>0.36299999999999999</v>
      </c>
      <c r="I70" s="352">
        <f t="shared" si="1"/>
        <v>1.0629999999999999</v>
      </c>
      <c r="J70" s="351">
        <f t="shared" si="5"/>
        <v>38.162444100000002</v>
      </c>
      <c r="K70" s="351"/>
      <c r="L70" s="351"/>
      <c r="M70" s="352"/>
      <c r="N70" s="351"/>
      <c r="O70" s="351"/>
      <c r="P70" s="351"/>
      <c r="Q70" s="351"/>
      <c r="R70" s="351"/>
      <c r="S70" s="351"/>
    </row>
    <row r="71" spans="2:19" ht="26.25" hidden="1" customHeight="1">
      <c r="B71" s="351">
        <f t="shared" si="2"/>
        <v>58</v>
      </c>
      <c r="C71" s="351" t="s">
        <v>400</v>
      </c>
      <c r="D71" s="351" t="s">
        <v>284</v>
      </c>
      <c r="E71" s="351">
        <v>63</v>
      </c>
      <c r="F71" s="524">
        <f>162+58</f>
        <v>220</v>
      </c>
      <c r="G71" s="353">
        <v>11.2</v>
      </c>
      <c r="H71" s="352">
        <f t="shared" si="0"/>
        <v>0.36299999999999999</v>
      </c>
      <c r="I71" s="352">
        <f t="shared" si="1"/>
        <v>1.0629999999999999</v>
      </c>
      <c r="J71" s="351">
        <f t="shared" si="5"/>
        <v>4.3217327999999995</v>
      </c>
      <c r="K71" s="351"/>
      <c r="L71" s="351"/>
      <c r="M71" s="352"/>
      <c r="N71" s="351"/>
      <c r="O71" s="351"/>
      <c r="P71" s="351"/>
      <c r="Q71" s="351"/>
      <c r="R71" s="351"/>
      <c r="S71" s="351"/>
    </row>
    <row r="72" spans="2:19" ht="26.25" hidden="1" customHeight="1">
      <c r="B72" s="351">
        <f t="shared" si="2"/>
        <v>59</v>
      </c>
      <c r="C72" s="351" t="s">
        <v>400</v>
      </c>
      <c r="D72" s="351" t="s">
        <v>284</v>
      </c>
      <c r="E72" s="351">
        <v>63</v>
      </c>
      <c r="F72" s="526"/>
      <c r="G72" s="353">
        <v>122.5</v>
      </c>
      <c r="H72" s="352">
        <f t="shared" si="0"/>
        <v>0.36299999999999999</v>
      </c>
      <c r="I72" s="352">
        <f t="shared" si="1"/>
        <v>1.0629999999999999</v>
      </c>
      <c r="J72" s="351">
        <f t="shared" si="5"/>
        <v>47.268952499999997</v>
      </c>
      <c r="K72" s="353" t="s">
        <v>199</v>
      </c>
      <c r="L72" s="351">
        <v>122.5</v>
      </c>
      <c r="M72" s="352">
        <f t="shared" si="7"/>
        <v>0.36299999999999999</v>
      </c>
      <c r="N72" s="351">
        <f t="shared" si="6"/>
        <v>44.467500000000001</v>
      </c>
      <c r="O72" s="351"/>
      <c r="P72" s="352"/>
      <c r="Q72" s="351"/>
      <c r="R72" s="351"/>
      <c r="S72" s="351"/>
    </row>
    <row r="73" spans="2:19" ht="26.25" hidden="1" customHeight="1">
      <c r="B73" s="351">
        <f t="shared" si="2"/>
        <v>60</v>
      </c>
      <c r="C73" s="351" t="s">
        <v>401</v>
      </c>
      <c r="D73" s="351" t="s">
        <v>283</v>
      </c>
      <c r="E73" s="351">
        <v>63</v>
      </c>
      <c r="F73" s="526"/>
      <c r="G73" s="353">
        <v>109.8</v>
      </c>
      <c r="H73" s="352">
        <f t="shared" si="0"/>
        <v>0.36299999999999999</v>
      </c>
      <c r="I73" s="352">
        <f t="shared" si="1"/>
        <v>1.0629999999999999</v>
      </c>
      <c r="J73" s="351">
        <f t="shared" si="5"/>
        <v>42.368416199999992</v>
      </c>
      <c r="K73" s="351"/>
      <c r="L73" s="351"/>
      <c r="M73" s="352"/>
      <c r="N73" s="351"/>
      <c r="O73" s="351"/>
      <c r="P73" s="351"/>
      <c r="Q73" s="351"/>
      <c r="R73" s="351"/>
      <c r="S73" s="351"/>
    </row>
    <row r="74" spans="2:19" ht="26.25" hidden="1" customHeight="1">
      <c r="B74" s="351">
        <f t="shared" si="2"/>
        <v>61</v>
      </c>
      <c r="C74" s="351" t="s">
        <v>401</v>
      </c>
      <c r="D74" s="351" t="s">
        <v>283</v>
      </c>
      <c r="E74" s="351">
        <v>63</v>
      </c>
      <c r="F74" s="526"/>
      <c r="G74" s="353">
        <f>14.9+10</f>
        <v>24.9</v>
      </c>
      <c r="H74" s="352">
        <f t="shared" si="0"/>
        <v>0.36299999999999999</v>
      </c>
      <c r="I74" s="352">
        <f t="shared" si="1"/>
        <v>1.0629999999999999</v>
      </c>
      <c r="J74" s="351">
        <f t="shared" si="5"/>
        <v>9.6081380999999979</v>
      </c>
      <c r="K74" s="351" t="s">
        <v>199</v>
      </c>
      <c r="L74" s="351">
        <v>24.9</v>
      </c>
      <c r="M74" s="352">
        <f t="shared" si="7"/>
        <v>0.36299999999999999</v>
      </c>
      <c r="N74" s="351">
        <f t="shared" si="6"/>
        <v>9.0386999999999986</v>
      </c>
      <c r="O74" s="351"/>
      <c r="P74" s="352"/>
      <c r="Q74" s="351"/>
      <c r="R74" s="351"/>
      <c r="S74" s="351"/>
    </row>
    <row r="75" spans="2:19" ht="26.25" hidden="1" customHeight="1">
      <c r="B75" s="351">
        <f t="shared" si="2"/>
        <v>62</v>
      </c>
      <c r="C75" s="351" t="s">
        <v>284</v>
      </c>
      <c r="D75" s="351" t="s">
        <v>401</v>
      </c>
      <c r="E75" s="351">
        <v>63</v>
      </c>
      <c r="F75" s="525"/>
      <c r="G75" s="353">
        <v>19.8</v>
      </c>
      <c r="H75" s="352">
        <f t="shared" si="0"/>
        <v>0.36299999999999999</v>
      </c>
      <c r="I75" s="352">
        <f t="shared" si="1"/>
        <v>1.0629999999999999</v>
      </c>
      <c r="J75" s="351">
        <f t="shared" si="5"/>
        <v>7.6402061999999997</v>
      </c>
      <c r="K75" s="351"/>
      <c r="L75" s="351"/>
      <c r="M75" s="352"/>
      <c r="N75" s="351"/>
      <c r="O75" s="351"/>
      <c r="P75" s="351"/>
      <c r="Q75" s="351"/>
      <c r="R75" s="351"/>
      <c r="S75" s="351"/>
    </row>
    <row r="76" spans="2:19" ht="26.25" hidden="1" customHeight="1">
      <c r="B76" s="351">
        <f t="shared" si="2"/>
        <v>63</v>
      </c>
      <c r="C76" s="351" t="s">
        <v>400</v>
      </c>
      <c r="D76" s="351" t="s">
        <v>357</v>
      </c>
      <c r="E76" s="351">
        <v>125</v>
      </c>
      <c r="F76" s="351">
        <v>112</v>
      </c>
      <c r="G76" s="353">
        <v>118.7</v>
      </c>
      <c r="H76" s="352">
        <f t="shared" si="0"/>
        <v>0.42499999999999999</v>
      </c>
      <c r="I76" s="352">
        <f t="shared" si="1"/>
        <v>1.125</v>
      </c>
      <c r="J76" s="351">
        <f t="shared" si="5"/>
        <v>56.753437499999997</v>
      </c>
      <c r="K76" s="351"/>
      <c r="L76" s="351"/>
      <c r="M76" s="352"/>
      <c r="N76" s="351"/>
      <c r="O76" s="351"/>
      <c r="P76" s="351"/>
      <c r="Q76" s="351"/>
      <c r="R76" s="351"/>
      <c r="S76" s="351"/>
    </row>
    <row r="77" spans="2:19" ht="26.25" hidden="1" customHeight="1">
      <c r="B77" s="351">
        <f t="shared" si="2"/>
        <v>64</v>
      </c>
      <c r="C77" s="351" t="s">
        <v>357</v>
      </c>
      <c r="D77" s="351" t="s">
        <v>402</v>
      </c>
      <c r="E77" s="351">
        <v>125</v>
      </c>
      <c r="F77" s="524">
        <v>110</v>
      </c>
      <c r="G77" s="353">
        <v>3</v>
      </c>
      <c r="H77" s="352">
        <f t="shared" si="0"/>
        <v>0.42499999999999999</v>
      </c>
      <c r="I77" s="352">
        <f t="shared" si="1"/>
        <v>1.125</v>
      </c>
      <c r="J77" s="351">
        <f t="shared" si="5"/>
        <v>1.434375</v>
      </c>
      <c r="K77" s="351" t="s">
        <v>383</v>
      </c>
      <c r="L77" s="351">
        <v>3</v>
      </c>
      <c r="M77" s="352">
        <f t="shared" si="7"/>
        <v>0.42499999999999999</v>
      </c>
      <c r="N77" s="351">
        <f t="shared" si="6"/>
        <v>1.2749999999999999</v>
      </c>
      <c r="O77" s="351"/>
      <c r="P77" s="352"/>
      <c r="Q77" s="351"/>
      <c r="R77" s="351"/>
      <c r="S77" s="351"/>
    </row>
    <row r="78" spans="2:19" ht="26.25" hidden="1" customHeight="1">
      <c r="B78" s="351">
        <f t="shared" si="2"/>
        <v>65</v>
      </c>
      <c r="C78" s="351" t="s">
        <v>357</v>
      </c>
      <c r="D78" s="351" t="s">
        <v>402</v>
      </c>
      <c r="E78" s="351">
        <v>125</v>
      </c>
      <c r="F78" s="525"/>
      <c r="G78" s="353">
        <v>1.7</v>
      </c>
      <c r="H78" s="352">
        <f t="shared" si="0"/>
        <v>0.42499999999999999</v>
      </c>
      <c r="I78" s="352">
        <f t="shared" si="1"/>
        <v>1.125</v>
      </c>
      <c r="J78" s="351">
        <f t="shared" si="5"/>
        <v>0.81281249999999994</v>
      </c>
      <c r="K78" s="351"/>
      <c r="L78" s="351"/>
      <c r="M78" s="352"/>
      <c r="N78" s="351"/>
      <c r="O78" s="351"/>
      <c r="P78" s="351"/>
      <c r="Q78" s="351"/>
      <c r="R78" s="351"/>
      <c r="S78" s="351"/>
    </row>
    <row r="79" spans="2:19" ht="26.25" hidden="1" customHeight="1">
      <c r="B79" s="351">
        <f t="shared" si="2"/>
        <v>66</v>
      </c>
      <c r="C79" s="351" t="s">
        <v>357</v>
      </c>
      <c r="D79" s="351" t="s">
        <v>356</v>
      </c>
      <c r="E79" s="351">
        <v>160</v>
      </c>
      <c r="F79" s="524">
        <v>128</v>
      </c>
      <c r="G79" s="353">
        <v>129.1</v>
      </c>
      <c r="H79" s="352">
        <f t="shared" ref="H79:H142" si="8">(300+E79)/1000</f>
        <v>0.46</v>
      </c>
      <c r="I79" s="352">
        <f t="shared" si="1"/>
        <v>1.1599999999999999</v>
      </c>
      <c r="J79" s="351">
        <f t="shared" si="5"/>
        <v>68.887759999999986</v>
      </c>
      <c r="K79" s="351"/>
      <c r="L79" s="351"/>
      <c r="M79" s="352"/>
      <c r="N79" s="351"/>
      <c r="O79" s="351"/>
      <c r="P79" s="351"/>
      <c r="Q79" s="351"/>
      <c r="R79" s="351"/>
      <c r="S79" s="351"/>
    </row>
    <row r="80" spans="2:19" ht="26.25" hidden="1" customHeight="1">
      <c r="B80" s="351">
        <f t="shared" si="2"/>
        <v>67</v>
      </c>
      <c r="C80" s="351" t="s">
        <v>357</v>
      </c>
      <c r="D80" s="351" t="s">
        <v>356</v>
      </c>
      <c r="E80" s="351">
        <v>160</v>
      </c>
      <c r="F80" s="525"/>
      <c r="G80" s="353">
        <v>4</v>
      </c>
      <c r="H80" s="352">
        <f t="shared" si="8"/>
        <v>0.46</v>
      </c>
      <c r="I80" s="352">
        <f t="shared" si="1"/>
        <v>1.1599999999999999</v>
      </c>
      <c r="J80" s="351">
        <f t="shared" si="5"/>
        <v>2.1343999999999999</v>
      </c>
      <c r="K80" s="351" t="s">
        <v>383</v>
      </c>
      <c r="L80" s="351">
        <v>4</v>
      </c>
      <c r="M80" s="352">
        <f t="shared" si="7"/>
        <v>0.46</v>
      </c>
      <c r="N80" s="351">
        <f t="shared" si="6"/>
        <v>1.84</v>
      </c>
      <c r="O80" s="351"/>
      <c r="P80" s="352"/>
      <c r="Q80" s="351"/>
      <c r="R80" s="351"/>
      <c r="S80" s="351"/>
    </row>
    <row r="81" spans="2:19" ht="26.25" customHeight="1">
      <c r="B81" s="351">
        <f t="shared" si="2"/>
        <v>68</v>
      </c>
      <c r="C81" s="351" t="s">
        <v>315</v>
      </c>
      <c r="D81" s="351" t="s">
        <v>403</v>
      </c>
      <c r="E81" s="351">
        <v>63</v>
      </c>
      <c r="F81" s="524">
        <v>68</v>
      </c>
      <c r="G81" s="353">
        <v>73.099999999999994</v>
      </c>
      <c r="H81" s="352">
        <f t="shared" si="8"/>
        <v>0.36299999999999999</v>
      </c>
      <c r="I81" s="352">
        <v>0.92</v>
      </c>
      <c r="J81" s="351">
        <f t="shared" si="5"/>
        <v>24.412475999999998</v>
      </c>
      <c r="K81" s="353" t="s">
        <v>301</v>
      </c>
      <c r="L81" s="351">
        <v>73.099999999999994</v>
      </c>
      <c r="M81" s="352">
        <v>0.46</v>
      </c>
      <c r="N81" s="351">
        <f t="shared" si="6"/>
        <v>33.625999999999998</v>
      </c>
      <c r="O81" s="351"/>
      <c r="P81" s="352"/>
      <c r="Q81" s="351"/>
      <c r="R81" s="351"/>
      <c r="S81" s="351"/>
    </row>
    <row r="82" spans="2:19" ht="26.25" customHeight="1">
      <c r="B82" s="351">
        <f t="shared" si="2"/>
        <v>69</v>
      </c>
      <c r="C82" s="351" t="s">
        <v>315</v>
      </c>
      <c r="D82" s="351" t="s">
        <v>403</v>
      </c>
      <c r="E82" s="351">
        <v>63</v>
      </c>
      <c r="F82" s="525"/>
      <c r="G82" s="353">
        <v>3.2</v>
      </c>
      <c r="H82" s="352">
        <f t="shared" si="8"/>
        <v>0.36299999999999999</v>
      </c>
      <c r="I82" s="352">
        <f t="shared" si="1"/>
        <v>1.0629999999999999</v>
      </c>
      <c r="J82" s="351">
        <f t="shared" si="5"/>
        <v>1.2347808</v>
      </c>
      <c r="K82" s="351" t="s">
        <v>301</v>
      </c>
      <c r="L82" s="351">
        <v>3.2</v>
      </c>
      <c r="M82" s="352">
        <v>0.46</v>
      </c>
      <c r="N82" s="351">
        <f t="shared" si="6"/>
        <v>1.4720000000000002</v>
      </c>
      <c r="O82" s="351"/>
      <c r="P82" s="352"/>
      <c r="Q82" s="351"/>
      <c r="R82" s="351"/>
      <c r="S82" s="351"/>
    </row>
    <row r="83" spans="2:19" ht="26.25" customHeight="1">
      <c r="B83" s="351">
        <f t="shared" si="2"/>
        <v>70</v>
      </c>
      <c r="C83" s="351" t="s">
        <v>403</v>
      </c>
      <c r="D83" s="351" t="s">
        <v>277</v>
      </c>
      <c r="E83" s="351">
        <v>63</v>
      </c>
      <c r="F83" s="524">
        <v>77</v>
      </c>
      <c r="G83" s="353">
        <v>43.2</v>
      </c>
      <c r="H83" s="352">
        <f t="shared" si="8"/>
        <v>0.36299999999999999</v>
      </c>
      <c r="I83" s="352">
        <f t="shared" si="1"/>
        <v>1.0629999999999999</v>
      </c>
      <c r="J83" s="351">
        <f t="shared" si="5"/>
        <v>16.6695408</v>
      </c>
      <c r="K83" s="351" t="s">
        <v>301</v>
      </c>
      <c r="L83" s="351">
        <v>43.2</v>
      </c>
      <c r="M83" s="352">
        <v>0.46</v>
      </c>
      <c r="N83" s="351">
        <f t="shared" si="6"/>
        <v>19.872000000000003</v>
      </c>
      <c r="O83" s="351"/>
      <c r="P83" s="352"/>
      <c r="Q83" s="351"/>
      <c r="R83" s="351"/>
      <c r="S83" s="351"/>
    </row>
    <row r="84" spans="2:19" ht="26.25" hidden="1" customHeight="1">
      <c r="B84" s="351">
        <f t="shared" ref="B84:B141" si="9">+B83+1</f>
        <v>71</v>
      </c>
      <c r="C84" s="351" t="s">
        <v>403</v>
      </c>
      <c r="D84" s="351" t="s">
        <v>277</v>
      </c>
      <c r="E84" s="351">
        <v>63</v>
      </c>
      <c r="F84" s="525"/>
      <c r="G84" s="353">
        <v>6.9</v>
      </c>
      <c r="H84" s="352">
        <f t="shared" si="8"/>
        <v>0.36299999999999999</v>
      </c>
      <c r="I84" s="352">
        <f t="shared" si="1"/>
        <v>1.0629999999999999</v>
      </c>
      <c r="J84" s="351">
        <f t="shared" ref="J84:J145" si="10">+I84*H84*G84</f>
        <v>2.6624960999999998</v>
      </c>
      <c r="K84" s="351"/>
      <c r="L84" s="351"/>
      <c r="M84" s="352"/>
      <c r="N84" s="351"/>
      <c r="O84" s="351"/>
      <c r="P84" s="351"/>
      <c r="Q84" s="351"/>
      <c r="R84" s="351"/>
      <c r="S84" s="351"/>
    </row>
    <row r="85" spans="2:19" ht="26.25" customHeight="1">
      <c r="B85" s="351">
        <f t="shared" si="9"/>
        <v>72</v>
      </c>
      <c r="C85" s="351" t="s">
        <v>403</v>
      </c>
      <c r="D85" s="351" t="s">
        <v>265</v>
      </c>
      <c r="E85" s="351">
        <v>63</v>
      </c>
      <c r="F85" s="354">
        <f>32+106</f>
        <v>138</v>
      </c>
      <c r="G85" s="353">
        <v>140.9</v>
      </c>
      <c r="H85" s="352">
        <f t="shared" si="8"/>
        <v>0.36299999999999999</v>
      </c>
      <c r="I85" s="352">
        <f t="shared" si="1"/>
        <v>1.0629999999999999</v>
      </c>
      <c r="J85" s="351">
        <f t="shared" si="5"/>
        <v>54.368942099999998</v>
      </c>
      <c r="K85" s="351" t="s">
        <v>301</v>
      </c>
      <c r="L85" s="351">
        <v>140.9</v>
      </c>
      <c r="M85" s="352">
        <v>0.46</v>
      </c>
      <c r="N85" s="351">
        <f t="shared" si="6"/>
        <v>64.814000000000007</v>
      </c>
      <c r="O85" s="351"/>
      <c r="P85" s="352"/>
      <c r="Q85" s="351"/>
      <c r="R85" s="351"/>
      <c r="S85" s="351"/>
    </row>
    <row r="86" spans="2:19" ht="26.25" hidden="1" customHeight="1">
      <c r="B86" s="351">
        <f t="shared" si="9"/>
        <v>73</v>
      </c>
      <c r="C86" s="351" t="s">
        <v>392</v>
      </c>
      <c r="D86" s="351" t="s">
        <v>265</v>
      </c>
      <c r="E86" s="351">
        <v>63</v>
      </c>
      <c r="F86" s="524">
        <v>106</v>
      </c>
      <c r="G86" s="353">
        <v>108.1</v>
      </c>
      <c r="H86" s="352">
        <f t="shared" si="8"/>
        <v>0.36299999999999999</v>
      </c>
      <c r="I86" s="352">
        <f t="shared" si="1"/>
        <v>1.0629999999999999</v>
      </c>
      <c r="J86" s="351">
        <f t="shared" si="10"/>
        <v>41.712438899999995</v>
      </c>
      <c r="K86" s="351"/>
      <c r="L86" s="351"/>
      <c r="M86" s="352"/>
      <c r="N86" s="351"/>
      <c r="O86" s="351"/>
      <c r="P86" s="351"/>
      <c r="Q86" s="351"/>
      <c r="R86" s="351"/>
      <c r="S86" s="351"/>
    </row>
    <row r="87" spans="2:19" ht="26.25" hidden="1" customHeight="1">
      <c r="B87" s="351">
        <f t="shared" si="9"/>
        <v>74</v>
      </c>
      <c r="C87" s="351" t="s">
        <v>392</v>
      </c>
      <c r="D87" s="351" t="s">
        <v>265</v>
      </c>
      <c r="E87" s="351">
        <v>63</v>
      </c>
      <c r="F87" s="525"/>
      <c r="G87" s="353">
        <v>1.8</v>
      </c>
      <c r="H87" s="352">
        <f t="shared" si="8"/>
        <v>0.36299999999999999</v>
      </c>
      <c r="I87" s="352">
        <f t="shared" si="1"/>
        <v>1.0629999999999999</v>
      </c>
      <c r="J87" s="351">
        <f t="shared" si="5"/>
        <v>0.69456419999999996</v>
      </c>
      <c r="K87" s="351" t="s">
        <v>199</v>
      </c>
      <c r="L87" s="351">
        <v>1.8</v>
      </c>
      <c r="M87" s="352">
        <f t="shared" si="7"/>
        <v>0.36299999999999999</v>
      </c>
      <c r="N87" s="351">
        <f t="shared" si="6"/>
        <v>0.65339999999999998</v>
      </c>
      <c r="O87" s="351"/>
      <c r="P87" s="352"/>
      <c r="Q87" s="351"/>
      <c r="R87" s="351"/>
      <c r="S87" s="351"/>
    </row>
    <row r="88" spans="2:19" ht="26.25" hidden="1" customHeight="1">
      <c r="B88" s="351">
        <f t="shared" si="9"/>
        <v>75</v>
      </c>
      <c r="C88" s="351" t="s">
        <v>265</v>
      </c>
      <c r="D88" s="351" t="s">
        <v>317</v>
      </c>
      <c r="E88" s="351">
        <v>63</v>
      </c>
      <c r="F88" s="354">
        <v>58</v>
      </c>
      <c r="G88" s="353">
        <v>60.1</v>
      </c>
      <c r="H88" s="352">
        <f t="shared" si="8"/>
        <v>0.36299999999999999</v>
      </c>
      <c r="I88" s="352">
        <f t="shared" si="1"/>
        <v>1.0629999999999999</v>
      </c>
      <c r="J88" s="351">
        <f t="shared" si="5"/>
        <v>23.190726899999998</v>
      </c>
      <c r="K88" s="351" t="s">
        <v>199</v>
      </c>
      <c r="L88" s="351">
        <v>60.1</v>
      </c>
      <c r="M88" s="352">
        <f t="shared" si="7"/>
        <v>0.36299999999999999</v>
      </c>
      <c r="N88" s="351">
        <f t="shared" si="6"/>
        <v>21.816299999999998</v>
      </c>
      <c r="O88" s="351"/>
      <c r="P88" s="352"/>
      <c r="Q88" s="351"/>
      <c r="R88" s="351"/>
      <c r="S88" s="351"/>
    </row>
    <row r="89" spans="2:19" ht="26.25" hidden="1" customHeight="1">
      <c r="B89" s="351">
        <f t="shared" si="9"/>
        <v>76</v>
      </c>
      <c r="C89" s="351" t="s">
        <v>317</v>
      </c>
      <c r="D89" s="351" t="s">
        <v>318</v>
      </c>
      <c r="E89" s="351">
        <v>63</v>
      </c>
      <c r="F89" s="351">
        <f>16+14</f>
        <v>30</v>
      </c>
      <c r="G89" s="353">
        <v>33.4</v>
      </c>
      <c r="H89" s="352">
        <f t="shared" si="8"/>
        <v>0.36299999999999999</v>
      </c>
      <c r="I89" s="352">
        <f t="shared" si="1"/>
        <v>1.0629999999999999</v>
      </c>
      <c r="J89" s="351">
        <f t="shared" si="5"/>
        <v>12.888024599999998</v>
      </c>
      <c r="K89" s="351" t="s">
        <v>199</v>
      </c>
      <c r="L89" s="351">
        <v>33.4</v>
      </c>
      <c r="M89" s="352">
        <f t="shared" si="7"/>
        <v>0.36299999999999999</v>
      </c>
      <c r="N89" s="351">
        <f t="shared" ref="N89:N90" si="11">+M89*L89</f>
        <v>12.124199999999998</v>
      </c>
      <c r="O89" s="351"/>
      <c r="P89" s="352"/>
      <c r="Q89" s="351"/>
      <c r="R89" s="351"/>
      <c r="S89" s="351"/>
    </row>
    <row r="90" spans="2:19" ht="26.25" hidden="1" customHeight="1">
      <c r="B90" s="351">
        <f t="shared" si="9"/>
        <v>77</v>
      </c>
      <c r="C90" s="351" t="s">
        <v>318</v>
      </c>
      <c r="D90" s="351" t="s">
        <v>252</v>
      </c>
      <c r="E90" s="351">
        <v>63</v>
      </c>
      <c r="F90" s="524">
        <v>57</v>
      </c>
      <c r="G90" s="353">
        <v>7.4</v>
      </c>
      <c r="H90" s="352">
        <f t="shared" si="8"/>
        <v>0.36299999999999999</v>
      </c>
      <c r="I90" s="352">
        <f t="shared" si="1"/>
        <v>1.0629999999999999</v>
      </c>
      <c r="J90" s="351">
        <f t="shared" si="5"/>
        <v>2.8554306</v>
      </c>
      <c r="K90" s="351" t="s">
        <v>199</v>
      </c>
      <c r="L90" s="351">
        <v>7.4</v>
      </c>
      <c r="M90" s="352">
        <f t="shared" si="7"/>
        <v>0.36299999999999999</v>
      </c>
      <c r="N90" s="351">
        <f t="shared" si="11"/>
        <v>2.6861999999999999</v>
      </c>
      <c r="O90" s="351"/>
      <c r="P90" s="352"/>
      <c r="Q90" s="351"/>
      <c r="R90" s="351"/>
      <c r="S90" s="351"/>
    </row>
    <row r="91" spans="2:19" ht="26.25" hidden="1" customHeight="1">
      <c r="B91" s="351">
        <f t="shared" si="9"/>
        <v>78</v>
      </c>
      <c r="C91" s="351" t="s">
        <v>318</v>
      </c>
      <c r="D91" s="351" t="s">
        <v>252</v>
      </c>
      <c r="E91" s="351">
        <v>63</v>
      </c>
      <c r="F91" s="525"/>
      <c r="G91" s="353">
        <v>49.6</v>
      </c>
      <c r="H91" s="352">
        <f t="shared" si="8"/>
        <v>0.36299999999999999</v>
      </c>
      <c r="I91" s="352">
        <f t="shared" si="1"/>
        <v>1.0629999999999999</v>
      </c>
      <c r="J91" s="351">
        <f t="shared" si="10"/>
        <v>19.139102399999999</v>
      </c>
      <c r="K91" s="351"/>
      <c r="L91" s="351"/>
      <c r="M91" s="352"/>
      <c r="N91" s="351"/>
      <c r="O91" s="351"/>
      <c r="P91" s="351"/>
      <c r="Q91" s="351"/>
      <c r="R91" s="351"/>
      <c r="S91" s="351"/>
    </row>
    <row r="92" spans="2:19" ht="26.25" hidden="1" customHeight="1">
      <c r="B92" s="351">
        <f t="shared" si="9"/>
        <v>79</v>
      </c>
      <c r="C92" s="351" t="s">
        <v>318</v>
      </c>
      <c r="D92" s="351" t="s">
        <v>319</v>
      </c>
      <c r="E92" s="351">
        <v>63</v>
      </c>
      <c r="F92" s="524">
        <v>18</v>
      </c>
      <c r="G92" s="353">
        <v>2.4</v>
      </c>
      <c r="H92" s="352">
        <f t="shared" si="8"/>
        <v>0.36299999999999999</v>
      </c>
      <c r="I92" s="352">
        <f t="shared" si="1"/>
        <v>1.0629999999999999</v>
      </c>
      <c r="J92" s="351">
        <f t="shared" si="5"/>
        <v>0.92608559999999984</v>
      </c>
      <c r="K92" s="351" t="s">
        <v>199</v>
      </c>
      <c r="L92" s="351">
        <v>2.4</v>
      </c>
      <c r="M92" s="352">
        <f t="shared" ref="M92:M151" si="12">(300+E92)/1000</f>
        <v>0.36299999999999999</v>
      </c>
      <c r="N92" s="351">
        <f t="shared" ref="N92:N145" si="13">+M92*L92</f>
        <v>0.87119999999999997</v>
      </c>
      <c r="O92" s="351"/>
      <c r="P92" s="352"/>
      <c r="Q92" s="351"/>
      <c r="R92" s="351"/>
      <c r="S92" s="351"/>
    </row>
    <row r="93" spans="2:19" ht="26.25" hidden="1" customHeight="1">
      <c r="B93" s="351">
        <f t="shared" si="9"/>
        <v>80</v>
      </c>
      <c r="C93" s="351" t="s">
        <v>318</v>
      </c>
      <c r="D93" s="351" t="s">
        <v>319</v>
      </c>
      <c r="E93" s="351">
        <v>63</v>
      </c>
      <c r="F93" s="525"/>
      <c r="G93" s="353">
        <v>62.8</v>
      </c>
      <c r="H93" s="352">
        <f t="shared" si="8"/>
        <v>0.36299999999999999</v>
      </c>
      <c r="I93" s="352">
        <f t="shared" si="1"/>
        <v>1.0629999999999999</v>
      </c>
      <c r="J93" s="351">
        <f t="shared" si="10"/>
        <v>24.232573199999997</v>
      </c>
      <c r="K93" s="351"/>
      <c r="L93" s="351"/>
      <c r="M93" s="352"/>
      <c r="N93" s="351"/>
      <c r="O93" s="351"/>
      <c r="P93" s="351"/>
      <c r="Q93" s="351"/>
      <c r="R93" s="351"/>
      <c r="S93" s="351"/>
    </row>
    <row r="94" spans="2:19" ht="26.25" hidden="1" customHeight="1">
      <c r="B94" s="351">
        <f t="shared" si="9"/>
        <v>81</v>
      </c>
      <c r="C94" s="351" t="s">
        <v>319</v>
      </c>
      <c r="D94" s="351" t="s">
        <v>404</v>
      </c>
      <c r="E94" s="351">
        <v>63</v>
      </c>
      <c r="F94" s="351"/>
      <c r="G94" s="353">
        <v>11.4</v>
      </c>
      <c r="H94" s="352">
        <f t="shared" si="8"/>
        <v>0.36299999999999999</v>
      </c>
      <c r="I94" s="352">
        <f t="shared" si="1"/>
        <v>1.0629999999999999</v>
      </c>
      <c r="J94" s="351">
        <f t="shared" si="10"/>
        <v>4.3989066000000001</v>
      </c>
      <c r="K94" s="351"/>
      <c r="L94" s="351"/>
      <c r="M94" s="352"/>
      <c r="N94" s="351"/>
      <c r="O94" s="351"/>
      <c r="P94" s="351"/>
      <c r="Q94" s="351"/>
      <c r="R94" s="351"/>
      <c r="S94" s="351"/>
    </row>
    <row r="95" spans="2:19" ht="26.25" hidden="1" customHeight="1">
      <c r="B95" s="351">
        <f t="shared" si="9"/>
        <v>82</v>
      </c>
      <c r="C95" s="351" t="s">
        <v>319</v>
      </c>
      <c r="D95" s="351" t="s">
        <v>405</v>
      </c>
      <c r="E95" s="351">
        <v>63</v>
      </c>
      <c r="F95" s="351"/>
      <c r="G95" s="353">
        <v>15.5</v>
      </c>
      <c r="H95" s="352">
        <f t="shared" si="8"/>
        <v>0.36299999999999999</v>
      </c>
      <c r="I95" s="352">
        <f t="shared" si="1"/>
        <v>1.0629999999999999</v>
      </c>
      <c r="J95" s="351">
        <f t="shared" si="10"/>
        <v>5.9809694999999996</v>
      </c>
      <c r="K95" s="351"/>
      <c r="L95" s="351"/>
      <c r="M95" s="352"/>
      <c r="N95" s="351"/>
      <c r="O95" s="351"/>
      <c r="P95" s="351"/>
      <c r="Q95" s="351"/>
      <c r="R95" s="351"/>
      <c r="S95" s="351"/>
    </row>
    <row r="96" spans="2:19" ht="26.25" hidden="1" customHeight="1">
      <c r="B96" s="351">
        <f t="shared" si="9"/>
        <v>83</v>
      </c>
      <c r="C96" s="351" t="s">
        <v>317</v>
      </c>
      <c r="D96" s="351" t="s">
        <v>406</v>
      </c>
      <c r="E96" s="351">
        <v>63</v>
      </c>
      <c r="F96" s="354">
        <f>29+56</f>
        <v>85</v>
      </c>
      <c r="G96" s="353">
        <v>100.6</v>
      </c>
      <c r="H96" s="352">
        <f t="shared" si="8"/>
        <v>0.36299999999999999</v>
      </c>
      <c r="I96" s="352">
        <f t="shared" si="1"/>
        <v>1.0629999999999999</v>
      </c>
      <c r="J96" s="351">
        <f t="shared" si="10"/>
        <v>38.818421399999991</v>
      </c>
      <c r="K96" s="351" t="s">
        <v>199</v>
      </c>
      <c r="L96" s="351">
        <v>100.6</v>
      </c>
      <c r="M96" s="352">
        <f t="shared" si="12"/>
        <v>0.36299999999999999</v>
      </c>
      <c r="N96" s="351">
        <f t="shared" si="13"/>
        <v>36.517799999999994</v>
      </c>
      <c r="O96" s="351"/>
      <c r="P96" s="352"/>
      <c r="Q96" s="351"/>
      <c r="R96" s="351"/>
      <c r="S96" s="351"/>
    </row>
    <row r="97" spans="2:19" ht="26.25" hidden="1" customHeight="1">
      <c r="B97" s="351">
        <f t="shared" si="9"/>
        <v>84</v>
      </c>
      <c r="C97" s="351" t="s">
        <v>406</v>
      </c>
      <c r="D97" s="351" t="s">
        <v>277</v>
      </c>
      <c r="E97" s="351">
        <v>63</v>
      </c>
      <c r="F97" s="351">
        <f>43+24</f>
        <v>67</v>
      </c>
      <c r="G97" s="353">
        <v>58.7</v>
      </c>
      <c r="H97" s="352">
        <f t="shared" si="8"/>
        <v>0.36299999999999999</v>
      </c>
      <c r="I97" s="352">
        <f t="shared" si="1"/>
        <v>1.0629999999999999</v>
      </c>
      <c r="J97" s="351">
        <f t="shared" si="10"/>
        <v>22.650510300000001</v>
      </c>
      <c r="K97" s="351" t="s">
        <v>199</v>
      </c>
      <c r="L97" s="351">
        <v>58.7</v>
      </c>
      <c r="M97" s="352">
        <f t="shared" si="12"/>
        <v>0.36299999999999999</v>
      </c>
      <c r="N97" s="351">
        <f t="shared" si="13"/>
        <v>21.3081</v>
      </c>
      <c r="O97" s="351"/>
      <c r="P97" s="352"/>
      <c r="Q97" s="351"/>
      <c r="R97" s="351"/>
      <c r="S97" s="351"/>
    </row>
    <row r="98" spans="2:19" ht="26.25" hidden="1" customHeight="1">
      <c r="B98" s="351">
        <f t="shared" si="9"/>
        <v>85</v>
      </c>
      <c r="C98" s="351" t="s">
        <v>277</v>
      </c>
      <c r="D98" s="351" t="s">
        <v>407</v>
      </c>
      <c r="E98" s="351">
        <v>63</v>
      </c>
      <c r="F98" s="524">
        <v>22</v>
      </c>
      <c r="G98" s="353">
        <v>11.3</v>
      </c>
      <c r="H98" s="352">
        <f t="shared" si="8"/>
        <v>0.36299999999999999</v>
      </c>
      <c r="I98" s="352">
        <f t="shared" si="1"/>
        <v>1.0629999999999999</v>
      </c>
      <c r="J98" s="351">
        <f t="shared" si="10"/>
        <v>4.3603196999999998</v>
      </c>
      <c r="K98" s="351"/>
      <c r="L98" s="351"/>
      <c r="M98" s="352"/>
      <c r="N98" s="351"/>
      <c r="O98" s="351"/>
      <c r="P98" s="351"/>
      <c r="Q98" s="351"/>
      <c r="R98" s="351"/>
      <c r="S98" s="351"/>
    </row>
    <row r="99" spans="2:19" ht="26.25" hidden="1" customHeight="1">
      <c r="B99" s="351">
        <f t="shared" si="9"/>
        <v>86</v>
      </c>
      <c r="C99" s="351" t="s">
        <v>402</v>
      </c>
      <c r="D99" s="351" t="s">
        <v>407</v>
      </c>
      <c r="E99" s="351">
        <v>63</v>
      </c>
      <c r="F99" s="525"/>
      <c r="G99" s="353">
        <v>21.6</v>
      </c>
      <c r="H99" s="352">
        <f t="shared" si="8"/>
        <v>0.36299999999999999</v>
      </c>
      <c r="I99" s="352">
        <f t="shared" si="1"/>
        <v>1.0629999999999999</v>
      </c>
      <c r="J99" s="351">
        <f t="shared" si="10"/>
        <v>8.3347704</v>
      </c>
      <c r="K99" s="351"/>
      <c r="L99" s="351"/>
      <c r="M99" s="352"/>
      <c r="N99" s="351"/>
      <c r="O99" s="351"/>
      <c r="P99" s="351"/>
      <c r="Q99" s="351"/>
      <c r="R99" s="351"/>
      <c r="S99" s="351"/>
    </row>
    <row r="100" spans="2:19" ht="26.25" hidden="1" customHeight="1">
      <c r="B100" s="351">
        <f t="shared" si="9"/>
        <v>87</v>
      </c>
      <c r="C100" s="351" t="s">
        <v>402</v>
      </c>
      <c r="D100" s="351" t="s">
        <v>408</v>
      </c>
      <c r="E100" s="351">
        <v>63</v>
      </c>
      <c r="F100" s="351"/>
      <c r="G100" s="353">
        <v>43.3</v>
      </c>
      <c r="H100" s="352">
        <f t="shared" si="8"/>
        <v>0.36299999999999999</v>
      </c>
      <c r="I100" s="352">
        <f t="shared" si="1"/>
        <v>1.0629999999999999</v>
      </c>
      <c r="J100" s="351">
        <f t="shared" si="10"/>
        <v>16.708127699999999</v>
      </c>
      <c r="K100" s="351"/>
      <c r="L100" s="351"/>
      <c r="M100" s="352"/>
      <c r="N100" s="351"/>
      <c r="O100" s="351"/>
      <c r="P100" s="351"/>
      <c r="Q100" s="351"/>
      <c r="R100" s="351"/>
      <c r="S100" s="351"/>
    </row>
    <row r="101" spans="2:19" ht="26.25" hidden="1" customHeight="1">
      <c r="B101" s="351">
        <f t="shared" si="9"/>
        <v>88</v>
      </c>
      <c r="C101" s="351" t="s">
        <v>402</v>
      </c>
      <c r="D101" s="351" t="s">
        <v>409</v>
      </c>
      <c r="E101" s="351">
        <v>63</v>
      </c>
      <c r="F101" s="351"/>
      <c r="G101" s="353">
        <v>114.9</v>
      </c>
      <c r="H101" s="352">
        <f t="shared" si="8"/>
        <v>0.36299999999999999</v>
      </c>
      <c r="I101" s="352">
        <f t="shared" si="1"/>
        <v>1.0629999999999999</v>
      </c>
      <c r="J101" s="351">
        <f t="shared" si="10"/>
        <v>44.336348099999995</v>
      </c>
      <c r="K101" s="351"/>
      <c r="L101" s="351"/>
      <c r="M101" s="352"/>
      <c r="N101" s="351"/>
      <c r="O101" s="351"/>
      <c r="P101" s="351"/>
      <c r="Q101" s="351"/>
      <c r="R101" s="351"/>
      <c r="S101" s="351"/>
    </row>
    <row r="102" spans="2:19" ht="26.25" hidden="1" customHeight="1">
      <c r="B102" s="351">
        <f t="shared" si="9"/>
        <v>89</v>
      </c>
      <c r="C102" s="351" t="s">
        <v>409</v>
      </c>
      <c r="D102" s="351" t="s">
        <v>410</v>
      </c>
      <c r="E102" s="351">
        <v>63</v>
      </c>
      <c r="F102" s="351"/>
      <c r="G102" s="353">
        <v>42.1</v>
      </c>
      <c r="H102" s="352">
        <f t="shared" si="8"/>
        <v>0.36299999999999999</v>
      </c>
      <c r="I102" s="352">
        <f t="shared" si="1"/>
        <v>1.0629999999999999</v>
      </c>
      <c r="J102" s="351">
        <f t="shared" si="10"/>
        <v>16.245084899999998</v>
      </c>
      <c r="K102" s="351"/>
      <c r="L102" s="351"/>
      <c r="M102" s="352"/>
      <c r="N102" s="351"/>
      <c r="O102" s="351"/>
      <c r="P102" s="351"/>
      <c r="Q102" s="351"/>
      <c r="R102" s="351"/>
      <c r="S102" s="351"/>
    </row>
    <row r="103" spans="2:19" ht="26.25" hidden="1" customHeight="1">
      <c r="B103" s="351">
        <f t="shared" si="9"/>
        <v>90</v>
      </c>
      <c r="C103" s="351" t="s">
        <v>409</v>
      </c>
      <c r="D103" s="351" t="s">
        <v>411</v>
      </c>
      <c r="E103" s="351">
        <v>63</v>
      </c>
      <c r="F103" s="351"/>
      <c r="G103" s="353">
        <v>30.1</v>
      </c>
      <c r="H103" s="352">
        <f t="shared" si="8"/>
        <v>0.36299999999999999</v>
      </c>
      <c r="I103" s="352">
        <f t="shared" si="1"/>
        <v>1.0629999999999999</v>
      </c>
      <c r="J103" s="351">
        <f t="shared" si="10"/>
        <v>11.6146569</v>
      </c>
      <c r="K103" s="351"/>
      <c r="L103" s="351"/>
      <c r="M103" s="352"/>
      <c r="N103" s="351"/>
      <c r="O103" s="351"/>
      <c r="P103" s="351"/>
      <c r="Q103" s="351"/>
      <c r="R103" s="351"/>
      <c r="S103" s="351"/>
    </row>
    <row r="104" spans="2:19" ht="26.25" hidden="1" customHeight="1">
      <c r="B104" s="351">
        <f t="shared" si="9"/>
        <v>91</v>
      </c>
      <c r="C104" s="351" t="s">
        <v>411</v>
      </c>
      <c r="D104" s="351" t="s">
        <v>412</v>
      </c>
      <c r="E104" s="351">
        <v>63</v>
      </c>
      <c r="F104" s="351">
        <v>66</v>
      </c>
      <c r="G104" s="353">
        <v>28.9</v>
      </c>
      <c r="H104" s="352">
        <f t="shared" si="8"/>
        <v>0.36299999999999999</v>
      </c>
      <c r="I104" s="352">
        <f t="shared" si="1"/>
        <v>1.0629999999999999</v>
      </c>
      <c r="J104" s="351">
        <f t="shared" si="10"/>
        <v>11.151614099999998</v>
      </c>
      <c r="K104" s="351"/>
      <c r="L104" s="351"/>
      <c r="M104" s="352"/>
      <c r="N104" s="351"/>
      <c r="O104" s="351"/>
      <c r="P104" s="351"/>
      <c r="Q104" s="351"/>
      <c r="R104" s="351"/>
      <c r="S104" s="351"/>
    </row>
    <row r="105" spans="2:19" ht="26.25" hidden="1" customHeight="1">
      <c r="B105" s="351">
        <f t="shared" si="9"/>
        <v>92</v>
      </c>
      <c r="C105" s="351" t="s">
        <v>411</v>
      </c>
      <c r="D105" s="351" t="s">
        <v>402</v>
      </c>
      <c r="E105" s="351">
        <v>63</v>
      </c>
      <c r="F105" s="351"/>
      <c r="G105" s="353">
        <v>25.4</v>
      </c>
      <c r="H105" s="352">
        <f t="shared" si="8"/>
        <v>0.36299999999999999</v>
      </c>
      <c r="I105" s="352">
        <f t="shared" si="1"/>
        <v>1.0629999999999999</v>
      </c>
      <c r="J105" s="351">
        <f t="shared" si="10"/>
        <v>9.8010725999999977</v>
      </c>
      <c r="K105" s="351"/>
      <c r="L105" s="351"/>
      <c r="M105" s="352"/>
      <c r="N105" s="351"/>
      <c r="O105" s="351"/>
      <c r="P105" s="351"/>
      <c r="Q105" s="351"/>
      <c r="R105" s="351"/>
      <c r="S105" s="351"/>
    </row>
    <row r="106" spans="2:19" ht="26.25" hidden="1" customHeight="1">
      <c r="B106" s="351">
        <f t="shared" si="9"/>
        <v>93</v>
      </c>
      <c r="C106" s="351" t="s">
        <v>277</v>
      </c>
      <c r="D106" s="351" t="s">
        <v>259</v>
      </c>
      <c r="E106" s="351">
        <v>63</v>
      </c>
      <c r="F106" s="351">
        <f>44+30</f>
        <v>74</v>
      </c>
      <c r="G106" s="353">
        <v>112.2</v>
      </c>
      <c r="H106" s="352">
        <f t="shared" si="8"/>
        <v>0.36299999999999999</v>
      </c>
      <c r="I106" s="352">
        <f t="shared" si="1"/>
        <v>1.0629999999999999</v>
      </c>
      <c r="J106" s="351">
        <f t="shared" si="10"/>
        <v>43.294501799999999</v>
      </c>
      <c r="K106" s="351"/>
      <c r="L106" s="351"/>
      <c r="M106" s="352"/>
      <c r="N106" s="351"/>
      <c r="O106" s="351"/>
      <c r="P106" s="351"/>
      <c r="Q106" s="351"/>
      <c r="R106" s="351"/>
      <c r="S106" s="351"/>
    </row>
    <row r="107" spans="2:19" ht="26.25" hidden="1" customHeight="1">
      <c r="B107" s="351">
        <f t="shared" si="9"/>
        <v>94</v>
      </c>
      <c r="C107" s="351" t="s">
        <v>259</v>
      </c>
      <c r="D107" s="351" t="s">
        <v>413</v>
      </c>
      <c r="E107" s="351">
        <v>63</v>
      </c>
      <c r="F107" s="351">
        <v>150</v>
      </c>
      <c r="G107" s="353">
        <v>25.5</v>
      </c>
      <c r="H107" s="352">
        <f t="shared" si="8"/>
        <v>0.36299999999999999</v>
      </c>
      <c r="I107" s="352">
        <f t="shared" si="1"/>
        <v>1.0629999999999999</v>
      </c>
      <c r="J107" s="351">
        <f t="shared" si="10"/>
        <v>9.8396594999999998</v>
      </c>
      <c r="K107" s="351"/>
      <c r="L107" s="351"/>
      <c r="M107" s="352"/>
      <c r="N107" s="351"/>
      <c r="O107" s="351"/>
      <c r="P107" s="351"/>
      <c r="Q107" s="351"/>
      <c r="R107" s="351"/>
      <c r="S107" s="351"/>
    </row>
    <row r="108" spans="2:19" ht="26.25" hidden="1" customHeight="1">
      <c r="B108" s="351">
        <f t="shared" si="9"/>
        <v>95</v>
      </c>
      <c r="C108" s="351" t="s">
        <v>259</v>
      </c>
      <c r="D108" s="351" t="s">
        <v>349</v>
      </c>
      <c r="E108" s="351">
        <v>63</v>
      </c>
      <c r="F108" s="351">
        <v>30</v>
      </c>
      <c r="G108" s="353">
        <v>40.6</v>
      </c>
      <c r="H108" s="352">
        <f t="shared" si="8"/>
        <v>0.36299999999999999</v>
      </c>
      <c r="I108" s="352">
        <f t="shared" si="1"/>
        <v>1.0629999999999999</v>
      </c>
      <c r="J108" s="351">
        <f t="shared" si="10"/>
        <v>15.666281399999999</v>
      </c>
      <c r="K108" s="351"/>
      <c r="L108" s="351"/>
      <c r="M108" s="352"/>
      <c r="N108" s="351"/>
      <c r="O108" s="351"/>
      <c r="P108" s="351"/>
      <c r="Q108" s="351"/>
      <c r="R108" s="351"/>
      <c r="S108" s="351"/>
    </row>
    <row r="109" spans="2:19" ht="26.25" hidden="1" customHeight="1">
      <c r="B109" s="351">
        <f t="shared" si="9"/>
        <v>96</v>
      </c>
      <c r="C109" s="351" t="s">
        <v>349</v>
      </c>
      <c r="D109" s="351" t="s">
        <v>353</v>
      </c>
      <c r="E109" s="351">
        <v>63</v>
      </c>
      <c r="F109" s="351"/>
      <c r="G109" s="353">
        <v>20.2</v>
      </c>
      <c r="H109" s="352">
        <f t="shared" si="8"/>
        <v>0.36299999999999999</v>
      </c>
      <c r="I109" s="352">
        <f t="shared" si="1"/>
        <v>1.0629999999999999</v>
      </c>
      <c r="J109" s="351">
        <f t="shared" si="10"/>
        <v>7.7945537999999992</v>
      </c>
      <c r="K109" s="351"/>
      <c r="L109" s="351"/>
      <c r="M109" s="352"/>
      <c r="N109" s="351"/>
      <c r="O109" s="351"/>
      <c r="P109" s="351"/>
      <c r="Q109" s="351"/>
      <c r="R109" s="351"/>
      <c r="S109" s="351"/>
    </row>
    <row r="110" spans="2:19" ht="26.25" hidden="1" customHeight="1">
      <c r="B110" s="351">
        <f t="shared" si="9"/>
        <v>97</v>
      </c>
      <c r="C110" s="351" t="s">
        <v>349</v>
      </c>
      <c r="D110" s="351" t="s">
        <v>414</v>
      </c>
      <c r="E110" s="351">
        <v>63</v>
      </c>
      <c r="F110" s="351">
        <v>38</v>
      </c>
      <c r="G110" s="353">
        <v>80</v>
      </c>
      <c r="H110" s="352">
        <f t="shared" si="8"/>
        <v>0.36299999999999999</v>
      </c>
      <c r="I110" s="352">
        <f t="shared" si="1"/>
        <v>1.0629999999999999</v>
      </c>
      <c r="J110" s="351">
        <f t="shared" si="10"/>
        <v>30.869519999999998</v>
      </c>
      <c r="K110" s="351"/>
      <c r="L110" s="351"/>
      <c r="M110" s="352"/>
      <c r="N110" s="351"/>
      <c r="O110" s="351"/>
      <c r="P110" s="351"/>
      <c r="Q110" s="351"/>
      <c r="R110" s="351"/>
      <c r="S110" s="351"/>
    </row>
    <row r="111" spans="2:19" ht="26.25" hidden="1" customHeight="1">
      <c r="B111" s="351">
        <f t="shared" si="9"/>
        <v>98</v>
      </c>
      <c r="C111" s="351" t="s">
        <v>259</v>
      </c>
      <c r="D111" s="351" t="s">
        <v>254</v>
      </c>
      <c r="E111" s="351">
        <v>63</v>
      </c>
      <c r="F111" s="351"/>
      <c r="G111" s="353">
        <v>59.8</v>
      </c>
      <c r="H111" s="352">
        <f t="shared" si="8"/>
        <v>0.36299999999999999</v>
      </c>
      <c r="I111" s="352">
        <f t="shared" si="1"/>
        <v>1.0629999999999999</v>
      </c>
      <c r="J111" s="351">
        <f t="shared" si="10"/>
        <v>23.074966199999995</v>
      </c>
      <c r="K111" s="351"/>
      <c r="L111" s="351"/>
      <c r="M111" s="352"/>
      <c r="N111" s="351"/>
      <c r="O111" s="351"/>
      <c r="P111" s="351"/>
      <c r="Q111" s="351"/>
      <c r="R111" s="351"/>
      <c r="S111" s="351"/>
    </row>
    <row r="112" spans="2:19" ht="26.25" hidden="1" customHeight="1">
      <c r="B112" s="351">
        <f t="shared" si="9"/>
        <v>99</v>
      </c>
      <c r="C112" s="351" t="s">
        <v>254</v>
      </c>
      <c r="D112" s="351" t="s">
        <v>415</v>
      </c>
      <c r="E112" s="351">
        <v>63</v>
      </c>
      <c r="F112" s="524">
        <f>70+28</f>
        <v>98</v>
      </c>
      <c r="G112" s="353">
        <v>18.2</v>
      </c>
      <c r="H112" s="352">
        <f t="shared" si="8"/>
        <v>0.36299999999999999</v>
      </c>
      <c r="I112" s="352">
        <f t="shared" si="1"/>
        <v>1.0629999999999999</v>
      </c>
      <c r="J112" s="351">
        <f t="shared" si="10"/>
        <v>7.0228157999999992</v>
      </c>
      <c r="K112" s="351"/>
      <c r="L112" s="351"/>
      <c r="M112" s="352"/>
      <c r="N112" s="351"/>
      <c r="O112" s="351"/>
      <c r="P112" s="351"/>
      <c r="Q112" s="351"/>
      <c r="R112" s="351"/>
      <c r="S112" s="351"/>
    </row>
    <row r="113" spans="2:19" ht="26.25" hidden="1" customHeight="1">
      <c r="B113" s="351">
        <f t="shared" si="9"/>
        <v>100</v>
      </c>
      <c r="C113" s="351" t="s">
        <v>254</v>
      </c>
      <c r="D113" s="351" t="s">
        <v>415</v>
      </c>
      <c r="E113" s="351">
        <v>63</v>
      </c>
      <c r="F113" s="526"/>
      <c r="G113" s="353">
        <v>31.5</v>
      </c>
      <c r="H113" s="352">
        <f t="shared" si="8"/>
        <v>0.36299999999999999</v>
      </c>
      <c r="I113" s="352">
        <f t="shared" si="1"/>
        <v>1.0629999999999999</v>
      </c>
      <c r="J113" s="351">
        <f t="shared" si="10"/>
        <v>12.154873499999999</v>
      </c>
      <c r="K113" s="351"/>
      <c r="L113" s="351"/>
      <c r="M113" s="352"/>
      <c r="N113" s="351"/>
      <c r="O113" s="351"/>
      <c r="P113" s="351"/>
      <c r="Q113" s="351"/>
      <c r="R113" s="351"/>
      <c r="S113" s="351"/>
    </row>
    <row r="114" spans="2:19" ht="26.25" hidden="1" customHeight="1">
      <c r="B114" s="351">
        <f t="shared" si="9"/>
        <v>101</v>
      </c>
      <c r="C114" s="351" t="s">
        <v>415</v>
      </c>
      <c r="D114" s="351" t="s">
        <v>416</v>
      </c>
      <c r="E114" s="351">
        <v>63</v>
      </c>
      <c r="F114" s="525"/>
      <c r="G114" s="353">
        <v>65.599999999999994</v>
      </c>
      <c r="H114" s="352">
        <f t="shared" si="8"/>
        <v>0.36299999999999999</v>
      </c>
      <c r="I114" s="352">
        <f t="shared" si="1"/>
        <v>1.0629999999999999</v>
      </c>
      <c r="J114" s="351">
        <f t="shared" si="10"/>
        <v>25.313006399999995</v>
      </c>
      <c r="K114" s="351"/>
      <c r="L114" s="351"/>
      <c r="M114" s="352"/>
      <c r="N114" s="351"/>
      <c r="O114" s="351"/>
      <c r="P114" s="351"/>
      <c r="Q114" s="351"/>
      <c r="R114" s="351"/>
      <c r="S114" s="351"/>
    </row>
    <row r="115" spans="2:19" ht="26.25" hidden="1" customHeight="1">
      <c r="B115" s="351">
        <f t="shared" si="9"/>
        <v>102</v>
      </c>
      <c r="C115" s="351" t="s">
        <v>416</v>
      </c>
      <c r="D115" s="351" t="s">
        <v>417</v>
      </c>
      <c r="E115" s="351">
        <v>63</v>
      </c>
      <c r="F115" s="351">
        <v>34</v>
      </c>
      <c r="G115" s="353">
        <v>39.799999999999997</v>
      </c>
      <c r="H115" s="352">
        <f t="shared" si="8"/>
        <v>0.36299999999999999</v>
      </c>
      <c r="I115" s="352">
        <f t="shared" si="1"/>
        <v>1.0629999999999999</v>
      </c>
      <c r="J115" s="351">
        <f t="shared" si="10"/>
        <v>15.357586199999997</v>
      </c>
      <c r="K115" s="351"/>
      <c r="L115" s="351"/>
      <c r="M115" s="352"/>
      <c r="N115" s="351"/>
      <c r="O115" s="351"/>
      <c r="P115" s="351"/>
      <c r="Q115" s="351"/>
      <c r="R115" s="351"/>
      <c r="S115" s="351"/>
    </row>
    <row r="116" spans="2:19" ht="26.25" hidden="1" customHeight="1">
      <c r="B116" s="351">
        <f t="shared" si="9"/>
        <v>103</v>
      </c>
      <c r="C116" s="351" t="s">
        <v>417</v>
      </c>
      <c r="D116" s="351" t="s">
        <v>418</v>
      </c>
      <c r="E116" s="351">
        <v>63</v>
      </c>
      <c r="F116" s="351">
        <v>24</v>
      </c>
      <c r="G116" s="353">
        <v>16.8</v>
      </c>
      <c r="H116" s="352">
        <f t="shared" si="8"/>
        <v>0.36299999999999999</v>
      </c>
      <c r="I116" s="352">
        <f t="shared" si="1"/>
        <v>1.0629999999999999</v>
      </c>
      <c r="J116" s="351">
        <f t="shared" si="10"/>
        <v>6.4825991999999992</v>
      </c>
      <c r="K116" s="351"/>
      <c r="L116" s="351"/>
      <c r="M116" s="352"/>
      <c r="N116" s="351"/>
      <c r="O116" s="351"/>
      <c r="P116" s="351"/>
      <c r="Q116" s="351"/>
      <c r="R116" s="351"/>
      <c r="S116" s="351"/>
    </row>
    <row r="117" spans="2:19" ht="26.25" hidden="1" customHeight="1">
      <c r="B117" s="351">
        <f t="shared" si="9"/>
        <v>104</v>
      </c>
      <c r="C117" s="351" t="s">
        <v>417</v>
      </c>
      <c r="D117" s="351" t="s">
        <v>281</v>
      </c>
      <c r="E117" s="351">
        <v>63</v>
      </c>
      <c r="F117" s="351">
        <v>44</v>
      </c>
      <c r="G117" s="353">
        <v>26.7</v>
      </c>
      <c r="H117" s="352">
        <f t="shared" si="8"/>
        <v>0.36299999999999999</v>
      </c>
      <c r="I117" s="352">
        <f t="shared" si="1"/>
        <v>1.0629999999999999</v>
      </c>
      <c r="J117" s="351">
        <f t="shared" si="10"/>
        <v>10.302702299999998</v>
      </c>
      <c r="K117" s="351"/>
      <c r="L117" s="351"/>
      <c r="M117" s="352"/>
      <c r="N117" s="351"/>
      <c r="O117" s="351"/>
      <c r="P117" s="351"/>
      <c r="Q117" s="351"/>
      <c r="R117" s="351"/>
      <c r="S117" s="351"/>
    </row>
    <row r="118" spans="2:19" ht="26.25" hidden="1" customHeight="1">
      <c r="B118" s="351">
        <f t="shared" si="9"/>
        <v>105</v>
      </c>
      <c r="C118" s="351" t="s">
        <v>254</v>
      </c>
      <c r="D118" s="351" t="s">
        <v>419</v>
      </c>
      <c r="E118" s="351">
        <v>63</v>
      </c>
      <c r="F118" s="351">
        <v>31</v>
      </c>
      <c r="G118" s="353">
        <v>27.4</v>
      </c>
      <c r="H118" s="352">
        <f t="shared" si="8"/>
        <v>0.36299999999999999</v>
      </c>
      <c r="I118" s="352">
        <f t="shared" si="1"/>
        <v>1.0629999999999999</v>
      </c>
      <c r="J118" s="351">
        <f t="shared" si="10"/>
        <v>10.572810599999999</v>
      </c>
      <c r="K118" s="351"/>
      <c r="L118" s="351"/>
      <c r="M118" s="352"/>
      <c r="N118" s="351"/>
      <c r="O118" s="351"/>
      <c r="P118" s="351"/>
      <c r="Q118" s="351"/>
      <c r="R118" s="351"/>
      <c r="S118" s="351"/>
    </row>
    <row r="119" spans="2:19" ht="26.25" customHeight="1">
      <c r="B119" s="351">
        <f t="shared" si="9"/>
        <v>106</v>
      </c>
      <c r="C119" s="351" t="s">
        <v>419</v>
      </c>
      <c r="D119" s="351" t="s">
        <v>413</v>
      </c>
      <c r="E119" s="351">
        <v>63</v>
      </c>
      <c r="F119" s="351">
        <v>44</v>
      </c>
      <c r="G119" s="353">
        <v>47.8</v>
      </c>
      <c r="H119" s="352">
        <f t="shared" si="8"/>
        <v>0.36299999999999999</v>
      </c>
      <c r="I119" s="352">
        <f t="shared" si="1"/>
        <v>1.0629999999999999</v>
      </c>
      <c r="J119" s="351">
        <f t="shared" si="10"/>
        <v>18.444538199999997</v>
      </c>
      <c r="K119" s="353" t="s">
        <v>301</v>
      </c>
      <c r="L119" s="351">
        <v>47.8</v>
      </c>
      <c r="M119" s="352">
        <v>0.46</v>
      </c>
      <c r="N119" s="351">
        <f t="shared" si="13"/>
        <v>21.988</v>
      </c>
      <c r="O119" s="351"/>
      <c r="P119" s="352"/>
      <c r="Q119" s="351"/>
      <c r="R119" s="351"/>
      <c r="S119" s="351"/>
    </row>
    <row r="120" spans="2:19" ht="26.25" hidden="1" customHeight="1">
      <c r="B120" s="351">
        <f t="shared" si="9"/>
        <v>107</v>
      </c>
      <c r="C120" s="351" t="s">
        <v>413</v>
      </c>
      <c r="D120" s="351" t="s">
        <v>259</v>
      </c>
      <c r="E120" s="351">
        <v>63</v>
      </c>
      <c r="F120" s="351">
        <v>150</v>
      </c>
      <c r="G120" s="353">
        <v>63.5</v>
      </c>
      <c r="H120" s="352">
        <f t="shared" si="8"/>
        <v>0.36299999999999999</v>
      </c>
      <c r="I120" s="352">
        <f t="shared" si="1"/>
        <v>1.0629999999999999</v>
      </c>
      <c r="J120" s="351">
        <f t="shared" si="10"/>
        <v>24.502681499999998</v>
      </c>
      <c r="K120" s="351"/>
      <c r="L120" s="351"/>
      <c r="M120" s="352"/>
      <c r="N120" s="351"/>
      <c r="O120" s="351"/>
      <c r="P120" s="351"/>
      <c r="Q120" s="351"/>
      <c r="R120" s="351"/>
      <c r="S120" s="351"/>
    </row>
    <row r="121" spans="2:19" ht="26.25" hidden="1" customHeight="1">
      <c r="B121" s="351">
        <f t="shared" si="9"/>
        <v>108</v>
      </c>
      <c r="C121" s="351" t="s">
        <v>413</v>
      </c>
      <c r="D121" s="351" t="s">
        <v>351</v>
      </c>
      <c r="E121" s="351">
        <v>63</v>
      </c>
      <c r="F121" s="524">
        <f>40+22</f>
        <v>62</v>
      </c>
      <c r="G121" s="353">
        <f>60.8-40.1</f>
        <v>20.699999999999996</v>
      </c>
      <c r="H121" s="352">
        <f t="shared" si="8"/>
        <v>0.36299999999999999</v>
      </c>
      <c r="I121" s="352">
        <f t="shared" si="1"/>
        <v>1.0629999999999999</v>
      </c>
      <c r="J121" s="351">
        <f t="shared" si="10"/>
        <v>7.9874882999999972</v>
      </c>
      <c r="K121" s="353" t="s">
        <v>199</v>
      </c>
      <c r="L121" s="351">
        <v>20.7</v>
      </c>
      <c r="M121" s="352">
        <f t="shared" si="12"/>
        <v>0.36299999999999999</v>
      </c>
      <c r="N121" s="351">
        <f t="shared" si="13"/>
        <v>7.5140999999999991</v>
      </c>
      <c r="O121" s="351"/>
      <c r="P121" s="352"/>
      <c r="Q121" s="351"/>
      <c r="R121" s="351"/>
      <c r="S121" s="351"/>
    </row>
    <row r="122" spans="2:19" ht="26.25" customHeight="1">
      <c r="B122" s="351">
        <f t="shared" si="9"/>
        <v>109</v>
      </c>
      <c r="C122" s="351" t="s">
        <v>413</v>
      </c>
      <c r="D122" s="351" t="s">
        <v>351</v>
      </c>
      <c r="E122" s="351">
        <v>63</v>
      </c>
      <c r="F122" s="526"/>
      <c r="G122" s="353">
        <v>40.1</v>
      </c>
      <c r="H122" s="352">
        <f t="shared" si="8"/>
        <v>0.36299999999999999</v>
      </c>
      <c r="I122" s="352">
        <f t="shared" si="1"/>
        <v>1.0629999999999999</v>
      </c>
      <c r="J122" s="351">
        <f t="shared" si="10"/>
        <v>15.473346899999999</v>
      </c>
      <c r="K122" s="353" t="s">
        <v>301</v>
      </c>
      <c r="L122" s="353">
        <v>40.1</v>
      </c>
      <c r="M122" s="352">
        <v>0.46</v>
      </c>
      <c r="N122" s="351">
        <f t="shared" si="13"/>
        <v>18.446000000000002</v>
      </c>
      <c r="O122" s="351"/>
      <c r="P122" s="352"/>
      <c r="Q122" s="351"/>
      <c r="R122" s="351"/>
      <c r="S122" s="351"/>
    </row>
    <row r="123" spans="2:19" ht="26.25" hidden="1" customHeight="1">
      <c r="B123" s="351">
        <f t="shared" si="9"/>
        <v>110</v>
      </c>
      <c r="C123" s="351" t="s">
        <v>413</v>
      </c>
      <c r="D123" s="351" t="s">
        <v>351</v>
      </c>
      <c r="E123" s="351">
        <v>63</v>
      </c>
      <c r="F123" s="525"/>
      <c r="G123" s="353">
        <v>3.2</v>
      </c>
      <c r="H123" s="352">
        <f t="shared" si="8"/>
        <v>0.36299999999999999</v>
      </c>
      <c r="I123" s="352">
        <f t="shared" si="1"/>
        <v>1.0629999999999999</v>
      </c>
      <c r="J123" s="351">
        <f t="shared" si="10"/>
        <v>1.2347808</v>
      </c>
      <c r="K123" s="351"/>
      <c r="L123" s="351"/>
      <c r="M123" s="352"/>
      <c r="N123" s="351"/>
      <c r="O123" s="351"/>
      <c r="P123" s="351"/>
      <c r="Q123" s="351"/>
      <c r="R123" s="351"/>
      <c r="S123" s="351"/>
    </row>
    <row r="124" spans="2:19" ht="26.25" hidden="1" customHeight="1">
      <c r="B124" s="351">
        <f t="shared" si="9"/>
        <v>111</v>
      </c>
      <c r="C124" s="351" t="s">
        <v>351</v>
      </c>
      <c r="D124" s="351" t="s">
        <v>420</v>
      </c>
      <c r="E124" s="351">
        <v>63</v>
      </c>
      <c r="F124" s="524">
        <v>53</v>
      </c>
      <c r="G124" s="353">
        <f>41.6-14.5</f>
        <v>27.1</v>
      </c>
      <c r="H124" s="352">
        <f t="shared" si="8"/>
        <v>0.36299999999999999</v>
      </c>
      <c r="I124" s="352">
        <f t="shared" si="1"/>
        <v>1.0629999999999999</v>
      </c>
      <c r="J124" s="351">
        <f t="shared" si="10"/>
        <v>10.457049899999999</v>
      </c>
      <c r="K124" s="351"/>
      <c r="L124" s="351"/>
      <c r="M124" s="352"/>
      <c r="N124" s="351"/>
      <c r="O124" s="351"/>
      <c r="P124" s="351"/>
      <c r="Q124" s="351"/>
      <c r="R124" s="351"/>
      <c r="S124" s="351"/>
    </row>
    <row r="125" spans="2:19" ht="26.25" hidden="1" customHeight="1">
      <c r="B125" s="351">
        <f t="shared" si="9"/>
        <v>112</v>
      </c>
      <c r="C125" s="351" t="s">
        <v>420</v>
      </c>
      <c r="D125" s="351" t="s">
        <v>269</v>
      </c>
      <c r="E125" s="351">
        <v>63</v>
      </c>
      <c r="F125" s="525"/>
      <c r="G125" s="353">
        <v>14.5</v>
      </c>
      <c r="H125" s="352">
        <f t="shared" si="8"/>
        <v>0.36299999999999999</v>
      </c>
      <c r="I125" s="352">
        <f t="shared" si="1"/>
        <v>1.0629999999999999</v>
      </c>
      <c r="J125" s="351">
        <f t="shared" si="10"/>
        <v>5.5951004999999991</v>
      </c>
      <c r="K125" s="351"/>
      <c r="L125" s="351"/>
      <c r="M125" s="352"/>
      <c r="N125" s="351"/>
      <c r="O125" s="351"/>
      <c r="P125" s="351"/>
      <c r="Q125" s="351"/>
      <c r="R125" s="351"/>
      <c r="S125" s="351"/>
    </row>
    <row r="126" spans="2:19" ht="26.25" hidden="1" customHeight="1">
      <c r="B126" s="351">
        <f t="shared" si="9"/>
        <v>113</v>
      </c>
      <c r="C126" s="351" t="s">
        <v>420</v>
      </c>
      <c r="D126" s="351" t="s">
        <v>421</v>
      </c>
      <c r="E126" s="351">
        <v>63</v>
      </c>
      <c r="F126" s="351"/>
      <c r="G126" s="353">
        <v>26.2</v>
      </c>
      <c r="H126" s="352">
        <f t="shared" si="8"/>
        <v>0.36299999999999999</v>
      </c>
      <c r="I126" s="352">
        <f t="shared" si="1"/>
        <v>1.0629999999999999</v>
      </c>
      <c r="J126" s="351">
        <f t="shared" si="10"/>
        <v>10.109767799999998</v>
      </c>
      <c r="K126" s="351"/>
      <c r="L126" s="351"/>
      <c r="M126" s="352"/>
      <c r="N126" s="351"/>
      <c r="O126" s="351"/>
      <c r="P126" s="351"/>
      <c r="Q126" s="351"/>
      <c r="R126" s="351"/>
      <c r="S126" s="351"/>
    </row>
    <row r="127" spans="2:19" ht="26.25" hidden="1" customHeight="1">
      <c r="B127" s="351">
        <f t="shared" si="9"/>
        <v>114</v>
      </c>
      <c r="C127" s="351" t="s">
        <v>351</v>
      </c>
      <c r="D127" s="351" t="s">
        <v>270</v>
      </c>
      <c r="E127" s="351">
        <v>63</v>
      </c>
      <c r="F127" s="351">
        <v>29</v>
      </c>
      <c r="G127" s="353">
        <v>34.9</v>
      </c>
      <c r="H127" s="352">
        <f t="shared" si="8"/>
        <v>0.36299999999999999</v>
      </c>
      <c r="I127" s="352">
        <f t="shared" si="1"/>
        <v>1.0629999999999999</v>
      </c>
      <c r="J127" s="351">
        <f t="shared" si="10"/>
        <v>13.466828099999999</v>
      </c>
      <c r="K127" s="351"/>
      <c r="L127" s="351"/>
      <c r="M127" s="352"/>
      <c r="N127" s="351"/>
      <c r="O127" s="351"/>
      <c r="P127" s="351"/>
      <c r="Q127" s="351"/>
      <c r="R127" s="351"/>
      <c r="S127" s="351"/>
    </row>
    <row r="128" spans="2:19" ht="26.25" hidden="1" customHeight="1">
      <c r="B128" s="351">
        <f t="shared" si="9"/>
        <v>115</v>
      </c>
      <c r="C128" s="351" t="s">
        <v>270</v>
      </c>
      <c r="D128" s="351" t="s">
        <v>272</v>
      </c>
      <c r="E128" s="351">
        <v>63</v>
      </c>
      <c r="F128" s="351">
        <v>37</v>
      </c>
      <c r="G128" s="353">
        <v>51.5</v>
      </c>
      <c r="H128" s="352">
        <f t="shared" si="8"/>
        <v>0.36299999999999999</v>
      </c>
      <c r="I128" s="352">
        <f t="shared" si="1"/>
        <v>1.0629999999999999</v>
      </c>
      <c r="J128" s="351">
        <f t="shared" si="10"/>
        <v>19.872253499999999</v>
      </c>
      <c r="K128" s="351"/>
      <c r="L128" s="351"/>
      <c r="M128" s="352"/>
      <c r="N128" s="351"/>
      <c r="O128" s="351"/>
      <c r="P128" s="351"/>
      <c r="Q128" s="351"/>
      <c r="R128" s="351"/>
      <c r="S128" s="351"/>
    </row>
    <row r="129" spans="2:19" ht="26.25" hidden="1" customHeight="1">
      <c r="B129" s="351">
        <f t="shared" si="9"/>
        <v>116</v>
      </c>
      <c r="C129" s="351" t="s">
        <v>270</v>
      </c>
      <c r="D129" s="351" t="s">
        <v>275</v>
      </c>
      <c r="E129" s="351">
        <v>63</v>
      </c>
      <c r="F129" s="351">
        <v>64</v>
      </c>
      <c r="G129" s="353">
        <v>63.5</v>
      </c>
      <c r="H129" s="352">
        <f t="shared" si="8"/>
        <v>0.36299999999999999</v>
      </c>
      <c r="I129" s="352">
        <f t="shared" si="1"/>
        <v>1.0629999999999999</v>
      </c>
      <c r="J129" s="351">
        <f t="shared" si="10"/>
        <v>24.502681499999998</v>
      </c>
      <c r="K129" s="353" t="s">
        <v>199</v>
      </c>
      <c r="L129" s="353">
        <v>63.5</v>
      </c>
      <c r="M129" s="352">
        <f t="shared" si="12"/>
        <v>0.36299999999999999</v>
      </c>
      <c r="N129" s="351">
        <f t="shared" si="13"/>
        <v>23.0505</v>
      </c>
      <c r="O129" s="351"/>
      <c r="P129" s="352"/>
      <c r="Q129" s="351"/>
      <c r="R129" s="351"/>
      <c r="S129" s="351"/>
    </row>
    <row r="130" spans="2:19" ht="26.25" customHeight="1">
      <c r="B130" s="351">
        <f t="shared" si="9"/>
        <v>117</v>
      </c>
      <c r="C130" s="351" t="s">
        <v>419</v>
      </c>
      <c r="D130" s="351" t="s">
        <v>197</v>
      </c>
      <c r="E130" s="351">
        <v>63</v>
      </c>
      <c r="F130" s="351">
        <v>15</v>
      </c>
      <c r="G130" s="353">
        <v>20.100000000000001</v>
      </c>
      <c r="H130" s="352">
        <f t="shared" si="8"/>
        <v>0.36299999999999999</v>
      </c>
      <c r="I130" s="352">
        <f t="shared" si="1"/>
        <v>1.0629999999999999</v>
      </c>
      <c r="J130" s="351">
        <f t="shared" si="10"/>
        <v>7.7559668999999998</v>
      </c>
      <c r="K130" s="353" t="s">
        <v>301</v>
      </c>
      <c r="L130" s="351">
        <v>20.100000000000001</v>
      </c>
      <c r="M130" s="352">
        <v>0.46</v>
      </c>
      <c r="N130" s="351">
        <f t="shared" si="13"/>
        <v>9.2460000000000004</v>
      </c>
      <c r="O130" s="351"/>
      <c r="P130" s="352"/>
      <c r="Q130" s="351"/>
      <c r="R130" s="351"/>
      <c r="S130" s="351"/>
    </row>
    <row r="131" spans="2:19" ht="26.25" hidden="1" customHeight="1">
      <c r="B131" s="351">
        <f t="shared" si="9"/>
        <v>118</v>
      </c>
      <c r="C131" s="351" t="s">
        <v>197</v>
      </c>
      <c r="D131" s="351" t="s">
        <v>258</v>
      </c>
      <c r="E131" s="351">
        <v>63</v>
      </c>
      <c r="F131" s="524">
        <v>60</v>
      </c>
      <c r="G131" s="353">
        <v>13.4</v>
      </c>
      <c r="H131" s="352">
        <f t="shared" si="8"/>
        <v>0.36299999999999999</v>
      </c>
      <c r="I131" s="352">
        <f t="shared" si="1"/>
        <v>1.0629999999999999</v>
      </c>
      <c r="J131" s="351">
        <f t="shared" si="10"/>
        <v>5.1706445999999993</v>
      </c>
      <c r="K131" s="351" t="s">
        <v>199</v>
      </c>
      <c r="L131" s="351">
        <v>13.4</v>
      </c>
      <c r="M131" s="352">
        <f t="shared" si="12"/>
        <v>0.36299999999999999</v>
      </c>
      <c r="N131" s="351">
        <f t="shared" si="13"/>
        <v>4.8642000000000003</v>
      </c>
      <c r="O131" s="351"/>
      <c r="P131" s="352"/>
      <c r="Q131" s="351"/>
      <c r="R131" s="351"/>
      <c r="S131" s="351"/>
    </row>
    <row r="132" spans="2:19" ht="26.25" hidden="1" customHeight="1">
      <c r="B132" s="351">
        <f t="shared" si="9"/>
        <v>119</v>
      </c>
      <c r="C132" s="351" t="s">
        <v>197</v>
      </c>
      <c r="D132" s="351" t="s">
        <v>258</v>
      </c>
      <c r="E132" s="351">
        <v>63</v>
      </c>
      <c r="F132" s="525"/>
      <c r="G132" s="353">
        <v>50.1</v>
      </c>
      <c r="H132" s="352">
        <f t="shared" si="8"/>
        <v>0.36299999999999999</v>
      </c>
      <c r="I132" s="352">
        <f t="shared" si="1"/>
        <v>1.0629999999999999</v>
      </c>
      <c r="J132" s="351">
        <f t="shared" si="10"/>
        <v>19.332036899999999</v>
      </c>
      <c r="K132" s="351"/>
      <c r="L132" s="351"/>
      <c r="M132" s="352"/>
      <c r="N132" s="351"/>
      <c r="O132" s="351"/>
      <c r="P132" s="351"/>
      <c r="Q132" s="351"/>
      <c r="R132" s="351"/>
      <c r="S132" s="351"/>
    </row>
    <row r="133" spans="2:19" ht="26.25" customHeight="1">
      <c r="B133" s="351">
        <f t="shared" si="9"/>
        <v>120</v>
      </c>
      <c r="C133" s="351" t="s">
        <v>197</v>
      </c>
      <c r="D133" s="351" t="s">
        <v>422</v>
      </c>
      <c r="E133" s="351">
        <v>63</v>
      </c>
      <c r="F133" s="526"/>
      <c r="G133" s="353">
        <f>80.1+66</f>
        <v>146.1</v>
      </c>
      <c r="H133" s="352">
        <f t="shared" si="8"/>
        <v>0.36299999999999999</v>
      </c>
      <c r="I133" s="352">
        <f t="shared" si="1"/>
        <v>1.0629999999999999</v>
      </c>
      <c r="J133" s="351">
        <f t="shared" si="10"/>
        <v>56.375460899999993</v>
      </c>
      <c r="K133" s="353" t="s">
        <v>301</v>
      </c>
      <c r="L133" s="353">
        <f>80.1+66</f>
        <v>146.1</v>
      </c>
      <c r="M133" s="352">
        <v>0.46</v>
      </c>
      <c r="N133" s="351">
        <f t="shared" si="13"/>
        <v>67.206000000000003</v>
      </c>
      <c r="O133" s="351"/>
      <c r="P133" s="352"/>
      <c r="Q133" s="351"/>
      <c r="R133" s="351"/>
      <c r="S133" s="351"/>
    </row>
    <row r="134" spans="2:19" ht="26.25" hidden="1" customHeight="1">
      <c r="B134" s="351">
        <f t="shared" si="9"/>
        <v>121</v>
      </c>
      <c r="C134" s="351" t="s">
        <v>197</v>
      </c>
      <c r="D134" s="351" t="s">
        <v>422</v>
      </c>
      <c r="E134" s="351">
        <v>63</v>
      </c>
      <c r="F134" s="525"/>
      <c r="G134" s="353">
        <f>127.3-80.1</f>
        <v>47.2</v>
      </c>
      <c r="H134" s="352">
        <f t="shared" si="8"/>
        <v>0.36299999999999999</v>
      </c>
      <c r="I134" s="352">
        <f t="shared" si="1"/>
        <v>1.0629999999999999</v>
      </c>
      <c r="J134" s="351">
        <f t="shared" si="10"/>
        <v>18.213016799999998</v>
      </c>
      <c r="K134" s="351"/>
      <c r="L134" s="351"/>
      <c r="M134" s="352"/>
      <c r="N134" s="351"/>
      <c r="O134" s="351"/>
      <c r="P134" s="351"/>
      <c r="Q134" s="351"/>
      <c r="R134" s="351"/>
      <c r="S134" s="351"/>
    </row>
    <row r="135" spans="2:19" ht="26.25" hidden="1" customHeight="1">
      <c r="B135" s="351">
        <f t="shared" si="9"/>
        <v>122</v>
      </c>
      <c r="C135" s="351" t="s">
        <v>422</v>
      </c>
      <c r="D135" s="351" t="s">
        <v>423</v>
      </c>
      <c r="E135" s="351">
        <v>63</v>
      </c>
      <c r="F135" s="351"/>
      <c r="G135" s="353">
        <v>23.2</v>
      </c>
      <c r="H135" s="352">
        <f t="shared" si="8"/>
        <v>0.36299999999999999</v>
      </c>
      <c r="I135" s="352">
        <f t="shared" si="1"/>
        <v>1.0629999999999999</v>
      </c>
      <c r="J135" s="351">
        <f t="shared" si="10"/>
        <v>8.9521607999999997</v>
      </c>
      <c r="K135" s="351"/>
      <c r="L135" s="351"/>
      <c r="M135" s="352"/>
      <c r="N135" s="351"/>
      <c r="O135" s="351"/>
      <c r="P135" s="351"/>
      <c r="Q135" s="351"/>
      <c r="R135" s="351"/>
      <c r="S135" s="351"/>
    </row>
    <row r="136" spans="2:19" ht="26.25" hidden="1" customHeight="1">
      <c r="B136" s="351">
        <f t="shared" si="9"/>
        <v>123</v>
      </c>
      <c r="C136" s="351" t="s">
        <v>422</v>
      </c>
      <c r="D136" s="351" t="s">
        <v>257</v>
      </c>
      <c r="E136" s="351">
        <v>63</v>
      </c>
      <c r="F136" s="524">
        <v>68</v>
      </c>
      <c r="G136" s="353">
        <v>13.7</v>
      </c>
      <c r="H136" s="352">
        <f t="shared" si="8"/>
        <v>0.36299999999999999</v>
      </c>
      <c r="I136" s="352">
        <f t="shared" si="1"/>
        <v>1.0629999999999999</v>
      </c>
      <c r="J136" s="351">
        <f t="shared" si="10"/>
        <v>5.2864052999999993</v>
      </c>
      <c r="K136" s="351"/>
      <c r="L136" s="351"/>
      <c r="M136" s="352"/>
      <c r="N136" s="351"/>
      <c r="O136" s="351"/>
      <c r="P136" s="351"/>
      <c r="Q136" s="351"/>
      <c r="R136" s="351"/>
      <c r="S136" s="351"/>
    </row>
    <row r="137" spans="2:19" ht="26.25" hidden="1" customHeight="1">
      <c r="B137" s="351">
        <f t="shared" si="9"/>
        <v>124</v>
      </c>
      <c r="C137" s="351" t="s">
        <v>422</v>
      </c>
      <c r="D137" s="351" t="s">
        <v>257</v>
      </c>
      <c r="E137" s="351">
        <v>63</v>
      </c>
      <c r="F137" s="525"/>
      <c r="G137" s="353">
        <v>22.2</v>
      </c>
      <c r="H137" s="352">
        <f t="shared" si="8"/>
        <v>0.36299999999999999</v>
      </c>
      <c r="I137" s="352">
        <f t="shared" si="1"/>
        <v>1.0629999999999999</v>
      </c>
      <c r="J137" s="351">
        <f t="shared" si="10"/>
        <v>8.5662917999999983</v>
      </c>
      <c r="K137" s="351" t="s">
        <v>199</v>
      </c>
      <c r="L137" s="351">
        <v>22.2</v>
      </c>
      <c r="M137" s="352">
        <f t="shared" si="12"/>
        <v>0.36299999999999999</v>
      </c>
      <c r="N137" s="351">
        <f t="shared" si="13"/>
        <v>8.0586000000000002</v>
      </c>
      <c r="O137" s="351"/>
      <c r="P137" s="352"/>
      <c r="Q137" s="351"/>
      <c r="R137" s="351"/>
      <c r="S137" s="351"/>
    </row>
    <row r="138" spans="2:19" ht="26.25" hidden="1" customHeight="1">
      <c r="B138" s="351">
        <f t="shared" si="9"/>
        <v>125</v>
      </c>
      <c r="C138" s="351" t="s">
        <v>257</v>
      </c>
      <c r="D138" s="351" t="s">
        <v>258</v>
      </c>
      <c r="E138" s="351">
        <v>63</v>
      </c>
      <c r="F138" s="351">
        <v>64</v>
      </c>
      <c r="G138" s="353">
        <v>64.8</v>
      </c>
      <c r="H138" s="352">
        <f t="shared" si="8"/>
        <v>0.36299999999999999</v>
      </c>
      <c r="I138" s="352">
        <f t="shared" si="1"/>
        <v>1.0629999999999999</v>
      </c>
      <c r="J138" s="351">
        <f t="shared" si="10"/>
        <v>25.004311199999997</v>
      </c>
      <c r="K138" s="351"/>
      <c r="L138" s="351"/>
      <c r="M138" s="352"/>
      <c r="N138" s="351"/>
      <c r="O138" s="351"/>
      <c r="P138" s="351"/>
      <c r="Q138" s="351"/>
      <c r="R138" s="351"/>
      <c r="S138" s="351"/>
    </row>
    <row r="139" spans="2:19" ht="26.25" hidden="1" customHeight="1">
      <c r="B139" s="351">
        <f t="shared" si="9"/>
        <v>126</v>
      </c>
      <c r="C139" s="351" t="s">
        <v>258</v>
      </c>
      <c r="D139" s="351" t="s">
        <v>424</v>
      </c>
      <c r="E139" s="351">
        <v>63</v>
      </c>
      <c r="F139" s="351"/>
      <c r="G139" s="353">
        <v>24.6</v>
      </c>
      <c r="H139" s="352">
        <f t="shared" si="8"/>
        <v>0.36299999999999999</v>
      </c>
      <c r="I139" s="352">
        <f t="shared" si="1"/>
        <v>1.0629999999999999</v>
      </c>
      <c r="J139" s="351">
        <f t="shared" si="10"/>
        <v>9.4923773999999987</v>
      </c>
      <c r="K139" s="351"/>
      <c r="L139" s="351"/>
      <c r="M139" s="352"/>
      <c r="N139" s="351"/>
      <c r="O139" s="351"/>
      <c r="P139" s="351"/>
      <c r="Q139" s="351"/>
      <c r="R139" s="351"/>
      <c r="S139" s="351"/>
    </row>
    <row r="140" spans="2:19" ht="26.25" hidden="1" customHeight="1">
      <c r="B140" s="351">
        <f t="shared" si="9"/>
        <v>127</v>
      </c>
      <c r="C140" s="351" t="s">
        <v>424</v>
      </c>
      <c r="D140" s="351" t="s">
        <v>425</v>
      </c>
      <c r="E140" s="351">
        <v>63</v>
      </c>
      <c r="F140" s="351"/>
      <c r="G140" s="353">
        <v>17.899999999999999</v>
      </c>
      <c r="H140" s="352">
        <f t="shared" si="8"/>
        <v>0.36299999999999999</v>
      </c>
      <c r="I140" s="352">
        <f t="shared" si="1"/>
        <v>1.0629999999999999</v>
      </c>
      <c r="J140" s="351">
        <f t="shared" si="10"/>
        <v>6.9070550999999991</v>
      </c>
      <c r="K140" s="351"/>
      <c r="L140" s="351"/>
      <c r="M140" s="352"/>
      <c r="N140" s="351"/>
      <c r="O140" s="351"/>
      <c r="P140" s="351"/>
      <c r="Q140" s="351"/>
      <c r="R140" s="351"/>
      <c r="S140" s="351"/>
    </row>
    <row r="141" spans="2:19" ht="26.25" hidden="1" customHeight="1">
      <c r="B141" s="351">
        <f t="shared" si="9"/>
        <v>128</v>
      </c>
      <c r="C141" s="351" t="s">
        <v>424</v>
      </c>
      <c r="D141" s="351" t="s">
        <v>426</v>
      </c>
      <c r="E141" s="351">
        <v>63</v>
      </c>
      <c r="F141" s="351">
        <v>95</v>
      </c>
      <c r="G141" s="353">
        <v>72.400000000000006</v>
      </c>
      <c r="H141" s="352">
        <f t="shared" si="8"/>
        <v>0.36299999999999999</v>
      </c>
      <c r="I141" s="352">
        <f t="shared" si="1"/>
        <v>1.0629999999999999</v>
      </c>
      <c r="J141" s="351">
        <f t="shared" si="10"/>
        <v>27.936915599999999</v>
      </c>
      <c r="K141" s="351"/>
      <c r="L141" s="351"/>
      <c r="M141" s="352"/>
      <c r="N141" s="351"/>
      <c r="O141" s="351"/>
      <c r="P141" s="351"/>
      <c r="Q141" s="351"/>
      <c r="R141" s="351"/>
      <c r="S141" s="351"/>
    </row>
    <row r="142" spans="2:19" ht="26.25" hidden="1" customHeight="1">
      <c r="B142" s="351">
        <f t="shared" ref="B142:B199" si="14">+B141+1</f>
        <v>129</v>
      </c>
      <c r="C142" s="351" t="s">
        <v>257</v>
      </c>
      <c r="D142" s="351" t="s">
        <v>426</v>
      </c>
      <c r="E142" s="351">
        <v>63</v>
      </c>
      <c r="F142" s="351">
        <v>32</v>
      </c>
      <c r="G142" s="353">
        <v>31.2</v>
      </c>
      <c r="H142" s="352">
        <f t="shared" si="8"/>
        <v>0.36299999999999999</v>
      </c>
      <c r="I142" s="352">
        <f t="shared" si="1"/>
        <v>1.0629999999999999</v>
      </c>
      <c r="J142" s="351">
        <f t="shared" si="10"/>
        <v>12.039112799999998</v>
      </c>
      <c r="K142" s="351" t="s">
        <v>199</v>
      </c>
      <c r="L142" s="351">
        <v>31.2</v>
      </c>
      <c r="M142" s="352">
        <f t="shared" si="12"/>
        <v>0.36299999999999999</v>
      </c>
      <c r="N142" s="351">
        <f t="shared" si="13"/>
        <v>11.3256</v>
      </c>
      <c r="O142" s="351"/>
      <c r="P142" s="352"/>
      <c r="Q142" s="351"/>
      <c r="R142" s="351"/>
      <c r="S142" s="351"/>
    </row>
    <row r="143" spans="2:19" ht="26.25" hidden="1" customHeight="1">
      <c r="B143" s="351">
        <f t="shared" si="14"/>
        <v>130</v>
      </c>
      <c r="C143" s="351" t="s">
        <v>426</v>
      </c>
      <c r="D143" s="351" t="s">
        <v>399</v>
      </c>
      <c r="E143" s="351">
        <v>63</v>
      </c>
      <c r="F143" s="524">
        <v>70</v>
      </c>
      <c r="G143" s="353">
        <v>3.5</v>
      </c>
      <c r="H143" s="352">
        <f t="shared" ref="H143:H199" si="15">(300+E143)/1000</f>
        <v>0.36299999999999999</v>
      </c>
      <c r="I143" s="352">
        <f t="shared" si="1"/>
        <v>1.0629999999999999</v>
      </c>
      <c r="J143" s="351">
        <f t="shared" si="10"/>
        <v>1.3505414999999998</v>
      </c>
      <c r="K143" s="351" t="s">
        <v>383</v>
      </c>
      <c r="L143" s="351">
        <v>3.5</v>
      </c>
      <c r="M143" s="352">
        <f t="shared" si="12"/>
        <v>0.36299999999999999</v>
      </c>
      <c r="N143" s="351">
        <f t="shared" si="13"/>
        <v>1.2705</v>
      </c>
      <c r="O143" s="351"/>
      <c r="P143" s="352"/>
      <c r="Q143" s="351"/>
      <c r="R143" s="351"/>
      <c r="S143" s="351"/>
    </row>
    <row r="144" spans="2:19" ht="26.25" hidden="1" customHeight="1">
      <c r="B144" s="351">
        <f t="shared" si="14"/>
        <v>131</v>
      </c>
      <c r="C144" s="351" t="s">
        <v>426</v>
      </c>
      <c r="D144" s="351" t="s">
        <v>399</v>
      </c>
      <c r="E144" s="351">
        <v>63</v>
      </c>
      <c r="F144" s="525"/>
      <c r="G144" s="353">
        <v>74.8</v>
      </c>
      <c r="H144" s="352">
        <f t="shared" si="15"/>
        <v>0.36299999999999999</v>
      </c>
      <c r="I144" s="352">
        <f t="shared" si="1"/>
        <v>1.0629999999999999</v>
      </c>
      <c r="J144" s="351">
        <f t="shared" si="10"/>
        <v>28.863001199999996</v>
      </c>
      <c r="K144" s="351" t="s">
        <v>199</v>
      </c>
      <c r="L144" s="351">
        <v>74.8</v>
      </c>
      <c r="M144" s="352">
        <f t="shared" si="12"/>
        <v>0.36299999999999999</v>
      </c>
      <c r="N144" s="351">
        <f t="shared" si="13"/>
        <v>27.152399999999997</v>
      </c>
      <c r="O144" s="351"/>
      <c r="P144" s="352"/>
      <c r="Q144" s="351"/>
      <c r="R144" s="351"/>
      <c r="S144" s="351"/>
    </row>
    <row r="145" spans="2:19" ht="26.25" hidden="1" customHeight="1">
      <c r="B145" s="351">
        <f t="shared" si="14"/>
        <v>132</v>
      </c>
      <c r="C145" s="351" t="s">
        <v>427</v>
      </c>
      <c r="D145" s="351" t="s">
        <v>235</v>
      </c>
      <c r="E145" s="351">
        <v>75</v>
      </c>
      <c r="F145" s="351"/>
      <c r="G145" s="353">
        <v>157.69999999999999</v>
      </c>
      <c r="H145" s="352">
        <f t="shared" si="15"/>
        <v>0.375</v>
      </c>
      <c r="I145" s="352">
        <f>(900+E145)/1000</f>
        <v>0.97499999999999998</v>
      </c>
      <c r="J145" s="351">
        <f t="shared" si="10"/>
        <v>57.65906249999999</v>
      </c>
      <c r="K145" s="351" t="s">
        <v>387</v>
      </c>
      <c r="L145" s="351">
        <v>157.69999999999999</v>
      </c>
      <c r="M145" s="352">
        <f t="shared" si="12"/>
        <v>0.375</v>
      </c>
      <c r="N145" s="351">
        <f t="shared" si="13"/>
        <v>59.137499999999996</v>
      </c>
      <c r="O145" s="351"/>
      <c r="P145" s="352"/>
      <c r="Q145" s="351"/>
      <c r="R145" s="351"/>
      <c r="S145" s="351"/>
    </row>
    <row r="146" spans="2:19" ht="26.25" hidden="1" customHeight="1">
      <c r="B146" s="351">
        <f t="shared" si="14"/>
        <v>133</v>
      </c>
      <c r="C146" s="351" t="s">
        <v>338</v>
      </c>
      <c r="D146" s="351" t="s">
        <v>240</v>
      </c>
      <c r="E146" s="351">
        <v>63</v>
      </c>
      <c r="F146" s="524">
        <v>107</v>
      </c>
      <c r="G146" s="353">
        <v>22.9</v>
      </c>
      <c r="H146" s="352">
        <f t="shared" si="15"/>
        <v>0.36299999999999999</v>
      </c>
      <c r="I146" s="352">
        <f t="shared" si="1"/>
        <v>1.0629999999999999</v>
      </c>
      <c r="J146" s="351">
        <f t="shared" ref="J146:J198" si="16">+I146*H146*G146</f>
        <v>8.8364000999999988</v>
      </c>
      <c r="K146" s="351"/>
      <c r="L146" s="351"/>
      <c r="M146" s="352"/>
      <c r="N146" s="351"/>
      <c r="O146" s="351"/>
      <c r="P146" s="351"/>
      <c r="Q146" s="351"/>
      <c r="R146" s="351"/>
      <c r="S146" s="351"/>
    </row>
    <row r="147" spans="2:19" ht="26.25" hidden="1" customHeight="1">
      <c r="B147" s="351">
        <f t="shared" si="14"/>
        <v>134</v>
      </c>
      <c r="C147" s="351" t="s">
        <v>338</v>
      </c>
      <c r="D147" s="351" t="s">
        <v>240</v>
      </c>
      <c r="E147" s="351">
        <v>63</v>
      </c>
      <c r="F147" s="525"/>
      <c r="G147" s="353">
        <v>95.5</v>
      </c>
      <c r="H147" s="352">
        <f t="shared" si="15"/>
        <v>0.36299999999999999</v>
      </c>
      <c r="I147" s="352">
        <f>(900+E147)/1000</f>
        <v>0.96299999999999997</v>
      </c>
      <c r="J147" s="351">
        <f t="shared" si="16"/>
        <v>33.383839499999993</v>
      </c>
      <c r="K147" s="351" t="s">
        <v>387</v>
      </c>
      <c r="L147" s="351">
        <v>95.5</v>
      </c>
      <c r="M147" s="352">
        <f t="shared" si="12"/>
        <v>0.36299999999999999</v>
      </c>
      <c r="N147" s="351">
        <f t="shared" ref="N147:N198" si="17">+M147*L147</f>
        <v>34.666499999999999</v>
      </c>
      <c r="O147" s="351"/>
      <c r="P147" s="352"/>
      <c r="Q147" s="351"/>
      <c r="R147" s="351"/>
      <c r="S147" s="351"/>
    </row>
    <row r="148" spans="2:19" ht="26.25" hidden="1" customHeight="1">
      <c r="B148" s="351">
        <f t="shared" si="14"/>
        <v>135</v>
      </c>
      <c r="C148" s="351" t="s">
        <v>240</v>
      </c>
      <c r="D148" s="351" t="s">
        <v>428</v>
      </c>
      <c r="E148" s="351">
        <v>63</v>
      </c>
      <c r="F148" s="356"/>
      <c r="G148" s="353">
        <v>60.1</v>
      </c>
      <c r="H148" s="352">
        <f t="shared" si="15"/>
        <v>0.36299999999999999</v>
      </c>
      <c r="I148" s="352">
        <f t="shared" si="1"/>
        <v>1.0629999999999999</v>
      </c>
      <c r="J148" s="351">
        <f t="shared" si="16"/>
        <v>23.190726899999998</v>
      </c>
      <c r="K148" s="351"/>
      <c r="L148" s="351"/>
      <c r="M148" s="352"/>
      <c r="N148" s="351"/>
      <c r="O148" s="351"/>
      <c r="P148" s="351"/>
      <c r="Q148" s="351"/>
      <c r="R148" s="351"/>
      <c r="S148" s="351"/>
    </row>
    <row r="149" spans="2:19" ht="26.25" hidden="1" customHeight="1">
      <c r="B149" s="351">
        <f t="shared" si="14"/>
        <v>136</v>
      </c>
      <c r="C149" s="351" t="s">
        <v>240</v>
      </c>
      <c r="D149" s="351" t="s">
        <v>429</v>
      </c>
      <c r="E149" s="351">
        <v>63</v>
      </c>
      <c r="F149" s="356"/>
      <c r="G149" s="353">
        <v>25.7</v>
      </c>
      <c r="H149" s="352">
        <f t="shared" si="15"/>
        <v>0.36299999999999999</v>
      </c>
      <c r="I149" s="352">
        <f>(900+E149)/1000</f>
        <v>0.96299999999999997</v>
      </c>
      <c r="J149" s="351">
        <f t="shared" si="16"/>
        <v>8.9839232999999989</v>
      </c>
      <c r="K149" s="351" t="s">
        <v>387</v>
      </c>
      <c r="L149" s="351">
        <v>25.7</v>
      </c>
      <c r="M149" s="352">
        <f t="shared" si="12"/>
        <v>0.36299999999999999</v>
      </c>
      <c r="N149" s="351">
        <f t="shared" si="17"/>
        <v>9.3290999999999986</v>
      </c>
      <c r="O149" s="351"/>
      <c r="P149" s="352"/>
      <c r="Q149" s="351"/>
      <c r="R149" s="351"/>
      <c r="S149" s="351"/>
    </row>
    <row r="150" spans="2:19" ht="26.25" hidden="1" customHeight="1">
      <c r="B150" s="351">
        <f t="shared" si="14"/>
        <v>137</v>
      </c>
      <c r="C150" s="351" t="s">
        <v>430</v>
      </c>
      <c r="D150" s="351" t="s">
        <v>431</v>
      </c>
      <c r="E150" s="351">
        <v>63</v>
      </c>
      <c r="F150" s="351"/>
      <c r="G150" s="353">
        <v>31.4</v>
      </c>
      <c r="H150" s="352">
        <f t="shared" si="15"/>
        <v>0.36299999999999999</v>
      </c>
      <c r="I150" s="352">
        <f t="shared" si="1"/>
        <v>1.0629999999999999</v>
      </c>
      <c r="J150" s="351">
        <f t="shared" si="16"/>
        <v>12.116286599999999</v>
      </c>
      <c r="K150" s="351"/>
      <c r="L150" s="351"/>
      <c r="M150" s="352"/>
      <c r="N150" s="351"/>
      <c r="O150" s="351"/>
      <c r="P150" s="351"/>
      <c r="Q150" s="351"/>
      <c r="R150" s="351"/>
      <c r="S150" s="351"/>
    </row>
    <row r="151" spans="2:19" ht="26.25" hidden="1" customHeight="1">
      <c r="B151" s="351">
        <f t="shared" si="14"/>
        <v>138</v>
      </c>
      <c r="C151" s="351" t="s">
        <v>430</v>
      </c>
      <c r="D151" s="351" t="s">
        <v>188</v>
      </c>
      <c r="E151" s="351">
        <v>63</v>
      </c>
      <c r="F151" s="524">
        <v>160</v>
      </c>
      <c r="G151" s="353">
        <v>74.099999999999994</v>
      </c>
      <c r="H151" s="352">
        <f t="shared" si="15"/>
        <v>0.36299999999999999</v>
      </c>
      <c r="I151" s="352">
        <f>(900+E151)/1000</f>
        <v>0.96299999999999997</v>
      </c>
      <c r="J151" s="351">
        <f t="shared" si="16"/>
        <v>25.903062899999995</v>
      </c>
      <c r="K151" s="351" t="s">
        <v>387</v>
      </c>
      <c r="L151" s="351">
        <v>74.099999999999994</v>
      </c>
      <c r="M151" s="352">
        <f t="shared" si="12"/>
        <v>0.36299999999999999</v>
      </c>
      <c r="N151" s="351">
        <f t="shared" si="17"/>
        <v>26.898299999999995</v>
      </c>
      <c r="O151" s="351"/>
      <c r="P151" s="352"/>
      <c r="Q151" s="351"/>
      <c r="R151" s="351"/>
      <c r="S151" s="351"/>
    </row>
    <row r="152" spans="2:19" ht="26.25" customHeight="1">
      <c r="B152" s="351">
        <f t="shared" si="14"/>
        <v>139</v>
      </c>
      <c r="C152" s="351" t="s">
        <v>430</v>
      </c>
      <c r="D152" s="351" t="s">
        <v>188</v>
      </c>
      <c r="E152" s="351">
        <v>63</v>
      </c>
      <c r="F152" s="525"/>
      <c r="G152" s="353">
        <f>118.8-43.7</f>
        <v>75.099999999999994</v>
      </c>
      <c r="H152" s="352">
        <f t="shared" si="15"/>
        <v>0.36299999999999999</v>
      </c>
      <c r="I152" s="352">
        <f t="shared" si="1"/>
        <v>1.0629999999999999</v>
      </c>
      <c r="J152" s="351">
        <f t="shared" si="16"/>
        <v>28.978761899999995</v>
      </c>
      <c r="K152" s="351" t="s">
        <v>301</v>
      </c>
      <c r="L152" s="351">
        <v>75.099999999999994</v>
      </c>
      <c r="M152" s="352">
        <v>0.46</v>
      </c>
      <c r="N152" s="351">
        <f t="shared" si="17"/>
        <v>34.545999999999999</v>
      </c>
      <c r="O152" s="351"/>
      <c r="P152" s="352"/>
      <c r="Q152" s="351"/>
      <c r="R152" s="351"/>
      <c r="S152" s="351"/>
    </row>
    <row r="153" spans="2:19" ht="26.25" customHeight="1">
      <c r="B153" s="351">
        <f t="shared" si="14"/>
        <v>140</v>
      </c>
      <c r="C153" s="351" t="s">
        <v>432</v>
      </c>
      <c r="D153" s="351" t="s">
        <v>188</v>
      </c>
      <c r="E153" s="351">
        <v>63</v>
      </c>
      <c r="F153" s="351">
        <v>42</v>
      </c>
      <c r="G153" s="353">
        <v>43.7</v>
      </c>
      <c r="H153" s="352">
        <f t="shared" si="15"/>
        <v>0.36299999999999999</v>
      </c>
      <c r="I153" s="352">
        <f t="shared" si="1"/>
        <v>1.0629999999999999</v>
      </c>
      <c r="J153" s="351">
        <f t="shared" si="16"/>
        <v>16.8624753</v>
      </c>
      <c r="K153" s="351" t="s">
        <v>301</v>
      </c>
      <c r="L153" s="351">
        <v>43.7</v>
      </c>
      <c r="M153" s="352">
        <v>0.46</v>
      </c>
      <c r="N153" s="351">
        <f t="shared" si="17"/>
        <v>20.102000000000004</v>
      </c>
      <c r="O153" s="351"/>
      <c r="P153" s="352"/>
      <c r="Q153" s="351"/>
      <c r="R153" s="351"/>
      <c r="S153" s="351"/>
    </row>
    <row r="154" spans="2:19" ht="26.25" hidden="1" customHeight="1">
      <c r="B154" s="351">
        <f t="shared" si="14"/>
        <v>141</v>
      </c>
      <c r="C154" s="351" t="s">
        <v>433</v>
      </c>
      <c r="D154" s="351" t="s">
        <v>337</v>
      </c>
      <c r="E154" s="351">
        <v>63</v>
      </c>
      <c r="F154" s="351">
        <v>271</v>
      </c>
      <c r="G154" s="353">
        <v>272.8</v>
      </c>
      <c r="H154" s="352">
        <f t="shared" si="15"/>
        <v>0.36299999999999999</v>
      </c>
      <c r="I154" s="352">
        <f t="shared" si="1"/>
        <v>1.0629999999999999</v>
      </c>
      <c r="J154" s="351">
        <f t="shared" si="16"/>
        <v>105.2650632</v>
      </c>
      <c r="K154" s="351"/>
      <c r="L154" s="351"/>
      <c r="M154" s="352"/>
      <c r="N154" s="351"/>
      <c r="O154" s="351"/>
      <c r="P154" s="351"/>
      <c r="Q154" s="351"/>
      <c r="R154" s="351"/>
      <c r="S154" s="351"/>
    </row>
    <row r="155" spans="2:19" ht="26.25" hidden="1" customHeight="1">
      <c r="B155" s="351">
        <f t="shared" si="14"/>
        <v>142</v>
      </c>
      <c r="C155" s="351" t="s">
        <v>337</v>
      </c>
      <c r="D155" s="351" t="s">
        <v>229</v>
      </c>
      <c r="E155" s="351">
        <v>63</v>
      </c>
      <c r="F155" s="351">
        <v>174</v>
      </c>
      <c r="G155" s="353">
        <v>176</v>
      </c>
      <c r="H155" s="352">
        <f t="shared" si="15"/>
        <v>0.36299999999999999</v>
      </c>
      <c r="I155" s="352">
        <f t="shared" si="1"/>
        <v>1.0629999999999999</v>
      </c>
      <c r="J155" s="351">
        <f t="shared" si="16"/>
        <v>67.912943999999996</v>
      </c>
      <c r="K155" s="351"/>
      <c r="L155" s="351"/>
      <c r="M155" s="352"/>
      <c r="N155" s="351"/>
      <c r="O155" s="351"/>
      <c r="P155" s="351"/>
      <c r="Q155" s="351"/>
      <c r="R155" s="351"/>
      <c r="S155" s="351"/>
    </row>
    <row r="156" spans="2:19" ht="26.25" hidden="1" customHeight="1">
      <c r="B156" s="351">
        <f t="shared" si="14"/>
        <v>143</v>
      </c>
      <c r="C156" s="351" t="s">
        <v>229</v>
      </c>
      <c r="D156" s="351" t="s">
        <v>242</v>
      </c>
      <c r="E156" s="351">
        <v>63</v>
      </c>
      <c r="F156" s="524">
        <v>53</v>
      </c>
      <c r="G156" s="353">
        <v>6.5</v>
      </c>
      <c r="H156" s="352">
        <f t="shared" si="15"/>
        <v>0.36299999999999999</v>
      </c>
      <c r="I156" s="352">
        <f t="shared" si="1"/>
        <v>1.0629999999999999</v>
      </c>
      <c r="J156" s="351">
        <f t="shared" si="16"/>
        <v>2.5081484999999999</v>
      </c>
      <c r="K156" s="351" t="s">
        <v>383</v>
      </c>
      <c r="L156" s="351">
        <v>6.5</v>
      </c>
      <c r="M156" s="352">
        <f t="shared" ref="M156:M198" si="18">(300+E156)/1000</f>
        <v>0.36299999999999999</v>
      </c>
      <c r="N156" s="351">
        <f t="shared" si="17"/>
        <v>2.3594999999999997</v>
      </c>
      <c r="O156" s="351"/>
      <c r="P156" s="352"/>
      <c r="Q156" s="351"/>
      <c r="R156" s="351"/>
      <c r="S156" s="351"/>
    </row>
    <row r="157" spans="2:19" ht="26.25" hidden="1" customHeight="1">
      <c r="B157" s="351">
        <f t="shared" si="14"/>
        <v>144</v>
      </c>
      <c r="C157" s="351" t="s">
        <v>229</v>
      </c>
      <c r="D157" s="351" t="s">
        <v>242</v>
      </c>
      <c r="E157" s="351">
        <v>63</v>
      </c>
      <c r="F157" s="525"/>
      <c r="G157" s="353">
        <v>48.2</v>
      </c>
      <c r="H157" s="352">
        <f t="shared" si="15"/>
        <v>0.36299999999999999</v>
      </c>
      <c r="I157" s="352">
        <f t="shared" si="1"/>
        <v>1.0629999999999999</v>
      </c>
      <c r="J157" s="351">
        <f t="shared" si="16"/>
        <v>18.598885799999998</v>
      </c>
      <c r="K157" s="351"/>
      <c r="L157" s="351"/>
      <c r="M157" s="352"/>
      <c r="N157" s="351"/>
      <c r="O157" s="351"/>
      <c r="P157" s="351"/>
      <c r="Q157" s="351"/>
      <c r="R157" s="351"/>
      <c r="S157" s="351"/>
    </row>
    <row r="158" spans="2:19" ht="26.25" hidden="1" customHeight="1">
      <c r="B158" s="351">
        <f t="shared" si="14"/>
        <v>145</v>
      </c>
      <c r="C158" s="351" t="s">
        <v>229</v>
      </c>
      <c r="D158" s="351" t="s">
        <v>432</v>
      </c>
      <c r="E158" s="351">
        <v>63</v>
      </c>
      <c r="F158" s="351">
        <f>10+112+8+22</f>
        <v>152</v>
      </c>
      <c r="G158" s="353">
        <v>158.6</v>
      </c>
      <c r="H158" s="352">
        <f t="shared" si="15"/>
        <v>0.36299999999999999</v>
      </c>
      <c r="I158" s="352">
        <f t="shared" si="1"/>
        <v>1.0629999999999999</v>
      </c>
      <c r="J158" s="351">
        <f t="shared" si="16"/>
        <v>61.198823399999995</v>
      </c>
      <c r="K158" s="351"/>
      <c r="L158" s="351"/>
      <c r="M158" s="352"/>
      <c r="N158" s="351"/>
      <c r="O158" s="351"/>
      <c r="P158" s="351"/>
      <c r="Q158" s="351"/>
      <c r="R158" s="351"/>
      <c r="S158" s="351"/>
    </row>
    <row r="159" spans="2:19" ht="26.25" hidden="1" customHeight="1">
      <c r="B159" s="351">
        <f t="shared" si="14"/>
        <v>146</v>
      </c>
      <c r="C159" s="351" t="s">
        <v>432</v>
      </c>
      <c r="D159" s="351" t="s">
        <v>228</v>
      </c>
      <c r="E159" s="351">
        <v>63</v>
      </c>
      <c r="F159" s="351">
        <f>66+14</f>
        <v>80</v>
      </c>
      <c r="G159" s="353">
        <v>84.9</v>
      </c>
      <c r="H159" s="352">
        <f t="shared" si="15"/>
        <v>0.36299999999999999</v>
      </c>
      <c r="I159" s="352">
        <f t="shared" si="1"/>
        <v>1.0629999999999999</v>
      </c>
      <c r="J159" s="351">
        <f t="shared" si="16"/>
        <v>32.760278100000001</v>
      </c>
      <c r="K159" s="351"/>
      <c r="L159" s="351"/>
      <c r="M159" s="352"/>
      <c r="N159" s="351"/>
      <c r="O159" s="351"/>
      <c r="P159" s="351"/>
      <c r="Q159" s="351"/>
      <c r="R159" s="351"/>
      <c r="S159" s="351"/>
    </row>
    <row r="160" spans="2:19" ht="26.25" hidden="1" customHeight="1">
      <c r="B160" s="351">
        <f t="shared" si="14"/>
        <v>147</v>
      </c>
      <c r="C160" s="351" t="s">
        <v>228</v>
      </c>
      <c r="D160" s="351" t="s">
        <v>226</v>
      </c>
      <c r="E160" s="351">
        <v>63</v>
      </c>
      <c r="F160" s="524">
        <v>60</v>
      </c>
      <c r="G160" s="353">
        <v>36.799999999999997</v>
      </c>
      <c r="H160" s="352">
        <f t="shared" si="15"/>
        <v>0.36299999999999999</v>
      </c>
      <c r="I160" s="352">
        <f t="shared" si="1"/>
        <v>1.0629999999999999</v>
      </c>
      <c r="J160" s="351">
        <f t="shared" si="16"/>
        <v>14.199979199999998</v>
      </c>
      <c r="K160" s="351" t="s">
        <v>199</v>
      </c>
      <c r="L160" s="351">
        <v>36.799999999999997</v>
      </c>
      <c r="M160" s="352">
        <f t="shared" si="18"/>
        <v>0.36299999999999999</v>
      </c>
      <c r="N160" s="351">
        <f t="shared" si="17"/>
        <v>13.358399999999998</v>
      </c>
      <c r="O160" s="351"/>
      <c r="P160" s="352"/>
      <c r="Q160" s="351"/>
      <c r="R160" s="351"/>
      <c r="S160" s="351"/>
    </row>
    <row r="161" spans="2:19" ht="26.25" hidden="1" customHeight="1">
      <c r="B161" s="351">
        <f t="shared" si="14"/>
        <v>148</v>
      </c>
      <c r="C161" s="351" t="s">
        <v>228</v>
      </c>
      <c r="D161" s="351" t="s">
        <v>226</v>
      </c>
      <c r="E161" s="351">
        <v>63</v>
      </c>
      <c r="F161" s="525"/>
      <c r="G161" s="353">
        <v>14.5</v>
      </c>
      <c r="H161" s="352">
        <f t="shared" si="15"/>
        <v>0.36299999999999999</v>
      </c>
      <c r="I161" s="352">
        <f t="shared" si="1"/>
        <v>1.0629999999999999</v>
      </c>
      <c r="J161" s="351">
        <f t="shared" si="16"/>
        <v>5.5951004999999991</v>
      </c>
      <c r="K161" s="351"/>
      <c r="L161" s="351"/>
      <c r="M161" s="352"/>
      <c r="N161" s="351"/>
      <c r="O161" s="351"/>
      <c r="P161" s="351"/>
      <c r="Q161" s="351"/>
      <c r="R161" s="351"/>
      <c r="S161" s="351"/>
    </row>
    <row r="162" spans="2:19" ht="26.25" hidden="1" customHeight="1">
      <c r="B162" s="351">
        <f t="shared" si="14"/>
        <v>149</v>
      </c>
      <c r="C162" s="351" t="s">
        <v>226</v>
      </c>
      <c r="D162" s="351" t="s">
        <v>188</v>
      </c>
      <c r="E162" s="351">
        <v>63</v>
      </c>
      <c r="F162" s="351">
        <v>79</v>
      </c>
      <c r="G162" s="353">
        <v>84.3</v>
      </c>
      <c r="H162" s="352">
        <f t="shared" si="15"/>
        <v>0.36299999999999999</v>
      </c>
      <c r="I162" s="352">
        <f t="shared" si="1"/>
        <v>1.0629999999999999</v>
      </c>
      <c r="J162" s="351">
        <f t="shared" si="16"/>
        <v>32.528756699999995</v>
      </c>
      <c r="K162" s="351"/>
      <c r="L162" s="351"/>
      <c r="M162" s="352"/>
      <c r="N162" s="351"/>
      <c r="O162" s="351"/>
      <c r="P162" s="351"/>
      <c r="Q162" s="351"/>
      <c r="R162" s="351"/>
      <c r="S162" s="351"/>
    </row>
    <row r="163" spans="2:19" ht="26.25" hidden="1" customHeight="1">
      <c r="B163" s="351">
        <f t="shared" si="14"/>
        <v>150</v>
      </c>
      <c r="C163" s="351" t="s">
        <v>226</v>
      </c>
      <c r="D163" s="351" t="s">
        <v>434</v>
      </c>
      <c r="E163" s="351">
        <v>63</v>
      </c>
      <c r="F163" s="351">
        <v>45</v>
      </c>
      <c r="G163" s="353">
        <v>61.1</v>
      </c>
      <c r="H163" s="352">
        <f t="shared" si="15"/>
        <v>0.36299999999999999</v>
      </c>
      <c r="I163" s="352">
        <f t="shared" si="1"/>
        <v>1.0629999999999999</v>
      </c>
      <c r="J163" s="351">
        <f t="shared" si="16"/>
        <v>23.576595899999997</v>
      </c>
      <c r="K163" s="351"/>
      <c r="L163" s="351"/>
      <c r="M163" s="352"/>
      <c r="N163" s="351"/>
      <c r="O163" s="351"/>
      <c r="P163" s="351"/>
      <c r="Q163" s="351"/>
      <c r="R163" s="351"/>
      <c r="S163" s="351"/>
    </row>
    <row r="164" spans="2:19" ht="26.25" hidden="1" customHeight="1">
      <c r="B164" s="351">
        <f t="shared" si="14"/>
        <v>151</v>
      </c>
      <c r="C164" s="351" t="s">
        <v>240</v>
      </c>
      <c r="D164" s="351" t="s">
        <v>338</v>
      </c>
      <c r="E164" s="351">
        <v>63</v>
      </c>
      <c r="F164" s="351">
        <v>107</v>
      </c>
      <c r="G164" s="353">
        <v>24.9</v>
      </c>
      <c r="H164" s="352">
        <f t="shared" si="15"/>
        <v>0.36299999999999999</v>
      </c>
      <c r="I164" s="352">
        <f t="shared" si="1"/>
        <v>1.0629999999999999</v>
      </c>
      <c r="J164" s="351">
        <f t="shared" si="16"/>
        <v>9.6081380999999979</v>
      </c>
      <c r="K164" s="351"/>
      <c r="L164" s="351"/>
      <c r="M164" s="352"/>
      <c r="N164" s="351"/>
      <c r="O164" s="351"/>
      <c r="P164" s="351"/>
      <c r="Q164" s="351"/>
      <c r="R164" s="351"/>
      <c r="S164" s="351"/>
    </row>
    <row r="165" spans="2:19" ht="26.25" hidden="1" customHeight="1">
      <c r="B165" s="353">
        <f t="shared" si="14"/>
        <v>152</v>
      </c>
      <c r="C165" s="351" t="s">
        <v>338</v>
      </c>
      <c r="D165" s="351" t="s">
        <v>435</v>
      </c>
      <c r="E165" s="351">
        <v>63</v>
      </c>
      <c r="F165" s="354">
        <v>120</v>
      </c>
      <c r="G165" s="353">
        <f>47.2+29.1</f>
        <v>76.300000000000011</v>
      </c>
      <c r="H165" s="352">
        <f t="shared" si="15"/>
        <v>0.36299999999999999</v>
      </c>
      <c r="I165" s="352">
        <f t="shared" si="1"/>
        <v>1.0629999999999999</v>
      </c>
      <c r="J165" s="351">
        <f t="shared" si="16"/>
        <v>29.441804700000002</v>
      </c>
      <c r="K165" s="351"/>
      <c r="L165" s="351"/>
      <c r="M165" s="352"/>
      <c r="N165" s="351"/>
      <c r="O165" s="351"/>
      <c r="P165" s="351"/>
      <c r="Q165" s="351"/>
      <c r="R165" s="351"/>
      <c r="S165" s="351"/>
    </row>
    <row r="166" spans="2:19" ht="26.25" hidden="1" customHeight="1">
      <c r="B166" s="353">
        <f t="shared" si="14"/>
        <v>153</v>
      </c>
      <c r="C166" s="351" t="s">
        <v>435</v>
      </c>
      <c r="D166" s="351" t="s">
        <v>436</v>
      </c>
      <c r="E166" s="351">
        <v>63</v>
      </c>
      <c r="F166" s="351">
        <v>54</v>
      </c>
      <c r="G166" s="353">
        <v>51.4</v>
      </c>
      <c r="H166" s="352">
        <f t="shared" si="15"/>
        <v>0.36299999999999999</v>
      </c>
      <c r="I166" s="352">
        <f t="shared" si="1"/>
        <v>1.0629999999999999</v>
      </c>
      <c r="J166" s="351">
        <f t="shared" si="16"/>
        <v>19.833666599999997</v>
      </c>
      <c r="K166" s="351"/>
      <c r="L166" s="351"/>
      <c r="M166" s="352"/>
      <c r="N166" s="351"/>
      <c r="O166" s="351"/>
      <c r="P166" s="351"/>
      <c r="Q166" s="351"/>
      <c r="R166" s="351"/>
      <c r="S166" s="351"/>
    </row>
    <row r="167" spans="2:19" ht="26.25" hidden="1" customHeight="1">
      <c r="B167" s="353">
        <f t="shared" si="14"/>
        <v>154</v>
      </c>
      <c r="C167" s="351" t="s">
        <v>435</v>
      </c>
      <c r="D167" s="351" t="s">
        <v>337</v>
      </c>
      <c r="E167" s="351">
        <v>63</v>
      </c>
      <c r="F167" s="351">
        <v>74</v>
      </c>
      <c r="G167" s="353">
        <v>75.099999999999994</v>
      </c>
      <c r="H167" s="352">
        <f t="shared" si="15"/>
        <v>0.36299999999999999</v>
      </c>
      <c r="I167" s="352">
        <f t="shared" si="1"/>
        <v>1.0629999999999999</v>
      </c>
      <c r="J167" s="351">
        <f t="shared" si="16"/>
        <v>28.978761899999995</v>
      </c>
      <c r="K167" s="351"/>
      <c r="L167" s="351"/>
      <c r="M167" s="352"/>
      <c r="N167" s="351"/>
      <c r="O167" s="351"/>
      <c r="P167" s="351"/>
      <c r="Q167" s="351"/>
      <c r="R167" s="351"/>
      <c r="S167" s="351"/>
    </row>
    <row r="168" spans="2:19" ht="26.25" hidden="1" customHeight="1">
      <c r="B168" s="351">
        <f t="shared" si="14"/>
        <v>155</v>
      </c>
      <c r="C168" s="351" t="s">
        <v>338</v>
      </c>
      <c r="D168" s="351" t="s">
        <v>234</v>
      </c>
      <c r="E168" s="351">
        <v>63</v>
      </c>
      <c r="F168" s="351">
        <v>41</v>
      </c>
      <c r="G168" s="353">
        <v>49.2</v>
      </c>
      <c r="H168" s="352">
        <f t="shared" si="15"/>
        <v>0.36299999999999999</v>
      </c>
      <c r="I168" s="352">
        <f t="shared" si="1"/>
        <v>1.0629999999999999</v>
      </c>
      <c r="J168" s="351">
        <f t="shared" si="16"/>
        <v>18.984754799999997</v>
      </c>
      <c r="K168" s="351"/>
      <c r="L168" s="351"/>
      <c r="M168" s="352"/>
      <c r="N168" s="351"/>
      <c r="O168" s="351"/>
      <c r="P168" s="351"/>
      <c r="Q168" s="351"/>
      <c r="R168" s="351"/>
      <c r="S168" s="351"/>
    </row>
    <row r="169" spans="2:19" ht="26.25" hidden="1" customHeight="1">
      <c r="B169" s="351">
        <f t="shared" si="14"/>
        <v>156</v>
      </c>
      <c r="C169" s="351" t="s">
        <v>234</v>
      </c>
      <c r="D169" s="351" t="s">
        <v>336</v>
      </c>
      <c r="E169" s="351">
        <v>63</v>
      </c>
      <c r="F169" s="351">
        <v>65</v>
      </c>
      <c r="G169" s="353">
        <v>36.1</v>
      </c>
      <c r="H169" s="352">
        <f t="shared" si="15"/>
        <v>0.36299999999999999</v>
      </c>
      <c r="I169" s="352">
        <f t="shared" si="1"/>
        <v>1.0629999999999999</v>
      </c>
      <c r="J169" s="351">
        <f t="shared" si="16"/>
        <v>13.929870899999999</v>
      </c>
      <c r="K169" s="351"/>
      <c r="L169" s="351"/>
      <c r="M169" s="352"/>
      <c r="N169" s="351"/>
      <c r="O169" s="351"/>
      <c r="P169" s="351"/>
      <c r="Q169" s="351"/>
      <c r="R169" s="351"/>
      <c r="S169" s="351"/>
    </row>
    <row r="170" spans="2:19" ht="26.25" hidden="1" customHeight="1">
      <c r="B170" s="351">
        <f t="shared" si="14"/>
        <v>157</v>
      </c>
      <c r="C170" s="351" t="s">
        <v>234</v>
      </c>
      <c r="D170" s="351" t="s">
        <v>379</v>
      </c>
      <c r="E170" s="351">
        <v>63</v>
      </c>
      <c r="F170" s="351"/>
      <c r="G170" s="353">
        <v>16.2</v>
      </c>
      <c r="H170" s="352">
        <f t="shared" si="15"/>
        <v>0.36299999999999999</v>
      </c>
      <c r="I170" s="352">
        <f t="shared" si="1"/>
        <v>1.0629999999999999</v>
      </c>
      <c r="J170" s="351">
        <f t="shared" si="16"/>
        <v>6.2510777999999991</v>
      </c>
      <c r="K170" s="351"/>
      <c r="L170" s="351"/>
      <c r="M170" s="352"/>
      <c r="N170" s="351"/>
      <c r="O170" s="351"/>
      <c r="P170" s="351"/>
      <c r="Q170" s="351"/>
      <c r="R170" s="351"/>
      <c r="S170" s="351"/>
    </row>
    <row r="171" spans="2:19" ht="26.25" hidden="1" customHeight="1">
      <c r="B171" s="351">
        <f t="shared" si="14"/>
        <v>158</v>
      </c>
      <c r="C171" s="351" t="s">
        <v>379</v>
      </c>
      <c r="D171" s="351" t="s">
        <v>437</v>
      </c>
      <c r="E171" s="351">
        <v>63</v>
      </c>
      <c r="F171" s="351"/>
      <c r="G171" s="353">
        <v>34.6</v>
      </c>
      <c r="H171" s="352">
        <f t="shared" si="15"/>
        <v>0.36299999999999999</v>
      </c>
      <c r="I171" s="352">
        <f t="shared" ref="I171:I197" si="19">(1000+E171)/1000</f>
        <v>1.0629999999999999</v>
      </c>
      <c r="J171" s="351">
        <f t="shared" si="16"/>
        <v>13.3510674</v>
      </c>
      <c r="K171" s="351"/>
      <c r="L171" s="351"/>
      <c r="M171" s="352"/>
      <c r="N171" s="351"/>
      <c r="O171" s="351"/>
      <c r="P171" s="351"/>
      <c r="Q171" s="351"/>
      <c r="R171" s="351"/>
      <c r="S171" s="351"/>
    </row>
    <row r="172" spans="2:19" ht="26.25" hidden="1" customHeight="1">
      <c r="B172" s="351">
        <f t="shared" si="14"/>
        <v>159</v>
      </c>
      <c r="C172" s="351" t="s">
        <v>379</v>
      </c>
      <c r="D172" s="351" t="s">
        <v>235</v>
      </c>
      <c r="E172" s="351">
        <v>63</v>
      </c>
      <c r="F172" s="351"/>
      <c r="G172" s="353">
        <v>25.8</v>
      </c>
      <c r="H172" s="352">
        <f t="shared" si="15"/>
        <v>0.36299999999999999</v>
      </c>
      <c r="I172" s="352">
        <f t="shared" si="19"/>
        <v>1.0629999999999999</v>
      </c>
      <c r="J172" s="351">
        <f t="shared" si="16"/>
        <v>9.9554201999999989</v>
      </c>
      <c r="K172" s="351"/>
      <c r="L172" s="351"/>
      <c r="M172" s="352"/>
      <c r="N172" s="351"/>
      <c r="O172" s="351"/>
      <c r="P172" s="351"/>
      <c r="Q172" s="351"/>
      <c r="R172" s="351"/>
      <c r="S172" s="351"/>
    </row>
    <row r="173" spans="2:19" ht="26.25" hidden="1" customHeight="1">
      <c r="B173" s="351">
        <f t="shared" si="14"/>
        <v>160</v>
      </c>
      <c r="C173" s="351" t="s">
        <v>427</v>
      </c>
      <c r="D173" s="351" t="s">
        <v>235</v>
      </c>
      <c r="E173" s="351">
        <v>75</v>
      </c>
      <c r="F173" s="351"/>
      <c r="G173" s="353">
        <v>13.4</v>
      </c>
      <c r="H173" s="352">
        <f t="shared" si="15"/>
        <v>0.375</v>
      </c>
      <c r="I173" s="352">
        <f t="shared" si="19"/>
        <v>1.075</v>
      </c>
      <c r="J173" s="351">
        <f t="shared" si="16"/>
        <v>5.4018749999999995</v>
      </c>
      <c r="K173" s="351"/>
      <c r="L173" s="351"/>
      <c r="M173" s="352"/>
      <c r="N173" s="351"/>
      <c r="O173" s="351"/>
      <c r="P173" s="351"/>
      <c r="Q173" s="351"/>
      <c r="R173" s="351"/>
      <c r="S173" s="351"/>
    </row>
    <row r="174" spans="2:19" ht="26.25" hidden="1" customHeight="1">
      <c r="B174" s="351">
        <f t="shared" si="14"/>
        <v>161</v>
      </c>
      <c r="C174" s="351" t="s">
        <v>427</v>
      </c>
      <c r="D174" s="351" t="s">
        <v>438</v>
      </c>
      <c r="E174" s="351">
        <v>63</v>
      </c>
      <c r="F174" s="351"/>
      <c r="G174" s="353">
        <v>74.900000000000006</v>
      </c>
      <c r="H174" s="352">
        <f t="shared" si="15"/>
        <v>0.36299999999999999</v>
      </c>
      <c r="I174" s="352">
        <f t="shared" si="19"/>
        <v>1.0629999999999999</v>
      </c>
      <c r="J174" s="351">
        <f t="shared" si="16"/>
        <v>28.901588099999998</v>
      </c>
      <c r="K174" s="351"/>
      <c r="L174" s="351"/>
      <c r="M174" s="352"/>
      <c r="N174" s="351"/>
      <c r="O174" s="351"/>
      <c r="P174" s="351"/>
      <c r="Q174" s="351"/>
      <c r="R174" s="351"/>
      <c r="S174" s="351"/>
    </row>
    <row r="175" spans="2:19" ht="26.25" hidden="1" customHeight="1">
      <c r="B175" s="351">
        <f t="shared" si="14"/>
        <v>162</v>
      </c>
      <c r="C175" s="351" t="s">
        <v>245</v>
      </c>
      <c r="D175" s="351" t="s">
        <v>427</v>
      </c>
      <c r="E175" s="351">
        <v>75</v>
      </c>
      <c r="F175" s="351"/>
      <c r="G175" s="353">
        <v>84.2</v>
      </c>
      <c r="H175" s="352">
        <f t="shared" si="15"/>
        <v>0.375</v>
      </c>
      <c r="I175" s="352">
        <f t="shared" si="19"/>
        <v>1.075</v>
      </c>
      <c r="J175" s="351">
        <f t="shared" si="16"/>
        <v>33.943124999999995</v>
      </c>
      <c r="K175" s="351" t="s">
        <v>387</v>
      </c>
      <c r="L175" s="351">
        <v>84.2</v>
      </c>
      <c r="M175" s="352">
        <f t="shared" si="18"/>
        <v>0.375</v>
      </c>
      <c r="N175" s="351">
        <f>+L175*M175</f>
        <v>31.575000000000003</v>
      </c>
      <c r="O175" s="351"/>
      <c r="P175" s="351"/>
      <c r="Q175" s="351"/>
      <c r="R175" s="351"/>
      <c r="S175" s="351"/>
    </row>
    <row r="176" spans="2:19" ht="26.25" hidden="1" customHeight="1">
      <c r="B176" s="351">
        <f t="shared" si="14"/>
        <v>163</v>
      </c>
      <c r="C176" s="351" t="s">
        <v>245</v>
      </c>
      <c r="D176" s="351" t="s">
        <v>427</v>
      </c>
      <c r="E176" s="351">
        <v>75</v>
      </c>
      <c r="F176" s="351"/>
      <c r="G176" s="353">
        <v>3.8</v>
      </c>
      <c r="H176" s="352">
        <f t="shared" si="15"/>
        <v>0.375</v>
      </c>
      <c r="I176" s="352">
        <f>(900+E176)/1000</f>
        <v>0.97499999999999998</v>
      </c>
      <c r="J176" s="351">
        <f t="shared" si="16"/>
        <v>1.3893749999999998</v>
      </c>
      <c r="K176" s="351" t="s">
        <v>387</v>
      </c>
      <c r="L176" s="351">
        <v>3.8</v>
      </c>
      <c r="M176" s="352">
        <f t="shared" si="18"/>
        <v>0.375</v>
      </c>
      <c r="N176" s="351">
        <f t="shared" si="17"/>
        <v>1.4249999999999998</v>
      </c>
      <c r="O176" s="351"/>
      <c r="P176" s="352"/>
      <c r="Q176" s="351"/>
      <c r="R176" s="351"/>
      <c r="S176" s="351"/>
    </row>
    <row r="177" spans="2:19" ht="26.25" hidden="1" customHeight="1">
      <c r="B177" s="351">
        <f t="shared" si="14"/>
        <v>164</v>
      </c>
      <c r="C177" s="351" t="s">
        <v>245</v>
      </c>
      <c r="D177" s="351" t="s">
        <v>427</v>
      </c>
      <c r="E177" s="351">
        <v>75</v>
      </c>
      <c r="F177" s="351"/>
      <c r="G177" s="353">
        <v>80.7</v>
      </c>
      <c r="H177" s="352">
        <f t="shared" si="15"/>
        <v>0.375</v>
      </c>
      <c r="I177" s="352">
        <f t="shared" si="19"/>
        <v>1.075</v>
      </c>
      <c r="J177" s="351">
        <f t="shared" si="16"/>
        <v>32.532187499999999</v>
      </c>
      <c r="K177" s="351" t="s">
        <v>387</v>
      </c>
      <c r="L177" s="351">
        <v>80.7</v>
      </c>
      <c r="M177" s="352">
        <f t="shared" si="18"/>
        <v>0.375</v>
      </c>
      <c r="N177" s="351">
        <f t="shared" si="17"/>
        <v>30.262500000000003</v>
      </c>
      <c r="O177" s="351"/>
      <c r="P177" s="351"/>
      <c r="Q177" s="351"/>
      <c r="R177" s="351"/>
      <c r="S177" s="351"/>
    </row>
    <row r="178" spans="2:19" ht="26.25" hidden="1" customHeight="1">
      <c r="B178" s="351">
        <f t="shared" si="14"/>
        <v>165</v>
      </c>
      <c r="C178" s="351" t="s">
        <v>245</v>
      </c>
      <c r="D178" s="351" t="s">
        <v>439</v>
      </c>
      <c r="E178" s="351">
        <v>63</v>
      </c>
      <c r="F178" s="351">
        <f>78+218</f>
        <v>296</v>
      </c>
      <c r="G178" s="353">
        <v>349.2</v>
      </c>
      <c r="H178" s="352">
        <f t="shared" si="15"/>
        <v>0.36299999999999999</v>
      </c>
      <c r="I178" s="352">
        <f t="shared" si="19"/>
        <v>1.0629999999999999</v>
      </c>
      <c r="J178" s="351">
        <f t="shared" si="16"/>
        <v>134.74545479999998</v>
      </c>
      <c r="K178" s="351"/>
      <c r="L178" s="351"/>
      <c r="M178" s="352"/>
      <c r="N178" s="351"/>
      <c r="O178" s="351"/>
      <c r="P178" s="351"/>
      <c r="Q178" s="351"/>
      <c r="R178" s="351"/>
      <c r="S178" s="351"/>
    </row>
    <row r="179" spans="2:19" ht="26.25" hidden="1" customHeight="1">
      <c r="B179" s="351">
        <f t="shared" si="14"/>
        <v>166</v>
      </c>
      <c r="C179" s="351" t="s">
        <v>324</v>
      </c>
      <c r="D179" s="351" t="s">
        <v>335</v>
      </c>
      <c r="E179" s="351">
        <v>63</v>
      </c>
      <c r="F179" s="351">
        <v>216</v>
      </c>
      <c r="G179" s="353">
        <v>232.4</v>
      </c>
      <c r="H179" s="352">
        <f t="shared" si="15"/>
        <v>0.36299999999999999</v>
      </c>
      <c r="I179" s="352">
        <f t="shared" si="19"/>
        <v>1.0629999999999999</v>
      </c>
      <c r="J179" s="351">
        <f t="shared" si="16"/>
        <v>89.675955599999995</v>
      </c>
      <c r="K179" s="351"/>
      <c r="L179" s="351"/>
      <c r="M179" s="352"/>
      <c r="N179" s="351"/>
      <c r="O179" s="351"/>
      <c r="P179" s="351"/>
      <c r="Q179" s="351"/>
      <c r="R179" s="351"/>
      <c r="S179" s="351"/>
    </row>
    <row r="180" spans="2:19" ht="26.25" hidden="1" customHeight="1">
      <c r="B180" s="351">
        <f t="shared" si="14"/>
        <v>167</v>
      </c>
      <c r="C180" s="351" t="s">
        <v>324</v>
      </c>
      <c r="D180" s="351" t="s">
        <v>342</v>
      </c>
      <c r="E180" s="351">
        <v>63</v>
      </c>
      <c r="F180" s="524">
        <f>209+73+108</f>
        <v>390</v>
      </c>
      <c r="G180" s="353">
        <v>3.3</v>
      </c>
      <c r="H180" s="352">
        <f t="shared" si="15"/>
        <v>0.36299999999999999</v>
      </c>
      <c r="I180" s="352">
        <f t="shared" si="19"/>
        <v>1.0629999999999999</v>
      </c>
      <c r="J180" s="351">
        <f t="shared" si="16"/>
        <v>1.2733676999999999</v>
      </c>
      <c r="K180" s="351"/>
      <c r="L180" s="351"/>
      <c r="M180" s="352"/>
      <c r="N180" s="351"/>
      <c r="O180" s="351"/>
      <c r="P180" s="351"/>
      <c r="Q180" s="351"/>
      <c r="R180" s="351"/>
      <c r="S180" s="351"/>
    </row>
    <row r="181" spans="2:19" ht="26.25" hidden="1" customHeight="1">
      <c r="B181" s="351">
        <f t="shared" si="14"/>
        <v>168</v>
      </c>
      <c r="C181" s="351" t="s">
        <v>324</v>
      </c>
      <c r="D181" s="351" t="s">
        <v>342</v>
      </c>
      <c r="E181" s="351">
        <v>63</v>
      </c>
      <c r="F181" s="525"/>
      <c r="G181" s="353">
        <v>397.3</v>
      </c>
      <c r="H181" s="352">
        <f t="shared" si="15"/>
        <v>0.36299999999999999</v>
      </c>
      <c r="I181" s="352">
        <f t="shared" si="19"/>
        <v>1.0629999999999999</v>
      </c>
      <c r="J181" s="351">
        <f t="shared" si="16"/>
        <v>153.3057537</v>
      </c>
      <c r="K181" s="351" t="s">
        <v>199</v>
      </c>
      <c r="L181" s="351">
        <v>397.3</v>
      </c>
      <c r="M181" s="352">
        <f t="shared" si="18"/>
        <v>0.36299999999999999</v>
      </c>
      <c r="N181" s="351">
        <f t="shared" ref="N181:N182" si="20">+M181*L181</f>
        <v>144.2199</v>
      </c>
      <c r="O181" s="351"/>
      <c r="P181" s="352"/>
      <c r="Q181" s="351"/>
      <c r="R181" s="351"/>
      <c r="S181" s="351"/>
    </row>
    <row r="182" spans="2:19" ht="26.25" hidden="1" customHeight="1">
      <c r="B182" s="351">
        <f t="shared" si="14"/>
        <v>169</v>
      </c>
      <c r="C182" s="351" t="s">
        <v>342</v>
      </c>
      <c r="D182" s="351" t="s">
        <v>237</v>
      </c>
      <c r="E182" s="351">
        <v>63</v>
      </c>
      <c r="F182" s="351">
        <v>19</v>
      </c>
      <c r="G182" s="353">
        <v>20.3</v>
      </c>
      <c r="H182" s="352">
        <f t="shared" si="15"/>
        <v>0.36299999999999999</v>
      </c>
      <c r="I182" s="352">
        <f t="shared" si="19"/>
        <v>1.0629999999999999</v>
      </c>
      <c r="J182" s="351">
        <f t="shared" si="16"/>
        <v>7.8331406999999995</v>
      </c>
      <c r="K182" s="351" t="s">
        <v>199</v>
      </c>
      <c r="L182" s="351">
        <v>20.3</v>
      </c>
      <c r="M182" s="352">
        <f t="shared" si="18"/>
        <v>0.36299999999999999</v>
      </c>
      <c r="N182" s="351">
        <f t="shared" si="20"/>
        <v>7.3689</v>
      </c>
      <c r="O182" s="351"/>
      <c r="P182" s="352"/>
      <c r="Q182" s="351"/>
      <c r="R182" s="351"/>
      <c r="S182" s="351"/>
    </row>
    <row r="183" spans="2:19" ht="26.25" hidden="1" customHeight="1">
      <c r="B183" s="351">
        <f t="shared" si="14"/>
        <v>170</v>
      </c>
      <c r="C183" s="351" t="s">
        <v>237</v>
      </c>
      <c r="D183" s="351" t="s">
        <v>238</v>
      </c>
      <c r="E183" s="351">
        <v>63</v>
      </c>
      <c r="F183" s="351">
        <v>96</v>
      </c>
      <c r="G183" s="353">
        <v>98.9</v>
      </c>
      <c r="H183" s="352">
        <f t="shared" si="15"/>
        <v>0.36299999999999999</v>
      </c>
      <c r="I183" s="352">
        <f t="shared" si="19"/>
        <v>1.0629999999999999</v>
      </c>
      <c r="J183" s="351">
        <f t="shared" si="16"/>
        <v>38.162444100000002</v>
      </c>
      <c r="K183" s="351"/>
      <c r="L183" s="351"/>
      <c r="M183" s="352"/>
      <c r="N183" s="351"/>
      <c r="O183" s="351"/>
      <c r="P183" s="351"/>
      <c r="Q183" s="351"/>
      <c r="R183" s="351"/>
      <c r="S183" s="351"/>
    </row>
    <row r="184" spans="2:19" ht="26.25" hidden="1" customHeight="1">
      <c r="B184" s="351">
        <f t="shared" si="14"/>
        <v>171</v>
      </c>
      <c r="C184" s="351" t="s">
        <v>238</v>
      </c>
      <c r="D184" s="351" t="s">
        <v>440</v>
      </c>
      <c r="E184" s="351">
        <v>63</v>
      </c>
      <c r="F184" s="524">
        <v>48</v>
      </c>
      <c r="G184" s="353">
        <v>38</v>
      </c>
      <c r="H184" s="352">
        <f t="shared" si="15"/>
        <v>0.36299999999999999</v>
      </c>
      <c r="I184" s="352">
        <f t="shared" si="19"/>
        <v>1.0629999999999999</v>
      </c>
      <c r="J184" s="351">
        <f t="shared" si="16"/>
        <v>14.663021999999998</v>
      </c>
      <c r="K184" s="351"/>
      <c r="L184" s="351"/>
      <c r="M184" s="352"/>
      <c r="N184" s="351"/>
      <c r="O184" s="351"/>
      <c r="P184" s="351"/>
      <c r="Q184" s="351"/>
      <c r="R184" s="351"/>
      <c r="S184" s="351"/>
    </row>
    <row r="185" spans="2:19" ht="26.25" hidden="1" customHeight="1">
      <c r="B185" s="351">
        <f t="shared" si="14"/>
        <v>172</v>
      </c>
      <c r="C185" s="351" t="s">
        <v>440</v>
      </c>
      <c r="D185" s="351" t="s">
        <v>343</v>
      </c>
      <c r="E185" s="351">
        <v>63</v>
      </c>
      <c r="F185" s="525"/>
      <c r="G185" s="353">
        <v>58.2</v>
      </c>
      <c r="H185" s="352">
        <f t="shared" si="15"/>
        <v>0.36299999999999999</v>
      </c>
      <c r="I185" s="352">
        <f t="shared" si="19"/>
        <v>1.0629999999999999</v>
      </c>
      <c r="J185" s="351">
        <f t="shared" si="16"/>
        <v>22.457575799999997</v>
      </c>
      <c r="K185" s="351"/>
      <c r="L185" s="351"/>
      <c r="M185" s="352"/>
      <c r="N185" s="351"/>
      <c r="O185" s="351"/>
      <c r="P185" s="351"/>
      <c r="Q185" s="351"/>
      <c r="R185" s="351"/>
      <c r="S185" s="351"/>
    </row>
    <row r="186" spans="2:19" ht="26.25" hidden="1" customHeight="1">
      <c r="B186" s="351">
        <f t="shared" si="14"/>
        <v>173</v>
      </c>
      <c r="C186" s="351" t="s">
        <v>440</v>
      </c>
      <c r="D186" s="351" t="s">
        <v>441</v>
      </c>
      <c r="E186" s="351">
        <v>63</v>
      </c>
      <c r="F186" s="351"/>
      <c r="G186" s="353">
        <v>13.4</v>
      </c>
      <c r="H186" s="352">
        <f t="shared" si="15"/>
        <v>0.36299999999999999</v>
      </c>
      <c r="I186" s="352">
        <f t="shared" si="19"/>
        <v>1.0629999999999999</v>
      </c>
      <c r="J186" s="351">
        <f t="shared" si="16"/>
        <v>5.1706445999999993</v>
      </c>
      <c r="K186" s="351"/>
      <c r="L186" s="351"/>
      <c r="M186" s="352"/>
      <c r="N186" s="351"/>
      <c r="O186" s="351"/>
      <c r="P186" s="351"/>
      <c r="Q186" s="351"/>
      <c r="R186" s="351"/>
      <c r="S186" s="351"/>
    </row>
    <row r="187" spans="2:19" ht="26.25" hidden="1" customHeight="1">
      <c r="B187" s="351">
        <f t="shared" si="14"/>
        <v>174</v>
      </c>
      <c r="C187" s="351" t="s">
        <v>343</v>
      </c>
      <c r="D187" s="351" t="s">
        <v>442</v>
      </c>
      <c r="E187" s="351">
        <v>63</v>
      </c>
      <c r="F187" s="351"/>
      <c r="G187" s="353">
        <v>63.5</v>
      </c>
      <c r="H187" s="352">
        <f t="shared" si="15"/>
        <v>0.36299999999999999</v>
      </c>
      <c r="I187" s="352">
        <f t="shared" si="19"/>
        <v>1.0629999999999999</v>
      </c>
      <c r="J187" s="351">
        <f t="shared" si="16"/>
        <v>24.502681499999998</v>
      </c>
      <c r="K187" s="351"/>
      <c r="L187" s="351"/>
      <c r="M187" s="352"/>
      <c r="N187" s="351"/>
      <c r="O187" s="351"/>
      <c r="P187" s="351"/>
      <c r="Q187" s="351"/>
      <c r="R187" s="351"/>
      <c r="S187" s="351"/>
    </row>
    <row r="188" spans="2:19" ht="26.25" hidden="1" customHeight="1">
      <c r="B188" s="351">
        <f t="shared" si="14"/>
        <v>175</v>
      </c>
      <c r="C188" s="351" t="s">
        <v>343</v>
      </c>
      <c r="D188" s="351" t="s">
        <v>341</v>
      </c>
      <c r="E188" s="351">
        <v>63</v>
      </c>
      <c r="F188" s="351">
        <v>103</v>
      </c>
      <c r="G188" s="353">
        <v>98.1</v>
      </c>
      <c r="H188" s="352">
        <f t="shared" si="15"/>
        <v>0.36299999999999999</v>
      </c>
      <c r="I188" s="352">
        <f t="shared" si="19"/>
        <v>1.0629999999999999</v>
      </c>
      <c r="J188" s="351">
        <f t="shared" si="16"/>
        <v>37.853748899999992</v>
      </c>
      <c r="K188" s="351"/>
      <c r="L188" s="351"/>
      <c r="M188" s="352"/>
      <c r="N188" s="351"/>
      <c r="O188" s="351"/>
      <c r="P188" s="351"/>
      <c r="Q188" s="351"/>
      <c r="R188" s="351"/>
      <c r="S188" s="351"/>
    </row>
    <row r="189" spans="2:19" ht="26.25" hidden="1" customHeight="1">
      <c r="B189" s="351">
        <f t="shared" si="14"/>
        <v>176</v>
      </c>
      <c r="C189" s="351" t="s">
        <v>238</v>
      </c>
      <c r="D189" s="351" t="s">
        <v>342</v>
      </c>
      <c r="E189" s="351">
        <v>63</v>
      </c>
      <c r="F189" s="351">
        <f>35+15+76</f>
        <v>126</v>
      </c>
      <c r="G189" s="353">
        <v>101.3</v>
      </c>
      <c r="H189" s="352">
        <f t="shared" si="15"/>
        <v>0.36299999999999999</v>
      </c>
      <c r="I189" s="352">
        <f t="shared" si="19"/>
        <v>1.0629999999999999</v>
      </c>
      <c r="J189" s="351">
        <f t="shared" si="16"/>
        <v>39.088529699999995</v>
      </c>
      <c r="K189" s="351"/>
      <c r="L189" s="351"/>
      <c r="M189" s="352"/>
      <c r="N189" s="351"/>
      <c r="O189" s="351"/>
      <c r="P189" s="351"/>
      <c r="Q189" s="351"/>
      <c r="R189" s="351"/>
      <c r="S189" s="351"/>
    </row>
    <row r="190" spans="2:19" ht="26.25" hidden="1" customHeight="1">
      <c r="B190" s="351">
        <f t="shared" si="14"/>
        <v>177</v>
      </c>
      <c r="C190" s="351" t="s">
        <v>237</v>
      </c>
      <c r="D190" s="351" t="s">
        <v>236</v>
      </c>
      <c r="E190" s="351">
        <v>63</v>
      </c>
      <c r="F190" s="524">
        <v>199</v>
      </c>
      <c r="G190" s="353">
        <v>174.9</v>
      </c>
      <c r="H190" s="352">
        <f t="shared" si="15"/>
        <v>0.36299999999999999</v>
      </c>
      <c r="I190" s="352">
        <f t="shared" si="19"/>
        <v>1.0629999999999999</v>
      </c>
      <c r="J190" s="351">
        <f t="shared" si="16"/>
        <v>67.488488099999998</v>
      </c>
      <c r="K190" s="351" t="s">
        <v>199</v>
      </c>
      <c r="L190" s="351">
        <v>174.9</v>
      </c>
      <c r="M190" s="352">
        <f t="shared" si="18"/>
        <v>0.36299999999999999</v>
      </c>
      <c r="N190" s="351">
        <f t="shared" si="17"/>
        <v>63.488700000000001</v>
      </c>
      <c r="O190" s="351"/>
      <c r="P190" s="352"/>
      <c r="Q190" s="351"/>
      <c r="R190" s="351"/>
      <c r="S190" s="351"/>
    </row>
    <row r="191" spans="2:19" ht="26.25" hidden="1" customHeight="1">
      <c r="B191" s="351">
        <f t="shared" si="14"/>
        <v>178</v>
      </c>
      <c r="C191" s="351" t="s">
        <v>237</v>
      </c>
      <c r="D191" s="351" t="s">
        <v>236</v>
      </c>
      <c r="E191" s="351">
        <v>63</v>
      </c>
      <c r="F191" s="525"/>
      <c r="G191" s="353">
        <v>22.7</v>
      </c>
      <c r="H191" s="352">
        <f t="shared" si="15"/>
        <v>0.36299999999999999</v>
      </c>
      <c r="I191" s="352">
        <f t="shared" si="19"/>
        <v>1.0629999999999999</v>
      </c>
      <c r="J191" s="351">
        <f t="shared" si="16"/>
        <v>8.7592262999999981</v>
      </c>
      <c r="K191" s="351"/>
      <c r="L191" s="351"/>
      <c r="M191" s="352"/>
      <c r="N191" s="351"/>
      <c r="O191" s="351"/>
      <c r="P191" s="351"/>
      <c r="Q191" s="351"/>
      <c r="R191" s="351"/>
      <c r="S191" s="351"/>
    </row>
    <row r="192" spans="2:19" ht="26.25" hidden="1" customHeight="1">
      <c r="B192" s="351">
        <f t="shared" si="14"/>
        <v>179</v>
      </c>
      <c r="C192" s="351" t="s">
        <v>443</v>
      </c>
      <c r="D192" s="351" t="s">
        <v>308</v>
      </c>
      <c r="E192" s="351">
        <v>63</v>
      </c>
      <c r="F192" s="351">
        <f>46+38</f>
        <v>84</v>
      </c>
      <c r="G192" s="353">
        <v>78.400000000000006</v>
      </c>
      <c r="H192" s="352">
        <f t="shared" si="15"/>
        <v>0.36299999999999999</v>
      </c>
      <c r="I192" s="352">
        <f>(900+E192)/1000</f>
        <v>0.96299999999999997</v>
      </c>
      <c r="J192" s="351">
        <f t="shared" si="16"/>
        <v>27.4062096</v>
      </c>
      <c r="K192" s="351" t="s">
        <v>387</v>
      </c>
      <c r="L192" s="351">
        <v>78.400000000000006</v>
      </c>
      <c r="M192" s="352">
        <f t="shared" si="18"/>
        <v>0.36299999999999999</v>
      </c>
      <c r="N192" s="351">
        <f t="shared" si="17"/>
        <v>28.459200000000003</v>
      </c>
      <c r="O192" s="351"/>
      <c r="P192" s="352"/>
      <c r="Q192" s="351"/>
      <c r="R192" s="351"/>
      <c r="S192" s="351"/>
    </row>
    <row r="193" spans="2:19" ht="26.25" hidden="1" customHeight="1">
      <c r="B193" s="351">
        <f t="shared" si="14"/>
        <v>180</v>
      </c>
      <c r="C193" s="351" t="s">
        <v>308</v>
      </c>
      <c r="D193" s="351" t="s">
        <v>358</v>
      </c>
      <c r="E193" s="351">
        <v>63</v>
      </c>
      <c r="F193" s="351">
        <v>32</v>
      </c>
      <c r="G193" s="353">
        <v>51.1</v>
      </c>
      <c r="H193" s="352">
        <f t="shared" si="15"/>
        <v>0.36299999999999999</v>
      </c>
      <c r="I193" s="352">
        <f t="shared" si="19"/>
        <v>1.0629999999999999</v>
      </c>
      <c r="J193" s="351">
        <f t="shared" si="16"/>
        <v>19.717905899999998</v>
      </c>
      <c r="K193" s="351"/>
      <c r="L193" s="351"/>
      <c r="M193" s="352"/>
      <c r="N193" s="351"/>
      <c r="O193" s="351"/>
      <c r="P193" s="351"/>
      <c r="Q193" s="351"/>
      <c r="R193" s="351"/>
      <c r="S193" s="351"/>
    </row>
    <row r="194" spans="2:19" ht="26.25" hidden="1" customHeight="1">
      <c r="B194" s="351">
        <f t="shared" si="14"/>
        <v>181</v>
      </c>
      <c r="C194" s="351" t="s">
        <v>308</v>
      </c>
      <c r="D194" s="351" t="s">
        <v>307</v>
      </c>
      <c r="E194" s="351">
        <v>63</v>
      </c>
      <c r="F194" s="351">
        <v>67</v>
      </c>
      <c r="G194" s="353">
        <v>66.599999999999994</v>
      </c>
      <c r="H194" s="352">
        <f t="shared" si="15"/>
        <v>0.36299999999999999</v>
      </c>
      <c r="I194" s="352">
        <f t="shared" si="19"/>
        <v>1.0629999999999999</v>
      </c>
      <c r="J194" s="351">
        <f t="shared" si="16"/>
        <v>25.698875399999995</v>
      </c>
      <c r="K194" s="351"/>
      <c r="L194" s="351"/>
      <c r="M194" s="352"/>
      <c r="N194" s="351"/>
      <c r="O194" s="351"/>
      <c r="P194" s="351"/>
      <c r="Q194" s="351"/>
      <c r="R194" s="351"/>
      <c r="S194" s="351"/>
    </row>
    <row r="195" spans="2:19" ht="26.25" hidden="1" customHeight="1">
      <c r="B195" s="351">
        <f t="shared" si="14"/>
        <v>182</v>
      </c>
      <c r="C195" s="351" t="s">
        <v>307</v>
      </c>
      <c r="D195" s="351" t="s">
        <v>444</v>
      </c>
      <c r="E195" s="351">
        <v>63</v>
      </c>
      <c r="F195" s="351">
        <v>167</v>
      </c>
      <c r="G195" s="353">
        <f>27.1+88.3</f>
        <v>115.4</v>
      </c>
      <c r="H195" s="352">
        <f t="shared" si="15"/>
        <v>0.36299999999999999</v>
      </c>
      <c r="I195" s="352">
        <v>0.92</v>
      </c>
      <c r="J195" s="351">
        <f t="shared" si="16"/>
        <v>38.538983999999999</v>
      </c>
      <c r="K195" s="351" t="s">
        <v>387</v>
      </c>
      <c r="L195" s="351">
        <v>115.4</v>
      </c>
      <c r="M195" s="352">
        <f t="shared" si="18"/>
        <v>0.36299999999999999</v>
      </c>
      <c r="N195" s="351">
        <f t="shared" si="17"/>
        <v>41.8902</v>
      </c>
      <c r="O195" s="351"/>
      <c r="P195" s="352"/>
      <c r="Q195" s="351"/>
      <c r="R195" s="351"/>
      <c r="S195" s="351"/>
    </row>
    <row r="196" spans="2:19" ht="26.25" hidden="1" customHeight="1">
      <c r="B196" s="351">
        <f t="shared" si="14"/>
        <v>183</v>
      </c>
      <c r="C196" s="351" t="s">
        <v>444</v>
      </c>
      <c r="D196" s="351" t="s">
        <v>445</v>
      </c>
      <c r="E196" s="351">
        <v>63</v>
      </c>
      <c r="F196" s="351"/>
      <c r="G196" s="353">
        <v>65.599999999999994</v>
      </c>
      <c r="H196" s="352">
        <f t="shared" si="15"/>
        <v>0.36299999999999999</v>
      </c>
      <c r="I196" s="352">
        <f t="shared" si="19"/>
        <v>1.0629999999999999</v>
      </c>
      <c r="J196" s="351">
        <f t="shared" si="16"/>
        <v>25.313006399999995</v>
      </c>
      <c r="K196" s="351"/>
      <c r="L196" s="351"/>
      <c r="M196" s="352"/>
      <c r="N196" s="351"/>
      <c r="O196" s="351"/>
      <c r="P196" s="351"/>
      <c r="Q196" s="351"/>
      <c r="R196" s="351"/>
      <c r="S196" s="351"/>
    </row>
    <row r="197" spans="2:19" ht="26.25" hidden="1" customHeight="1">
      <c r="B197" s="351">
        <f t="shared" si="14"/>
        <v>184</v>
      </c>
      <c r="C197" s="351" t="s">
        <v>444</v>
      </c>
      <c r="D197" s="351" t="s">
        <v>446</v>
      </c>
      <c r="E197" s="351">
        <v>63</v>
      </c>
      <c r="F197" s="524">
        <v>167</v>
      </c>
      <c r="G197" s="353">
        <v>5.2</v>
      </c>
      <c r="H197" s="352">
        <f t="shared" si="15"/>
        <v>0.36299999999999999</v>
      </c>
      <c r="I197" s="352">
        <f t="shared" si="19"/>
        <v>1.0629999999999999</v>
      </c>
      <c r="J197" s="351">
        <f t="shared" si="16"/>
        <v>2.0065187999999998</v>
      </c>
      <c r="K197" s="351"/>
      <c r="L197" s="351"/>
      <c r="M197" s="352"/>
      <c r="N197" s="351"/>
      <c r="O197" s="351"/>
      <c r="P197" s="351"/>
      <c r="Q197" s="351"/>
      <c r="R197" s="351"/>
      <c r="S197" s="351"/>
    </row>
    <row r="198" spans="2:19" ht="26.25" hidden="1" customHeight="1">
      <c r="B198" s="351">
        <f t="shared" si="14"/>
        <v>185</v>
      </c>
      <c r="C198" s="351" t="s">
        <v>444</v>
      </c>
      <c r="D198" s="351" t="s">
        <v>446</v>
      </c>
      <c r="E198" s="351">
        <v>63</v>
      </c>
      <c r="F198" s="525"/>
      <c r="G198" s="353">
        <f>23+31.8</f>
        <v>54.8</v>
      </c>
      <c r="H198" s="352">
        <f t="shared" si="15"/>
        <v>0.36299999999999999</v>
      </c>
      <c r="I198" s="352">
        <f>(900+E198)/1000</f>
        <v>0.96299999999999997</v>
      </c>
      <c r="J198" s="351">
        <f t="shared" si="16"/>
        <v>19.156381199999998</v>
      </c>
      <c r="K198" s="351" t="s">
        <v>387</v>
      </c>
      <c r="L198" s="351">
        <v>54.8</v>
      </c>
      <c r="M198" s="352">
        <f t="shared" si="18"/>
        <v>0.36299999999999999</v>
      </c>
      <c r="N198" s="351">
        <f t="shared" si="17"/>
        <v>19.892399999999999</v>
      </c>
      <c r="O198" s="351"/>
      <c r="P198" s="352"/>
      <c r="Q198" s="351"/>
      <c r="R198" s="351"/>
      <c r="S198" s="351"/>
    </row>
    <row r="199" spans="2:19" ht="26.25" hidden="1" customHeight="1">
      <c r="B199" s="351">
        <f t="shared" si="14"/>
        <v>186</v>
      </c>
      <c r="C199" s="351" t="s">
        <v>446</v>
      </c>
      <c r="D199" s="351" t="s">
        <v>352</v>
      </c>
      <c r="E199" s="351">
        <v>63</v>
      </c>
      <c r="F199" s="351">
        <v>41</v>
      </c>
      <c r="G199" s="353">
        <v>57.5</v>
      </c>
      <c r="H199" s="352">
        <f t="shared" si="15"/>
        <v>0.36299999999999999</v>
      </c>
      <c r="I199" s="352">
        <f t="shared" ref="I199" si="21">(1000+E199)/1000</f>
        <v>1.0629999999999999</v>
      </c>
      <c r="J199" s="351">
        <f t="shared" ref="J199" si="22">+I199*H199*G199</f>
        <v>22.187467499999997</v>
      </c>
      <c r="K199" s="351"/>
      <c r="L199" s="351"/>
      <c r="M199" s="352"/>
      <c r="N199" s="351"/>
      <c r="O199" s="351"/>
      <c r="P199" s="352"/>
      <c r="Q199" s="351"/>
      <c r="R199" s="351"/>
      <c r="S199" s="351"/>
    </row>
    <row r="200" spans="2:19" ht="26.25" customHeight="1">
      <c r="B200" s="351"/>
      <c r="C200" s="351"/>
      <c r="D200" s="351"/>
      <c r="E200" s="351"/>
      <c r="F200" s="351"/>
      <c r="G200" s="353"/>
      <c r="H200" s="352"/>
      <c r="I200" s="352"/>
      <c r="J200" s="351"/>
      <c r="K200" s="351"/>
      <c r="L200" s="351"/>
      <c r="M200" s="351"/>
      <c r="N200" s="351"/>
      <c r="O200" s="351"/>
      <c r="P200" s="351"/>
      <c r="Q200" s="351"/>
      <c r="R200" s="351"/>
      <c r="S200" s="351"/>
    </row>
    <row r="201" spans="2:19" s="346" customFormat="1" ht="42" customHeight="1">
      <c r="B201" s="527" t="s">
        <v>174</v>
      </c>
      <c r="C201" s="528"/>
      <c r="D201" s="528"/>
      <c r="E201" s="529"/>
      <c r="F201" s="359">
        <f>SUM(F14:F200)</f>
        <v>10956</v>
      </c>
      <c r="G201" s="359">
        <f>SUM(G14:G200)</f>
        <v>12398.099999999999</v>
      </c>
      <c r="H201" s="359"/>
      <c r="I201" s="359"/>
      <c r="J201" s="359">
        <f>SUM(J14:J200)</f>
        <v>5016.3110113999974</v>
      </c>
      <c r="K201" s="359"/>
      <c r="L201" s="359">
        <f>SUM(L14:L200)</f>
        <v>3267.8000000000006</v>
      </c>
      <c r="M201" s="359"/>
      <c r="N201" s="359">
        <f>SUM(N14:N200)</f>
        <v>1282.9290999999998</v>
      </c>
      <c r="O201" s="359"/>
      <c r="P201" s="359"/>
      <c r="Q201" s="359"/>
      <c r="R201" s="359"/>
      <c r="S201" s="359"/>
    </row>
    <row r="202" spans="2:19" ht="102" customHeight="1">
      <c r="B202" s="360"/>
      <c r="C202" s="360"/>
      <c r="D202" s="521" t="s">
        <v>175</v>
      </c>
      <c r="E202" s="521"/>
      <c r="F202" s="521"/>
      <c r="G202" s="521"/>
      <c r="H202" s="521"/>
      <c r="I202" s="521" t="s">
        <v>176</v>
      </c>
      <c r="J202" s="521"/>
      <c r="K202" s="521"/>
      <c r="L202" s="521"/>
      <c r="M202" s="521"/>
      <c r="N202" s="521" t="s">
        <v>177</v>
      </c>
      <c r="O202" s="521"/>
      <c r="P202" s="521"/>
      <c r="Q202" s="521"/>
      <c r="R202" s="521"/>
      <c r="S202" s="360"/>
    </row>
    <row r="207" spans="2:19">
      <c r="J207" s="347">
        <v>63</v>
      </c>
      <c r="K207" s="347">
        <v>75</v>
      </c>
      <c r="L207" s="347">
        <v>90</v>
      </c>
      <c r="M207" s="347">
        <v>110</v>
      </c>
      <c r="N207" s="347">
        <v>125</v>
      </c>
      <c r="O207" s="347">
        <v>140</v>
      </c>
      <c r="P207" s="347">
        <v>160</v>
      </c>
    </row>
    <row r="208" spans="2:19">
      <c r="J208" s="347">
        <f ca="1">+SUMIF($E$14:$E$200,J207,$G$14:$G$199)</f>
        <v>9419.1</v>
      </c>
      <c r="K208" s="347">
        <f t="shared" ref="K208:P208" ca="1" si="23">+SUMIF($E$14:$E$200,K207,$G$14:$G$199)</f>
        <v>403</v>
      </c>
      <c r="L208" s="347">
        <f t="shared" ca="1" si="23"/>
        <v>492.70000000000005</v>
      </c>
      <c r="M208" s="347">
        <f t="shared" ca="1" si="23"/>
        <v>269.8</v>
      </c>
      <c r="N208" s="347">
        <f t="shared" ca="1" si="23"/>
        <v>609.40000000000009</v>
      </c>
      <c r="O208" s="347">
        <f t="shared" ca="1" si="23"/>
        <v>542.20000000000005</v>
      </c>
      <c r="P208" s="347">
        <f t="shared" ca="1" si="23"/>
        <v>661.9</v>
      </c>
    </row>
  </sheetData>
  <autoFilter ref="B13:S199">
    <filterColumn colId="9">
      <filters>
        <filter val="INTERLOCKING"/>
      </filters>
    </filterColumn>
  </autoFilter>
  <mergeCells count="54">
    <mergeCell ref="B3:S3"/>
    <mergeCell ref="B4:S4"/>
    <mergeCell ref="B5:S5"/>
    <mergeCell ref="B6:S6"/>
    <mergeCell ref="B7:P7"/>
    <mergeCell ref="B8:C8"/>
    <mergeCell ref="D8:G8"/>
    <mergeCell ref="B9:C9"/>
    <mergeCell ref="D9:G9"/>
    <mergeCell ref="B10:C10"/>
    <mergeCell ref="D10:G10"/>
    <mergeCell ref="B11:C11"/>
    <mergeCell ref="D11:G11"/>
    <mergeCell ref="B12:C12"/>
    <mergeCell ref="D12:G12"/>
    <mergeCell ref="B201:E201"/>
    <mergeCell ref="F79:F80"/>
    <mergeCell ref="F81:F82"/>
    <mergeCell ref="F83:F84"/>
    <mergeCell ref="F86:F87"/>
    <mergeCell ref="F90:F91"/>
    <mergeCell ref="F92:F93"/>
    <mergeCell ref="F98:F99"/>
    <mergeCell ref="F112:F114"/>
    <mergeCell ref="F121:F123"/>
    <mergeCell ref="F124:F125"/>
    <mergeCell ref="F131:F132"/>
    <mergeCell ref="D202:H202"/>
    <mergeCell ref="I202:M202"/>
    <mergeCell ref="N202:R202"/>
    <mergeCell ref="F21:F22"/>
    <mergeCell ref="F31:F33"/>
    <mergeCell ref="F34:F35"/>
    <mergeCell ref="F40:F42"/>
    <mergeCell ref="F43:F44"/>
    <mergeCell ref="F45:F47"/>
    <mergeCell ref="F51:F53"/>
    <mergeCell ref="F54:F55"/>
    <mergeCell ref="F58:F59"/>
    <mergeCell ref="F64:F65"/>
    <mergeCell ref="F67:F69"/>
    <mergeCell ref="F71:F75"/>
    <mergeCell ref="F77:F78"/>
    <mergeCell ref="F133:F134"/>
    <mergeCell ref="F136:F137"/>
    <mergeCell ref="F143:F144"/>
    <mergeCell ref="F146:F147"/>
    <mergeCell ref="F151:F152"/>
    <mergeCell ref="F197:F198"/>
    <mergeCell ref="F156:F157"/>
    <mergeCell ref="F160:F161"/>
    <mergeCell ref="F180:F181"/>
    <mergeCell ref="F184:F185"/>
    <mergeCell ref="F190:F191"/>
  </mergeCells>
  <printOptions horizontalCentered="1"/>
  <pageMargins left="0.23622047244094499" right="0.23622047244094499" top="7.8740157480315001E-2" bottom="0.27559055118110198" header="0.31496062992126" footer="0.31496062992126"/>
  <pageSetup paperSize="9" scale="61" fitToHeight="0" orientation="landscape"/>
  <rowBreaks count="6" manualBreakCount="6">
    <brk id="45" max="18" man="1"/>
    <brk id="78" max="18" man="1"/>
    <brk id="100" max="18" man="1"/>
    <brk id="134" max="18" man="1"/>
    <brk id="165" max="18" man="1"/>
    <brk id="194" max="18"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T213"/>
  <sheetViews>
    <sheetView topLeftCell="A139" workbookViewId="0">
      <selection activeCell="N130" sqref="N130"/>
    </sheetView>
  </sheetViews>
  <sheetFormatPr defaultColWidth="9" defaultRowHeight="15"/>
  <cols>
    <col min="3" max="3" width="7.5703125" customWidth="1"/>
    <col min="4" max="4" width="12.85546875" customWidth="1"/>
    <col min="5" max="5" width="11.5703125" customWidth="1"/>
    <col min="6" max="6" width="15.28515625" customWidth="1"/>
    <col min="7" max="7" width="16.5703125" customWidth="1"/>
    <col min="8" max="8" width="19.42578125" customWidth="1"/>
    <col min="9" max="9" width="14.28515625" customWidth="1"/>
    <col min="10" max="10" width="13.42578125" customWidth="1"/>
    <col min="11" max="11" width="15.7109375" customWidth="1"/>
    <col min="12" max="13" width="14" customWidth="1"/>
    <col min="14" max="14" width="11.7109375" customWidth="1"/>
    <col min="15" max="17" width="14" customWidth="1"/>
  </cols>
  <sheetData>
    <row r="4" spans="3:11" ht="18.75">
      <c r="C4" s="502" t="s">
        <v>447</v>
      </c>
      <c r="D4" s="502"/>
      <c r="E4" s="502"/>
      <c r="F4" s="502"/>
      <c r="G4" s="502"/>
      <c r="H4" s="502"/>
      <c r="I4" s="502"/>
      <c r="J4" s="502"/>
      <c r="K4" s="502"/>
    </row>
    <row r="5" spans="3:11" ht="37.5">
      <c r="C5" s="25" t="s">
        <v>448</v>
      </c>
      <c r="D5" s="25" t="s">
        <v>180</v>
      </c>
      <c r="E5" s="25" t="s">
        <v>13</v>
      </c>
      <c r="F5" s="25" t="s">
        <v>181</v>
      </c>
      <c r="G5" s="27" t="s">
        <v>449</v>
      </c>
      <c r="H5" s="25" t="s">
        <v>183</v>
      </c>
      <c r="I5" s="33" t="s">
        <v>184</v>
      </c>
      <c r="J5" s="26" t="s">
        <v>185</v>
      </c>
      <c r="K5" s="26" t="s">
        <v>187</v>
      </c>
    </row>
    <row r="6" spans="3:11">
      <c r="C6" s="5">
        <v>1</v>
      </c>
      <c r="D6" s="5" t="s">
        <v>195</v>
      </c>
      <c r="E6" s="5">
        <v>183</v>
      </c>
      <c r="F6" s="5" t="s">
        <v>301</v>
      </c>
      <c r="G6" s="5">
        <v>0.46</v>
      </c>
      <c r="H6" s="5">
        <v>63</v>
      </c>
      <c r="I6" s="5">
        <v>63.4</v>
      </c>
      <c r="J6" s="5">
        <f>+I6</f>
        <v>63.4</v>
      </c>
      <c r="K6" s="5"/>
    </row>
    <row r="7" spans="3:11">
      <c r="C7" s="5">
        <f>1+C6</f>
        <v>2</v>
      </c>
      <c r="D7" s="5">
        <v>183</v>
      </c>
      <c r="E7" s="5">
        <v>195</v>
      </c>
      <c r="F7" s="5" t="s">
        <v>450</v>
      </c>
      <c r="G7" s="5"/>
      <c r="H7" s="5">
        <v>63</v>
      </c>
      <c r="I7" s="5">
        <v>77.900000000000006</v>
      </c>
      <c r="J7" s="5">
        <f>+J6+I7</f>
        <v>141.30000000000001</v>
      </c>
      <c r="K7" s="5"/>
    </row>
    <row r="8" spans="3:11">
      <c r="C8" s="5">
        <f t="shared" ref="C8:C71" si="0">1+C7</f>
        <v>3</v>
      </c>
      <c r="D8" s="5">
        <v>195</v>
      </c>
      <c r="E8" s="5">
        <v>196</v>
      </c>
      <c r="F8" s="5" t="s">
        <v>450</v>
      </c>
      <c r="G8" s="5"/>
      <c r="H8" s="5">
        <v>63</v>
      </c>
      <c r="I8" s="5">
        <v>22</v>
      </c>
      <c r="J8" s="5">
        <f t="shared" ref="J8:J71" si="1">+J7+I8</f>
        <v>163.30000000000001</v>
      </c>
      <c r="K8" s="5"/>
    </row>
    <row r="9" spans="3:11">
      <c r="C9" s="5">
        <f t="shared" si="0"/>
        <v>4</v>
      </c>
      <c r="D9" s="5">
        <v>184</v>
      </c>
      <c r="E9" s="5">
        <v>228</v>
      </c>
      <c r="F9" s="5" t="s">
        <v>451</v>
      </c>
      <c r="G9" s="5">
        <v>0.46</v>
      </c>
      <c r="H9" s="5">
        <v>63</v>
      </c>
      <c r="I9" s="5">
        <v>20.5</v>
      </c>
      <c r="J9" s="5">
        <f t="shared" si="1"/>
        <v>183.8</v>
      </c>
      <c r="K9" s="5"/>
    </row>
    <row r="10" spans="3:11">
      <c r="C10" s="5">
        <f t="shared" si="0"/>
        <v>5</v>
      </c>
      <c r="D10" s="5">
        <v>228</v>
      </c>
      <c r="E10" s="5">
        <v>225</v>
      </c>
      <c r="F10" s="5" t="s">
        <v>451</v>
      </c>
      <c r="G10" s="5">
        <v>0.46</v>
      </c>
      <c r="H10" s="5">
        <v>63</v>
      </c>
      <c r="I10" s="5">
        <v>21</v>
      </c>
      <c r="J10" s="5">
        <f t="shared" si="1"/>
        <v>204.8</v>
      </c>
      <c r="K10" s="5"/>
    </row>
    <row r="11" spans="3:11">
      <c r="C11" s="5">
        <f t="shared" si="0"/>
        <v>6</v>
      </c>
      <c r="D11" s="5">
        <v>228</v>
      </c>
      <c r="E11" s="5">
        <v>246</v>
      </c>
      <c r="F11" s="5" t="s">
        <v>451</v>
      </c>
      <c r="G11" s="5">
        <v>0.46</v>
      </c>
      <c r="H11" s="5">
        <v>63</v>
      </c>
      <c r="I11" s="5">
        <v>40.799999999999997</v>
      </c>
      <c r="J11" s="5">
        <f t="shared" si="1"/>
        <v>245.60000000000002</v>
      </c>
      <c r="K11" s="5"/>
    </row>
    <row r="12" spans="3:11">
      <c r="C12" s="5">
        <f t="shared" si="0"/>
        <v>7</v>
      </c>
      <c r="D12" s="5">
        <v>246</v>
      </c>
      <c r="E12" s="5">
        <v>177</v>
      </c>
      <c r="F12" s="5" t="s">
        <v>450</v>
      </c>
      <c r="G12" s="5"/>
      <c r="H12" s="5">
        <v>63</v>
      </c>
      <c r="I12" s="5">
        <v>50</v>
      </c>
      <c r="J12" s="5">
        <f t="shared" si="1"/>
        <v>295.60000000000002</v>
      </c>
      <c r="K12" s="5"/>
    </row>
    <row r="13" spans="3:11">
      <c r="C13" s="5">
        <f t="shared" si="0"/>
        <v>8</v>
      </c>
      <c r="D13" s="5">
        <v>246</v>
      </c>
      <c r="E13" s="5">
        <v>242</v>
      </c>
      <c r="F13" s="5" t="s">
        <v>451</v>
      </c>
      <c r="G13" s="5">
        <v>0.46</v>
      </c>
      <c r="H13" s="5">
        <v>63</v>
      </c>
      <c r="I13" s="5">
        <v>43</v>
      </c>
      <c r="J13" s="5">
        <f t="shared" si="1"/>
        <v>338.6</v>
      </c>
      <c r="K13" s="5"/>
    </row>
    <row r="14" spans="3:11">
      <c r="C14" s="5">
        <f t="shared" si="0"/>
        <v>9</v>
      </c>
      <c r="D14" s="5">
        <v>242</v>
      </c>
      <c r="E14" s="5">
        <v>226</v>
      </c>
      <c r="F14" s="5" t="s">
        <v>451</v>
      </c>
      <c r="G14" s="5">
        <v>0.46</v>
      </c>
      <c r="H14" s="5">
        <v>63</v>
      </c>
      <c r="I14" s="5">
        <v>96.1</v>
      </c>
      <c r="J14" s="5">
        <f t="shared" si="1"/>
        <v>434.70000000000005</v>
      </c>
      <c r="K14" s="5"/>
    </row>
    <row r="15" spans="3:11">
      <c r="C15" s="5">
        <f t="shared" si="0"/>
        <v>10</v>
      </c>
      <c r="D15" s="5">
        <v>242</v>
      </c>
      <c r="E15" s="5">
        <v>179</v>
      </c>
      <c r="F15" s="5" t="s">
        <v>451</v>
      </c>
      <c r="G15" s="5">
        <v>0.46</v>
      </c>
      <c r="H15" s="5">
        <v>63</v>
      </c>
      <c r="I15" s="5">
        <v>81</v>
      </c>
      <c r="J15" s="5">
        <f t="shared" si="1"/>
        <v>515.70000000000005</v>
      </c>
      <c r="K15" s="5"/>
    </row>
    <row r="16" spans="3:11">
      <c r="C16" s="5">
        <f t="shared" si="0"/>
        <v>11</v>
      </c>
      <c r="D16" s="5">
        <v>235</v>
      </c>
      <c r="E16" s="5">
        <v>173</v>
      </c>
      <c r="F16" s="5" t="s">
        <v>450</v>
      </c>
      <c r="G16" s="5"/>
      <c r="H16" s="5">
        <v>63</v>
      </c>
      <c r="I16" s="5">
        <v>112</v>
      </c>
      <c r="J16" s="5">
        <f t="shared" si="1"/>
        <v>627.70000000000005</v>
      </c>
      <c r="K16" s="5"/>
    </row>
    <row r="17" spans="3:11">
      <c r="C17" s="5">
        <f t="shared" si="0"/>
        <v>12</v>
      </c>
      <c r="D17" s="5" t="s">
        <v>452</v>
      </c>
      <c r="E17" s="5" t="s">
        <v>453</v>
      </c>
      <c r="F17" s="5" t="s">
        <v>450</v>
      </c>
      <c r="G17" s="5"/>
      <c r="H17" s="5">
        <v>63</v>
      </c>
      <c r="I17" s="5">
        <v>65</v>
      </c>
      <c r="J17" s="5">
        <f t="shared" si="1"/>
        <v>692.7</v>
      </c>
      <c r="K17" s="5"/>
    </row>
    <row r="18" spans="3:11">
      <c r="C18" s="5">
        <f t="shared" si="0"/>
        <v>13</v>
      </c>
      <c r="D18" s="5">
        <v>224</v>
      </c>
      <c r="E18" s="5">
        <v>215</v>
      </c>
      <c r="F18" s="5" t="s">
        <v>450</v>
      </c>
      <c r="G18" s="5"/>
      <c r="H18" s="5">
        <v>63</v>
      </c>
      <c r="I18" s="5">
        <v>20</v>
      </c>
      <c r="J18" s="5">
        <f t="shared" si="1"/>
        <v>712.7</v>
      </c>
      <c r="K18" s="5"/>
    </row>
    <row r="19" spans="3:11">
      <c r="C19" s="5">
        <f t="shared" si="0"/>
        <v>14</v>
      </c>
      <c r="D19" s="5">
        <v>178</v>
      </c>
      <c r="E19" s="5">
        <v>152</v>
      </c>
      <c r="F19" s="5" t="s">
        <v>451</v>
      </c>
      <c r="G19" s="5">
        <v>0.46</v>
      </c>
      <c r="H19" s="5">
        <v>63</v>
      </c>
      <c r="I19" s="5">
        <f>53-25</f>
        <v>28</v>
      </c>
      <c r="J19" s="5">
        <f t="shared" si="1"/>
        <v>740.7</v>
      </c>
      <c r="K19" s="5"/>
    </row>
    <row r="20" spans="3:11">
      <c r="C20" s="5">
        <f t="shared" si="0"/>
        <v>15</v>
      </c>
      <c r="D20" s="5">
        <v>152</v>
      </c>
      <c r="E20" s="5">
        <v>167</v>
      </c>
      <c r="F20" s="5" t="s">
        <v>451</v>
      </c>
      <c r="G20" s="5">
        <v>0.46</v>
      </c>
      <c r="H20" s="5">
        <v>63</v>
      </c>
      <c r="I20" s="5">
        <v>25</v>
      </c>
      <c r="J20" s="5">
        <f t="shared" si="1"/>
        <v>765.7</v>
      </c>
      <c r="K20" s="5"/>
    </row>
    <row r="21" spans="3:11">
      <c r="C21" s="5">
        <f t="shared" si="0"/>
        <v>16</v>
      </c>
      <c r="D21" s="5">
        <v>170</v>
      </c>
      <c r="E21" s="5">
        <v>127</v>
      </c>
      <c r="F21" s="5" t="s">
        <v>451</v>
      </c>
      <c r="G21" s="5">
        <v>0.46</v>
      </c>
      <c r="H21" s="5">
        <v>63</v>
      </c>
      <c r="I21" s="5">
        <v>31</v>
      </c>
      <c r="J21" s="5">
        <f t="shared" si="1"/>
        <v>796.7</v>
      </c>
      <c r="K21" s="5"/>
    </row>
    <row r="22" spans="3:11">
      <c r="C22" s="5">
        <f t="shared" si="0"/>
        <v>17</v>
      </c>
      <c r="D22" s="5">
        <v>125</v>
      </c>
      <c r="E22" s="5">
        <v>124</v>
      </c>
      <c r="F22" s="5" t="s">
        <v>451</v>
      </c>
      <c r="G22" s="5">
        <v>0.46</v>
      </c>
      <c r="H22" s="5">
        <v>63</v>
      </c>
      <c r="I22" s="5">
        <v>63</v>
      </c>
      <c r="J22" s="5">
        <f t="shared" si="1"/>
        <v>859.7</v>
      </c>
      <c r="K22" s="5"/>
    </row>
    <row r="23" spans="3:11">
      <c r="C23" s="5">
        <f t="shared" si="0"/>
        <v>18</v>
      </c>
      <c r="D23" s="5">
        <v>147</v>
      </c>
      <c r="E23" s="5">
        <v>117</v>
      </c>
      <c r="F23" s="5" t="s">
        <v>301</v>
      </c>
      <c r="G23" s="5">
        <v>0.46</v>
      </c>
      <c r="H23" s="5">
        <v>63</v>
      </c>
      <c r="I23" s="5">
        <v>135</v>
      </c>
      <c r="J23" s="5">
        <f t="shared" si="1"/>
        <v>994.7</v>
      </c>
      <c r="K23" s="5"/>
    </row>
    <row r="24" spans="3:11">
      <c r="C24" s="5">
        <f t="shared" si="0"/>
        <v>19</v>
      </c>
      <c r="D24" s="5">
        <v>161</v>
      </c>
      <c r="E24" s="5">
        <v>136</v>
      </c>
      <c r="F24" s="5" t="s">
        <v>450</v>
      </c>
      <c r="G24" s="5"/>
      <c r="H24" s="5">
        <v>63</v>
      </c>
      <c r="I24" s="5">
        <v>164</v>
      </c>
      <c r="J24" s="5">
        <f t="shared" si="1"/>
        <v>1158.7</v>
      </c>
      <c r="K24" s="5"/>
    </row>
    <row r="25" spans="3:11">
      <c r="C25" s="5">
        <f t="shared" si="0"/>
        <v>20</v>
      </c>
      <c r="D25" s="5">
        <v>136</v>
      </c>
      <c r="E25" s="5">
        <v>132</v>
      </c>
      <c r="F25" s="5" t="s">
        <v>450</v>
      </c>
      <c r="G25" s="5"/>
      <c r="H25" s="5">
        <v>63</v>
      </c>
      <c r="I25" s="5">
        <v>60</v>
      </c>
      <c r="J25" s="5">
        <f t="shared" si="1"/>
        <v>1218.7</v>
      </c>
      <c r="K25" s="5"/>
    </row>
    <row r="26" spans="3:11">
      <c r="C26" s="5">
        <f t="shared" si="0"/>
        <v>21</v>
      </c>
      <c r="D26" s="5">
        <v>136</v>
      </c>
      <c r="E26" s="5">
        <v>139</v>
      </c>
      <c r="F26" s="5" t="s">
        <v>450</v>
      </c>
      <c r="G26" s="5"/>
      <c r="H26" s="5">
        <v>63</v>
      </c>
      <c r="I26" s="5">
        <v>51</v>
      </c>
      <c r="J26" s="5">
        <f t="shared" si="1"/>
        <v>1269.7</v>
      </c>
      <c r="K26" s="5"/>
    </row>
    <row r="27" spans="3:11">
      <c r="C27" s="5">
        <f t="shared" si="0"/>
        <v>22</v>
      </c>
      <c r="D27" s="5">
        <v>139</v>
      </c>
      <c r="E27" s="5">
        <v>121</v>
      </c>
      <c r="F27" s="5" t="s">
        <v>454</v>
      </c>
      <c r="G27" s="5">
        <v>0.36</v>
      </c>
      <c r="H27" s="5">
        <v>63</v>
      </c>
      <c r="I27" s="5">
        <v>3.5</v>
      </c>
      <c r="J27" s="5">
        <f t="shared" si="1"/>
        <v>1273.2</v>
      </c>
      <c r="K27" s="5" t="s">
        <v>455</v>
      </c>
    </row>
    <row r="28" spans="3:11">
      <c r="C28" s="5">
        <f t="shared" si="0"/>
        <v>23</v>
      </c>
      <c r="D28" s="5">
        <v>139</v>
      </c>
      <c r="E28" s="5">
        <v>121</v>
      </c>
      <c r="F28" s="5" t="s">
        <v>450</v>
      </c>
      <c r="G28" s="5"/>
      <c r="H28" s="5">
        <v>63</v>
      </c>
      <c r="I28" s="5">
        <f>74.7-3.5</f>
        <v>71.2</v>
      </c>
      <c r="J28" s="5">
        <f t="shared" si="1"/>
        <v>1344.4</v>
      </c>
      <c r="K28" s="5"/>
    </row>
    <row r="29" spans="3:11">
      <c r="C29" s="5">
        <f t="shared" si="0"/>
        <v>24</v>
      </c>
      <c r="D29" s="5">
        <v>139</v>
      </c>
      <c r="E29" s="5">
        <v>153</v>
      </c>
      <c r="F29" s="5" t="s">
        <v>450</v>
      </c>
      <c r="G29" s="5"/>
      <c r="H29" s="5">
        <v>63</v>
      </c>
      <c r="I29" s="5">
        <v>62.1</v>
      </c>
      <c r="J29" s="5">
        <f t="shared" si="1"/>
        <v>1406.5</v>
      </c>
      <c r="K29" s="5"/>
    </row>
    <row r="30" spans="3:11">
      <c r="C30" s="5">
        <f t="shared" si="0"/>
        <v>25</v>
      </c>
      <c r="D30" s="5">
        <v>153</v>
      </c>
      <c r="E30" s="5">
        <v>150</v>
      </c>
      <c r="F30" s="5"/>
      <c r="G30" s="5"/>
      <c r="H30" s="5">
        <v>63</v>
      </c>
      <c r="I30" s="5">
        <v>4.5</v>
      </c>
      <c r="J30" s="5">
        <f t="shared" si="1"/>
        <v>1411</v>
      </c>
      <c r="K30" s="5" t="s">
        <v>304</v>
      </c>
    </row>
    <row r="31" spans="3:11">
      <c r="C31" s="5">
        <f t="shared" si="0"/>
        <v>26</v>
      </c>
      <c r="D31" s="5">
        <v>153</v>
      </c>
      <c r="E31" s="5">
        <v>150</v>
      </c>
      <c r="F31" s="5" t="s">
        <v>450</v>
      </c>
      <c r="G31" s="5"/>
      <c r="H31" s="5">
        <v>63</v>
      </c>
      <c r="I31" s="5">
        <f>215-4.5</f>
        <v>210.5</v>
      </c>
      <c r="J31" s="5">
        <f t="shared" si="1"/>
        <v>1621.5</v>
      </c>
      <c r="K31" s="5"/>
    </row>
    <row r="32" spans="3:11">
      <c r="C32" s="5">
        <f t="shared" si="0"/>
        <v>27</v>
      </c>
      <c r="D32" s="5">
        <v>150</v>
      </c>
      <c r="E32" s="5">
        <v>192</v>
      </c>
      <c r="F32" s="5" t="s">
        <v>451</v>
      </c>
      <c r="G32" s="5">
        <v>0.46</v>
      </c>
      <c r="H32" s="5">
        <v>63</v>
      </c>
      <c r="I32" s="5">
        <v>20.2</v>
      </c>
      <c r="J32" s="5">
        <f t="shared" si="1"/>
        <v>1641.7</v>
      </c>
      <c r="K32" s="5"/>
    </row>
    <row r="33" spans="3:11">
      <c r="C33" s="5">
        <f t="shared" si="0"/>
        <v>28</v>
      </c>
      <c r="D33" s="5">
        <v>150</v>
      </c>
      <c r="E33" s="5">
        <v>212</v>
      </c>
      <c r="F33" s="5" t="s">
        <v>450</v>
      </c>
      <c r="G33" s="5"/>
      <c r="H33" s="5">
        <v>63</v>
      </c>
      <c r="I33" s="5">
        <v>31.4</v>
      </c>
      <c r="J33" s="5">
        <f t="shared" si="1"/>
        <v>1673.1000000000001</v>
      </c>
      <c r="K33" s="5"/>
    </row>
    <row r="34" spans="3:11">
      <c r="C34" s="5">
        <f t="shared" si="0"/>
        <v>29</v>
      </c>
      <c r="D34" s="5">
        <v>212</v>
      </c>
      <c r="E34" s="5">
        <v>134</v>
      </c>
      <c r="F34" s="5" t="s">
        <v>450</v>
      </c>
      <c r="G34" s="5"/>
      <c r="H34" s="5">
        <v>63</v>
      </c>
      <c r="I34" s="5">
        <v>180</v>
      </c>
      <c r="J34" s="5">
        <f t="shared" si="1"/>
        <v>1853.1000000000001</v>
      </c>
      <c r="K34" s="5"/>
    </row>
    <row r="35" spans="3:11">
      <c r="C35" s="5">
        <f t="shared" si="0"/>
        <v>30</v>
      </c>
      <c r="D35" s="5">
        <v>212</v>
      </c>
      <c r="E35" s="5">
        <v>157</v>
      </c>
      <c r="F35" s="5" t="s">
        <v>450</v>
      </c>
      <c r="G35" s="5"/>
      <c r="H35" s="5">
        <v>63</v>
      </c>
      <c r="I35" s="5">
        <v>52</v>
      </c>
      <c r="J35" s="5">
        <f t="shared" si="1"/>
        <v>1905.1000000000001</v>
      </c>
      <c r="K35" s="5"/>
    </row>
    <row r="36" spans="3:11">
      <c r="C36" s="5">
        <f t="shared" si="0"/>
        <v>31</v>
      </c>
      <c r="D36" s="5">
        <v>157</v>
      </c>
      <c r="E36" s="5">
        <v>130</v>
      </c>
      <c r="F36" s="5" t="s">
        <v>454</v>
      </c>
      <c r="G36" s="5">
        <v>0.36</v>
      </c>
      <c r="H36" s="5">
        <v>63</v>
      </c>
      <c r="I36" s="5">
        <v>3</v>
      </c>
      <c r="J36" s="5">
        <f t="shared" si="1"/>
        <v>1908.1000000000001</v>
      </c>
      <c r="K36" s="5" t="s">
        <v>455</v>
      </c>
    </row>
    <row r="37" spans="3:11">
      <c r="C37" s="5">
        <f t="shared" si="0"/>
        <v>32</v>
      </c>
      <c r="D37" s="5">
        <v>157</v>
      </c>
      <c r="E37" s="5">
        <v>130</v>
      </c>
      <c r="F37" s="5" t="s">
        <v>450</v>
      </c>
      <c r="G37" s="5"/>
      <c r="H37" s="5">
        <v>63</v>
      </c>
      <c r="I37" s="5">
        <f>190-3</f>
        <v>187</v>
      </c>
      <c r="J37" s="5">
        <f t="shared" si="1"/>
        <v>2095.1000000000004</v>
      </c>
      <c r="K37" s="5"/>
    </row>
    <row r="38" spans="3:11">
      <c r="C38" s="5">
        <f t="shared" si="0"/>
        <v>33</v>
      </c>
      <c r="D38" s="5">
        <v>130</v>
      </c>
      <c r="E38" s="5">
        <v>116</v>
      </c>
      <c r="F38" s="5" t="s">
        <v>450</v>
      </c>
      <c r="G38" s="5"/>
      <c r="H38" s="5">
        <v>63</v>
      </c>
      <c r="I38" s="5">
        <v>475</v>
      </c>
      <c r="J38" s="5">
        <f t="shared" si="1"/>
        <v>2570.1000000000004</v>
      </c>
      <c r="K38" s="5"/>
    </row>
    <row r="39" spans="3:11">
      <c r="C39" s="5">
        <f t="shared" si="0"/>
        <v>34</v>
      </c>
      <c r="D39" s="5">
        <v>116</v>
      </c>
      <c r="E39" s="5">
        <v>123</v>
      </c>
      <c r="F39" s="5" t="s">
        <v>450</v>
      </c>
      <c r="G39" s="5"/>
      <c r="H39" s="5">
        <v>63</v>
      </c>
      <c r="I39" s="5">
        <v>114.5</v>
      </c>
      <c r="J39" s="5">
        <f t="shared" si="1"/>
        <v>2684.6000000000004</v>
      </c>
      <c r="K39" s="5"/>
    </row>
    <row r="40" spans="3:11">
      <c r="C40" s="5">
        <f t="shared" si="0"/>
        <v>35</v>
      </c>
      <c r="D40" s="5">
        <v>157</v>
      </c>
      <c r="E40" s="5">
        <v>138</v>
      </c>
      <c r="F40" s="5" t="s">
        <v>454</v>
      </c>
      <c r="G40" s="5">
        <v>0.36</v>
      </c>
      <c r="H40" s="5">
        <v>63</v>
      </c>
      <c r="I40" s="5">
        <v>5</v>
      </c>
      <c r="J40" s="5">
        <f t="shared" si="1"/>
        <v>2689.6000000000004</v>
      </c>
      <c r="K40" s="5" t="s">
        <v>455</v>
      </c>
    </row>
    <row r="41" spans="3:11">
      <c r="C41" s="5">
        <f t="shared" si="0"/>
        <v>36</v>
      </c>
      <c r="D41" s="5">
        <v>157</v>
      </c>
      <c r="E41" s="5">
        <v>138</v>
      </c>
      <c r="F41" s="5" t="s">
        <v>450</v>
      </c>
      <c r="G41" s="5"/>
      <c r="H41" s="5">
        <v>63</v>
      </c>
      <c r="I41" s="5">
        <f>116.5-5</f>
        <v>111.5</v>
      </c>
      <c r="J41" s="5">
        <f t="shared" si="1"/>
        <v>2801.1000000000004</v>
      </c>
      <c r="K41" s="5"/>
    </row>
    <row r="42" spans="3:11">
      <c r="C42" s="5">
        <f t="shared" si="0"/>
        <v>37</v>
      </c>
      <c r="D42" s="5">
        <v>138</v>
      </c>
      <c r="E42" s="5">
        <v>134</v>
      </c>
      <c r="F42" s="5" t="s">
        <v>450</v>
      </c>
      <c r="G42" s="5"/>
      <c r="H42" s="5">
        <v>63</v>
      </c>
      <c r="I42" s="5">
        <v>36</v>
      </c>
      <c r="J42" s="5">
        <f t="shared" si="1"/>
        <v>2837.1000000000004</v>
      </c>
      <c r="K42" s="5"/>
    </row>
    <row r="43" spans="3:11">
      <c r="C43" s="5">
        <f t="shared" si="0"/>
        <v>38</v>
      </c>
      <c r="D43" s="5">
        <v>134</v>
      </c>
      <c r="E43" s="5">
        <v>166</v>
      </c>
      <c r="F43" s="5" t="s">
        <v>450</v>
      </c>
      <c r="G43" s="5"/>
      <c r="H43" s="5">
        <v>63</v>
      </c>
      <c r="I43" s="5">
        <v>30</v>
      </c>
      <c r="J43" s="5">
        <f t="shared" si="1"/>
        <v>2867.1000000000004</v>
      </c>
      <c r="K43" s="5"/>
    </row>
    <row r="44" spans="3:11">
      <c r="C44" s="5">
        <f t="shared" si="0"/>
        <v>39</v>
      </c>
      <c r="D44" s="5">
        <v>138</v>
      </c>
      <c r="E44" s="5">
        <v>187</v>
      </c>
      <c r="F44" s="5" t="s">
        <v>450</v>
      </c>
      <c r="G44" s="5"/>
      <c r="H44" s="5">
        <v>63</v>
      </c>
      <c r="I44" s="5">
        <v>69.2</v>
      </c>
      <c r="J44" s="5">
        <f t="shared" si="1"/>
        <v>2936.3</v>
      </c>
      <c r="K44" s="5"/>
    </row>
    <row r="45" spans="3:11">
      <c r="C45" s="5">
        <f t="shared" si="0"/>
        <v>40</v>
      </c>
      <c r="D45" s="5">
        <v>187</v>
      </c>
      <c r="E45" s="5">
        <v>182</v>
      </c>
      <c r="F45" s="5" t="s">
        <v>454</v>
      </c>
      <c r="G45" s="5">
        <v>0.36</v>
      </c>
      <c r="H45" s="5">
        <v>63</v>
      </c>
      <c r="I45" s="5">
        <v>7.2</v>
      </c>
      <c r="J45" s="5">
        <f t="shared" si="1"/>
        <v>2943.5</v>
      </c>
      <c r="K45" s="5" t="s">
        <v>455</v>
      </c>
    </row>
    <row r="46" spans="3:11">
      <c r="C46" s="5">
        <f t="shared" si="0"/>
        <v>41</v>
      </c>
      <c r="D46" s="5">
        <v>182</v>
      </c>
      <c r="E46" s="5">
        <v>168</v>
      </c>
      <c r="F46" s="5" t="s">
        <v>451</v>
      </c>
      <c r="G46" s="5">
        <v>0.46</v>
      </c>
      <c r="H46" s="5">
        <v>63</v>
      </c>
      <c r="I46" s="5">
        <v>48.7</v>
      </c>
      <c r="J46" s="5">
        <f t="shared" si="1"/>
        <v>2992.2</v>
      </c>
      <c r="K46" s="5"/>
    </row>
    <row r="47" spans="3:11">
      <c r="C47" s="5">
        <f t="shared" si="0"/>
        <v>42</v>
      </c>
      <c r="D47" s="5">
        <v>166</v>
      </c>
      <c r="E47" s="5">
        <v>168</v>
      </c>
      <c r="F47" s="5" t="s">
        <v>451</v>
      </c>
      <c r="G47" s="5">
        <v>0.46</v>
      </c>
      <c r="H47" s="5">
        <v>63</v>
      </c>
      <c r="I47" s="5">
        <v>46.3</v>
      </c>
      <c r="J47" s="5">
        <f t="shared" si="1"/>
        <v>3038.5</v>
      </c>
      <c r="K47" s="5"/>
    </row>
    <row r="48" spans="3:11">
      <c r="C48" s="5">
        <f t="shared" si="0"/>
        <v>43</v>
      </c>
      <c r="D48" s="5">
        <v>182</v>
      </c>
      <c r="E48" s="5">
        <v>190</v>
      </c>
      <c r="F48" s="5" t="s">
        <v>450</v>
      </c>
      <c r="G48" s="5"/>
      <c r="H48" s="5">
        <v>63</v>
      </c>
      <c r="I48" s="5">
        <v>79.400000000000006</v>
      </c>
      <c r="J48" s="5">
        <f t="shared" si="1"/>
        <v>3117.9</v>
      </c>
      <c r="K48" s="5"/>
    </row>
    <row r="49" spans="3:11">
      <c r="C49" s="5">
        <f t="shared" si="0"/>
        <v>44</v>
      </c>
      <c r="D49" s="5">
        <v>170</v>
      </c>
      <c r="E49" s="5">
        <v>188</v>
      </c>
      <c r="F49" s="5" t="s">
        <v>454</v>
      </c>
      <c r="G49" s="5">
        <v>0.36</v>
      </c>
      <c r="H49" s="5">
        <v>63</v>
      </c>
      <c r="I49" s="5">
        <v>4.5</v>
      </c>
      <c r="J49" s="5">
        <f t="shared" si="1"/>
        <v>3122.4</v>
      </c>
      <c r="K49" s="5" t="s">
        <v>455</v>
      </c>
    </row>
    <row r="50" spans="3:11">
      <c r="C50" s="5">
        <f t="shared" si="0"/>
        <v>45</v>
      </c>
      <c r="D50" s="5">
        <v>170</v>
      </c>
      <c r="E50" s="5">
        <v>188</v>
      </c>
      <c r="F50" s="5" t="s">
        <v>450</v>
      </c>
      <c r="G50" s="5"/>
      <c r="H50" s="5">
        <v>63</v>
      </c>
      <c r="I50" s="5">
        <f>334-4.5</f>
        <v>329.5</v>
      </c>
      <c r="J50" s="5">
        <f t="shared" si="1"/>
        <v>3451.9</v>
      </c>
      <c r="K50" s="5"/>
    </row>
    <row r="51" spans="3:11">
      <c r="C51" s="5">
        <f t="shared" si="0"/>
        <v>46</v>
      </c>
      <c r="D51" s="5">
        <v>188</v>
      </c>
      <c r="E51" s="5">
        <v>154</v>
      </c>
      <c r="F51" s="5" t="s">
        <v>450</v>
      </c>
      <c r="G51" s="5"/>
      <c r="H51" s="5">
        <v>63</v>
      </c>
      <c r="I51" s="5">
        <v>279</v>
      </c>
      <c r="J51" s="5">
        <f t="shared" si="1"/>
        <v>3730.9</v>
      </c>
      <c r="K51" s="5"/>
    </row>
    <row r="52" spans="3:11">
      <c r="C52" s="5">
        <f t="shared" si="0"/>
        <v>47</v>
      </c>
      <c r="D52" s="5">
        <v>154</v>
      </c>
      <c r="E52" s="5">
        <v>158</v>
      </c>
      <c r="F52" s="5" t="s">
        <v>450</v>
      </c>
      <c r="G52" s="5"/>
      <c r="H52" s="5">
        <v>63</v>
      </c>
      <c r="I52" s="5">
        <v>22</v>
      </c>
      <c r="J52" s="5">
        <f t="shared" si="1"/>
        <v>3752.9</v>
      </c>
      <c r="K52" s="5"/>
    </row>
    <row r="53" spans="3:11">
      <c r="C53" s="5">
        <f t="shared" si="0"/>
        <v>48</v>
      </c>
      <c r="D53" s="5">
        <v>158</v>
      </c>
      <c r="E53" s="5">
        <v>181</v>
      </c>
      <c r="F53" s="5" t="s">
        <v>450</v>
      </c>
      <c r="G53" s="5"/>
      <c r="H53" s="5">
        <v>63</v>
      </c>
      <c r="I53" s="5">
        <v>80</v>
      </c>
      <c r="J53" s="5">
        <f t="shared" si="1"/>
        <v>3832.9</v>
      </c>
      <c r="K53" s="5"/>
    </row>
    <row r="54" spans="3:11">
      <c r="C54" s="5">
        <f t="shared" si="0"/>
        <v>49</v>
      </c>
      <c r="D54" s="5">
        <v>181</v>
      </c>
      <c r="E54" s="5">
        <v>244</v>
      </c>
      <c r="F54" s="5" t="s">
        <v>450</v>
      </c>
      <c r="G54" s="5"/>
      <c r="H54" s="5">
        <v>63</v>
      </c>
      <c r="I54" s="5">
        <v>125</v>
      </c>
      <c r="J54" s="5">
        <f t="shared" si="1"/>
        <v>3957.9</v>
      </c>
      <c r="K54" s="5"/>
    </row>
    <row r="55" spans="3:11">
      <c r="C55" s="5">
        <f t="shared" si="0"/>
        <v>50</v>
      </c>
      <c r="D55" s="5">
        <v>199</v>
      </c>
      <c r="E55" s="5">
        <v>165</v>
      </c>
      <c r="F55" s="5" t="s">
        <v>454</v>
      </c>
      <c r="G55" s="5">
        <v>0.36</v>
      </c>
      <c r="H55" s="5">
        <v>63</v>
      </c>
      <c r="I55" s="5">
        <v>4</v>
      </c>
      <c r="J55" s="5">
        <f t="shared" si="1"/>
        <v>3961.9</v>
      </c>
      <c r="K55" s="5" t="s">
        <v>455</v>
      </c>
    </row>
    <row r="56" spans="3:11">
      <c r="C56" s="5">
        <f t="shared" si="0"/>
        <v>51</v>
      </c>
      <c r="D56" s="5">
        <v>199</v>
      </c>
      <c r="E56" s="5">
        <v>165</v>
      </c>
      <c r="F56" s="5" t="s">
        <v>301</v>
      </c>
      <c r="G56" s="5">
        <v>0.46</v>
      </c>
      <c r="H56" s="5">
        <v>63</v>
      </c>
      <c r="I56" s="5">
        <v>175</v>
      </c>
      <c r="J56" s="5">
        <f t="shared" si="1"/>
        <v>4136.8999999999996</v>
      </c>
      <c r="K56" s="5"/>
    </row>
    <row r="57" spans="3:11">
      <c r="C57" s="5">
        <f t="shared" si="0"/>
        <v>52</v>
      </c>
      <c r="D57" s="5">
        <v>199</v>
      </c>
      <c r="E57" s="5">
        <v>165</v>
      </c>
      <c r="F57" s="5" t="s">
        <v>450</v>
      </c>
      <c r="G57" s="5"/>
      <c r="H57" s="5">
        <v>63</v>
      </c>
      <c r="I57" s="5">
        <f>435-4-175</f>
        <v>256</v>
      </c>
      <c r="J57" s="5">
        <f t="shared" si="1"/>
        <v>4392.8999999999996</v>
      </c>
      <c r="K57" s="5"/>
    </row>
    <row r="58" spans="3:11">
      <c r="C58" s="5">
        <f t="shared" si="0"/>
        <v>53</v>
      </c>
      <c r="D58" s="5">
        <v>186</v>
      </c>
      <c r="E58" s="5">
        <v>151</v>
      </c>
      <c r="F58" s="5" t="s">
        <v>454</v>
      </c>
      <c r="G58" s="5">
        <v>0.36</v>
      </c>
      <c r="H58" s="5">
        <v>63</v>
      </c>
      <c r="I58" s="5">
        <v>4</v>
      </c>
      <c r="J58" s="5">
        <f t="shared" si="1"/>
        <v>4396.8999999999996</v>
      </c>
      <c r="K58" s="5" t="s">
        <v>455</v>
      </c>
    </row>
    <row r="59" spans="3:11">
      <c r="C59" s="5">
        <f t="shared" si="0"/>
        <v>54</v>
      </c>
      <c r="D59" s="5">
        <v>186</v>
      </c>
      <c r="E59" s="5">
        <v>151</v>
      </c>
      <c r="F59" s="5" t="s">
        <v>450</v>
      </c>
      <c r="G59" s="5"/>
      <c r="H59" s="5">
        <v>63</v>
      </c>
      <c r="I59" s="5">
        <f>151-4</f>
        <v>147</v>
      </c>
      <c r="J59" s="5">
        <f t="shared" si="1"/>
        <v>4543.8999999999996</v>
      </c>
      <c r="K59" s="5"/>
    </row>
    <row r="60" spans="3:11">
      <c r="C60" s="5">
        <f t="shared" si="0"/>
        <v>55</v>
      </c>
      <c r="D60" s="5">
        <v>186</v>
      </c>
      <c r="E60" s="5">
        <v>151</v>
      </c>
      <c r="F60" s="5" t="s">
        <v>451</v>
      </c>
      <c r="G60" s="5">
        <v>0.46</v>
      </c>
      <c r="H60" s="5">
        <v>63</v>
      </c>
      <c r="I60" s="5">
        <v>32</v>
      </c>
      <c r="J60" s="5">
        <f t="shared" si="1"/>
        <v>4575.8999999999996</v>
      </c>
      <c r="K60" s="5"/>
    </row>
    <row r="61" spans="3:11">
      <c r="C61" s="5">
        <f t="shared" si="0"/>
        <v>56</v>
      </c>
      <c r="D61" s="5">
        <v>151</v>
      </c>
      <c r="E61" s="5">
        <v>180</v>
      </c>
      <c r="F61" s="5" t="s">
        <v>450</v>
      </c>
      <c r="G61" s="5"/>
      <c r="H61" s="5">
        <v>63</v>
      </c>
      <c r="I61" s="5">
        <v>40.700000000000003</v>
      </c>
      <c r="J61" s="5">
        <f t="shared" si="1"/>
        <v>4616.5999999999995</v>
      </c>
      <c r="K61" s="5"/>
    </row>
    <row r="62" spans="3:11">
      <c r="C62" s="5">
        <f t="shared" si="0"/>
        <v>57</v>
      </c>
      <c r="D62" s="6">
        <v>151</v>
      </c>
      <c r="E62" s="6">
        <v>194</v>
      </c>
      <c r="F62" s="5" t="s">
        <v>450</v>
      </c>
      <c r="G62" s="5"/>
      <c r="H62" s="5">
        <v>63</v>
      </c>
      <c r="I62" s="5">
        <v>74.8</v>
      </c>
      <c r="J62" s="5">
        <f t="shared" si="1"/>
        <v>4691.3999999999996</v>
      </c>
      <c r="K62" s="5"/>
    </row>
    <row r="63" spans="3:11">
      <c r="C63" s="5">
        <f t="shared" si="0"/>
        <v>58</v>
      </c>
      <c r="D63" s="5">
        <v>165</v>
      </c>
      <c r="E63" s="5">
        <v>201</v>
      </c>
      <c r="F63" s="5" t="s">
        <v>301</v>
      </c>
      <c r="G63" s="5">
        <v>0.46</v>
      </c>
      <c r="H63" s="5">
        <v>63</v>
      </c>
      <c r="I63" s="5">
        <v>60</v>
      </c>
      <c r="J63" s="5">
        <f t="shared" si="1"/>
        <v>4751.3999999999996</v>
      </c>
      <c r="K63" s="5"/>
    </row>
    <row r="64" spans="3:11">
      <c r="C64" s="5">
        <f t="shared" si="0"/>
        <v>59</v>
      </c>
      <c r="D64" s="5">
        <v>201</v>
      </c>
      <c r="E64" s="5">
        <v>131</v>
      </c>
      <c r="F64" s="5" t="s">
        <v>301</v>
      </c>
      <c r="G64" s="5">
        <v>0.46</v>
      </c>
      <c r="H64" s="5">
        <v>63</v>
      </c>
      <c r="I64" s="5">
        <v>87.5</v>
      </c>
      <c r="J64" s="5">
        <f t="shared" si="1"/>
        <v>4838.8999999999996</v>
      </c>
      <c r="K64" s="5"/>
    </row>
    <row r="65" spans="3:13">
      <c r="C65" s="5">
        <f t="shared" si="0"/>
        <v>60</v>
      </c>
      <c r="D65" s="5">
        <v>131</v>
      </c>
      <c r="E65" s="5">
        <v>140</v>
      </c>
      <c r="F65" s="5" t="s">
        <v>301</v>
      </c>
      <c r="G65" s="5">
        <v>0.46</v>
      </c>
      <c r="H65" s="5">
        <v>63</v>
      </c>
      <c r="I65" s="5">
        <v>75</v>
      </c>
      <c r="J65" s="5">
        <f t="shared" si="1"/>
        <v>4913.8999999999996</v>
      </c>
      <c r="K65" s="5"/>
    </row>
    <row r="66" spans="3:13">
      <c r="C66" s="5">
        <f t="shared" si="0"/>
        <v>61</v>
      </c>
      <c r="D66" s="5">
        <v>140</v>
      </c>
      <c r="E66" s="5">
        <v>223</v>
      </c>
      <c r="F66" s="5" t="s">
        <v>451</v>
      </c>
      <c r="G66" s="5">
        <v>0.46</v>
      </c>
      <c r="H66" s="5">
        <v>63</v>
      </c>
      <c r="I66" s="5">
        <v>86</v>
      </c>
      <c r="J66" s="5">
        <f t="shared" si="1"/>
        <v>4999.8999999999996</v>
      </c>
      <c r="K66" s="5"/>
    </row>
    <row r="67" spans="3:13">
      <c r="C67" s="5">
        <f t="shared" si="0"/>
        <v>62</v>
      </c>
      <c r="D67" s="5">
        <v>140</v>
      </c>
      <c r="E67" s="5">
        <v>148</v>
      </c>
      <c r="F67" s="5" t="s">
        <v>450</v>
      </c>
      <c r="G67" s="5"/>
      <c r="H67" s="5">
        <v>63</v>
      </c>
      <c r="I67" s="5">
        <v>103</v>
      </c>
      <c r="J67" s="5">
        <f t="shared" si="1"/>
        <v>5102.8999999999996</v>
      </c>
      <c r="K67" s="5"/>
    </row>
    <row r="68" spans="3:13">
      <c r="C68" s="5">
        <f t="shared" si="0"/>
        <v>63</v>
      </c>
      <c r="D68" s="5">
        <v>140</v>
      </c>
      <c r="E68" s="5">
        <v>148</v>
      </c>
      <c r="F68" s="5" t="s">
        <v>301</v>
      </c>
      <c r="G68" s="5">
        <v>0.46</v>
      </c>
      <c r="H68" s="5">
        <v>63</v>
      </c>
      <c r="I68" s="5">
        <f>166-103</f>
        <v>63</v>
      </c>
      <c r="J68" s="5">
        <f t="shared" si="1"/>
        <v>5165.8999999999996</v>
      </c>
      <c r="K68" s="5"/>
    </row>
    <row r="69" spans="3:13">
      <c r="C69" s="5">
        <f t="shared" si="0"/>
        <v>64</v>
      </c>
      <c r="D69" s="5">
        <v>148</v>
      </c>
      <c r="E69" s="5">
        <v>162</v>
      </c>
      <c r="F69" s="5" t="s">
        <v>451</v>
      </c>
      <c r="G69" s="5">
        <v>0.46</v>
      </c>
      <c r="H69" s="5">
        <v>63</v>
      </c>
      <c r="I69" s="5">
        <v>12</v>
      </c>
      <c r="J69" s="5">
        <f t="shared" si="1"/>
        <v>5177.8999999999996</v>
      </c>
      <c r="K69" s="5"/>
      <c r="M69" s="5"/>
    </row>
    <row r="70" spans="3:13">
      <c r="C70" s="5">
        <f t="shared" si="0"/>
        <v>65</v>
      </c>
      <c r="D70" s="5">
        <v>148</v>
      </c>
      <c r="E70" s="5">
        <v>162</v>
      </c>
      <c r="F70" s="5" t="s">
        <v>450</v>
      </c>
      <c r="G70" s="5"/>
      <c r="H70" s="5">
        <v>63</v>
      </c>
      <c r="I70" s="5">
        <f>150-12</f>
        <v>138</v>
      </c>
      <c r="J70" s="5">
        <f t="shared" si="1"/>
        <v>5315.9</v>
      </c>
      <c r="K70" s="5"/>
      <c r="M70" s="5">
        <v>20.5</v>
      </c>
    </row>
    <row r="71" spans="3:13">
      <c r="C71" s="5">
        <f t="shared" si="0"/>
        <v>66</v>
      </c>
      <c r="D71" s="5">
        <v>131</v>
      </c>
      <c r="E71" s="5">
        <v>143</v>
      </c>
      <c r="F71" s="5" t="s">
        <v>301</v>
      </c>
      <c r="G71" s="5">
        <v>0.46</v>
      </c>
      <c r="H71" s="5">
        <v>63</v>
      </c>
      <c r="I71" s="5">
        <v>74.599999999999994</v>
      </c>
      <c r="J71" s="5">
        <f t="shared" si="1"/>
        <v>5390.5</v>
      </c>
      <c r="K71" s="5"/>
      <c r="M71" s="5"/>
    </row>
    <row r="72" spans="3:13">
      <c r="C72" s="5">
        <f t="shared" ref="C72:C135" si="2">1+C71</f>
        <v>67</v>
      </c>
      <c r="D72" s="5">
        <v>143</v>
      </c>
      <c r="E72" s="5">
        <v>155</v>
      </c>
      <c r="F72" s="5" t="s">
        <v>450</v>
      </c>
      <c r="G72" s="5"/>
      <c r="H72" s="5">
        <v>63</v>
      </c>
      <c r="I72" s="5">
        <v>68.5</v>
      </c>
      <c r="J72" s="5">
        <f t="shared" ref="J72:J135" si="3">+J71+I72</f>
        <v>5459</v>
      </c>
      <c r="K72" s="5"/>
      <c r="M72" s="5">
        <v>40.799999999999997</v>
      </c>
    </row>
    <row r="73" spans="3:13">
      <c r="C73" s="5">
        <f t="shared" si="2"/>
        <v>68</v>
      </c>
      <c r="D73" s="5">
        <v>143</v>
      </c>
      <c r="E73" s="5">
        <v>149</v>
      </c>
      <c r="F73" s="5" t="s">
        <v>301</v>
      </c>
      <c r="G73" s="5">
        <v>0.46</v>
      </c>
      <c r="H73" s="5">
        <v>63</v>
      </c>
      <c r="I73" s="5">
        <v>78.8</v>
      </c>
      <c r="J73" s="5">
        <f t="shared" si="3"/>
        <v>5537.8</v>
      </c>
      <c r="K73" s="5"/>
      <c r="M73" s="5"/>
    </row>
    <row r="74" spans="3:13">
      <c r="C74" s="5">
        <f t="shared" si="2"/>
        <v>69</v>
      </c>
      <c r="D74" s="5">
        <v>149</v>
      </c>
      <c r="E74" s="5">
        <v>118</v>
      </c>
      <c r="F74" s="5" t="s">
        <v>450</v>
      </c>
      <c r="G74" s="5"/>
      <c r="H74" s="5">
        <v>63</v>
      </c>
      <c r="I74" s="5">
        <v>252</v>
      </c>
      <c r="J74" s="5">
        <f t="shared" si="3"/>
        <v>5789.8</v>
      </c>
      <c r="K74" s="5"/>
      <c r="M74" s="5">
        <v>96.1</v>
      </c>
    </row>
    <row r="75" spans="3:13">
      <c r="C75" s="5">
        <f t="shared" si="2"/>
        <v>70</v>
      </c>
      <c r="D75" s="5">
        <v>118</v>
      </c>
      <c r="E75" s="5">
        <v>144</v>
      </c>
      <c r="F75" s="5" t="s">
        <v>450</v>
      </c>
      <c r="G75" s="5"/>
      <c r="H75" s="5">
        <v>63</v>
      </c>
      <c r="I75" s="5">
        <v>25</v>
      </c>
      <c r="J75" s="5">
        <f t="shared" si="3"/>
        <v>5814.8</v>
      </c>
      <c r="K75" s="5"/>
      <c r="M75" s="5">
        <v>81</v>
      </c>
    </row>
    <row r="76" spans="3:13">
      <c r="C76" s="5">
        <f t="shared" si="2"/>
        <v>71</v>
      </c>
      <c r="D76" s="5">
        <v>118</v>
      </c>
      <c r="E76" s="5">
        <v>232</v>
      </c>
      <c r="F76" s="5" t="s">
        <v>450</v>
      </c>
      <c r="G76" s="5"/>
      <c r="H76" s="5">
        <v>63</v>
      </c>
      <c r="I76" s="5">
        <v>127</v>
      </c>
      <c r="J76" s="5">
        <f t="shared" si="3"/>
        <v>5941.8</v>
      </c>
      <c r="K76" s="5"/>
      <c r="M76" s="498">
        <v>53</v>
      </c>
    </row>
    <row r="77" spans="3:13">
      <c r="C77" s="5">
        <f t="shared" si="2"/>
        <v>72</v>
      </c>
      <c r="D77" s="5">
        <v>149</v>
      </c>
      <c r="E77" s="5">
        <v>169</v>
      </c>
      <c r="F77" s="5" t="s">
        <v>450</v>
      </c>
      <c r="G77" s="5"/>
      <c r="H77" s="5">
        <v>63</v>
      </c>
      <c r="I77" s="5">
        <v>74</v>
      </c>
      <c r="J77" s="5">
        <f t="shared" si="3"/>
        <v>6015.8</v>
      </c>
      <c r="K77" s="5"/>
      <c r="M77" s="498"/>
    </row>
    <row r="78" spans="3:13">
      <c r="C78" s="5">
        <f t="shared" si="2"/>
        <v>73</v>
      </c>
      <c r="D78" s="5">
        <v>169</v>
      </c>
      <c r="E78" s="5">
        <v>172</v>
      </c>
      <c r="F78" s="5" t="s">
        <v>450</v>
      </c>
      <c r="G78" s="5"/>
      <c r="H78" s="5">
        <v>63</v>
      </c>
      <c r="I78" s="5">
        <v>75</v>
      </c>
      <c r="J78" s="5">
        <f t="shared" si="3"/>
        <v>6090.8</v>
      </c>
      <c r="K78" s="5"/>
      <c r="M78" s="5">
        <v>31</v>
      </c>
    </row>
    <row r="79" spans="3:13">
      <c r="C79" s="5">
        <f t="shared" si="2"/>
        <v>74</v>
      </c>
      <c r="D79" s="5">
        <v>172</v>
      </c>
      <c r="E79" s="5">
        <v>207</v>
      </c>
      <c r="F79" s="5" t="s">
        <v>450</v>
      </c>
      <c r="G79" s="5"/>
      <c r="H79" s="5">
        <v>63</v>
      </c>
      <c r="I79" s="5">
        <v>31</v>
      </c>
      <c r="J79" s="5">
        <f t="shared" si="3"/>
        <v>6121.8</v>
      </c>
      <c r="K79" s="5"/>
      <c r="M79" s="5">
        <v>63</v>
      </c>
    </row>
    <row r="80" spans="3:13">
      <c r="C80" s="5">
        <f t="shared" si="2"/>
        <v>75</v>
      </c>
      <c r="D80" s="5">
        <v>172</v>
      </c>
      <c r="E80" s="5">
        <v>243</v>
      </c>
      <c r="F80" s="5" t="s">
        <v>454</v>
      </c>
      <c r="G80" s="5">
        <v>0.36</v>
      </c>
      <c r="H80" s="5">
        <v>63</v>
      </c>
      <c r="I80" s="5">
        <v>4</v>
      </c>
      <c r="J80" s="5">
        <f t="shared" si="3"/>
        <v>6125.8</v>
      </c>
      <c r="K80" s="5" t="s">
        <v>455</v>
      </c>
      <c r="M80" s="5"/>
    </row>
    <row r="81" spans="3:13">
      <c r="C81" s="5">
        <f t="shared" si="2"/>
        <v>76</v>
      </c>
      <c r="D81" s="5">
        <v>172</v>
      </c>
      <c r="E81" s="5">
        <v>243</v>
      </c>
      <c r="F81" s="5" t="s">
        <v>450</v>
      </c>
      <c r="G81" s="5"/>
      <c r="H81" s="5">
        <v>63</v>
      </c>
      <c r="I81" s="5">
        <f>129-4</f>
        <v>125</v>
      </c>
      <c r="J81" s="5">
        <f t="shared" si="3"/>
        <v>6250.8</v>
      </c>
      <c r="K81" s="5"/>
      <c r="M81" s="5">
        <v>20.2</v>
      </c>
    </row>
    <row r="82" spans="3:13">
      <c r="C82" s="5">
        <f t="shared" si="2"/>
        <v>77</v>
      </c>
      <c r="D82" s="5">
        <v>169</v>
      </c>
      <c r="E82" s="5">
        <v>230</v>
      </c>
      <c r="F82" s="5" t="s">
        <v>451</v>
      </c>
      <c r="G82" s="5">
        <v>0.46</v>
      </c>
      <c r="H82" s="5">
        <v>63</v>
      </c>
      <c r="I82" s="5">
        <v>40</v>
      </c>
      <c r="J82" s="5">
        <f t="shared" si="3"/>
        <v>6290.8</v>
      </c>
      <c r="K82" s="5"/>
      <c r="M82" s="5"/>
    </row>
    <row r="83" spans="3:13">
      <c r="C83" s="5">
        <f t="shared" si="2"/>
        <v>78</v>
      </c>
      <c r="D83" s="5">
        <v>169</v>
      </c>
      <c r="E83" s="5">
        <v>230</v>
      </c>
      <c r="F83" s="5" t="s">
        <v>454</v>
      </c>
      <c r="G83" s="5">
        <v>0.36</v>
      </c>
      <c r="H83" s="5">
        <v>63</v>
      </c>
      <c r="I83" s="5">
        <v>4</v>
      </c>
      <c r="J83" s="5">
        <f t="shared" si="3"/>
        <v>6294.8</v>
      </c>
      <c r="K83" s="5" t="s">
        <v>455</v>
      </c>
      <c r="M83" s="5"/>
    </row>
    <row r="84" spans="3:13">
      <c r="C84" s="5">
        <f t="shared" si="2"/>
        <v>79</v>
      </c>
      <c r="D84" s="5">
        <v>169</v>
      </c>
      <c r="E84" s="5">
        <v>230</v>
      </c>
      <c r="F84" s="5" t="s">
        <v>450</v>
      </c>
      <c r="G84" s="5"/>
      <c r="H84" s="5">
        <v>63</v>
      </c>
      <c r="I84" s="5">
        <f>132-40-4</f>
        <v>88</v>
      </c>
      <c r="J84" s="5">
        <f t="shared" si="3"/>
        <v>6382.8</v>
      </c>
      <c r="K84" s="5"/>
      <c r="M84" s="5">
        <v>7.2</v>
      </c>
    </row>
    <row r="85" spans="3:13">
      <c r="C85" s="5">
        <f t="shared" si="2"/>
        <v>80</v>
      </c>
      <c r="D85" s="5">
        <v>232</v>
      </c>
      <c r="E85" s="5">
        <v>218</v>
      </c>
      <c r="F85" s="5"/>
      <c r="G85" s="5"/>
      <c r="H85" s="5">
        <v>63</v>
      </c>
      <c r="I85" s="5">
        <v>3</v>
      </c>
      <c r="J85" s="5">
        <f t="shared" si="3"/>
        <v>6385.8</v>
      </c>
      <c r="K85" s="5" t="s">
        <v>304</v>
      </c>
      <c r="M85" s="5">
        <v>48.7</v>
      </c>
    </row>
    <row r="86" spans="3:13">
      <c r="C86" s="5">
        <f t="shared" si="2"/>
        <v>81</v>
      </c>
      <c r="D86" s="5">
        <v>232</v>
      </c>
      <c r="E86" s="5">
        <v>218</v>
      </c>
      <c r="F86" s="5" t="s">
        <v>454</v>
      </c>
      <c r="G86" s="5">
        <v>0.36</v>
      </c>
      <c r="H86" s="5">
        <v>63</v>
      </c>
      <c r="I86" s="5">
        <v>4</v>
      </c>
      <c r="J86" s="5">
        <f t="shared" si="3"/>
        <v>6389.8</v>
      </c>
      <c r="K86" s="5" t="s">
        <v>455</v>
      </c>
      <c r="M86" s="5"/>
    </row>
    <row r="87" spans="3:13">
      <c r="C87" s="5">
        <f t="shared" si="2"/>
        <v>82</v>
      </c>
      <c r="D87" s="5">
        <v>232</v>
      </c>
      <c r="E87" s="5">
        <v>218</v>
      </c>
      <c r="F87" s="5" t="s">
        <v>450</v>
      </c>
      <c r="G87" s="5"/>
      <c r="H87" s="5">
        <v>63</v>
      </c>
      <c r="I87" s="5">
        <f>191-3-4</f>
        <v>184</v>
      </c>
      <c r="J87" s="5">
        <f t="shared" si="3"/>
        <v>6573.8</v>
      </c>
      <c r="K87" s="5"/>
      <c r="M87" s="5">
        <v>46.3</v>
      </c>
    </row>
    <row r="88" spans="3:13">
      <c r="C88" s="5">
        <f t="shared" si="2"/>
        <v>83</v>
      </c>
      <c r="D88" s="5">
        <v>218</v>
      </c>
      <c r="E88" s="5">
        <v>229</v>
      </c>
      <c r="F88" s="5" t="s">
        <v>450</v>
      </c>
      <c r="G88" s="5"/>
      <c r="H88" s="5">
        <v>63</v>
      </c>
      <c r="I88" s="5">
        <v>52</v>
      </c>
      <c r="J88" s="5">
        <f t="shared" si="3"/>
        <v>6625.8</v>
      </c>
      <c r="K88" s="5"/>
      <c r="M88" s="5">
        <v>32</v>
      </c>
    </row>
    <row r="89" spans="3:13">
      <c r="C89" s="5">
        <f t="shared" si="2"/>
        <v>84</v>
      </c>
      <c r="D89" s="5">
        <v>229</v>
      </c>
      <c r="E89" s="312">
        <v>220</v>
      </c>
      <c r="F89" s="5" t="s">
        <v>450</v>
      </c>
      <c r="G89" s="5"/>
      <c r="H89" s="5">
        <v>63</v>
      </c>
      <c r="I89" s="5">
        <v>66</v>
      </c>
      <c r="J89" s="5">
        <f t="shared" si="3"/>
        <v>6691.8</v>
      </c>
      <c r="K89" s="5"/>
      <c r="M89" s="5">
        <v>60</v>
      </c>
    </row>
    <row r="90" spans="3:13">
      <c r="C90" s="5">
        <f t="shared" si="2"/>
        <v>85</v>
      </c>
      <c r="D90" s="5">
        <v>190</v>
      </c>
      <c r="E90" s="312">
        <v>206</v>
      </c>
      <c r="F90" s="5" t="s">
        <v>450</v>
      </c>
      <c r="G90" s="8"/>
      <c r="H90" s="5">
        <v>63</v>
      </c>
      <c r="I90" s="5">
        <v>66</v>
      </c>
      <c r="J90" s="5">
        <f t="shared" si="3"/>
        <v>6757.8</v>
      </c>
      <c r="K90" s="8"/>
      <c r="M90" s="5">
        <v>87.5</v>
      </c>
    </row>
    <row r="91" spans="3:13">
      <c r="C91" s="5">
        <f t="shared" si="2"/>
        <v>86</v>
      </c>
      <c r="D91" s="5">
        <v>190</v>
      </c>
      <c r="E91" s="5">
        <v>202</v>
      </c>
      <c r="F91" s="5" t="s">
        <v>450</v>
      </c>
      <c r="G91" s="8"/>
      <c r="H91" s="5">
        <v>63</v>
      </c>
      <c r="I91" s="5">
        <v>61.3</v>
      </c>
      <c r="J91" s="5">
        <f t="shared" si="3"/>
        <v>6819.1</v>
      </c>
      <c r="K91" s="8"/>
      <c r="M91" s="5">
        <v>75</v>
      </c>
    </row>
    <row r="92" spans="3:13">
      <c r="C92" s="5">
        <f t="shared" si="2"/>
        <v>87</v>
      </c>
      <c r="D92" s="5" t="s">
        <v>456</v>
      </c>
      <c r="E92" s="5" t="s">
        <v>228</v>
      </c>
      <c r="F92" s="5" t="s">
        <v>301</v>
      </c>
      <c r="G92" s="5">
        <v>0.46</v>
      </c>
      <c r="H92" s="5">
        <v>63</v>
      </c>
      <c r="I92" s="5">
        <v>74</v>
      </c>
      <c r="J92" s="5">
        <f t="shared" si="3"/>
        <v>6893.1</v>
      </c>
      <c r="K92" s="8"/>
      <c r="M92" s="5"/>
    </row>
    <row r="93" spans="3:13">
      <c r="C93" s="5">
        <f t="shared" si="2"/>
        <v>88</v>
      </c>
      <c r="D93" s="5">
        <v>202</v>
      </c>
      <c r="E93" s="5">
        <v>240</v>
      </c>
      <c r="F93" s="5" t="s">
        <v>451</v>
      </c>
      <c r="G93" s="5">
        <v>0.46</v>
      </c>
      <c r="H93" s="5">
        <v>63</v>
      </c>
      <c r="I93" s="5">
        <v>77.3</v>
      </c>
      <c r="J93" s="5">
        <f t="shared" si="3"/>
        <v>6970.4000000000005</v>
      </c>
      <c r="K93" s="8"/>
      <c r="M93" s="5"/>
    </row>
    <row r="94" spans="3:13">
      <c r="C94" s="5">
        <f t="shared" si="2"/>
        <v>89</v>
      </c>
      <c r="D94" s="5">
        <v>202</v>
      </c>
      <c r="E94" s="5">
        <v>210</v>
      </c>
      <c r="F94" s="5" t="s">
        <v>450</v>
      </c>
      <c r="G94" s="8"/>
      <c r="H94" s="5">
        <v>63</v>
      </c>
      <c r="I94" s="5">
        <v>36</v>
      </c>
      <c r="J94" s="5">
        <f t="shared" si="3"/>
        <v>7006.4000000000005</v>
      </c>
      <c r="K94" s="8"/>
      <c r="M94" s="5">
        <v>63</v>
      </c>
    </row>
    <row r="95" spans="3:13">
      <c r="C95" s="5">
        <f t="shared" si="2"/>
        <v>90</v>
      </c>
      <c r="D95" s="5">
        <v>210</v>
      </c>
      <c r="E95" s="5">
        <v>233</v>
      </c>
      <c r="F95" s="5" t="s">
        <v>454</v>
      </c>
      <c r="G95" s="5">
        <v>0.36</v>
      </c>
      <c r="H95" s="5">
        <v>63</v>
      </c>
      <c r="I95" s="5">
        <v>3.5</v>
      </c>
      <c r="J95" s="5">
        <f t="shared" si="3"/>
        <v>7009.9000000000005</v>
      </c>
      <c r="K95" s="5" t="s">
        <v>455</v>
      </c>
      <c r="M95" s="5"/>
    </row>
    <row r="96" spans="3:13">
      <c r="C96" s="5">
        <f t="shared" si="2"/>
        <v>91</v>
      </c>
      <c r="D96" s="5">
        <v>210</v>
      </c>
      <c r="E96" s="5">
        <v>233</v>
      </c>
      <c r="F96" s="5" t="s">
        <v>450</v>
      </c>
      <c r="G96" s="8"/>
      <c r="H96" s="5">
        <v>63</v>
      </c>
      <c r="I96" s="5">
        <f>63-3.5</f>
        <v>59.5</v>
      </c>
      <c r="J96" s="5">
        <f t="shared" si="3"/>
        <v>7069.4000000000005</v>
      </c>
      <c r="K96" s="8"/>
      <c r="M96" s="5">
        <v>12</v>
      </c>
    </row>
    <row r="97" spans="3:13">
      <c r="C97" s="5">
        <f t="shared" si="2"/>
        <v>92</v>
      </c>
      <c r="D97" s="5">
        <v>233</v>
      </c>
      <c r="E97" s="5">
        <v>213</v>
      </c>
      <c r="F97" s="5" t="s">
        <v>450</v>
      </c>
      <c r="G97" s="8"/>
      <c r="H97" s="5">
        <v>63</v>
      </c>
      <c r="I97" s="5">
        <v>347.2</v>
      </c>
      <c r="J97" s="5">
        <f t="shared" si="3"/>
        <v>7416.6</v>
      </c>
      <c r="K97" s="8"/>
      <c r="M97" s="5">
        <v>74.599999999999994</v>
      </c>
    </row>
    <row r="98" spans="3:13">
      <c r="C98" s="5">
        <f t="shared" si="2"/>
        <v>93</v>
      </c>
      <c r="D98" s="5">
        <v>213</v>
      </c>
      <c r="E98" s="5">
        <v>209</v>
      </c>
      <c r="F98" s="5" t="s">
        <v>454</v>
      </c>
      <c r="G98" s="5">
        <v>0.36</v>
      </c>
      <c r="H98" s="5">
        <v>63</v>
      </c>
      <c r="I98" s="5">
        <v>5</v>
      </c>
      <c r="J98" s="5">
        <f t="shared" si="3"/>
        <v>7421.6</v>
      </c>
      <c r="K98" s="5" t="s">
        <v>455</v>
      </c>
      <c r="M98" s="5"/>
    </row>
    <row r="99" spans="3:13">
      <c r="C99" s="5">
        <f t="shared" si="2"/>
        <v>94</v>
      </c>
      <c r="D99" s="5">
        <v>213</v>
      </c>
      <c r="E99" s="5">
        <v>209</v>
      </c>
      <c r="F99" s="5" t="s">
        <v>451</v>
      </c>
      <c r="G99" s="5">
        <v>0.46</v>
      </c>
      <c r="H99" s="5">
        <v>63</v>
      </c>
      <c r="I99" s="5">
        <f>102.7-5</f>
        <v>97.7</v>
      </c>
      <c r="J99" s="5">
        <f t="shared" si="3"/>
        <v>7519.3</v>
      </c>
      <c r="K99" s="8"/>
      <c r="M99" s="5"/>
    </row>
    <row r="100" spans="3:13">
      <c r="C100" s="5">
        <f t="shared" si="2"/>
        <v>95</v>
      </c>
      <c r="D100" s="5">
        <v>213</v>
      </c>
      <c r="E100" s="5">
        <v>187</v>
      </c>
      <c r="F100" s="5" t="s">
        <v>457</v>
      </c>
      <c r="G100" s="5">
        <v>0.36</v>
      </c>
      <c r="H100" s="5">
        <v>63</v>
      </c>
      <c r="I100" s="5">
        <v>3</v>
      </c>
      <c r="J100" s="5">
        <f t="shared" si="3"/>
        <v>7522.3</v>
      </c>
      <c r="K100" s="5" t="s">
        <v>455</v>
      </c>
      <c r="M100" s="5"/>
    </row>
    <row r="101" spans="3:13">
      <c r="C101" s="5">
        <f t="shared" si="2"/>
        <v>96</v>
      </c>
      <c r="D101" s="5">
        <v>213</v>
      </c>
      <c r="E101" s="5">
        <v>187</v>
      </c>
      <c r="F101" s="5" t="s">
        <v>450</v>
      </c>
      <c r="G101" s="8"/>
      <c r="H101" s="5">
        <v>63</v>
      </c>
      <c r="I101" s="5">
        <f>580-3</f>
        <v>577</v>
      </c>
      <c r="J101" s="5">
        <f t="shared" si="3"/>
        <v>8099.3</v>
      </c>
      <c r="K101" s="8"/>
      <c r="M101" s="5">
        <v>5</v>
      </c>
    </row>
    <row r="102" spans="3:13">
      <c r="C102" s="5">
        <f t="shared" si="2"/>
        <v>97</v>
      </c>
      <c r="D102" s="5" t="s">
        <v>458</v>
      </c>
      <c r="E102" s="5" t="s">
        <v>459</v>
      </c>
      <c r="F102" s="5" t="s">
        <v>301</v>
      </c>
      <c r="G102" s="5">
        <v>0.46</v>
      </c>
      <c r="H102" s="5">
        <v>63</v>
      </c>
      <c r="I102" s="5">
        <v>66</v>
      </c>
      <c r="J102" s="5">
        <f t="shared" si="3"/>
        <v>8165.3</v>
      </c>
      <c r="K102" s="8"/>
      <c r="M102" s="5"/>
    </row>
    <row r="103" spans="3:13">
      <c r="C103" s="5">
        <f t="shared" si="2"/>
        <v>98</v>
      </c>
      <c r="D103" s="5">
        <v>233</v>
      </c>
      <c r="E103" s="5">
        <v>208</v>
      </c>
      <c r="F103" s="5" t="s">
        <v>457</v>
      </c>
      <c r="G103" s="5">
        <v>0.36</v>
      </c>
      <c r="H103" s="5">
        <v>63</v>
      </c>
      <c r="I103" s="5">
        <v>5</v>
      </c>
      <c r="J103" s="5">
        <f t="shared" si="3"/>
        <v>8170.3</v>
      </c>
      <c r="K103" s="5" t="s">
        <v>455</v>
      </c>
      <c r="M103" s="5"/>
    </row>
    <row r="104" spans="3:13">
      <c r="C104" s="5">
        <f t="shared" si="2"/>
        <v>99</v>
      </c>
      <c r="D104" s="5">
        <v>233</v>
      </c>
      <c r="E104" s="5">
        <v>208</v>
      </c>
      <c r="F104" s="5" t="s">
        <v>450</v>
      </c>
      <c r="G104" s="8"/>
      <c r="H104" s="5">
        <v>63</v>
      </c>
      <c r="I104" s="5">
        <f>109-5</f>
        <v>104</v>
      </c>
      <c r="J104" s="5">
        <f t="shared" si="3"/>
        <v>8274.2999999999993</v>
      </c>
      <c r="K104" s="8"/>
      <c r="M104" s="5">
        <v>3</v>
      </c>
    </row>
    <row r="105" spans="3:13">
      <c r="C105" s="5">
        <f t="shared" si="2"/>
        <v>100</v>
      </c>
      <c r="D105" s="5">
        <v>208</v>
      </c>
      <c r="E105" s="5">
        <v>193</v>
      </c>
      <c r="F105" s="5" t="s">
        <v>450</v>
      </c>
      <c r="G105" s="8"/>
      <c r="H105" s="5">
        <v>63</v>
      </c>
      <c r="I105" s="5">
        <v>43</v>
      </c>
      <c r="J105" s="5">
        <f t="shared" si="3"/>
        <v>8317.2999999999993</v>
      </c>
      <c r="K105" s="8"/>
      <c r="M105" s="5">
        <v>5</v>
      </c>
    </row>
    <row r="106" spans="3:13">
      <c r="C106" s="5">
        <f t="shared" si="2"/>
        <v>101</v>
      </c>
      <c r="D106" s="5">
        <v>208</v>
      </c>
      <c r="E106" s="5">
        <v>185</v>
      </c>
      <c r="F106" s="5" t="s">
        <v>450</v>
      </c>
      <c r="G106" s="8"/>
      <c r="H106" s="5">
        <v>63</v>
      </c>
      <c r="I106" s="5">
        <v>94</v>
      </c>
      <c r="J106" s="5">
        <f t="shared" si="3"/>
        <v>8411.2999999999993</v>
      </c>
      <c r="K106" s="8"/>
      <c r="M106" s="5">
        <v>16.7</v>
      </c>
    </row>
    <row r="107" spans="3:13">
      <c r="C107" s="5">
        <f t="shared" si="2"/>
        <v>102</v>
      </c>
      <c r="D107" s="5">
        <v>185</v>
      </c>
      <c r="E107" s="5">
        <v>222</v>
      </c>
      <c r="F107" s="5" t="s">
        <v>450</v>
      </c>
      <c r="G107" s="8"/>
      <c r="H107" s="5">
        <v>63</v>
      </c>
      <c r="I107" s="5">
        <v>131</v>
      </c>
      <c r="J107" s="5">
        <f t="shared" si="3"/>
        <v>8542.2999999999993</v>
      </c>
      <c r="K107" s="8"/>
      <c r="M107" s="5">
        <v>3</v>
      </c>
    </row>
    <row r="108" spans="3:13">
      <c r="C108" s="5">
        <f t="shared" si="2"/>
        <v>103</v>
      </c>
      <c r="D108" s="5">
        <v>222</v>
      </c>
      <c r="E108" s="5">
        <v>236</v>
      </c>
      <c r="F108" s="5" t="s">
        <v>450</v>
      </c>
      <c r="G108" s="8"/>
      <c r="H108" s="5">
        <v>63</v>
      </c>
      <c r="I108" s="5">
        <v>178</v>
      </c>
      <c r="J108" s="5">
        <f t="shared" si="3"/>
        <v>8720.2999999999993</v>
      </c>
      <c r="K108" s="8"/>
      <c r="M108" s="5">
        <v>127</v>
      </c>
    </row>
    <row r="109" spans="3:13">
      <c r="C109" s="5">
        <f t="shared" si="2"/>
        <v>104</v>
      </c>
      <c r="D109" s="5">
        <v>233</v>
      </c>
      <c r="E109" s="5">
        <v>226</v>
      </c>
      <c r="F109" s="5" t="s">
        <v>450</v>
      </c>
      <c r="G109" s="8"/>
      <c r="H109" s="5">
        <v>63</v>
      </c>
      <c r="I109" s="5">
        <v>210.1</v>
      </c>
      <c r="J109" s="5">
        <f t="shared" si="3"/>
        <v>8930.4</v>
      </c>
      <c r="K109" s="8"/>
      <c r="M109" s="5">
        <v>130</v>
      </c>
    </row>
    <row r="110" spans="3:13">
      <c r="C110" s="5">
        <f t="shared" si="2"/>
        <v>105</v>
      </c>
      <c r="D110" s="5">
        <v>226</v>
      </c>
      <c r="E110" s="5">
        <v>203</v>
      </c>
      <c r="F110" s="5" t="s">
        <v>450</v>
      </c>
      <c r="G110" s="8"/>
      <c r="H110" s="5">
        <v>63</v>
      </c>
      <c r="I110" s="5">
        <v>47.5</v>
      </c>
      <c r="J110" s="5">
        <f t="shared" si="3"/>
        <v>8977.9</v>
      </c>
      <c r="K110" s="8"/>
      <c r="M110" s="5">
        <v>3</v>
      </c>
    </row>
    <row r="111" spans="3:13">
      <c r="C111" s="5">
        <f t="shared" si="2"/>
        <v>106</v>
      </c>
      <c r="D111" s="5">
        <v>203</v>
      </c>
      <c r="E111" s="5">
        <v>241</v>
      </c>
      <c r="F111" s="5" t="s">
        <v>450</v>
      </c>
      <c r="G111" s="8"/>
      <c r="H111" s="5">
        <v>63</v>
      </c>
      <c r="I111" s="5">
        <v>88.2</v>
      </c>
      <c r="J111" s="5">
        <f t="shared" si="3"/>
        <v>9066.1</v>
      </c>
      <c r="K111" s="8"/>
      <c r="M111" s="5">
        <v>21</v>
      </c>
    </row>
    <row r="112" spans="3:13">
      <c r="C112" s="5">
        <f t="shared" si="2"/>
        <v>107</v>
      </c>
      <c r="D112" s="5" t="s">
        <v>460</v>
      </c>
      <c r="E112" s="5" t="s">
        <v>459</v>
      </c>
      <c r="F112" s="5" t="s">
        <v>301</v>
      </c>
      <c r="G112" s="5">
        <v>0.46</v>
      </c>
      <c r="H112" s="5">
        <v>63</v>
      </c>
      <c r="I112" s="5">
        <v>52</v>
      </c>
      <c r="J112" s="5">
        <f t="shared" si="3"/>
        <v>9118.1</v>
      </c>
      <c r="K112" s="8"/>
      <c r="M112" s="5"/>
    </row>
    <row r="113" spans="3:13">
      <c r="C113" s="5">
        <f t="shared" si="2"/>
        <v>108</v>
      </c>
      <c r="D113" s="5">
        <v>179</v>
      </c>
      <c r="E113" s="5">
        <v>184</v>
      </c>
      <c r="F113" s="5" t="s">
        <v>301</v>
      </c>
      <c r="G113" s="5">
        <v>0.46</v>
      </c>
      <c r="H113" s="5">
        <v>63</v>
      </c>
      <c r="I113" s="5">
        <v>16.7</v>
      </c>
      <c r="J113" s="5">
        <f t="shared" si="3"/>
        <v>9134.8000000000011</v>
      </c>
      <c r="K113" s="8"/>
      <c r="M113" s="5"/>
    </row>
    <row r="114" spans="3:13">
      <c r="C114" s="5">
        <f t="shared" si="2"/>
        <v>109</v>
      </c>
      <c r="D114" s="5">
        <v>218</v>
      </c>
      <c r="E114" s="5">
        <v>238</v>
      </c>
      <c r="F114" s="5" t="s">
        <v>301</v>
      </c>
      <c r="G114" s="5">
        <v>0.46</v>
      </c>
      <c r="H114" s="5">
        <v>63</v>
      </c>
      <c r="I114" s="5">
        <v>4</v>
      </c>
      <c r="J114" s="5">
        <f t="shared" si="3"/>
        <v>9138.8000000000011</v>
      </c>
      <c r="K114" s="5" t="s">
        <v>455</v>
      </c>
      <c r="M114" s="5"/>
    </row>
    <row r="115" spans="3:13">
      <c r="C115" s="5">
        <f t="shared" si="2"/>
        <v>110</v>
      </c>
      <c r="D115" s="5">
        <v>218</v>
      </c>
      <c r="E115" s="5">
        <v>238</v>
      </c>
      <c r="F115" s="5" t="s">
        <v>450</v>
      </c>
      <c r="G115" s="8"/>
      <c r="H115" s="5">
        <v>63</v>
      </c>
      <c r="I115" s="5">
        <f>162-4</f>
        <v>158</v>
      </c>
      <c r="J115" s="5">
        <f t="shared" si="3"/>
        <v>9296.8000000000011</v>
      </c>
      <c r="K115" s="8"/>
      <c r="M115" s="5">
        <v>30.3</v>
      </c>
    </row>
    <row r="116" spans="3:13">
      <c r="C116" s="5">
        <f t="shared" si="2"/>
        <v>111</v>
      </c>
      <c r="D116" s="5">
        <v>238</v>
      </c>
      <c r="E116" s="5">
        <v>237</v>
      </c>
      <c r="F116" s="5" t="s">
        <v>457</v>
      </c>
      <c r="G116" s="5">
        <v>0.36</v>
      </c>
      <c r="H116" s="5">
        <v>63</v>
      </c>
      <c r="I116" s="5">
        <v>3</v>
      </c>
      <c r="J116" s="5">
        <f t="shared" si="3"/>
        <v>9299.8000000000011</v>
      </c>
      <c r="K116" s="5" t="s">
        <v>455</v>
      </c>
      <c r="M116" s="5"/>
    </row>
    <row r="117" spans="3:13">
      <c r="C117" s="5">
        <f t="shared" si="2"/>
        <v>112</v>
      </c>
      <c r="D117" s="5">
        <v>238</v>
      </c>
      <c r="E117" s="5">
        <v>237</v>
      </c>
      <c r="F117" s="5" t="s">
        <v>451</v>
      </c>
      <c r="G117" s="5">
        <v>0.46</v>
      </c>
      <c r="H117" s="5">
        <v>63</v>
      </c>
      <c r="I117" s="5">
        <f>130-3</f>
        <v>127</v>
      </c>
      <c r="J117" s="5">
        <f t="shared" si="3"/>
        <v>9426.8000000000011</v>
      </c>
      <c r="K117" s="8"/>
      <c r="M117" s="5"/>
    </row>
    <row r="118" spans="3:13">
      <c r="C118" s="5">
        <f t="shared" si="2"/>
        <v>113</v>
      </c>
      <c r="D118" s="5">
        <v>237</v>
      </c>
      <c r="E118" s="5">
        <v>231</v>
      </c>
      <c r="F118" s="5" t="s">
        <v>451</v>
      </c>
      <c r="G118" s="5">
        <v>0.46</v>
      </c>
      <c r="H118" s="5">
        <v>63</v>
      </c>
      <c r="I118" s="5">
        <v>130</v>
      </c>
      <c r="J118" s="5">
        <f t="shared" si="3"/>
        <v>9556.8000000000011</v>
      </c>
      <c r="K118" s="8"/>
    </row>
    <row r="119" spans="3:13">
      <c r="C119" s="5">
        <f t="shared" si="2"/>
        <v>114</v>
      </c>
      <c r="D119" s="5">
        <v>237</v>
      </c>
      <c r="E119" s="5">
        <v>231</v>
      </c>
      <c r="F119" s="5" t="s">
        <v>450</v>
      </c>
      <c r="G119" s="5"/>
      <c r="H119" s="5">
        <v>63</v>
      </c>
      <c r="I119" s="5">
        <f>208-130</f>
        <v>78</v>
      </c>
      <c r="J119" s="5">
        <f t="shared" si="3"/>
        <v>9634.8000000000011</v>
      </c>
      <c r="K119" s="8"/>
    </row>
    <row r="120" spans="3:13">
      <c r="C120" s="5">
        <f t="shared" si="2"/>
        <v>115</v>
      </c>
      <c r="D120" s="5">
        <v>238</v>
      </c>
      <c r="E120" s="5">
        <v>214</v>
      </c>
      <c r="F120" s="5" t="s">
        <v>450</v>
      </c>
      <c r="G120" s="8"/>
      <c r="H120" s="5">
        <v>63</v>
      </c>
      <c r="I120" s="5">
        <v>115</v>
      </c>
      <c r="J120" s="5">
        <f t="shared" si="3"/>
        <v>9749.8000000000011</v>
      </c>
      <c r="K120" s="8"/>
    </row>
    <row r="121" spans="3:13">
      <c r="C121" s="5">
        <f t="shared" si="2"/>
        <v>116</v>
      </c>
      <c r="D121" s="5">
        <v>214</v>
      </c>
      <c r="E121" s="5">
        <v>197</v>
      </c>
      <c r="F121" s="5" t="s">
        <v>450</v>
      </c>
      <c r="G121" s="8"/>
      <c r="H121" s="5">
        <v>63</v>
      </c>
      <c r="I121" s="5">
        <v>114</v>
      </c>
      <c r="J121" s="5">
        <f t="shared" si="3"/>
        <v>9863.8000000000011</v>
      </c>
      <c r="K121" s="8"/>
    </row>
    <row r="122" spans="3:13">
      <c r="C122" s="5">
        <f t="shared" si="2"/>
        <v>117</v>
      </c>
      <c r="D122" s="5">
        <v>214</v>
      </c>
      <c r="E122" s="5">
        <v>236</v>
      </c>
      <c r="F122" s="5" t="s">
        <v>457</v>
      </c>
      <c r="G122" s="5">
        <v>0.36</v>
      </c>
      <c r="H122" s="5">
        <v>63</v>
      </c>
      <c r="I122" s="5">
        <v>3</v>
      </c>
      <c r="J122" s="5">
        <f t="shared" si="3"/>
        <v>9866.8000000000011</v>
      </c>
      <c r="K122" s="5" t="s">
        <v>455</v>
      </c>
    </row>
    <row r="123" spans="3:13">
      <c r="C123" s="5">
        <f t="shared" si="2"/>
        <v>118</v>
      </c>
      <c r="D123" s="5">
        <v>214</v>
      </c>
      <c r="E123" s="5">
        <v>236</v>
      </c>
      <c r="F123" s="5" t="s">
        <v>450</v>
      </c>
      <c r="G123" s="8"/>
      <c r="H123" s="5">
        <v>63</v>
      </c>
      <c r="I123" s="5">
        <f>82-3</f>
        <v>79</v>
      </c>
      <c r="J123" s="5">
        <f t="shared" si="3"/>
        <v>9945.8000000000011</v>
      </c>
      <c r="K123" s="8"/>
    </row>
    <row r="124" spans="3:13">
      <c r="C124" s="5">
        <f t="shared" si="2"/>
        <v>119</v>
      </c>
      <c r="D124" s="5">
        <v>236</v>
      </c>
      <c r="E124" s="5">
        <v>234</v>
      </c>
      <c r="F124" s="5" t="s">
        <v>450</v>
      </c>
      <c r="G124" s="8"/>
      <c r="H124" s="5">
        <v>63</v>
      </c>
      <c r="I124" s="5">
        <v>40</v>
      </c>
      <c r="J124" s="5">
        <f t="shared" si="3"/>
        <v>9985.8000000000011</v>
      </c>
      <c r="K124" s="8"/>
    </row>
    <row r="125" spans="3:13">
      <c r="C125" s="5">
        <f t="shared" si="2"/>
        <v>120</v>
      </c>
      <c r="D125" s="5">
        <v>234</v>
      </c>
      <c r="E125" s="5">
        <v>227</v>
      </c>
      <c r="F125" s="5" t="s">
        <v>450</v>
      </c>
      <c r="G125" s="8"/>
      <c r="H125" s="5">
        <v>63</v>
      </c>
      <c r="I125" s="5">
        <v>31</v>
      </c>
      <c r="J125" s="5">
        <f t="shared" si="3"/>
        <v>10016.800000000001</v>
      </c>
      <c r="K125" s="8"/>
    </row>
    <row r="126" spans="3:13">
      <c r="C126" s="5">
        <f t="shared" si="2"/>
        <v>121</v>
      </c>
      <c r="D126" s="5">
        <v>234</v>
      </c>
      <c r="E126" s="5">
        <v>239</v>
      </c>
      <c r="F126" s="5" t="s">
        <v>450</v>
      </c>
      <c r="G126" s="8"/>
      <c r="H126" s="5">
        <v>63</v>
      </c>
      <c r="I126" s="5">
        <v>42</v>
      </c>
      <c r="J126" s="5">
        <f t="shared" si="3"/>
        <v>10058.800000000001</v>
      </c>
      <c r="K126" s="8"/>
    </row>
    <row r="127" spans="3:13">
      <c r="C127" s="5">
        <f t="shared" si="2"/>
        <v>122</v>
      </c>
      <c r="D127" s="5">
        <v>239</v>
      </c>
      <c r="E127" s="5">
        <v>205</v>
      </c>
      <c r="F127" s="5" t="s">
        <v>450</v>
      </c>
      <c r="G127" s="8"/>
      <c r="H127" s="5">
        <v>63</v>
      </c>
      <c r="I127" s="5">
        <v>35</v>
      </c>
      <c r="J127" s="5">
        <f t="shared" si="3"/>
        <v>10093.800000000001</v>
      </c>
      <c r="K127" s="8"/>
    </row>
    <row r="128" spans="3:13">
      <c r="C128" s="5">
        <f t="shared" si="2"/>
        <v>123</v>
      </c>
      <c r="D128" s="5">
        <v>239</v>
      </c>
      <c r="E128" s="5">
        <v>221</v>
      </c>
      <c r="F128" s="5" t="s">
        <v>450</v>
      </c>
      <c r="G128" s="8"/>
      <c r="H128" s="5">
        <v>63</v>
      </c>
      <c r="I128" s="5">
        <v>44</v>
      </c>
      <c r="J128" s="5">
        <f t="shared" si="3"/>
        <v>10137.800000000001</v>
      </c>
      <c r="K128" s="8"/>
    </row>
    <row r="129" spans="3:11">
      <c r="C129" s="5">
        <f t="shared" si="2"/>
        <v>124</v>
      </c>
      <c r="D129" s="5">
        <v>245</v>
      </c>
      <c r="E129" s="5">
        <v>248</v>
      </c>
      <c r="F129" s="5" t="s">
        <v>450</v>
      </c>
      <c r="G129" s="8"/>
      <c r="H129" s="5">
        <v>63</v>
      </c>
      <c r="I129" s="5">
        <v>100</v>
      </c>
      <c r="J129" s="5">
        <f t="shared" si="3"/>
        <v>10237.800000000001</v>
      </c>
      <c r="K129" s="8"/>
    </row>
    <row r="130" spans="3:11">
      <c r="C130" s="5">
        <f t="shared" si="2"/>
        <v>125</v>
      </c>
      <c r="D130" s="5" t="s">
        <v>292</v>
      </c>
      <c r="E130" s="5" t="s">
        <v>240</v>
      </c>
      <c r="F130" s="5" t="s">
        <v>450</v>
      </c>
      <c r="G130" s="8"/>
      <c r="H130" s="5">
        <v>63</v>
      </c>
      <c r="I130" s="5">
        <v>59.9</v>
      </c>
      <c r="J130" s="5">
        <f t="shared" si="3"/>
        <v>10297.700000000001</v>
      </c>
      <c r="K130" s="8"/>
    </row>
    <row r="131" spans="3:11">
      <c r="C131" s="5">
        <f t="shared" si="2"/>
        <v>126</v>
      </c>
      <c r="D131" s="5" t="s">
        <v>212</v>
      </c>
      <c r="E131" s="5" t="s">
        <v>461</v>
      </c>
      <c r="F131" s="5" t="s">
        <v>450</v>
      </c>
      <c r="G131" s="8"/>
      <c r="H131" s="5">
        <v>63</v>
      </c>
      <c r="I131" s="5">
        <v>91</v>
      </c>
      <c r="J131" s="5">
        <f t="shared" si="3"/>
        <v>10388.700000000001</v>
      </c>
      <c r="K131" s="8"/>
    </row>
    <row r="132" spans="3:11">
      <c r="C132" s="5">
        <f t="shared" si="2"/>
        <v>127</v>
      </c>
      <c r="D132" s="5" t="s">
        <v>458</v>
      </c>
      <c r="E132" s="5" t="s">
        <v>210</v>
      </c>
      <c r="F132" s="5" t="s">
        <v>301</v>
      </c>
      <c r="G132" s="5">
        <v>0.46</v>
      </c>
      <c r="H132" s="5">
        <v>63</v>
      </c>
      <c r="I132" s="5">
        <v>171.6</v>
      </c>
      <c r="J132" s="5">
        <f t="shared" si="3"/>
        <v>10560.300000000001</v>
      </c>
      <c r="K132" s="8"/>
    </row>
    <row r="133" spans="3:11">
      <c r="C133" s="5">
        <f t="shared" si="2"/>
        <v>128</v>
      </c>
      <c r="D133" s="5" t="s">
        <v>458</v>
      </c>
      <c r="E133" s="5" t="s">
        <v>210</v>
      </c>
      <c r="F133" s="5" t="s">
        <v>450</v>
      </c>
      <c r="G133" s="8"/>
      <c r="H133" s="5">
        <v>63</v>
      </c>
      <c r="I133" s="5">
        <f>190+184-171.6</f>
        <v>202.4</v>
      </c>
      <c r="J133" s="5">
        <f t="shared" si="3"/>
        <v>10762.7</v>
      </c>
      <c r="K133" s="8"/>
    </row>
    <row r="134" spans="3:11">
      <c r="C134" s="5">
        <f t="shared" si="2"/>
        <v>129</v>
      </c>
      <c r="D134" s="5" t="s">
        <v>461</v>
      </c>
      <c r="E134" s="5" t="s">
        <v>294</v>
      </c>
      <c r="F134" s="5" t="s">
        <v>301</v>
      </c>
      <c r="G134" s="5">
        <v>0.46</v>
      </c>
      <c r="H134" s="5">
        <v>63</v>
      </c>
      <c r="I134" s="5">
        <v>21</v>
      </c>
      <c r="J134" s="5">
        <f t="shared" si="3"/>
        <v>10783.7</v>
      </c>
      <c r="K134" s="8"/>
    </row>
    <row r="135" spans="3:11">
      <c r="C135" s="5">
        <f t="shared" si="2"/>
        <v>130</v>
      </c>
      <c r="D135" s="5" t="s">
        <v>461</v>
      </c>
      <c r="E135" s="5" t="s">
        <v>294</v>
      </c>
      <c r="F135" s="5" t="s">
        <v>451</v>
      </c>
      <c r="G135" s="5">
        <v>0.46</v>
      </c>
      <c r="H135" s="5">
        <v>63</v>
      </c>
      <c r="I135" s="5">
        <v>10</v>
      </c>
      <c r="J135" s="5">
        <f t="shared" si="3"/>
        <v>10793.7</v>
      </c>
      <c r="K135" s="8"/>
    </row>
    <row r="136" spans="3:11">
      <c r="C136" s="5">
        <f t="shared" ref="C136:C165" si="4">1+C135</f>
        <v>131</v>
      </c>
      <c r="D136" s="5" t="s">
        <v>294</v>
      </c>
      <c r="E136" s="5" t="s">
        <v>205</v>
      </c>
      <c r="F136" s="5" t="s">
        <v>301</v>
      </c>
      <c r="G136" s="5">
        <v>0.46</v>
      </c>
      <c r="H136" s="5">
        <v>63</v>
      </c>
      <c r="I136" s="5">
        <v>30.3</v>
      </c>
      <c r="J136" s="5">
        <f t="shared" ref="J136:J165" si="5">+J135+I136</f>
        <v>10824</v>
      </c>
      <c r="K136" s="8"/>
    </row>
    <row r="137" spans="3:11">
      <c r="C137" s="5">
        <f t="shared" si="4"/>
        <v>132</v>
      </c>
      <c r="D137" s="5" t="s">
        <v>295</v>
      </c>
      <c r="E137" s="5" t="s">
        <v>462</v>
      </c>
      <c r="F137" s="5" t="s">
        <v>450</v>
      </c>
      <c r="G137" s="8"/>
      <c r="H137" s="5">
        <v>63</v>
      </c>
      <c r="I137" s="5">
        <v>40</v>
      </c>
      <c r="J137" s="5">
        <f t="shared" si="5"/>
        <v>10864</v>
      </c>
      <c r="K137" s="8"/>
    </row>
    <row r="138" spans="3:11">
      <c r="C138" s="5">
        <f t="shared" si="4"/>
        <v>133</v>
      </c>
      <c r="D138" s="5">
        <v>231</v>
      </c>
      <c r="E138" s="5">
        <v>245</v>
      </c>
      <c r="F138" s="5" t="s">
        <v>450</v>
      </c>
      <c r="G138" s="8"/>
      <c r="H138" s="5">
        <v>75</v>
      </c>
      <c r="I138" s="5">
        <v>207</v>
      </c>
      <c r="J138" s="5">
        <f t="shared" si="5"/>
        <v>11071</v>
      </c>
      <c r="K138" s="8"/>
    </row>
    <row r="139" spans="3:11">
      <c r="C139" s="5">
        <f t="shared" si="4"/>
        <v>134</v>
      </c>
      <c r="D139" s="5">
        <v>204</v>
      </c>
      <c r="E139" s="5">
        <v>179</v>
      </c>
      <c r="F139" s="5" t="s">
        <v>301</v>
      </c>
      <c r="G139" s="5">
        <v>0.46</v>
      </c>
      <c r="H139" s="5">
        <v>90</v>
      </c>
      <c r="I139" s="5">
        <v>55</v>
      </c>
      <c r="J139" s="5">
        <f t="shared" si="5"/>
        <v>11126</v>
      </c>
      <c r="K139" s="8"/>
    </row>
    <row r="140" spans="3:11">
      <c r="C140" s="5">
        <f t="shared" si="4"/>
        <v>135</v>
      </c>
      <c r="D140" s="5">
        <v>232</v>
      </c>
      <c r="E140" s="5">
        <v>231</v>
      </c>
      <c r="F140" s="5"/>
      <c r="G140" s="8"/>
      <c r="H140" s="5">
        <v>90</v>
      </c>
      <c r="I140" s="5">
        <v>8</v>
      </c>
      <c r="J140" s="5">
        <f t="shared" si="5"/>
        <v>11134</v>
      </c>
      <c r="K140" s="5" t="s">
        <v>304</v>
      </c>
    </row>
    <row r="141" spans="3:11">
      <c r="C141" s="5">
        <f t="shared" si="4"/>
        <v>136</v>
      </c>
      <c r="D141" s="5">
        <v>232</v>
      </c>
      <c r="E141" s="5">
        <v>231</v>
      </c>
      <c r="F141" s="5" t="s">
        <v>454</v>
      </c>
      <c r="G141" s="5">
        <v>0.36</v>
      </c>
      <c r="H141" s="5">
        <v>90</v>
      </c>
      <c r="I141" s="5">
        <v>5</v>
      </c>
      <c r="J141" s="5">
        <f t="shared" si="5"/>
        <v>11139</v>
      </c>
      <c r="K141" s="5" t="s">
        <v>455</v>
      </c>
    </row>
    <row r="142" spans="3:11">
      <c r="C142" s="5">
        <f t="shared" si="4"/>
        <v>137</v>
      </c>
      <c r="D142" s="5">
        <v>232</v>
      </c>
      <c r="E142" s="5">
        <v>231</v>
      </c>
      <c r="F142" s="5" t="s">
        <v>450</v>
      </c>
      <c r="G142" s="8"/>
      <c r="H142" s="5">
        <v>90</v>
      </c>
      <c r="I142" s="5">
        <f>335-10-5</f>
        <v>320</v>
      </c>
      <c r="J142" s="5">
        <f t="shared" si="5"/>
        <v>11459</v>
      </c>
      <c r="K142" s="8"/>
    </row>
    <row r="143" spans="3:11">
      <c r="C143" s="5">
        <f t="shared" si="4"/>
        <v>138</v>
      </c>
      <c r="D143" s="5" t="s">
        <v>463</v>
      </c>
      <c r="E143" s="5" t="s">
        <v>464</v>
      </c>
      <c r="F143" s="5" t="s">
        <v>301</v>
      </c>
      <c r="G143" s="5">
        <v>0.46</v>
      </c>
      <c r="H143" s="5">
        <v>90</v>
      </c>
      <c r="I143" s="5">
        <v>4</v>
      </c>
      <c r="J143" s="5">
        <f t="shared" si="5"/>
        <v>11463</v>
      </c>
      <c r="K143" s="8"/>
    </row>
    <row r="144" spans="3:11">
      <c r="C144" s="5">
        <f t="shared" si="4"/>
        <v>139</v>
      </c>
      <c r="D144" s="5" t="s">
        <v>463</v>
      </c>
      <c r="E144" s="5" t="s">
        <v>464</v>
      </c>
      <c r="F144" s="5" t="s">
        <v>450</v>
      </c>
      <c r="G144" s="8"/>
      <c r="H144" s="5">
        <v>90</v>
      </c>
      <c r="I144" s="5">
        <f>11-4</f>
        <v>7</v>
      </c>
      <c r="J144" s="5">
        <f t="shared" si="5"/>
        <v>11470</v>
      </c>
      <c r="K144" s="8"/>
    </row>
    <row r="145" spans="3:11">
      <c r="C145" s="5">
        <f t="shared" si="4"/>
        <v>140</v>
      </c>
      <c r="D145" s="5">
        <v>230</v>
      </c>
      <c r="E145" s="5">
        <v>232</v>
      </c>
      <c r="F145" s="5" t="s">
        <v>450</v>
      </c>
      <c r="G145" s="8"/>
      <c r="H145" s="5">
        <v>90</v>
      </c>
      <c r="I145" s="5">
        <v>196.3</v>
      </c>
      <c r="J145" s="5">
        <f t="shared" si="5"/>
        <v>11666.3</v>
      </c>
      <c r="K145" s="8"/>
    </row>
    <row r="146" spans="3:11">
      <c r="C146" s="5">
        <f t="shared" si="4"/>
        <v>141</v>
      </c>
      <c r="D146" s="5">
        <v>241</v>
      </c>
      <c r="E146" s="5">
        <v>243</v>
      </c>
      <c r="F146" s="5" t="s">
        <v>450</v>
      </c>
      <c r="G146" s="8"/>
      <c r="H146" s="5">
        <v>110</v>
      </c>
      <c r="I146" s="5">
        <v>30</v>
      </c>
      <c r="J146" s="5">
        <f t="shared" si="5"/>
        <v>11696.3</v>
      </c>
      <c r="K146" s="8"/>
    </row>
    <row r="147" spans="3:11">
      <c r="C147" s="5">
        <f t="shared" si="4"/>
        <v>142</v>
      </c>
      <c r="D147" s="5">
        <v>243</v>
      </c>
      <c r="E147" s="5">
        <v>235</v>
      </c>
      <c r="F147" s="5" t="s">
        <v>450</v>
      </c>
      <c r="G147" s="8"/>
      <c r="H147" s="5">
        <v>110</v>
      </c>
      <c r="I147" s="5">
        <v>47</v>
      </c>
      <c r="J147" s="5">
        <f t="shared" si="5"/>
        <v>11743.3</v>
      </c>
      <c r="K147" s="8"/>
    </row>
    <row r="148" spans="3:11">
      <c r="C148" s="5">
        <f t="shared" si="4"/>
        <v>143</v>
      </c>
      <c r="D148" s="5">
        <v>224</v>
      </c>
      <c r="E148" s="5">
        <v>235</v>
      </c>
      <c r="F148" s="5" t="s">
        <v>450</v>
      </c>
      <c r="G148" s="8"/>
      <c r="H148" s="5">
        <v>110</v>
      </c>
      <c r="I148" s="5">
        <v>95</v>
      </c>
      <c r="J148" s="5">
        <f t="shared" si="5"/>
        <v>11838.3</v>
      </c>
      <c r="K148" s="8"/>
    </row>
    <row r="149" spans="3:11">
      <c r="C149" s="5">
        <f t="shared" si="4"/>
        <v>144</v>
      </c>
      <c r="D149" s="5">
        <v>224</v>
      </c>
      <c r="E149" s="5">
        <v>286</v>
      </c>
      <c r="F149" s="5" t="s">
        <v>450</v>
      </c>
      <c r="G149" s="8"/>
      <c r="H149" s="5">
        <v>110</v>
      </c>
      <c r="I149" s="5">
        <v>88</v>
      </c>
      <c r="J149" s="5">
        <f t="shared" si="5"/>
        <v>11926.3</v>
      </c>
      <c r="K149" s="8"/>
    </row>
    <row r="150" spans="3:11">
      <c r="C150" s="5">
        <f t="shared" si="4"/>
        <v>145</v>
      </c>
      <c r="D150" s="5">
        <v>186</v>
      </c>
      <c r="E150" s="5">
        <v>178</v>
      </c>
      <c r="F150" s="5" t="s">
        <v>450</v>
      </c>
      <c r="G150" s="8"/>
      <c r="H150" s="5">
        <v>110</v>
      </c>
      <c r="I150" s="5">
        <v>25</v>
      </c>
      <c r="J150" s="5">
        <f t="shared" si="5"/>
        <v>11951.3</v>
      </c>
      <c r="K150" s="8"/>
    </row>
    <row r="151" spans="3:11">
      <c r="C151" s="5">
        <f t="shared" si="4"/>
        <v>146</v>
      </c>
      <c r="D151" s="5">
        <v>178</v>
      </c>
      <c r="E151" s="5">
        <v>199</v>
      </c>
      <c r="F151" s="5" t="s">
        <v>451</v>
      </c>
      <c r="G151" s="5">
        <v>0.46</v>
      </c>
      <c r="H151" s="5">
        <v>110</v>
      </c>
      <c r="I151" s="5">
        <v>11</v>
      </c>
      <c r="J151" s="5">
        <f t="shared" si="5"/>
        <v>11962.3</v>
      </c>
      <c r="K151" s="8"/>
    </row>
    <row r="152" spans="3:11">
      <c r="C152" s="5">
        <f t="shared" si="4"/>
        <v>147</v>
      </c>
      <c r="D152" s="5">
        <v>199</v>
      </c>
      <c r="E152" s="5">
        <v>170</v>
      </c>
      <c r="F152" s="5" t="s">
        <v>450</v>
      </c>
      <c r="G152" s="8"/>
      <c r="H152" s="5">
        <v>110</v>
      </c>
      <c r="I152" s="5">
        <v>151</v>
      </c>
      <c r="J152" s="5">
        <f t="shared" si="5"/>
        <v>12113.3</v>
      </c>
      <c r="K152" s="8"/>
    </row>
    <row r="153" spans="3:11">
      <c r="C153" s="5">
        <f t="shared" si="4"/>
        <v>148</v>
      </c>
      <c r="D153" s="5">
        <v>241</v>
      </c>
      <c r="E153" s="5">
        <v>204</v>
      </c>
      <c r="F153" s="5" t="s">
        <v>454</v>
      </c>
      <c r="G153" s="5">
        <v>0.36</v>
      </c>
      <c r="H153" s="5">
        <v>110</v>
      </c>
      <c r="I153" s="5">
        <v>5</v>
      </c>
      <c r="J153" s="5">
        <f t="shared" si="5"/>
        <v>12118.3</v>
      </c>
      <c r="K153" s="5" t="s">
        <v>455</v>
      </c>
    </row>
    <row r="154" spans="3:11">
      <c r="C154" s="5">
        <f t="shared" si="4"/>
        <v>149</v>
      </c>
      <c r="D154" s="5">
        <v>241</v>
      </c>
      <c r="E154" s="5">
        <v>204</v>
      </c>
      <c r="F154" s="5" t="s">
        <v>450</v>
      </c>
      <c r="G154" s="8"/>
      <c r="H154" s="5">
        <v>110</v>
      </c>
      <c r="I154" s="5">
        <f>74-5</f>
        <v>69</v>
      </c>
      <c r="J154" s="5">
        <f t="shared" si="5"/>
        <v>12187.3</v>
      </c>
      <c r="K154" s="8"/>
    </row>
    <row r="155" spans="3:11">
      <c r="C155" s="5">
        <f t="shared" si="4"/>
        <v>150</v>
      </c>
      <c r="D155" s="6">
        <v>123</v>
      </c>
      <c r="E155" s="6">
        <v>112</v>
      </c>
      <c r="F155" s="5" t="s">
        <v>450</v>
      </c>
      <c r="G155" s="8"/>
      <c r="H155" s="5">
        <v>125</v>
      </c>
      <c r="I155" s="5">
        <v>174</v>
      </c>
      <c r="J155" s="5">
        <f t="shared" si="5"/>
        <v>12361.3</v>
      </c>
      <c r="K155" s="8"/>
    </row>
    <row r="156" spans="3:11">
      <c r="C156" s="5">
        <f t="shared" si="4"/>
        <v>151</v>
      </c>
      <c r="D156" s="6">
        <v>112</v>
      </c>
      <c r="E156" s="6">
        <v>107</v>
      </c>
      <c r="F156" s="5" t="s">
        <v>454</v>
      </c>
      <c r="G156" s="5">
        <v>0.36</v>
      </c>
      <c r="H156" s="5">
        <v>125</v>
      </c>
      <c r="I156" s="5">
        <v>4</v>
      </c>
      <c r="J156" s="5">
        <f t="shared" si="5"/>
        <v>12365.3</v>
      </c>
      <c r="K156" s="5" t="s">
        <v>455</v>
      </c>
    </row>
    <row r="157" spans="3:11">
      <c r="C157" s="5">
        <f t="shared" si="4"/>
        <v>152</v>
      </c>
      <c r="D157" s="6">
        <v>112</v>
      </c>
      <c r="E157" s="6">
        <v>107</v>
      </c>
      <c r="F157" s="5" t="s">
        <v>450</v>
      </c>
      <c r="G157" s="8"/>
      <c r="H157" s="5">
        <v>125</v>
      </c>
      <c r="I157" s="5">
        <f>180-4+3</f>
        <v>179</v>
      </c>
      <c r="J157" s="5">
        <f t="shared" si="5"/>
        <v>12544.3</v>
      </c>
      <c r="K157" s="8" t="s">
        <v>465</v>
      </c>
    </row>
    <row r="158" spans="3:11">
      <c r="C158" s="5">
        <f t="shared" si="4"/>
        <v>153</v>
      </c>
      <c r="D158" s="6">
        <v>170</v>
      </c>
      <c r="E158" s="6">
        <v>160</v>
      </c>
      <c r="F158" s="5" t="s">
        <v>454</v>
      </c>
      <c r="G158" s="5">
        <v>0.36</v>
      </c>
      <c r="H158" s="5">
        <v>125</v>
      </c>
      <c r="I158" s="5">
        <v>6</v>
      </c>
      <c r="J158" s="5">
        <f t="shared" si="5"/>
        <v>12550.3</v>
      </c>
      <c r="K158" s="5" t="s">
        <v>455</v>
      </c>
    </row>
    <row r="159" spans="3:11">
      <c r="C159" s="5">
        <f t="shared" si="4"/>
        <v>154</v>
      </c>
      <c r="D159" s="6">
        <v>170</v>
      </c>
      <c r="E159" s="6">
        <v>160</v>
      </c>
      <c r="F159" s="5" t="s">
        <v>450</v>
      </c>
      <c r="G159" s="8"/>
      <c r="H159" s="5">
        <v>125</v>
      </c>
      <c r="I159" s="5">
        <f>71-6</f>
        <v>65</v>
      </c>
      <c r="J159" s="5">
        <f t="shared" si="5"/>
        <v>12615.3</v>
      </c>
      <c r="K159" s="8"/>
    </row>
    <row r="160" spans="3:11">
      <c r="C160" s="5">
        <f t="shared" si="4"/>
        <v>155</v>
      </c>
      <c r="D160" s="6">
        <v>160</v>
      </c>
      <c r="E160" s="6">
        <v>141</v>
      </c>
      <c r="F160" s="5" t="s">
        <v>450</v>
      </c>
      <c r="G160" s="8"/>
      <c r="H160" s="5">
        <v>125</v>
      </c>
      <c r="I160" s="5">
        <v>53</v>
      </c>
      <c r="J160" s="5">
        <f t="shared" si="5"/>
        <v>12668.3</v>
      </c>
      <c r="K160" s="8"/>
    </row>
    <row r="161" spans="3:20">
      <c r="C161" s="5">
        <f t="shared" si="4"/>
        <v>156</v>
      </c>
      <c r="D161" s="6">
        <v>141</v>
      </c>
      <c r="E161" s="6">
        <v>137</v>
      </c>
      <c r="F161" s="5" t="s">
        <v>450</v>
      </c>
      <c r="G161" s="8"/>
      <c r="H161" s="5">
        <v>125</v>
      </c>
      <c r="I161" s="5">
        <v>35</v>
      </c>
      <c r="J161" s="5">
        <f t="shared" si="5"/>
        <v>12703.3</v>
      </c>
      <c r="K161" s="8"/>
    </row>
    <row r="162" spans="3:20">
      <c r="C162" s="5">
        <f t="shared" si="4"/>
        <v>157</v>
      </c>
      <c r="D162" s="6">
        <v>137</v>
      </c>
      <c r="E162" s="6">
        <v>125</v>
      </c>
      <c r="F162" s="5" t="s">
        <v>450</v>
      </c>
      <c r="G162" s="8"/>
      <c r="H162" s="5">
        <v>125</v>
      </c>
      <c r="I162" s="5">
        <v>42</v>
      </c>
      <c r="J162" s="5">
        <f t="shared" si="5"/>
        <v>12745.3</v>
      </c>
      <c r="K162" s="8"/>
    </row>
    <row r="163" spans="3:20">
      <c r="C163" s="5">
        <f t="shared" si="4"/>
        <v>158</v>
      </c>
      <c r="D163" s="6">
        <v>125</v>
      </c>
      <c r="E163" s="6">
        <v>122</v>
      </c>
      <c r="F163" s="5" t="s">
        <v>450</v>
      </c>
      <c r="G163" s="8"/>
      <c r="H163" s="5">
        <v>125</v>
      </c>
      <c r="I163" s="5">
        <v>44</v>
      </c>
      <c r="J163" s="5">
        <f t="shared" si="5"/>
        <v>12789.3</v>
      </c>
      <c r="K163" s="8"/>
      <c r="N163">
        <f>767-74</f>
        <v>693</v>
      </c>
    </row>
    <row r="164" spans="3:20">
      <c r="C164" s="5">
        <f t="shared" si="4"/>
        <v>159</v>
      </c>
      <c r="D164" s="6">
        <v>122</v>
      </c>
      <c r="E164" s="6">
        <v>147</v>
      </c>
      <c r="F164" s="5" t="s">
        <v>450</v>
      </c>
      <c r="G164" s="8"/>
      <c r="H164" s="5">
        <v>125</v>
      </c>
      <c r="I164" s="5">
        <v>52</v>
      </c>
      <c r="J164" s="5">
        <f t="shared" si="5"/>
        <v>12841.3</v>
      </c>
      <c r="K164" s="8"/>
    </row>
    <row r="165" spans="3:20">
      <c r="C165" s="5">
        <f t="shared" si="4"/>
        <v>160</v>
      </c>
      <c r="D165" s="6">
        <v>147</v>
      </c>
      <c r="E165" s="6">
        <v>123</v>
      </c>
      <c r="F165" s="5" t="s">
        <v>450</v>
      </c>
      <c r="G165" s="8"/>
      <c r="H165" s="5">
        <v>125</v>
      </c>
      <c r="I165" s="5">
        <v>42</v>
      </c>
      <c r="J165" s="5">
        <f t="shared" si="5"/>
        <v>12883.3</v>
      </c>
      <c r="K165" s="8"/>
    </row>
    <row r="166" spans="3:20">
      <c r="C166" s="8"/>
      <c r="D166" s="8"/>
      <c r="E166" s="56">
        <v>63</v>
      </c>
      <c r="F166" s="313">
        <v>75</v>
      </c>
      <c r="G166" s="56">
        <v>90</v>
      </c>
      <c r="H166" s="56">
        <v>110</v>
      </c>
      <c r="I166" s="56">
        <v>125</v>
      </c>
      <c r="J166" s="5"/>
      <c r="K166" s="8"/>
    </row>
    <row r="167" spans="3:20">
      <c r="C167" s="8"/>
      <c r="D167" s="8"/>
      <c r="E167" s="5">
        <f>+SUMIF($H$6:$H$165,E166,$I$6:$I$165)</f>
        <v>10864</v>
      </c>
      <c r="F167" s="5">
        <f>+SUMIF($H$6:$H$165,F166,$I$6:$I$165)</f>
        <v>207</v>
      </c>
      <c r="G167" s="5">
        <f>+SUMIF($H$6:$H$165,G166,$I$6:$I$165)</f>
        <v>595.29999999999995</v>
      </c>
      <c r="H167" s="5">
        <f>+SUMIF($H$6:$H$165,H166,$I$6:$I$165)</f>
        <v>521</v>
      </c>
      <c r="I167" s="5">
        <f>+SUMIF($H$6:$H$165,I166,$I$6:$I$165)</f>
        <v>696</v>
      </c>
      <c r="J167" s="5">
        <f>+E167+F167+G167+H167+I167</f>
        <v>12883.3</v>
      </c>
      <c r="K167" s="8"/>
    </row>
    <row r="168" spans="3:20">
      <c r="C168" s="8"/>
      <c r="D168" s="8"/>
      <c r="E168" s="105">
        <v>12362</v>
      </c>
      <c r="F168" s="105">
        <v>207</v>
      </c>
      <c r="G168" s="105">
        <v>596</v>
      </c>
      <c r="H168" s="105">
        <v>509</v>
      </c>
      <c r="I168" s="105">
        <v>775</v>
      </c>
      <c r="J168" s="79"/>
      <c r="K168" s="8"/>
    </row>
    <row r="169" spans="3:20" ht="15.75">
      <c r="C169" s="550" t="s">
        <v>365</v>
      </c>
      <c r="D169" s="551"/>
      <c r="E169" s="551"/>
      <c r="F169" s="552"/>
      <c r="G169" s="499" t="s">
        <v>366</v>
      </c>
      <c r="H169" s="500"/>
      <c r="I169" s="501"/>
      <c r="J169" s="286" t="s">
        <v>367</v>
      </c>
      <c r="K169" s="326"/>
      <c r="L169" s="327"/>
      <c r="M169" s="327"/>
    </row>
    <row r="170" spans="3:20" ht="15.75">
      <c r="C170" s="7" t="s">
        <v>368</v>
      </c>
      <c r="D170" s="8"/>
      <c r="E170" s="498"/>
      <c r="F170" s="498"/>
      <c r="G170" s="8" t="s">
        <v>368</v>
      </c>
      <c r="H170" s="498"/>
      <c r="I170" s="498"/>
      <c r="J170" s="79" t="s">
        <v>368</v>
      </c>
      <c r="K170" s="8"/>
      <c r="L170" s="549"/>
      <c r="M170" s="549"/>
    </row>
    <row r="171" spans="3:20" ht="15.75">
      <c r="C171" s="7" t="s">
        <v>369</v>
      </c>
      <c r="D171" s="498"/>
      <c r="E171" s="498"/>
      <c r="F171" s="498"/>
      <c r="G171" s="8" t="s">
        <v>369</v>
      </c>
      <c r="H171" s="498"/>
      <c r="I171" s="498"/>
      <c r="J171" s="79" t="s">
        <v>369</v>
      </c>
      <c r="K171" s="326"/>
      <c r="L171" s="327"/>
      <c r="M171" s="327"/>
    </row>
    <row r="172" spans="3:20" ht="15.75">
      <c r="C172" s="7" t="s">
        <v>370</v>
      </c>
      <c r="D172" s="8"/>
      <c r="E172" s="498"/>
      <c r="F172" s="498"/>
      <c r="G172" s="8" t="s">
        <v>370</v>
      </c>
      <c r="H172" s="498"/>
      <c r="I172" s="498"/>
      <c r="J172" s="79" t="s">
        <v>370</v>
      </c>
      <c r="K172" s="8"/>
      <c r="L172" s="549"/>
      <c r="M172" s="549"/>
    </row>
    <row r="173" spans="3:20">
      <c r="M173" s="5"/>
    </row>
    <row r="174" spans="3:20" ht="22.5">
      <c r="C174" s="530" t="s">
        <v>466</v>
      </c>
      <c r="D174" s="531"/>
      <c r="E174" s="531"/>
      <c r="F174" s="532"/>
      <c r="G174" s="532"/>
      <c r="H174" s="532"/>
      <c r="I174" s="532"/>
      <c r="J174" s="532"/>
      <c r="K174" s="532"/>
      <c r="L174" s="532"/>
      <c r="M174" s="532"/>
      <c r="N174" s="532"/>
      <c r="O174" s="532"/>
      <c r="P174" s="532"/>
      <c r="Q174" s="532"/>
      <c r="R174" s="532"/>
      <c r="S174" s="533"/>
    </row>
    <row r="175" spans="3:20" ht="15.75">
      <c r="C175" s="543">
        <v>1</v>
      </c>
      <c r="D175" s="545" t="s">
        <v>467</v>
      </c>
      <c r="E175" s="547" t="s">
        <v>468</v>
      </c>
      <c r="F175" s="534" t="s">
        <v>469</v>
      </c>
      <c r="G175" s="535"/>
      <c r="H175" s="535"/>
      <c r="I175" s="536"/>
      <c r="J175" s="537" t="s">
        <v>470</v>
      </c>
      <c r="K175" s="538"/>
      <c r="L175" s="538"/>
      <c r="M175" s="539"/>
      <c r="N175" s="537" t="s">
        <v>471</v>
      </c>
      <c r="O175" s="538"/>
      <c r="P175" s="538"/>
      <c r="Q175" s="539"/>
      <c r="R175" s="534" t="s">
        <v>472</v>
      </c>
      <c r="S175" s="535"/>
      <c r="T175" s="536"/>
    </row>
    <row r="176" spans="3:20" ht="90">
      <c r="C176" s="544"/>
      <c r="D176" s="546"/>
      <c r="E176" s="548"/>
      <c r="F176" s="314" t="s">
        <v>473</v>
      </c>
      <c r="G176" s="315" t="s">
        <v>474</v>
      </c>
      <c r="H176" s="315" t="s">
        <v>475</v>
      </c>
      <c r="I176" s="328" t="s">
        <v>476</v>
      </c>
      <c r="J176" s="329" t="s">
        <v>468</v>
      </c>
      <c r="K176" s="314" t="s">
        <v>477</v>
      </c>
      <c r="L176" s="315" t="s">
        <v>478</v>
      </c>
      <c r="M176" s="328" t="s">
        <v>479</v>
      </c>
      <c r="N176" s="329" t="s">
        <v>468</v>
      </c>
      <c r="O176" s="314" t="s">
        <v>480</v>
      </c>
      <c r="P176" s="315" t="s">
        <v>481</v>
      </c>
      <c r="Q176" s="328" t="s">
        <v>482</v>
      </c>
      <c r="R176" s="314" t="s">
        <v>483</v>
      </c>
      <c r="S176" s="315" t="s">
        <v>484</v>
      </c>
      <c r="T176" s="328" t="s">
        <v>485</v>
      </c>
    </row>
    <row r="177" spans="3:20" ht="15.75">
      <c r="C177" s="316">
        <v>1.1000000000000001</v>
      </c>
      <c r="D177" s="317" t="s">
        <v>486</v>
      </c>
      <c r="E177" s="318"/>
      <c r="F177" s="319">
        <f>+E167</f>
        <v>10864</v>
      </c>
      <c r="G177" s="319">
        <f>+F177</f>
        <v>10864</v>
      </c>
      <c r="H177" s="319">
        <v>9822</v>
      </c>
      <c r="I177" s="330">
        <f>+G177-H177</f>
        <v>1042</v>
      </c>
      <c r="J177" s="319"/>
      <c r="K177" s="331">
        <v>10864</v>
      </c>
      <c r="L177" s="332">
        <f>+K177</f>
        <v>10864</v>
      </c>
      <c r="M177" s="330">
        <f>+L177</f>
        <v>10864</v>
      </c>
      <c r="N177" s="319"/>
      <c r="O177" s="331">
        <v>10864</v>
      </c>
      <c r="P177" s="331">
        <v>10864</v>
      </c>
      <c r="Q177" s="331">
        <v>10864</v>
      </c>
      <c r="R177" s="331"/>
      <c r="S177" s="342"/>
      <c r="T177" s="330"/>
    </row>
    <row r="178" spans="3:20" ht="15.75">
      <c r="C178" s="316">
        <v>1.2</v>
      </c>
      <c r="D178" s="317" t="s">
        <v>487</v>
      </c>
      <c r="E178" s="318"/>
      <c r="F178" s="319">
        <f>+F167</f>
        <v>207</v>
      </c>
      <c r="G178" s="319">
        <f t="shared" ref="G178:G186" si="6">+F178</f>
        <v>207</v>
      </c>
      <c r="H178" s="319">
        <v>207</v>
      </c>
      <c r="I178" s="330">
        <f t="shared" ref="I178:I181" si="7">+G178-H178</f>
        <v>0</v>
      </c>
      <c r="J178" s="319"/>
      <c r="K178" s="333">
        <v>207</v>
      </c>
      <c r="L178" s="332">
        <f t="shared" ref="L178:M181" si="8">+K178</f>
        <v>207</v>
      </c>
      <c r="M178" s="330">
        <f t="shared" si="8"/>
        <v>207</v>
      </c>
      <c r="N178" s="319"/>
      <c r="O178" s="333">
        <v>207</v>
      </c>
      <c r="P178" s="333">
        <v>207</v>
      </c>
      <c r="Q178" s="333">
        <v>207</v>
      </c>
      <c r="R178" s="333"/>
      <c r="S178" s="336"/>
      <c r="T178" s="337"/>
    </row>
    <row r="179" spans="3:20" ht="15.75">
      <c r="C179" s="316">
        <v>1.3</v>
      </c>
      <c r="D179" s="317" t="s">
        <v>488</v>
      </c>
      <c r="E179" s="318"/>
      <c r="F179" s="319">
        <f>+G167</f>
        <v>595.29999999999995</v>
      </c>
      <c r="G179" s="319">
        <f t="shared" si="6"/>
        <v>595.29999999999995</v>
      </c>
      <c r="H179" s="319">
        <v>596</v>
      </c>
      <c r="I179" s="330">
        <f t="shared" si="7"/>
        <v>-0.70000000000004547</v>
      </c>
      <c r="J179" s="319"/>
      <c r="K179" s="333">
        <v>595.29999999999995</v>
      </c>
      <c r="L179" s="332">
        <f t="shared" si="8"/>
        <v>595.29999999999995</v>
      </c>
      <c r="M179" s="330">
        <f t="shared" si="8"/>
        <v>595.29999999999995</v>
      </c>
      <c r="N179" s="319"/>
      <c r="O179" s="333">
        <v>595.29999999999995</v>
      </c>
      <c r="P179" s="333">
        <v>595.29999999999995</v>
      </c>
      <c r="Q179" s="333">
        <v>595.29999999999995</v>
      </c>
      <c r="R179" s="333"/>
      <c r="S179" s="336"/>
      <c r="T179" s="337"/>
    </row>
    <row r="180" spans="3:20" ht="15.75">
      <c r="C180" s="316">
        <v>1.4</v>
      </c>
      <c r="D180" s="317" t="s">
        <v>489</v>
      </c>
      <c r="E180" s="318"/>
      <c r="F180" s="319">
        <f>+H167</f>
        <v>521</v>
      </c>
      <c r="G180" s="319">
        <f t="shared" si="6"/>
        <v>521</v>
      </c>
      <c r="H180" s="319">
        <v>510</v>
      </c>
      <c r="I180" s="330">
        <f t="shared" si="7"/>
        <v>11</v>
      </c>
      <c r="J180" s="319"/>
      <c r="K180" s="333">
        <v>521</v>
      </c>
      <c r="L180" s="332">
        <f t="shared" si="8"/>
        <v>521</v>
      </c>
      <c r="M180" s="330">
        <f t="shared" si="8"/>
        <v>521</v>
      </c>
      <c r="N180" s="319"/>
      <c r="O180" s="333">
        <v>521</v>
      </c>
      <c r="P180" s="333">
        <v>521</v>
      </c>
      <c r="Q180" s="333">
        <v>521</v>
      </c>
      <c r="R180" s="333"/>
      <c r="S180" s="336"/>
      <c r="T180" s="337"/>
    </row>
    <row r="181" spans="3:20" ht="15.75">
      <c r="C181" s="316">
        <v>1.5</v>
      </c>
      <c r="D181" s="317" t="s">
        <v>490</v>
      </c>
      <c r="E181" s="318"/>
      <c r="F181" s="319">
        <f>+I167</f>
        <v>696</v>
      </c>
      <c r="G181" s="319">
        <f t="shared" si="6"/>
        <v>696</v>
      </c>
      <c r="H181" s="319">
        <v>696</v>
      </c>
      <c r="I181" s="330">
        <f t="shared" si="7"/>
        <v>0</v>
      </c>
      <c r="J181" s="319"/>
      <c r="K181" s="333">
        <v>696</v>
      </c>
      <c r="L181" s="332">
        <f t="shared" si="8"/>
        <v>696</v>
      </c>
      <c r="M181" s="330">
        <f t="shared" si="8"/>
        <v>696</v>
      </c>
      <c r="N181" s="319"/>
      <c r="O181" s="333">
        <v>696</v>
      </c>
      <c r="P181" s="333">
        <v>696</v>
      </c>
      <c r="Q181" s="333">
        <v>696</v>
      </c>
      <c r="R181" s="333"/>
      <c r="S181" s="336"/>
      <c r="T181" s="337"/>
    </row>
    <row r="182" spans="3:20" ht="15.75">
      <c r="C182" s="316">
        <v>1.6</v>
      </c>
      <c r="D182" s="317" t="s">
        <v>491</v>
      </c>
      <c r="E182" s="318"/>
      <c r="F182" s="319"/>
      <c r="G182" s="319">
        <f t="shared" si="6"/>
        <v>0</v>
      </c>
      <c r="H182" s="319"/>
      <c r="I182" s="330"/>
      <c r="J182" s="319"/>
      <c r="K182" s="333"/>
      <c r="L182" s="334"/>
      <c r="M182" s="330"/>
      <c r="N182" s="319"/>
      <c r="O182" s="333"/>
      <c r="P182" s="333"/>
      <c r="Q182" s="333"/>
      <c r="R182" s="333"/>
      <c r="S182" s="336"/>
      <c r="T182" s="337"/>
    </row>
    <row r="183" spans="3:20" ht="15.75">
      <c r="C183" s="316">
        <v>1.7</v>
      </c>
      <c r="D183" s="317" t="s">
        <v>492</v>
      </c>
      <c r="E183" s="318"/>
      <c r="F183" s="319"/>
      <c r="G183" s="319">
        <f t="shared" si="6"/>
        <v>0</v>
      </c>
      <c r="H183" s="319"/>
      <c r="I183" s="330"/>
      <c r="J183" s="319"/>
      <c r="K183" s="333"/>
      <c r="L183" s="334"/>
      <c r="M183" s="330"/>
      <c r="N183" s="319"/>
      <c r="O183" s="333"/>
      <c r="P183" s="333"/>
      <c r="Q183" s="333"/>
      <c r="R183" s="333"/>
      <c r="S183" s="336"/>
      <c r="T183" s="337"/>
    </row>
    <row r="184" spans="3:20" ht="15.75">
      <c r="C184" s="316">
        <v>1.8</v>
      </c>
      <c r="D184" s="317" t="s">
        <v>493</v>
      </c>
      <c r="E184" s="318"/>
      <c r="F184" s="319"/>
      <c r="G184" s="319">
        <f t="shared" si="6"/>
        <v>0</v>
      </c>
      <c r="H184" s="319"/>
      <c r="I184" s="330"/>
      <c r="J184" s="335"/>
      <c r="K184" s="333"/>
      <c r="L184" s="336"/>
      <c r="M184" s="337"/>
      <c r="N184" s="335"/>
      <c r="O184" s="333"/>
      <c r="P184" s="333"/>
      <c r="Q184" s="333"/>
      <c r="R184" s="333"/>
      <c r="S184" s="336"/>
      <c r="T184" s="337"/>
    </row>
    <row r="185" spans="3:20" ht="15.75">
      <c r="C185" s="316">
        <v>1.9</v>
      </c>
      <c r="D185" s="317" t="s">
        <v>494</v>
      </c>
      <c r="E185" s="320"/>
      <c r="F185" s="321"/>
      <c r="G185" s="319">
        <f t="shared" si="6"/>
        <v>0</v>
      </c>
      <c r="H185" s="319"/>
      <c r="I185" s="330"/>
      <c r="J185" s="335"/>
      <c r="K185" s="333"/>
      <c r="L185" s="336"/>
      <c r="M185" s="337"/>
      <c r="N185" s="335"/>
      <c r="O185" s="333"/>
      <c r="P185" s="333"/>
      <c r="Q185" s="333"/>
      <c r="R185" s="333"/>
      <c r="S185" s="336"/>
      <c r="T185" s="337"/>
    </row>
    <row r="186" spans="3:20" ht="18.75">
      <c r="C186" s="540" t="s">
        <v>495</v>
      </c>
      <c r="D186" s="541"/>
      <c r="E186" s="322"/>
      <c r="F186" s="323">
        <f>+SUM(F177:F185)</f>
        <v>12883.3</v>
      </c>
      <c r="G186" s="323">
        <f t="shared" si="6"/>
        <v>12883.3</v>
      </c>
      <c r="H186" s="323">
        <f>+SUM(H177:H181)</f>
        <v>11831</v>
      </c>
      <c r="I186" s="323">
        <f>+SUM(I177:I185)</f>
        <v>1052.3</v>
      </c>
      <c r="J186" s="338"/>
      <c r="K186" s="339">
        <v>12883.3</v>
      </c>
      <c r="L186" s="340">
        <f>SUM(K186)</f>
        <v>12883.3</v>
      </c>
      <c r="M186" s="341">
        <f>+L186</f>
        <v>12883.3</v>
      </c>
      <c r="N186" s="338"/>
      <c r="O186" s="339">
        <v>12883.3</v>
      </c>
      <c r="P186" s="339">
        <v>12883.3</v>
      </c>
      <c r="Q186" s="339">
        <v>12883.3</v>
      </c>
      <c r="R186" s="339"/>
      <c r="S186" s="340"/>
      <c r="T186" s="341"/>
    </row>
    <row r="187" spans="3:20">
      <c r="C187" s="324"/>
      <c r="D187" s="324"/>
      <c r="E187" s="325"/>
      <c r="F187" s="325"/>
      <c r="G187" s="325"/>
      <c r="H187" s="325"/>
      <c r="I187" s="325"/>
      <c r="J187" s="325"/>
      <c r="K187" s="325"/>
      <c r="L187" s="325"/>
      <c r="M187" s="325"/>
      <c r="N187" s="325"/>
      <c r="O187" s="325"/>
      <c r="P187" s="325"/>
      <c r="Q187" s="325"/>
      <c r="R187" s="325"/>
      <c r="S187" s="325"/>
    </row>
    <row r="188" spans="3:20">
      <c r="C188" s="324"/>
      <c r="D188" s="324"/>
      <c r="E188" s="325"/>
      <c r="F188" s="325"/>
      <c r="G188" s="325"/>
      <c r="H188" s="325"/>
      <c r="I188" s="325" t="s">
        <v>496</v>
      </c>
      <c r="J188" s="325"/>
      <c r="K188" s="325"/>
      <c r="L188" s="325"/>
      <c r="M188" s="325"/>
      <c r="N188" s="325"/>
      <c r="O188" s="325"/>
      <c r="P188" s="325"/>
      <c r="Q188" s="325"/>
      <c r="R188" s="325"/>
      <c r="S188" s="325"/>
    </row>
    <row r="189" spans="3:20" ht="19.5" customHeight="1">
      <c r="C189" s="542" t="s">
        <v>497</v>
      </c>
      <c r="D189" s="542"/>
      <c r="E189" s="542"/>
      <c r="F189" s="542"/>
      <c r="G189" s="542"/>
      <c r="H189" s="542"/>
      <c r="I189" s="542"/>
      <c r="J189" s="542"/>
      <c r="K189" s="542"/>
      <c r="L189" s="542"/>
      <c r="M189" s="542"/>
      <c r="N189" s="542"/>
      <c r="O189" s="542"/>
      <c r="P189" s="542"/>
      <c r="Q189" s="542"/>
      <c r="R189" s="542"/>
      <c r="S189" s="542"/>
    </row>
    <row r="190" spans="3:20">
      <c r="M190" s="16"/>
    </row>
    <row r="191" spans="3:20">
      <c r="M191" s="16"/>
    </row>
    <row r="192" spans="3:20">
      <c r="M192" s="16"/>
    </row>
    <row r="193" spans="13:13">
      <c r="M193" s="16"/>
    </row>
    <row r="194" spans="13:13">
      <c r="M194" s="16"/>
    </row>
    <row r="195" spans="13:13">
      <c r="M195" s="16"/>
    </row>
    <row r="196" spans="13:13">
      <c r="M196" s="16"/>
    </row>
    <row r="197" spans="13:13">
      <c r="M197" s="16"/>
    </row>
    <row r="198" spans="13:13">
      <c r="M198" s="16"/>
    </row>
    <row r="199" spans="13:13">
      <c r="M199" s="16"/>
    </row>
    <row r="200" spans="13:13">
      <c r="M200" s="16"/>
    </row>
    <row r="201" spans="13:13">
      <c r="M201" s="16"/>
    </row>
    <row r="202" spans="13:13">
      <c r="M202" s="16"/>
    </row>
    <row r="203" spans="13:13">
      <c r="M203" s="16"/>
    </row>
    <row r="204" spans="13:13">
      <c r="M204" s="16"/>
    </row>
    <row r="205" spans="13:13">
      <c r="M205" s="16"/>
    </row>
    <row r="206" spans="13:13">
      <c r="M206" s="16"/>
    </row>
    <row r="207" spans="13:13">
      <c r="M207" s="16"/>
    </row>
    <row r="208" spans="13:13">
      <c r="M208" s="16"/>
    </row>
    <row r="209" spans="13:13">
      <c r="M209" s="16"/>
    </row>
    <row r="210" spans="13:13">
      <c r="M210" s="16"/>
    </row>
    <row r="211" spans="13:13">
      <c r="M211" s="16"/>
    </row>
    <row r="212" spans="13:13">
      <c r="M212" s="16"/>
    </row>
    <row r="213" spans="13:13">
      <c r="M213" s="16"/>
    </row>
  </sheetData>
  <autoFilter ref="D5:H172"/>
  <mergeCells count="22">
    <mergeCell ref="L172:M172"/>
    <mergeCell ref="C4:K4"/>
    <mergeCell ref="C169:F169"/>
    <mergeCell ref="G169:I169"/>
    <mergeCell ref="E170:F170"/>
    <mergeCell ref="H170:I170"/>
    <mergeCell ref="M76:M77"/>
    <mergeCell ref="L170:M170"/>
    <mergeCell ref="D171:F171"/>
    <mergeCell ref="H171:I171"/>
    <mergeCell ref="E172:F172"/>
    <mergeCell ref="H172:I172"/>
    <mergeCell ref="C186:D186"/>
    <mergeCell ref="C189:S189"/>
    <mergeCell ref="C175:C176"/>
    <mergeCell ref="D175:D176"/>
    <mergeCell ref="E175:E176"/>
    <mergeCell ref="C174:S174"/>
    <mergeCell ref="F175:I175"/>
    <mergeCell ref="J175:M175"/>
    <mergeCell ref="N175:Q175"/>
    <mergeCell ref="R175:T175"/>
  </mergeCells>
  <conditionalFormatting sqref="K177">
    <cfRule type="cellIs" dxfId="102" priority="79" operator="greaterThan">
      <formula>$G$33</formula>
    </cfRule>
    <cfRule type="cellIs" dxfId="101" priority="98" operator="greaterThan">
      <formula>$G$33</formula>
    </cfRule>
  </conditionalFormatting>
  <conditionalFormatting sqref="O177">
    <cfRule type="cellIs" dxfId="100" priority="49" operator="greaterThan">
      <formula>$G$33</formula>
    </cfRule>
    <cfRule type="cellIs" dxfId="99" priority="59" operator="greaterThan">
      <formula>$G$33</formula>
    </cfRule>
  </conditionalFormatting>
  <conditionalFormatting sqref="P177">
    <cfRule type="cellIs" dxfId="98" priority="29" operator="greaterThan">
      <formula>$G$33</formula>
    </cfRule>
    <cfRule type="cellIs" dxfId="97" priority="39" operator="greaterThan">
      <formula>$G$33</formula>
    </cfRule>
  </conditionalFormatting>
  <conditionalFormatting sqref="Q177">
    <cfRule type="cellIs" dxfId="96" priority="9" operator="greaterThan">
      <formula>$G$33</formula>
    </cfRule>
    <cfRule type="cellIs" dxfId="95" priority="19" operator="greaterThan">
      <formula>$G$33</formula>
    </cfRule>
  </conditionalFormatting>
  <conditionalFormatting sqref="R177">
    <cfRule type="cellIs" dxfId="94" priority="70" operator="greaterThan">
      <formula>$G$33</formula>
    </cfRule>
    <cfRule type="cellIs" dxfId="93" priority="89" operator="greaterThan">
      <formula>$G$33</formula>
    </cfRule>
  </conditionalFormatting>
  <conditionalFormatting sqref="K178">
    <cfRule type="cellIs" dxfId="92" priority="78" operator="greaterThan">
      <formula>$G$34</formula>
    </cfRule>
    <cfRule type="cellIs" dxfId="91" priority="97" operator="greaterThan">
      <formula>$G$34</formula>
    </cfRule>
  </conditionalFormatting>
  <conditionalFormatting sqref="O178">
    <cfRule type="cellIs" dxfId="90" priority="48" operator="greaterThan">
      <formula>$G$34</formula>
    </cfRule>
    <cfRule type="cellIs" dxfId="89" priority="58" operator="greaterThan">
      <formula>$G$34</formula>
    </cfRule>
  </conditionalFormatting>
  <conditionalFormatting sqref="P178">
    <cfRule type="cellIs" dxfId="88" priority="28" operator="greaterThan">
      <formula>$G$34</formula>
    </cfRule>
    <cfRule type="cellIs" dxfId="87" priority="38" operator="greaterThan">
      <formula>$G$34</formula>
    </cfRule>
  </conditionalFormatting>
  <conditionalFormatting sqref="Q178">
    <cfRule type="cellIs" dxfId="86" priority="8" operator="greaterThan">
      <formula>$G$34</formula>
    </cfRule>
    <cfRule type="cellIs" dxfId="85" priority="18" operator="greaterThan">
      <formula>$G$34</formula>
    </cfRule>
  </conditionalFormatting>
  <conditionalFormatting sqref="R178">
    <cfRule type="cellIs" dxfId="84" priority="69" operator="greaterThan">
      <formula>$G$34</formula>
    </cfRule>
    <cfRule type="cellIs" dxfId="83" priority="88" operator="greaterThan">
      <formula>$G$34</formula>
    </cfRule>
  </conditionalFormatting>
  <conditionalFormatting sqref="K179">
    <cfRule type="cellIs" dxfId="82" priority="77" operator="greaterThan">
      <formula>$G$35</formula>
    </cfRule>
    <cfRule type="cellIs" dxfId="81" priority="96" operator="greaterThan">
      <formula>$G$35</formula>
    </cfRule>
  </conditionalFormatting>
  <conditionalFormatting sqref="O179">
    <cfRule type="cellIs" dxfId="80" priority="47" operator="greaterThan">
      <formula>$G$35</formula>
    </cfRule>
    <cfRule type="cellIs" dxfId="79" priority="57" operator="greaterThan">
      <formula>$G$35</formula>
    </cfRule>
  </conditionalFormatting>
  <conditionalFormatting sqref="P179">
    <cfRule type="cellIs" dxfId="78" priority="27" operator="greaterThan">
      <formula>$G$35</formula>
    </cfRule>
    <cfRule type="cellIs" dxfId="77" priority="37" operator="greaterThan">
      <formula>$G$35</formula>
    </cfRule>
  </conditionalFormatting>
  <conditionalFormatting sqref="Q179">
    <cfRule type="cellIs" dxfId="76" priority="7" operator="greaterThan">
      <formula>$G$35</formula>
    </cfRule>
    <cfRule type="cellIs" dxfId="75" priority="17" operator="greaterThan">
      <formula>$G$35</formula>
    </cfRule>
  </conditionalFormatting>
  <conditionalFormatting sqref="R179">
    <cfRule type="cellIs" dxfId="74" priority="68" operator="greaterThan">
      <formula>$G$35</formula>
    </cfRule>
    <cfRule type="cellIs" dxfId="73" priority="87" operator="greaterThan">
      <formula>$G$35</formula>
    </cfRule>
  </conditionalFormatting>
  <conditionalFormatting sqref="K180">
    <cfRule type="cellIs" dxfId="72" priority="76" operator="greaterThan">
      <formula>$G$36</formula>
    </cfRule>
    <cfRule type="cellIs" dxfId="71" priority="95" operator="greaterThan">
      <formula>$G$36</formula>
    </cfRule>
  </conditionalFormatting>
  <conditionalFormatting sqref="O180">
    <cfRule type="cellIs" dxfId="70" priority="46" operator="greaterThan">
      <formula>$G$36</formula>
    </cfRule>
    <cfRule type="cellIs" dxfId="69" priority="56" operator="greaterThan">
      <formula>$G$36</formula>
    </cfRule>
  </conditionalFormatting>
  <conditionalFormatting sqref="P180">
    <cfRule type="cellIs" dxfId="68" priority="26" operator="greaterThan">
      <formula>$G$36</formula>
    </cfRule>
    <cfRule type="cellIs" dxfId="67" priority="36" operator="greaterThan">
      <formula>$G$36</formula>
    </cfRule>
  </conditionalFormatting>
  <conditionalFormatting sqref="Q180">
    <cfRule type="cellIs" dxfId="66" priority="6" operator="greaterThan">
      <formula>$G$36</formula>
    </cfRule>
    <cfRule type="cellIs" dxfId="65" priority="16" operator="greaterThan">
      <formula>$G$36</formula>
    </cfRule>
  </conditionalFormatting>
  <conditionalFormatting sqref="R180">
    <cfRule type="cellIs" dxfId="64" priority="67" operator="greaterThan">
      <formula>$G$36</formula>
    </cfRule>
    <cfRule type="cellIs" dxfId="63" priority="86" operator="greaterThan">
      <formula>$G$36</formula>
    </cfRule>
  </conditionalFormatting>
  <conditionalFormatting sqref="K181">
    <cfRule type="cellIs" dxfId="62" priority="75" operator="greaterThan">
      <formula>$G$37</formula>
    </cfRule>
    <cfRule type="cellIs" dxfId="61" priority="94" operator="greaterThan">
      <formula>$G$37</formula>
    </cfRule>
  </conditionalFormatting>
  <conditionalFormatting sqref="O181">
    <cfRule type="cellIs" dxfId="60" priority="45" operator="greaterThan">
      <formula>$G$37</formula>
    </cfRule>
    <cfRule type="cellIs" dxfId="59" priority="55" operator="greaterThan">
      <formula>$G$37</formula>
    </cfRule>
  </conditionalFormatting>
  <conditionalFormatting sqref="P181">
    <cfRule type="cellIs" dxfId="58" priority="25" operator="greaterThan">
      <formula>$G$37</formula>
    </cfRule>
    <cfRule type="cellIs" dxfId="57" priority="35" operator="greaterThan">
      <formula>$G$37</formula>
    </cfRule>
  </conditionalFormatting>
  <conditionalFormatting sqref="Q181">
    <cfRule type="cellIs" dxfId="56" priority="5" operator="greaterThan">
      <formula>$G$37</formula>
    </cfRule>
    <cfRule type="cellIs" dxfId="55" priority="15" operator="greaterThan">
      <formula>$G$37</formula>
    </cfRule>
  </conditionalFormatting>
  <conditionalFormatting sqref="R181">
    <cfRule type="cellIs" dxfId="54" priority="66" operator="greaterThan">
      <formula>$G$37</formula>
    </cfRule>
    <cfRule type="cellIs" dxfId="53" priority="85" operator="greaterThan">
      <formula>$G$37</formula>
    </cfRule>
  </conditionalFormatting>
  <conditionalFormatting sqref="K182">
    <cfRule type="cellIs" dxfId="52" priority="74" operator="greaterThan">
      <formula>#REF!</formula>
    </cfRule>
    <cfRule type="cellIs" dxfId="51" priority="93" operator="greaterThan">
      <formula>#REF!</formula>
    </cfRule>
  </conditionalFormatting>
  <conditionalFormatting sqref="O182">
    <cfRule type="cellIs" dxfId="50" priority="44" operator="greaterThan">
      <formula>#REF!</formula>
    </cfRule>
    <cfRule type="cellIs" dxfId="49" priority="54" operator="greaterThan">
      <formula>#REF!</formula>
    </cfRule>
  </conditionalFormatting>
  <conditionalFormatting sqref="P182">
    <cfRule type="cellIs" dxfId="48" priority="24" operator="greaterThan">
      <formula>#REF!</formula>
    </cfRule>
    <cfRule type="cellIs" dxfId="47" priority="34" operator="greaterThan">
      <formula>#REF!</formula>
    </cfRule>
  </conditionalFormatting>
  <conditionalFormatting sqref="Q182">
    <cfRule type="cellIs" dxfId="46" priority="4" operator="greaterThan">
      <formula>#REF!</formula>
    </cfRule>
    <cfRule type="cellIs" dxfId="45" priority="14" operator="greaterThan">
      <formula>#REF!</formula>
    </cfRule>
  </conditionalFormatting>
  <conditionalFormatting sqref="R182">
    <cfRule type="cellIs" dxfId="44" priority="65" operator="greaterThan">
      <formula>#REF!</formula>
    </cfRule>
    <cfRule type="cellIs" dxfId="43" priority="84" operator="greaterThan">
      <formula>#REF!</formula>
    </cfRule>
  </conditionalFormatting>
  <conditionalFormatting sqref="K183">
    <cfRule type="cellIs" dxfId="42" priority="73" operator="greaterThan">
      <formula>$G$91</formula>
    </cfRule>
    <cfRule type="cellIs" dxfId="41" priority="92" operator="greaterThan">
      <formula>$G$91</formula>
    </cfRule>
  </conditionalFormatting>
  <conditionalFormatting sqref="O183">
    <cfRule type="cellIs" dxfId="40" priority="43" operator="greaterThan">
      <formula>$G$91</formula>
    </cfRule>
    <cfRule type="cellIs" dxfId="39" priority="53" operator="greaterThan">
      <formula>$G$91</formula>
    </cfRule>
  </conditionalFormatting>
  <conditionalFormatting sqref="P183">
    <cfRule type="cellIs" dxfId="38" priority="23" operator="greaterThan">
      <formula>$G$91</formula>
    </cfRule>
    <cfRule type="cellIs" dxfId="37" priority="33" operator="greaterThan">
      <formula>$G$91</formula>
    </cfRule>
  </conditionalFormatting>
  <conditionalFormatting sqref="Q183">
    <cfRule type="cellIs" dxfId="36" priority="3" operator="greaterThan">
      <formula>$G$91</formula>
    </cfRule>
    <cfRule type="cellIs" dxfId="35" priority="13" operator="greaterThan">
      <formula>$G$91</formula>
    </cfRule>
  </conditionalFormatting>
  <conditionalFormatting sqref="R183">
    <cfRule type="cellIs" dxfId="34" priority="64" operator="greaterThan">
      <formula>$G$91</formula>
    </cfRule>
    <cfRule type="cellIs" dxfId="33" priority="83" operator="greaterThan">
      <formula>$G$91</formula>
    </cfRule>
  </conditionalFormatting>
  <conditionalFormatting sqref="K184">
    <cfRule type="cellIs" dxfId="32" priority="72" operator="greaterThan">
      <formula>$G$92</formula>
    </cfRule>
    <cfRule type="cellIs" dxfId="31" priority="91" operator="greaterThan">
      <formula>$G$92</formula>
    </cfRule>
  </conditionalFormatting>
  <conditionalFormatting sqref="O184">
    <cfRule type="cellIs" dxfId="30" priority="42" operator="greaterThan">
      <formula>$G$92</formula>
    </cfRule>
    <cfRule type="cellIs" dxfId="29" priority="52" operator="greaterThan">
      <formula>$G$92</formula>
    </cfRule>
  </conditionalFormatting>
  <conditionalFormatting sqref="P184">
    <cfRule type="cellIs" dxfId="28" priority="22" operator="greaterThan">
      <formula>$G$92</formula>
    </cfRule>
    <cfRule type="cellIs" dxfId="27" priority="32" operator="greaterThan">
      <formula>$G$92</formula>
    </cfRule>
  </conditionalFormatting>
  <conditionalFormatting sqref="Q184">
    <cfRule type="cellIs" dxfId="26" priority="2" operator="greaterThan">
      <formula>$G$92</formula>
    </cfRule>
    <cfRule type="cellIs" dxfId="25" priority="12" operator="greaterThan">
      <formula>$G$92</formula>
    </cfRule>
  </conditionalFormatting>
  <conditionalFormatting sqref="R184">
    <cfRule type="cellIs" dxfId="24" priority="63" operator="greaterThan">
      <formula>$G$92</formula>
    </cfRule>
    <cfRule type="cellIs" dxfId="23" priority="82" operator="greaterThan">
      <formula>$G$92</formula>
    </cfRule>
  </conditionalFormatting>
  <conditionalFormatting sqref="K185">
    <cfRule type="cellIs" dxfId="22" priority="71" operator="greaterThan">
      <formula>$G$93</formula>
    </cfRule>
    <cfRule type="cellIs" dxfId="21" priority="90" operator="greaterThan">
      <formula>$G$93</formula>
    </cfRule>
  </conditionalFormatting>
  <conditionalFormatting sqref="O185">
    <cfRule type="cellIs" dxfId="20" priority="41" operator="greaterThan">
      <formula>$G$93</formula>
    </cfRule>
    <cfRule type="cellIs" dxfId="19" priority="51" operator="greaterThan">
      <formula>$G$93</formula>
    </cfRule>
  </conditionalFormatting>
  <conditionalFormatting sqref="P185">
    <cfRule type="cellIs" dxfId="18" priority="21" operator="greaterThan">
      <formula>$G$93</formula>
    </cfRule>
    <cfRule type="cellIs" dxfId="17" priority="31" operator="greaterThan">
      <formula>$G$93</formula>
    </cfRule>
  </conditionalFormatting>
  <conditionalFormatting sqref="Q185">
    <cfRule type="cellIs" dxfId="16" priority="1" operator="greaterThan">
      <formula>$G$93</formula>
    </cfRule>
    <cfRule type="cellIs" dxfId="15" priority="11" operator="greaterThan">
      <formula>$G$93</formula>
    </cfRule>
  </conditionalFormatting>
  <conditionalFormatting sqref="R185">
    <cfRule type="cellIs" dxfId="14" priority="62" operator="greaterThan">
      <formula>$G$93</formula>
    </cfRule>
    <cfRule type="cellIs" dxfId="13" priority="81" operator="greaterThan">
      <formula>$G$93</formula>
    </cfRule>
  </conditionalFormatting>
  <conditionalFormatting sqref="H177:H185">
    <cfRule type="cellIs" dxfId="12" priority="61" operator="lessThan">
      <formula>0</formula>
    </cfRule>
  </conditionalFormatting>
  <conditionalFormatting sqref="O177:O185">
    <cfRule type="cellIs" dxfId="11" priority="50" operator="lessThan">
      <formula>0</formula>
    </cfRule>
    <cfRule type="cellIs" dxfId="10" priority="60" operator="lessThan">
      <formula>0</formula>
    </cfRule>
  </conditionalFormatting>
  <conditionalFormatting sqref="P177:P185">
    <cfRule type="cellIs" dxfId="9" priority="30" operator="lessThan">
      <formula>0</formula>
    </cfRule>
    <cfRule type="cellIs" dxfId="8" priority="40" operator="lessThan">
      <formula>0</formula>
    </cfRule>
  </conditionalFormatting>
  <conditionalFormatting sqref="Q177:Q185">
    <cfRule type="cellIs" dxfId="7" priority="10" operator="lessThan">
      <formula>0</formula>
    </cfRule>
    <cfRule type="cellIs" dxfId="6" priority="20" operator="lessThan">
      <formula>0</formula>
    </cfRule>
  </conditionalFormatting>
  <conditionalFormatting sqref="E185 R177:T185 J184:J185 N184:N185 H177:I185 K177:M185">
    <cfRule type="cellIs" dxfId="5" priority="80" operator="lessThan">
      <formula>0</formula>
    </cfRule>
    <cfRule type="cellIs" dxfId="4" priority="99" operator="lessThan">
      <formula>0</formula>
    </cfRule>
  </conditionalFormatting>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116"/>
  <sheetViews>
    <sheetView workbookViewId="0">
      <selection activeCell="N16" sqref="N16"/>
    </sheetView>
  </sheetViews>
  <sheetFormatPr defaultColWidth="9" defaultRowHeight="15"/>
  <cols>
    <col min="2" max="2" width="8.140625" customWidth="1"/>
    <col min="3" max="3" width="13.7109375" customWidth="1"/>
    <col min="4" max="4" width="12.140625" customWidth="1"/>
    <col min="5" max="5" width="16" customWidth="1"/>
    <col min="6" max="6" width="15" customWidth="1"/>
    <col min="7" max="7" width="20.28515625" customWidth="1"/>
    <col min="8" max="8" width="19.5703125" customWidth="1"/>
    <col min="9" max="9" width="18.7109375" customWidth="1"/>
    <col min="10" max="10" width="13.42578125" customWidth="1"/>
    <col min="11" max="11" width="11.42578125" customWidth="1"/>
  </cols>
  <sheetData>
    <row r="3" spans="2:11" ht="18.75">
      <c r="B3" s="502" t="s">
        <v>498</v>
      </c>
      <c r="C3" s="502"/>
      <c r="D3" s="502"/>
      <c r="E3" s="502"/>
      <c r="F3" s="502"/>
      <c r="G3" s="502"/>
      <c r="H3" s="502"/>
      <c r="I3" s="502"/>
      <c r="J3" s="502"/>
      <c r="K3" s="502"/>
    </row>
    <row r="4" spans="2:11" ht="47.25">
      <c r="B4" s="25" t="s">
        <v>179</v>
      </c>
      <c r="C4" s="25" t="s">
        <v>180</v>
      </c>
      <c r="D4" s="25" t="s">
        <v>13</v>
      </c>
      <c r="E4" s="25" t="s">
        <v>181</v>
      </c>
      <c r="F4" s="27" t="s">
        <v>182</v>
      </c>
      <c r="G4" s="25" t="s">
        <v>183</v>
      </c>
      <c r="H4" s="33" t="s">
        <v>184</v>
      </c>
      <c r="I4" s="26" t="s">
        <v>185</v>
      </c>
      <c r="J4" s="26" t="s">
        <v>186</v>
      </c>
      <c r="K4" s="26" t="s">
        <v>187</v>
      </c>
    </row>
    <row r="5" spans="2:11">
      <c r="B5" s="5">
        <v>1</v>
      </c>
      <c r="C5" s="5" t="s">
        <v>160</v>
      </c>
      <c r="D5" s="5" t="s">
        <v>159</v>
      </c>
      <c r="E5" s="5"/>
      <c r="F5" s="5"/>
      <c r="G5" s="5">
        <v>63</v>
      </c>
      <c r="H5" s="5">
        <v>305.5</v>
      </c>
      <c r="I5" s="5">
        <f>+H5</f>
        <v>305.5</v>
      </c>
      <c r="J5" s="22">
        <f t="shared" ref="J5:J25" si="0">(1000+G5)/1000</f>
        <v>1.0629999999999999</v>
      </c>
      <c r="K5" s="5"/>
    </row>
    <row r="6" spans="2:11">
      <c r="B6" s="5">
        <f t="shared" ref="B6:B37" si="1">1+B5</f>
        <v>2</v>
      </c>
      <c r="C6" s="5" t="s">
        <v>169</v>
      </c>
      <c r="D6" s="5" t="s">
        <v>167</v>
      </c>
      <c r="E6" s="5"/>
      <c r="F6" s="5"/>
      <c r="G6" s="5">
        <v>63</v>
      </c>
      <c r="H6" s="5">
        <v>23.7</v>
      </c>
      <c r="I6" s="5">
        <f t="shared" ref="I6:I37" si="2">+I5+H6</f>
        <v>329.2</v>
      </c>
      <c r="J6" s="22">
        <f t="shared" si="0"/>
        <v>1.0629999999999999</v>
      </c>
      <c r="K6" s="5"/>
    </row>
    <row r="7" spans="2:11">
      <c r="B7" s="5">
        <f t="shared" si="1"/>
        <v>3</v>
      </c>
      <c r="C7" s="5" t="s">
        <v>499</v>
      </c>
      <c r="D7" s="5" t="s">
        <v>500</v>
      </c>
      <c r="E7" s="5"/>
      <c r="F7" s="5"/>
      <c r="G7" s="5">
        <v>63</v>
      </c>
      <c r="H7" s="5">
        <v>79.5</v>
      </c>
      <c r="I7" s="5">
        <f t="shared" si="2"/>
        <v>408.7</v>
      </c>
      <c r="J7" s="22">
        <f t="shared" si="0"/>
        <v>1.0629999999999999</v>
      </c>
      <c r="K7" s="5"/>
    </row>
    <row r="8" spans="2:11">
      <c r="B8" s="5">
        <f t="shared" si="1"/>
        <v>4</v>
      </c>
      <c r="C8" s="5" t="s">
        <v>114</v>
      </c>
      <c r="D8" s="5" t="s">
        <v>171</v>
      </c>
      <c r="E8" s="5"/>
      <c r="F8" s="5"/>
      <c r="G8" s="5">
        <v>63</v>
      </c>
      <c r="H8" s="5">
        <v>47.3</v>
      </c>
      <c r="I8" s="5">
        <f t="shared" si="2"/>
        <v>456</v>
      </c>
      <c r="J8" s="22">
        <f t="shared" si="0"/>
        <v>1.0629999999999999</v>
      </c>
      <c r="K8" s="5"/>
    </row>
    <row r="9" spans="2:11">
      <c r="B9" s="5">
        <f t="shared" si="1"/>
        <v>5</v>
      </c>
      <c r="C9" s="5" t="s">
        <v>114</v>
      </c>
      <c r="D9" s="5" t="s">
        <v>36</v>
      </c>
      <c r="E9" s="5"/>
      <c r="F9" s="5"/>
      <c r="G9" s="5">
        <v>63</v>
      </c>
      <c r="H9" s="5">
        <v>116.9</v>
      </c>
      <c r="I9" s="5">
        <f t="shared" si="2"/>
        <v>572.9</v>
      </c>
      <c r="J9" s="22">
        <f t="shared" si="0"/>
        <v>1.0629999999999999</v>
      </c>
      <c r="K9" s="5"/>
    </row>
    <row r="10" spans="2:11">
      <c r="B10" s="5">
        <f t="shared" si="1"/>
        <v>6</v>
      </c>
      <c r="C10" s="5" t="s">
        <v>501</v>
      </c>
      <c r="D10" s="5" t="s">
        <v>111</v>
      </c>
      <c r="E10" s="5" t="s">
        <v>193</v>
      </c>
      <c r="F10" s="22">
        <f>(300+G10)/1000</f>
        <v>0.36299999999999999</v>
      </c>
      <c r="G10" s="5">
        <v>63</v>
      </c>
      <c r="H10" s="5">
        <v>3</v>
      </c>
      <c r="I10" s="5">
        <f t="shared" si="2"/>
        <v>575.9</v>
      </c>
      <c r="J10" s="22">
        <f t="shared" si="0"/>
        <v>1.0629999999999999</v>
      </c>
      <c r="K10" s="5"/>
    </row>
    <row r="11" spans="2:11">
      <c r="B11" s="5">
        <f t="shared" si="1"/>
        <v>7</v>
      </c>
      <c r="C11" s="5" t="s">
        <v>501</v>
      </c>
      <c r="D11" s="5" t="s">
        <v>111</v>
      </c>
      <c r="E11" s="5"/>
      <c r="F11" s="5">
        <v>0.36</v>
      </c>
      <c r="G11" s="5">
        <v>63</v>
      </c>
      <c r="H11" s="5">
        <v>20.9</v>
      </c>
      <c r="I11" s="5">
        <f t="shared" si="2"/>
        <v>596.79999999999995</v>
      </c>
      <c r="J11" s="22">
        <f t="shared" si="0"/>
        <v>1.0629999999999999</v>
      </c>
      <c r="K11" s="5"/>
    </row>
    <row r="12" spans="2:11">
      <c r="B12" s="5">
        <f t="shared" si="1"/>
        <v>8</v>
      </c>
      <c r="C12" s="5" t="s">
        <v>502</v>
      </c>
      <c r="D12" s="5" t="s">
        <v>503</v>
      </c>
      <c r="E12" s="5" t="s">
        <v>199</v>
      </c>
      <c r="F12" s="22">
        <f>(300+G12)/1000</f>
        <v>0.36299999999999999</v>
      </c>
      <c r="G12" s="5">
        <v>63</v>
      </c>
      <c r="H12" s="5">
        <v>53.6</v>
      </c>
      <c r="I12" s="5">
        <f t="shared" si="2"/>
        <v>650.4</v>
      </c>
      <c r="J12" s="22">
        <f t="shared" si="0"/>
        <v>1.0629999999999999</v>
      </c>
      <c r="K12" s="5"/>
    </row>
    <row r="13" spans="2:11">
      <c r="B13" s="5">
        <f t="shared" si="1"/>
        <v>9</v>
      </c>
      <c r="C13" s="6" t="s">
        <v>504</v>
      </c>
      <c r="D13" s="6" t="s">
        <v>285</v>
      </c>
      <c r="E13" s="6"/>
      <c r="F13" s="6"/>
      <c r="G13" s="6">
        <v>63</v>
      </c>
      <c r="H13" s="6">
        <v>28.2</v>
      </c>
      <c r="I13" s="5">
        <f t="shared" si="2"/>
        <v>678.6</v>
      </c>
      <c r="J13" s="22">
        <f t="shared" si="0"/>
        <v>1.0629999999999999</v>
      </c>
      <c r="K13" s="5"/>
    </row>
    <row r="14" spans="2:11">
      <c r="B14" s="5">
        <f t="shared" si="1"/>
        <v>10</v>
      </c>
      <c r="C14" s="6" t="s">
        <v>505</v>
      </c>
      <c r="D14" s="6" t="s">
        <v>506</v>
      </c>
      <c r="E14" s="6" t="s">
        <v>199</v>
      </c>
      <c r="F14" s="32">
        <f>(300+G14)/1000</f>
        <v>0.36299999999999999</v>
      </c>
      <c r="G14" s="6">
        <v>63</v>
      </c>
      <c r="H14" s="6">
        <v>22.3</v>
      </c>
      <c r="I14" s="5">
        <f t="shared" si="2"/>
        <v>700.9</v>
      </c>
      <c r="J14" s="22">
        <f t="shared" si="0"/>
        <v>1.0629999999999999</v>
      </c>
      <c r="K14" s="5"/>
    </row>
    <row r="15" spans="2:11">
      <c r="B15" s="5">
        <f t="shared" si="1"/>
        <v>11</v>
      </c>
      <c r="C15" s="6" t="s">
        <v>507</v>
      </c>
      <c r="D15" s="6" t="s">
        <v>251</v>
      </c>
      <c r="E15" s="6"/>
      <c r="F15" s="6"/>
      <c r="G15" s="6">
        <v>63</v>
      </c>
      <c r="H15" s="6">
        <v>43.9</v>
      </c>
      <c r="I15" s="5">
        <f t="shared" si="2"/>
        <v>744.8</v>
      </c>
      <c r="J15" s="22">
        <f t="shared" si="0"/>
        <v>1.0629999999999999</v>
      </c>
      <c r="K15" s="5"/>
    </row>
    <row r="16" spans="2:11">
      <c r="B16" s="5">
        <f t="shared" si="1"/>
        <v>12</v>
      </c>
      <c r="C16" s="6" t="s">
        <v>504</v>
      </c>
      <c r="D16" s="6" t="s">
        <v>505</v>
      </c>
      <c r="E16" s="6" t="s">
        <v>199</v>
      </c>
      <c r="F16" s="32">
        <f>(300+G16)/1000</f>
        <v>0.36299999999999999</v>
      </c>
      <c r="G16" s="6">
        <v>63</v>
      </c>
      <c r="H16" s="6">
        <v>30.3</v>
      </c>
      <c r="I16" s="5">
        <f t="shared" si="2"/>
        <v>775.09999999999991</v>
      </c>
      <c r="J16" s="22">
        <f t="shared" si="0"/>
        <v>1.0629999999999999</v>
      </c>
      <c r="K16" s="5"/>
    </row>
    <row r="17" spans="2:11">
      <c r="B17" s="5">
        <f t="shared" si="1"/>
        <v>13</v>
      </c>
      <c r="C17" s="6" t="s">
        <v>505</v>
      </c>
      <c r="D17" s="6" t="s">
        <v>508</v>
      </c>
      <c r="E17" s="6" t="s">
        <v>199</v>
      </c>
      <c r="F17" s="32">
        <f>(300+G17)/1000</f>
        <v>0.36299999999999999</v>
      </c>
      <c r="G17" s="6">
        <v>63</v>
      </c>
      <c r="H17" s="6">
        <v>2.8</v>
      </c>
      <c r="I17" s="5">
        <f t="shared" si="2"/>
        <v>777.89999999999986</v>
      </c>
      <c r="J17" s="22">
        <f t="shared" si="0"/>
        <v>1.0629999999999999</v>
      </c>
      <c r="K17" s="5"/>
    </row>
    <row r="18" spans="2:11">
      <c r="B18" s="5">
        <f t="shared" si="1"/>
        <v>14</v>
      </c>
      <c r="C18" s="6" t="s">
        <v>505</v>
      </c>
      <c r="D18" s="6" t="s">
        <v>508</v>
      </c>
      <c r="E18" s="6"/>
      <c r="F18" s="6"/>
      <c r="G18" s="6">
        <v>63</v>
      </c>
      <c r="H18" s="6">
        <v>34.4</v>
      </c>
      <c r="I18" s="5">
        <f t="shared" si="2"/>
        <v>812.29999999999984</v>
      </c>
      <c r="J18" s="22">
        <f t="shared" si="0"/>
        <v>1.0629999999999999</v>
      </c>
      <c r="K18" s="5"/>
    </row>
    <row r="19" spans="2:11">
      <c r="B19" s="5">
        <f t="shared" si="1"/>
        <v>15</v>
      </c>
      <c r="C19" s="6" t="s">
        <v>506</v>
      </c>
      <c r="D19" s="6" t="s">
        <v>281</v>
      </c>
      <c r="E19" s="6" t="s">
        <v>199</v>
      </c>
      <c r="F19" s="32">
        <f>(300+G19)/1000</f>
        <v>0.36299999999999999</v>
      </c>
      <c r="G19" s="6">
        <v>63</v>
      </c>
      <c r="H19" s="6">
        <v>2.6</v>
      </c>
      <c r="I19" s="5">
        <f t="shared" si="2"/>
        <v>814.89999999999986</v>
      </c>
      <c r="J19" s="22">
        <f t="shared" si="0"/>
        <v>1.0629999999999999</v>
      </c>
      <c r="K19" s="5"/>
    </row>
    <row r="20" spans="2:11">
      <c r="B20" s="5">
        <f t="shared" si="1"/>
        <v>16</v>
      </c>
      <c r="C20" s="6" t="s">
        <v>506</v>
      </c>
      <c r="D20" s="6" t="s">
        <v>281</v>
      </c>
      <c r="E20" s="6"/>
      <c r="F20" s="6"/>
      <c r="G20" s="6">
        <v>63</v>
      </c>
      <c r="H20" s="6">
        <v>21.5</v>
      </c>
      <c r="I20" s="5">
        <f t="shared" si="2"/>
        <v>836.39999999999986</v>
      </c>
      <c r="J20" s="22">
        <f t="shared" si="0"/>
        <v>1.0629999999999999</v>
      </c>
      <c r="K20" s="5"/>
    </row>
    <row r="21" spans="2:11">
      <c r="B21" s="5">
        <f t="shared" si="1"/>
        <v>17</v>
      </c>
      <c r="C21" s="6" t="s">
        <v>281</v>
      </c>
      <c r="D21" s="6" t="s">
        <v>506</v>
      </c>
      <c r="E21" s="6"/>
      <c r="F21" s="6"/>
      <c r="G21" s="6">
        <v>90</v>
      </c>
      <c r="H21" s="6">
        <v>37</v>
      </c>
      <c r="I21" s="5">
        <f t="shared" si="2"/>
        <v>873.39999999999986</v>
      </c>
      <c r="J21" s="22">
        <f t="shared" si="0"/>
        <v>1.0900000000000001</v>
      </c>
      <c r="K21" s="5"/>
    </row>
    <row r="22" spans="2:11">
      <c r="B22" s="5">
        <f t="shared" si="1"/>
        <v>18</v>
      </c>
      <c r="C22" s="6" t="s">
        <v>416</v>
      </c>
      <c r="D22" s="6" t="s">
        <v>316</v>
      </c>
      <c r="E22" s="6"/>
      <c r="F22" s="6"/>
      <c r="G22" s="6">
        <v>63</v>
      </c>
      <c r="H22" s="6">
        <v>81</v>
      </c>
      <c r="I22" s="5">
        <f t="shared" si="2"/>
        <v>954.39999999999986</v>
      </c>
      <c r="J22" s="22">
        <f t="shared" si="0"/>
        <v>1.0629999999999999</v>
      </c>
      <c r="K22" s="5"/>
    </row>
    <row r="23" spans="2:11">
      <c r="B23" s="5">
        <f t="shared" si="1"/>
        <v>19</v>
      </c>
      <c r="C23" s="6" t="s">
        <v>363</v>
      </c>
      <c r="D23" s="6" t="s">
        <v>279</v>
      </c>
      <c r="E23" s="6"/>
      <c r="F23" s="6"/>
      <c r="G23" s="6">
        <v>63</v>
      </c>
      <c r="H23" s="6">
        <v>264.39999999999998</v>
      </c>
      <c r="I23" s="5">
        <f t="shared" si="2"/>
        <v>1218.7999999999997</v>
      </c>
      <c r="J23" s="22">
        <f t="shared" si="0"/>
        <v>1.0629999999999999</v>
      </c>
      <c r="K23" s="5"/>
    </row>
    <row r="24" spans="2:11">
      <c r="B24" s="5">
        <f t="shared" si="1"/>
        <v>20</v>
      </c>
      <c r="C24" s="6" t="s">
        <v>363</v>
      </c>
      <c r="D24" s="6" t="s">
        <v>279</v>
      </c>
      <c r="E24" s="6" t="s">
        <v>193</v>
      </c>
      <c r="F24" s="32">
        <f>(300+G24)/1000</f>
        <v>0.36299999999999999</v>
      </c>
      <c r="G24" s="6">
        <v>63</v>
      </c>
      <c r="H24" s="6">
        <v>7.3</v>
      </c>
      <c r="I24" s="5">
        <f t="shared" si="2"/>
        <v>1226.0999999999997</v>
      </c>
      <c r="J24" s="22">
        <f t="shared" si="0"/>
        <v>1.0629999999999999</v>
      </c>
      <c r="K24" s="5"/>
    </row>
    <row r="25" spans="2:11">
      <c r="B25" s="5">
        <f t="shared" si="1"/>
        <v>21</v>
      </c>
      <c r="C25" s="6" t="s">
        <v>279</v>
      </c>
      <c r="D25" s="6" t="s">
        <v>419</v>
      </c>
      <c r="E25" s="6"/>
      <c r="F25" s="6"/>
      <c r="G25" s="6">
        <v>63</v>
      </c>
      <c r="H25" s="70">
        <v>248.4</v>
      </c>
      <c r="I25" s="5">
        <f t="shared" si="2"/>
        <v>1474.4999999999998</v>
      </c>
      <c r="J25" s="22">
        <f t="shared" si="0"/>
        <v>1.0629999999999999</v>
      </c>
      <c r="K25" s="5"/>
    </row>
    <row r="26" spans="2:11">
      <c r="B26" s="5">
        <f t="shared" si="1"/>
        <v>22</v>
      </c>
      <c r="C26" s="6" t="s">
        <v>279</v>
      </c>
      <c r="D26" s="6" t="s">
        <v>419</v>
      </c>
      <c r="E26" s="6" t="s">
        <v>304</v>
      </c>
      <c r="F26" s="6"/>
      <c r="G26" s="6">
        <v>63</v>
      </c>
      <c r="H26" s="70">
        <v>2.4</v>
      </c>
      <c r="I26" s="5">
        <f t="shared" si="2"/>
        <v>1476.8999999999999</v>
      </c>
      <c r="J26" s="22"/>
      <c r="K26" s="5" t="s">
        <v>304</v>
      </c>
    </row>
    <row r="27" spans="2:11">
      <c r="B27" s="5">
        <f t="shared" si="1"/>
        <v>23</v>
      </c>
      <c r="C27" s="6" t="s">
        <v>316</v>
      </c>
      <c r="D27" s="6" t="s">
        <v>248</v>
      </c>
      <c r="E27" s="6"/>
      <c r="F27" s="6"/>
      <c r="G27" s="6">
        <v>63</v>
      </c>
      <c r="H27" s="70">
        <v>56.4</v>
      </c>
      <c r="I27" s="5">
        <f t="shared" si="2"/>
        <v>1533.3</v>
      </c>
      <c r="J27" s="22">
        <f t="shared" ref="J27:J58" si="3">(1000+G27)/1000</f>
        <v>1.0629999999999999</v>
      </c>
      <c r="K27" s="5"/>
    </row>
    <row r="28" spans="2:11">
      <c r="B28" s="5">
        <f t="shared" si="1"/>
        <v>24</v>
      </c>
      <c r="C28" s="6" t="s">
        <v>286</v>
      </c>
      <c r="D28" s="6" t="s">
        <v>262</v>
      </c>
      <c r="E28" s="6"/>
      <c r="F28" s="6"/>
      <c r="G28" s="6">
        <v>63</v>
      </c>
      <c r="H28" s="70">
        <v>66.8</v>
      </c>
      <c r="I28" s="5">
        <f t="shared" si="2"/>
        <v>1600.1</v>
      </c>
      <c r="J28" s="22">
        <f t="shared" si="3"/>
        <v>1.0629999999999999</v>
      </c>
      <c r="K28" s="5"/>
    </row>
    <row r="29" spans="2:11">
      <c r="B29" s="5">
        <f t="shared" si="1"/>
        <v>25</v>
      </c>
      <c r="C29" s="6" t="s">
        <v>507</v>
      </c>
      <c r="D29" s="6" t="s">
        <v>406</v>
      </c>
      <c r="E29" s="6"/>
      <c r="F29" s="6"/>
      <c r="G29" s="6">
        <v>63</v>
      </c>
      <c r="H29" s="70">
        <v>29.5</v>
      </c>
      <c r="I29" s="5">
        <f t="shared" si="2"/>
        <v>1629.6</v>
      </c>
      <c r="J29" s="22">
        <f t="shared" si="3"/>
        <v>1.0629999999999999</v>
      </c>
      <c r="K29" s="5"/>
    </row>
    <row r="30" spans="2:11">
      <c r="B30" s="5">
        <f t="shared" si="1"/>
        <v>26</v>
      </c>
      <c r="C30" s="6" t="s">
        <v>418</v>
      </c>
      <c r="D30" s="6" t="s">
        <v>504</v>
      </c>
      <c r="E30" s="6" t="s">
        <v>199</v>
      </c>
      <c r="F30" s="32">
        <f>(300+G30)/1000</f>
        <v>0.36299999999999999</v>
      </c>
      <c r="G30" s="6">
        <v>63</v>
      </c>
      <c r="H30" s="70">
        <v>62.7</v>
      </c>
      <c r="I30" s="5">
        <f t="shared" si="2"/>
        <v>1692.3</v>
      </c>
      <c r="J30" s="22">
        <f t="shared" si="3"/>
        <v>1.0629999999999999</v>
      </c>
      <c r="K30" s="5"/>
    </row>
    <row r="31" spans="2:11">
      <c r="B31" s="5">
        <f t="shared" si="1"/>
        <v>27</v>
      </c>
      <c r="C31" s="6" t="s">
        <v>509</v>
      </c>
      <c r="D31" s="6" t="s">
        <v>510</v>
      </c>
      <c r="E31" s="6" t="s">
        <v>199</v>
      </c>
      <c r="F31" s="32">
        <f>(300+G31)/1000</f>
        <v>0.39</v>
      </c>
      <c r="G31" s="6">
        <v>90</v>
      </c>
      <c r="H31" s="70">
        <v>78.900000000000006</v>
      </c>
      <c r="I31" s="5">
        <f t="shared" si="2"/>
        <v>1771.2</v>
      </c>
      <c r="J31" s="22">
        <f t="shared" si="3"/>
        <v>1.0900000000000001</v>
      </c>
      <c r="K31" s="5"/>
    </row>
    <row r="32" spans="2:11">
      <c r="B32" s="5">
        <f t="shared" si="1"/>
        <v>28</v>
      </c>
      <c r="C32" s="6" t="s">
        <v>510</v>
      </c>
      <c r="D32" s="6" t="s">
        <v>511</v>
      </c>
      <c r="E32" s="6"/>
      <c r="F32" s="6"/>
      <c r="G32" s="6">
        <v>63</v>
      </c>
      <c r="H32" s="70">
        <v>43.5</v>
      </c>
      <c r="I32" s="5">
        <f t="shared" si="2"/>
        <v>1814.7</v>
      </c>
      <c r="J32" s="22">
        <f t="shared" si="3"/>
        <v>1.0629999999999999</v>
      </c>
      <c r="K32" s="5"/>
    </row>
    <row r="33" spans="2:11">
      <c r="B33" s="5">
        <f t="shared" si="1"/>
        <v>29</v>
      </c>
      <c r="C33" s="6" t="s">
        <v>315</v>
      </c>
      <c r="D33" s="6" t="s">
        <v>357</v>
      </c>
      <c r="E33" s="6"/>
      <c r="F33" s="6"/>
      <c r="G33" s="6">
        <v>75</v>
      </c>
      <c r="H33" s="70">
        <v>19.7</v>
      </c>
      <c r="I33" s="5">
        <f t="shared" si="2"/>
        <v>1834.4</v>
      </c>
      <c r="J33" s="22">
        <f t="shared" si="3"/>
        <v>1.075</v>
      </c>
      <c r="K33" s="5"/>
    </row>
    <row r="34" spans="2:11">
      <c r="B34" s="5">
        <f t="shared" si="1"/>
        <v>30</v>
      </c>
      <c r="C34" s="6" t="s">
        <v>315</v>
      </c>
      <c r="D34" s="6" t="s">
        <v>357</v>
      </c>
      <c r="E34" s="6" t="s">
        <v>193</v>
      </c>
      <c r="F34" s="32">
        <f>(300+G34)/1000</f>
        <v>0.375</v>
      </c>
      <c r="G34" s="6">
        <v>75</v>
      </c>
      <c r="H34" s="70">
        <v>4.5</v>
      </c>
      <c r="I34" s="5">
        <f t="shared" si="2"/>
        <v>1838.9</v>
      </c>
      <c r="J34" s="22">
        <f t="shared" si="3"/>
        <v>1.075</v>
      </c>
      <c r="K34" s="5"/>
    </row>
    <row r="35" spans="2:11">
      <c r="B35" s="5">
        <f t="shared" si="1"/>
        <v>31</v>
      </c>
      <c r="C35" s="6" t="s">
        <v>266</v>
      </c>
      <c r="D35" s="6" t="s">
        <v>403</v>
      </c>
      <c r="E35" s="6"/>
      <c r="F35" s="6"/>
      <c r="G35" s="6">
        <v>63</v>
      </c>
      <c r="H35" s="6">
        <v>31.3</v>
      </c>
      <c r="I35" s="5">
        <f t="shared" si="2"/>
        <v>1870.2</v>
      </c>
      <c r="J35" s="22">
        <f t="shared" si="3"/>
        <v>1.0629999999999999</v>
      </c>
      <c r="K35" s="5"/>
    </row>
    <row r="36" spans="2:11">
      <c r="B36" s="5">
        <f t="shared" si="1"/>
        <v>32</v>
      </c>
      <c r="C36" s="6" t="s">
        <v>400</v>
      </c>
      <c r="D36" s="6" t="s">
        <v>278</v>
      </c>
      <c r="E36" s="6"/>
      <c r="F36" s="6"/>
      <c r="G36" s="6">
        <v>63</v>
      </c>
      <c r="H36" s="6">
        <v>48.8</v>
      </c>
      <c r="I36" s="5">
        <f t="shared" si="2"/>
        <v>1919</v>
      </c>
      <c r="J36" s="22">
        <f t="shared" si="3"/>
        <v>1.0629999999999999</v>
      </c>
      <c r="K36" s="5"/>
    </row>
    <row r="37" spans="2:11">
      <c r="B37" s="5">
        <f t="shared" si="1"/>
        <v>33</v>
      </c>
      <c r="C37" s="6" t="s">
        <v>349</v>
      </c>
      <c r="D37" s="6" t="s">
        <v>353</v>
      </c>
      <c r="E37" s="6"/>
      <c r="F37" s="6"/>
      <c r="G37" s="6">
        <v>63</v>
      </c>
      <c r="H37" s="6">
        <v>60.4</v>
      </c>
      <c r="I37" s="5">
        <f t="shared" si="2"/>
        <v>1979.4</v>
      </c>
      <c r="J37" s="22">
        <f t="shared" si="3"/>
        <v>1.0629999999999999</v>
      </c>
      <c r="K37" s="5"/>
    </row>
    <row r="38" spans="2:11">
      <c r="B38" s="5">
        <f t="shared" ref="B38:B72" si="4">1+B37</f>
        <v>34</v>
      </c>
      <c r="C38" s="6" t="s">
        <v>198</v>
      </c>
      <c r="D38" s="6" t="s">
        <v>396</v>
      </c>
      <c r="E38" s="6" t="s">
        <v>199</v>
      </c>
      <c r="F38" s="32">
        <f>(300+G38)/1000</f>
        <v>0.36299999999999999</v>
      </c>
      <c r="G38" s="6">
        <v>63</v>
      </c>
      <c r="H38" s="6">
        <v>3.5</v>
      </c>
      <c r="I38" s="5">
        <f t="shared" ref="I38:I69" si="5">+I37+H38</f>
        <v>1982.9</v>
      </c>
      <c r="J38" s="22">
        <f t="shared" si="3"/>
        <v>1.0629999999999999</v>
      </c>
      <c r="K38" s="5"/>
    </row>
    <row r="39" spans="2:11">
      <c r="B39" s="5">
        <f t="shared" si="4"/>
        <v>35</v>
      </c>
      <c r="C39" s="6" t="s">
        <v>198</v>
      </c>
      <c r="D39" s="6" t="s">
        <v>396</v>
      </c>
      <c r="E39" s="6"/>
      <c r="F39" s="6"/>
      <c r="G39" s="6">
        <v>63</v>
      </c>
      <c r="H39" s="6">
        <v>62.9</v>
      </c>
      <c r="I39" s="5">
        <f t="shared" si="5"/>
        <v>2045.8000000000002</v>
      </c>
      <c r="J39" s="22">
        <f t="shared" si="3"/>
        <v>1.0629999999999999</v>
      </c>
      <c r="K39" s="5"/>
    </row>
    <row r="40" spans="2:11">
      <c r="B40" s="5">
        <f t="shared" si="4"/>
        <v>36</v>
      </c>
      <c r="C40" s="6" t="s">
        <v>396</v>
      </c>
      <c r="D40" s="6" t="s">
        <v>351</v>
      </c>
      <c r="E40" s="6"/>
      <c r="F40" s="6"/>
      <c r="G40" s="6">
        <v>63</v>
      </c>
      <c r="H40" s="6">
        <v>31.4</v>
      </c>
      <c r="I40" s="5">
        <f t="shared" si="5"/>
        <v>2077.2000000000003</v>
      </c>
      <c r="J40" s="22">
        <f t="shared" si="3"/>
        <v>1.0629999999999999</v>
      </c>
      <c r="K40" s="5"/>
    </row>
    <row r="41" spans="2:11">
      <c r="B41" s="5">
        <f t="shared" si="4"/>
        <v>37</v>
      </c>
      <c r="C41" s="6" t="s">
        <v>396</v>
      </c>
      <c r="D41" s="6" t="s">
        <v>512</v>
      </c>
      <c r="E41" s="6"/>
      <c r="F41" s="6"/>
      <c r="G41" s="6">
        <v>63</v>
      </c>
      <c r="H41" s="6">
        <v>25.4</v>
      </c>
      <c r="I41" s="5">
        <f t="shared" si="5"/>
        <v>2102.6000000000004</v>
      </c>
      <c r="J41" s="22">
        <f t="shared" si="3"/>
        <v>1.0629999999999999</v>
      </c>
      <c r="K41" s="5"/>
    </row>
    <row r="42" spans="2:11">
      <c r="B42" s="5">
        <f t="shared" si="4"/>
        <v>38</v>
      </c>
      <c r="C42" s="6" t="s">
        <v>512</v>
      </c>
      <c r="D42" s="6" t="s">
        <v>513</v>
      </c>
      <c r="E42" s="6"/>
      <c r="F42" s="6"/>
      <c r="G42" s="6">
        <v>63</v>
      </c>
      <c r="H42" s="6">
        <v>38.299999999999997</v>
      </c>
      <c r="I42" s="5">
        <f t="shared" si="5"/>
        <v>2140.9000000000005</v>
      </c>
      <c r="J42" s="22">
        <f t="shared" si="3"/>
        <v>1.0629999999999999</v>
      </c>
      <c r="K42" s="5"/>
    </row>
    <row r="43" spans="2:11">
      <c r="B43" s="5">
        <f t="shared" si="4"/>
        <v>39</v>
      </c>
      <c r="C43" s="6" t="s">
        <v>513</v>
      </c>
      <c r="D43" s="6" t="s">
        <v>514</v>
      </c>
      <c r="E43" s="6"/>
      <c r="F43" s="6"/>
      <c r="G43" s="6">
        <v>63</v>
      </c>
      <c r="H43" s="6">
        <v>36</v>
      </c>
      <c r="I43" s="5">
        <f t="shared" si="5"/>
        <v>2176.9000000000005</v>
      </c>
      <c r="J43" s="22">
        <f t="shared" si="3"/>
        <v>1.0629999999999999</v>
      </c>
      <c r="K43" s="5"/>
    </row>
    <row r="44" spans="2:11">
      <c r="B44" s="5">
        <f t="shared" si="4"/>
        <v>40</v>
      </c>
      <c r="C44" s="6" t="s">
        <v>513</v>
      </c>
      <c r="D44" s="6" t="s">
        <v>426</v>
      </c>
      <c r="E44" s="6"/>
      <c r="F44" s="6"/>
      <c r="G44" s="6">
        <v>63</v>
      </c>
      <c r="H44" s="6">
        <v>134.19999999999999</v>
      </c>
      <c r="I44" s="5">
        <f t="shared" si="5"/>
        <v>2311.1000000000004</v>
      </c>
      <c r="J44" s="22">
        <f t="shared" si="3"/>
        <v>1.0629999999999999</v>
      </c>
      <c r="K44" s="5"/>
    </row>
    <row r="45" spans="2:11">
      <c r="B45" s="5">
        <f t="shared" si="4"/>
        <v>41</v>
      </c>
      <c r="C45" s="6" t="s">
        <v>426</v>
      </c>
      <c r="D45" s="6" t="s">
        <v>197</v>
      </c>
      <c r="E45" s="6"/>
      <c r="F45" s="6"/>
      <c r="G45" s="6">
        <v>63</v>
      </c>
      <c r="H45" s="6">
        <v>53.7</v>
      </c>
      <c r="I45" s="5">
        <f t="shared" si="5"/>
        <v>2364.8000000000002</v>
      </c>
      <c r="J45" s="22">
        <f t="shared" si="3"/>
        <v>1.0629999999999999</v>
      </c>
      <c r="K45" s="5"/>
    </row>
    <row r="46" spans="2:11">
      <c r="B46" s="5">
        <f t="shared" si="4"/>
        <v>42</v>
      </c>
      <c r="C46" s="6" t="s">
        <v>397</v>
      </c>
      <c r="D46" s="6" t="s">
        <v>515</v>
      </c>
      <c r="E46" s="6"/>
      <c r="F46" s="6"/>
      <c r="G46" s="6">
        <v>63</v>
      </c>
      <c r="H46" s="6">
        <v>62.1</v>
      </c>
      <c r="I46" s="5">
        <f t="shared" si="5"/>
        <v>2426.9</v>
      </c>
      <c r="J46" s="22">
        <f t="shared" si="3"/>
        <v>1.0629999999999999</v>
      </c>
      <c r="K46" s="5"/>
    </row>
    <row r="47" spans="2:11">
      <c r="B47" s="5">
        <f t="shared" si="4"/>
        <v>43</v>
      </c>
      <c r="C47" s="6" t="s">
        <v>516</v>
      </c>
      <c r="D47" s="6" t="s">
        <v>361</v>
      </c>
      <c r="E47" s="6"/>
      <c r="F47" s="6"/>
      <c r="G47" s="6">
        <v>63</v>
      </c>
      <c r="H47" s="6">
        <v>22.9</v>
      </c>
      <c r="I47" s="5">
        <f t="shared" si="5"/>
        <v>2449.8000000000002</v>
      </c>
      <c r="J47" s="22">
        <f t="shared" si="3"/>
        <v>1.0629999999999999</v>
      </c>
      <c r="K47" s="5"/>
    </row>
    <row r="48" spans="2:11">
      <c r="B48" s="5">
        <f t="shared" si="4"/>
        <v>44</v>
      </c>
      <c r="C48" s="6" t="s">
        <v>510</v>
      </c>
      <c r="D48" s="6" t="s">
        <v>386</v>
      </c>
      <c r="E48" s="6"/>
      <c r="F48" s="6"/>
      <c r="G48" s="6">
        <v>63</v>
      </c>
      <c r="H48" s="6">
        <v>245.2</v>
      </c>
      <c r="I48" s="5">
        <f t="shared" si="5"/>
        <v>2695</v>
      </c>
      <c r="J48" s="22">
        <f t="shared" si="3"/>
        <v>1.0629999999999999</v>
      </c>
      <c r="K48" s="5"/>
    </row>
    <row r="49" spans="2:11">
      <c r="B49" s="5">
        <f t="shared" si="4"/>
        <v>45</v>
      </c>
      <c r="C49" s="6" t="s">
        <v>516</v>
      </c>
      <c r="D49" s="6" t="s">
        <v>510</v>
      </c>
      <c r="E49" s="6"/>
      <c r="F49" s="6"/>
      <c r="G49" s="6">
        <v>63</v>
      </c>
      <c r="H49" s="6">
        <v>37.9</v>
      </c>
      <c r="I49" s="5">
        <f t="shared" si="5"/>
        <v>2732.9</v>
      </c>
      <c r="J49" s="22">
        <f t="shared" si="3"/>
        <v>1.0629999999999999</v>
      </c>
      <c r="K49" s="5"/>
    </row>
    <row r="50" spans="2:11">
      <c r="B50" s="5">
        <f t="shared" si="4"/>
        <v>46</v>
      </c>
      <c r="C50" s="6" t="s">
        <v>386</v>
      </c>
      <c r="D50" s="6" t="s">
        <v>517</v>
      </c>
      <c r="E50" s="6"/>
      <c r="F50" s="6"/>
      <c r="G50" s="6">
        <v>63</v>
      </c>
      <c r="H50" s="6">
        <v>26.3</v>
      </c>
      <c r="I50" s="5">
        <f t="shared" si="5"/>
        <v>2759.2000000000003</v>
      </c>
      <c r="J50" s="22">
        <f t="shared" si="3"/>
        <v>1.0629999999999999</v>
      </c>
      <c r="K50" s="5"/>
    </row>
    <row r="51" spans="2:11">
      <c r="B51" s="5">
        <f t="shared" si="4"/>
        <v>47</v>
      </c>
      <c r="C51" s="6" t="s">
        <v>386</v>
      </c>
      <c r="D51" s="6" t="s">
        <v>517</v>
      </c>
      <c r="E51" s="6" t="s">
        <v>199</v>
      </c>
      <c r="F51" s="32">
        <f>(300+G51)/1000</f>
        <v>0.36299999999999999</v>
      </c>
      <c r="G51" s="6">
        <v>63</v>
      </c>
      <c r="H51" s="6">
        <v>10.1</v>
      </c>
      <c r="I51" s="5">
        <f t="shared" si="5"/>
        <v>2769.3</v>
      </c>
      <c r="J51" s="22">
        <f t="shared" si="3"/>
        <v>1.0629999999999999</v>
      </c>
      <c r="K51" s="5"/>
    </row>
    <row r="52" spans="2:11">
      <c r="B52" s="5">
        <f t="shared" si="4"/>
        <v>48</v>
      </c>
      <c r="C52" s="6" t="s">
        <v>386</v>
      </c>
      <c r="D52" s="6" t="s">
        <v>518</v>
      </c>
      <c r="E52" s="6" t="s">
        <v>199</v>
      </c>
      <c r="F52" s="32">
        <f>(300+G52)/1000</f>
        <v>0.36299999999999999</v>
      </c>
      <c r="G52" s="6">
        <v>63</v>
      </c>
      <c r="H52" s="6">
        <v>38.1</v>
      </c>
      <c r="I52" s="5">
        <f t="shared" si="5"/>
        <v>2807.4</v>
      </c>
      <c r="J52" s="22">
        <f t="shared" si="3"/>
        <v>1.0629999999999999</v>
      </c>
      <c r="K52" s="5"/>
    </row>
    <row r="53" spans="2:11">
      <c r="B53" s="5">
        <f t="shared" si="4"/>
        <v>49</v>
      </c>
      <c r="C53" s="6" t="s">
        <v>228</v>
      </c>
      <c r="D53" s="6" t="s">
        <v>225</v>
      </c>
      <c r="E53" s="6"/>
      <c r="F53" s="6"/>
      <c r="G53" s="6">
        <v>63</v>
      </c>
      <c r="H53" s="6">
        <v>58</v>
      </c>
      <c r="I53" s="5">
        <f t="shared" si="5"/>
        <v>2865.4</v>
      </c>
      <c r="J53" s="22">
        <f t="shared" si="3"/>
        <v>1.0629999999999999</v>
      </c>
      <c r="K53" s="5"/>
    </row>
    <row r="54" spans="2:11">
      <c r="B54" s="5">
        <f t="shared" si="4"/>
        <v>50</v>
      </c>
      <c r="C54" s="6" t="s">
        <v>225</v>
      </c>
      <c r="D54" s="6" t="s">
        <v>519</v>
      </c>
      <c r="E54" s="6"/>
      <c r="F54" s="6"/>
      <c r="G54" s="6">
        <v>63</v>
      </c>
      <c r="H54" s="6">
        <v>52.1</v>
      </c>
      <c r="I54" s="5">
        <f t="shared" si="5"/>
        <v>2917.5</v>
      </c>
      <c r="J54" s="22">
        <f t="shared" si="3"/>
        <v>1.0629999999999999</v>
      </c>
      <c r="K54" s="5"/>
    </row>
    <row r="55" spans="2:11">
      <c r="B55" s="5">
        <f t="shared" si="4"/>
        <v>51</v>
      </c>
      <c r="C55" s="6" t="s">
        <v>519</v>
      </c>
      <c r="D55" s="6" t="s">
        <v>434</v>
      </c>
      <c r="E55" s="6"/>
      <c r="F55" s="6"/>
      <c r="G55" s="6">
        <v>63</v>
      </c>
      <c r="H55" s="6">
        <v>25.8</v>
      </c>
      <c r="I55" s="5">
        <f t="shared" si="5"/>
        <v>2943.3</v>
      </c>
      <c r="J55" s="22">
        <f t="shared" si="3"/>
        <v>1.0629999999999999</v>
      </c>
      <c r="K55" s="5"/>
    </row>
    <row r="56" spans="2:11">
      <c r="B56" s="5">
        <f t="shared" si="4"/>
        <v>52</v>
      </c>
      <c r="C56" s="6" t="s">
        <v>519</v>
      </c>
      <c r="D56" s="6" t="s">
        <v>520</v>
      </c>
      <c r="E56" s="6"/>
      <c r="F56" s="6"/>
      <c r="G56" s="6">
        <v>63</v>
      </c>
      <c r="H56" s="6">
        <v>17.2</v>
      </c>
      <c r="I56" s="5">
        <f t="shared" si="5"/>
        <v>2960.5</v>
      </c>
      <c r="J56" s="22">
        <f t="shared" si="3"/>
        <v>1.0629999999999999</v>
      </c>
      <c r="K56" s="5"/>
    </row>
    <row r="57" spans="2:11">
      <c r="B57" s="5">
        <f t="shared" si="4"/>
        <v>53</v>
      </c>
      <c r="C57" s="6" t="s">
        <v>419</v>
      </c>
      <c r="D57" s="6" t="s">
        <v>258</v>
      </c>
      <c r="E57" s="6"/>
      <c r="F57" s="6"/>
      <c r="G57" s="6">
        <v>63</v>
      </c>
      <c r="H57" s="6">
        <v>232.7</v>
      </c>
      <c r="I57" s="5">
        <f t="shared" si="5"/>
        <v>3193.2</v>
      </c>
      <c r="J57" s="22">
        <f t="shared" si="3"/>
        <v>1.0629999999999999</v>
      </c>
      <c r="K57" s="5"/>
    </row>
    <row r="58" spans="2:11">
      <c r="B58" s="5">
        <f t="shared" si="4"/>
        <v>54</v>
      </c>
      <c r="C58" s="6" t="s">
        <v>419</v>
      </c>
      <c r="D58" s="6" t="s">
        <v>258</v>
      </c>
      <c r="E58" s="6" t="s">
        <v>301</v>
      </c>
      <c r="F58" s="32">
        <f>(300+G58)/1000</f>
        <v>0.36299999999999999</v>
      </c>
      <c r="G58" s="6">
        <v>63</v>
      </c>
      <c r="H58" s="6">
        <v>67.8</v>
      </c>
      <c r="I58" s="5">
        <f t="shared" si="5"/>
        <v>3261</v>
      </c>
      <c r="J58" s="22">
        <f t="shared" si="3"/>
        <v>1.0629999999999999</v>
      </c>
      <c r="K58" s="5"/>
    </row>
    <row r="59" spans="2:11">
      <c r="B59" s="5">
        <f t="shared" si="4"/>
        <v>55</v>
      </c>
      <c r="C59" s="6" t="s">
        <v>419</v>
      </c>
      <c r="D59" s="6" t="s">
        <v>258</v>
      </c>
      <c r="E59" s="6"/>
      <c r="F59" s="6"/>
      <c r="G59" s="6">
        <v>63</v>
      </c>
      <c r="H59" s="6">
        <v>37.200000000000003</v>
      </c>
      <c r="I59" s="5">
        <f t="shared" si="5"/>
        <v>3298.2</v>
      </c>
      <c r="J59" s="22">
        <f t="shared" ref="J59:J80" si="6">(1000+G59)/1000</f>
        <v>1.0629999999999999</v>
      </c>
      <c r="K59" s="5"/>
    </row>
    <row r="60" spans="2:11">
      <c r="B60" s="5">
        <f t="shared" si="4"/>
        <v>56</v>
      </c>
      <c r="C60" s="6" t="s">
        <v>30</v>
      </c>
      <c r="D60" s="6" t="s">
        <v>521</v>
      </c>
      <c r="E60" s="6"/>
      <c r="F60" s="6"/>
      <c r="G60" s="6">
        <v>75</v>
      </c>
      <c r="H60" s="6">
        <v>54.7</v>
      </c>
      <c r="I60" s="5">
        <f t="shared" si="5"/>
        <v>3352.8999999999996</v>
      </c>
      <c r="J60" s="22">
        <f t="shared" si="6"/>
        <v>1.075</v>
      </c>
      <c r="K60" s="5"/>
    </row>
    <row r="61" spans="2:11">
      <c r="B61" s="5">
        <f t="shared" si="4"/>
        <v>57</v>
      </c>
      <c r="C61" s="6" t="s">
        <v>522</v>
      </c>
      <c r="D61" s="6" t="s">
        <v>286</v>
      </c>
      <c r="E61" s="6"/>
      <c r="F61" s="6"/>
      <c r="G61" s="6">
        <v>75</v>
      </c>
      <c r="H61" s="6">
        <v>11.4</v>
      </c>
      <c r="I61" s="5">
        <f t="shared" si="5"/>
        <v>3364.2999999999997</v>
      </c>
      <c r="J61" s="22">
        <f t="shared" si="6"/>
        <v>1.075</v>
      </c>
      <c r="K61" s="5"/>
    </row>
    <row r="62" spans="2:11">
      <c r="B62" s="5">
        <f t="shared" si="4"/>
        <v>58</v>
      </c>
      <c r="C62" s="6" t="s">
        <v>395</v>
      </c>
      <c r="D62" s="6" t="s">
        <v>522</v>
      </c>
      <c r="E62" s="6"/>
      <c r="F62" s="6"/>
      <c r="G62" s="6">
        <v>75</v>
      </c>
      <c r="H62" s="6">
        <v>54.7</v>
      </c>
      <c r="I62" s="5">
        <f t="shared" si="5"/>
        <v>3418.9999999999995</v>
      </c>
      <c r="J62" s="22">
        <f t="shared" si="6"/>
        <v>1.075</v>
      </c>
      <c r="K62" s="5"/>
    </row>
    <row r="63" spans="2:11">
      <c r="B63" s="5">
        <f t="shared" si="4"/>
        <v>59</v>
      </c>
      <c r="C63" s="6" t="s">
        <v>281</v>
      </c>
      <c r="D63" s="6" t="s">
        <v>350</v>
      </c>
      <c r="E63" s="6"/>
      <c r="F63" s="6"/>
      <c r="G63" s="6">
        <v>75</v>
      </c>
      <c r="H63" s="6">
        <v>22.8</v>
      </c>
      <c r="I63" s="5">
        <f t="shared" si="5"/>
        <v>3441.7999999999997</v>
      </c>
      <c r="J63" s="22">
        <f t="shared" si="6"/>
        <v>1.075</v>
      </c>
      <c r="K63" s="5"/>
    </row>
    <row r="64" spans="2:11">
      <c r="B64" s="5">
        <f t="shared" si="4"/>
        <v>60</v>
      </c>
      <c r="C64" s="6" t="s">
        <v>523</v>
      </c>
      <c r="D64" s="6" t="s">
        <v>282</v>
      </c>
      <c r="E64" s="6"/>
      <c r="F64" s="6"/>
      <c r="G64" s="6">
        <v>75</v>
      </c>
      <c r="H64" s="6">
        <v>24.3</v>
      </c>
      <c r="I64" s="5">
        <f t="shared" si="5"/>
        <v>3466.1</v>
      </c>
      <c r="J64" s="22">
        <f t="shared" si="6"/>
        <v>1.075</v>
      </c>
      <c r="K64" s="5"/>
    </row>
    <row r="65" spans="2:11">
      <c r="B65" s="5">
        <f t="shared" si="4"/>
        <v>61</v>
      </c>
      <c r="C65" s="6" t="s">
        <v>510</v>
      </c>
      <c r="D65" s="6" t="s">
        <v>516</v>
      </c>
      <c r="E65" s="6" t="s">
        <v>199</v>
      </c>
      <c r="F65" s="32">
        <f>(300+G65)/1000</f>
        <v>0.375</v>
      </c>
      <c r="G65" s="6">
        <v>75</v>
      </c>
      <c r="H65" s="6">
        <v>55.6</v>
      </c>
      <c r="I65" s="5">
        <f t="shared" si="5"/>
        <v>3521.7</v>
      </c>
      <c r="J65" s="22">
        <f t="shared" si="6"/>
        <v>1.075</v>
      </c>
      <c r="K65" s="5"/>
    </row>
    <row r="66" spans="2:11">
      <c r="B66" s="5">
        <f t="shared" si="4"/>
        <v>62</v>
      </c>
      <c r="C66" s="6" t="s">
        <v>416</v>
      </c>
      <c r="D66" s="6" t="s">
        <v>412</v>
      </c>
      <c r="E66" s="6"/>
      <c r="F66" s="6"/>
      <c r="G66" s="6">
        <v>90</v>
      </c>
      <c r="H66" s="6">
        <v>21.9</v>
      </c>
      <c r="I66" s="5">
        <f t="shared" si="5"/>
        <v>3543.6</v>
      </c>
      <c r="J66" s="22">
        <f t="shared" si="6"/>
        <v>1.0900000000000001</v>
      </c>
      <c r="K66" s="5"/>
    </row>
    <row r="67" spans="2:11">
      <c r="B67" s="5">
        <f t="shared" si="4"/>
        <v>63</v>
      </c>
      <c r="C67" s="6" t="s">
        <v>412</v>
      </c>
      <c r="D67" s="6" t="s">
        <v>268</v>
      </c>
      <c r="E67" s="6"/>
      <c r="F67" s="6"/>
      <c r="G67" s="6">
        <v>90</v>
      </c>
      <c r="H67" s="6">
        <v>20.2</v>
      </c>
      <c r="I67" s="5">
        <f t="shared" si="5"/>
        <v>3563.7999999999997</v>
      </c>
      <c r="J67" s="22">
        <f t="shared" si="6"/>
        <v>1.0900000000000001</v>
      </c>
      <c r="K67" s="5"/>
    </row>
    <row r="68" spans="2:11">
      <c r="B68" s="5">
        <f t="shared" si="4"/>
        <v>64</v>
      </c>
      <c r="C68" s="6" t="s">
        <v>268</v>
      </c>
      <c r="D68" s="6" t="s">
        <v>521</v>
      </c>
      <c r="E68" s="6"/>
      <c r="F68" s="6"/>
      <c r="G68" s="6">
        <v>90</v>
      </c>
      <c r="H68" s="6">
        <v>26.6</v>
      </c>
      <c r="I68" s="5">
        <f t="shared" si="5"/>
        <v>3590.3999999999996</v>
      </c>
      <c r="J68" s="22">
        <f t="shared" si="6"/>
        <v>1.0900000000000001</v>
      </c>
      <c r="K68" s="5"/>
    </row>
    <row r="69" spans="2:11">
      <c r="B69" s="5">
        <f t="shared" si="4"/>
        <v>65</v>
      </c>
      <c r="C69" s="6" t="s">
        <v>412</v>
      </c>
      <c r="D69" s="6" t="s">
        <v>267</v>
      </c>
      <c r="E69" s="6"/>
      <c r="F69" s="6"/>
      <c r="G69" s="6">
        <v>90</v>
      </c>
      <c r="H69" s="6">
        <v>7.1</v>
      </c>
      <c r="I69" s="5">
        <f t="shared" si="5"/>
        <v>3597.4999999999995</v>
      </c>
      <c r="J69" s="22">
        <f t="shared" si="6"/>
        <v>1.0900000000000001</v>
      </c>
      <c r="K69" s="5"/>
    </row>
    <row r="70" spans="2:11">
      <c r="B70" s="5">
        <f t="shared" si="4"/>
        <v>66</v>
      </c>
      <c r="C70" s="6" t="s">
        <v>267</v>
      </c>
      <c r="D70" s="6" t="s">
        <v>268</v>
      </c>
      <c r="E70" s="6"/>
      <c r="F70" s="6"/>
      <c r="G70" s="6">
        <v>90</v>
      </c>
      <c r="H70" s="6">
        <v>16.7</v>
      </c>
      <c r="I70" s="5">
        <f t="shared" ref="I70:I101" si="7">+I69+H70</f>
        <v>3614.1999999999994</v>
      </c>
      <c r="J70" s="22">
        <f t="shared" si="6"/>
        <v>1.0900000000000001</v>
      </c>
      <c r="K70" s="5"/>
    </row>
    <row r="71" spans="2:11">
      <c r="B71" s="5">
        <f t="shared" si="4"/>
        <v>67</v>
      </c>
      <c r="C71" s="6" t="s">
        <v>267</v>
      </c>
      <c r="D71" s="6" t="s">
        <v>394</v>
      </c>
      <c r="E71" s="6"/>
      <c r="F71" s="6"/>
      <c r="G71" s="6">
        <v>90</v>
      </c>
      <c r="H71" s="6">
        <v>42.3</v>
      </c>
      <c r="I71" s="5">
        <f t="shared" si="7"/>
        <v>3656.4999999999995</v>
      </c>
      <c r="J71" s="22">
        <f t="shared" si="6"/>
        <v>1.0900000000000001</v>
      </c>
      <c r="K71" s="5"/>
    </row>
    <row r="72" spans="2:11">
      <c r="B72" s="5">
        <f t="shared" si="4"/>
        <v>68</v>
      </c>
      <c r="C72" s="6" t="s">
        <v>507</v>
      </c>
      <c r="D72" s="6" t="s">
        <v>416</v>
      </c>
      <c r="E72" s="6"/>
      <c r="F72" s="6"/>
      <c r="G72" s="6">
        <v>90</v>
      </c>
      <c r="H72" s="6">
        <v>41.9</v>
      </c>
      <c r="I72" s="5">
        <f t="shared" si="7"/>
        <v>3698.3999999999996</v>
      </c>
      <c r="J72" s="22">
        <f t="shared" si="6"/>
        <v>1.0900000000000001</v>
      </c>
      <c r="K72" s="5"/>
    </row>
    <row r="73" spans="2:11">
      <c r="B73" s="5"/>
      <c r="C73" s="6" t="s">
        <v>283</v>
      </c>
      <c r="D73" s="6" t="s">
        <v>281</v>
      </c>
      <c r="E73" s="6"/>
      <c r="F73" s="6"/>
      <c r="G73" s="6">
        <v>90</v>
      </c>
      <c r="H73" s="6">
        <v>17.8</v>
      </c>
      <c r="I73" s="5">
        <f t="shared" si="7"/>
        <v>3716.2</v>
      </c>
      <c r="J73" s="22">
        <f t="shared" si="6"/>
        <v>1.0900000000000001</v>
      </c>
      <c r="K73" s="6"/>
    </row>
    <row r="74" spans="2:11">
      <c r="B74" s="5">
        <f>1+B72</f>
        <v>69</v>
      </c>
      <c r="C74" s="6" t="s">
        <v>426</v>
      </c>
      <c r="D74" s="6" t="s">
        <v>524</v>
      </c>
      <c r="E74" s="6"/>
      <c r="F74" s="6"/>
      <c r="G74" s="6">
        <v>90</v>
      </c>
      <c r="H74" s="6">
        <v>120.3</v>
      </c>
      <c r="I74" s="5">
        <f t="shared" si="7"/>
        <v>3836.5</v>
      </c>
      <c r="J74" s="22">
        <f t="shared" si="6"/>
        <v>1.0900000000000001</v>
      </c>
      <c r="K74" s="6"/>
    </row>
    <row r="75" spans="2:11">
      <c r="B75" s="5">
        <f t="shared" ref="B75:B108" si="8">1+B74</f>
        <v>70</v>
      </c>
      <c r="C75" s="6" t="s">
        <v>426</v>
      </c>
      <c r="D75" s="6" t="s">
        <v>524</v>
      </c>
      <c r="E75" s="6" t="s">
        <v>387</v>
      </c>
      <c r="F75" s="32">
        <f>(300+G75)/1000</f>
        <v>0.39</v>
      </c>
      <c r="G75" s="6">
        <v>90</v>
      </c>
      <c r="H75" s="6">
        <v>200.1</v>
      </c>
      <c r="I75" s="5">
        <f t="shared" si="7"/>
        <v>4036.6</v>
      </c>
      <c r="J75" s="22">
        <f t="shared" si="6"/>
        <v>1.0900000000000001</v>
      </c>
      <c r="K75" s="6"/>
    </row>
    <row r="76" spans="2:11">
      <c r="B76" s="5">
        <f t="shared" si="8"/>
        <v>71</v>
      </c>
      <c r="C76" s="6" t="s">
        <v>426</v>
      </c>
      <c r="D76" s="6" t="s">
        <v>524</v>
      </c>
      <c r="E76" s="6" t="s">
        <v>199</v>
      </c>
      <c r="F76" s="32">
        <f>(300+G76)/1000</f>
        <v>0.39</v>
      </c>
      <c r="G76" s="6">
        <v>90</v>
      </c>
      <c r="H76" s="6">
        <v>41.8</v>
      </c>
      <c r="I76" s="5">
        <f t="shared" si="7"/>
        <v>4078.4</v>
      </c>
      <c r="J76" s="22">
        <f t="shared" si="6"/>
        <v>1.0900000000000001</v>
      </c>
      <c r="K76" s="6"/>
    </row>
    <row r="77" spans="2:11">
      <c r="B77" s="5">
        <f t="shared" si="8"/>
        <v>72</v>
      </c>
      <c r="C77" s="6" t="s">
        <v>398</v>
      </c>
      <c r="D77" s="6" t="s">
        <v>419</v>
      </c>
      <c r="E77" s="6"/>
      <c r="F77" s="6"/>
      <c r="G77" s="6">
        <v>90</v>
      </c>
      <c r="H77" s="6">
        <v>217.1</v>
      </c>
      <c r="I77" s="5">
        <f t="shared" si="7"/>
        <v>4295.5</v>
      </c>
      <c r="J77" s="22">
        <f t="shared" si="6"/>
        <v>1.0900000000000001</v>
      </c>
      <c r="K77" s="6"/>
    </row>
    <row r="78" spans="2:11">
      <c r="B78" s="5">
        <f t="shared" si="8"/>
        <v>73</v>
      </c>
      <c r="C78" s="6" t="s">
        <v>398</v>
      </c>
      <c r="D78" s="6" t="s">
        <v>419</v>
      </c>
      <c r="E78" s="6" t="s">
        <v>193</v>
      </c>
      <c r="F78" s="32">
        <f>(300+G78)/1000</f>
        <v>0.39</v>
      </c>
      <c r="G78" s="6">
        <v>90</v>
      </c>
      <c r="H78" s="6">
        <v>5.3</v>
      </c>
      <c r="I78" s="5">
        <f t="shared" si="7"/>
        <v>4300.8</v>
      </c>
      <c r="J78" s="22">
        <f t="shared" si="6"/>
        <v>1.0900000000000001</v>
      </c>
      <c r="K78" s="6"/>
    </row>
    <row r="79" spans="2:11">
      <c r="B79" s="5">
        <f t="shared" si="8"/>
        <v>74</v>
      </c>
      <c r="C79" s="6" t="s">
        <v>416</v>
      </c>
      <c r="D79" s="6" t="s">
        <v>525</v>
      </c>
      <c r="E79" s="6" t="s">
        <v>193</v>
      </c>
      <c r="F79" s="32">
        <f>(300+G79)/1000</f>
        <v>0.41</v>
      </c>
      <c r="G79" s="6">
        <v>110</v>
      </c>
      <c r="H79" s="6">
        <v>4.3</v>
      </c>
      <c r="I79" s="5">
        <f t="shared" si="7"/>
        <v>4305.1000000000004</v>
      </c>
      <c r="J79" s="22">
        <f t="shared" si="6"/>
        <v>1.1100000000000001</v>
      </c>
      <c r="K79" s="5"/>
    </row>
    <row r="80" spans="2:11">
      <c r="B80" s="5">
        <f t="shared" si="8"/>
        <v>75</v>
      </c>
      <c r="C80" s="6" t="s">
        <v>416</v>
      </c>
      <c r="D80" s="6" t="s">
        <v>525</v>
      </c>
      <c r="E80" s="6"/>
      <c r="F80" s="6"/>
      <c r="G80" s="6">
        <v>110</v>
      </c>
      <c r="H80" s="6">
        <v>5.5</v>
      </c>
      <c r="I80" s="5">
        <f t="shared" si="7"/>
        <v>4310.6000000000004</v>
      </c>
      <c r="J80" s="22">
        <f t="shared" si="6"/>
        <v>1.1100000000000001</v>
      </c>
      <c r="K80" s="5"/>
    </row>
    <row r="81" spans="2:17">
      <c r="B81" s="5">
        <f t="shared" si="8"/>
        <v>76</v>
      </c>
      <c r="C81" s="6" t="s">
        <v>416</v>
      </c>
      <c r="D81" s="6" t="s">
        <v>525</v>
      </c>
      <c r="E81" s="6" t="s">
        <v>304</v>
      </c>
      <c r="F81" s="6"/>
      <c r="G81" s="6">
        <v>110</v>
      </c>
      <c r="H81" s="6">
        <v>22.2</v>
      </c>
      <c r="I81" s="5">
        <f t="shared" si="7"/>
        <v>4332.8</v>
      </c>
      <c r="J81" s="22"/>
      <c r="K81" s="5" t="s">
        <v>304</v>
      </c>
    </row>
    <row r="82" spans="2:17">
      <c r="B82" s="5">
        <f t="shared" si="8"/>
        <v>77</v>
      </c>
      <c r="C82" s="6" t="s">
        <v>416</v>
      </c>
      <c r="D82" s="6" t="s">
        <v>316</v>
      </c>
      <c r="E82" s="6" t="s">
        <v>193</v>
      </c>
      <c r="F82" s="32">
        <f>(300+G82)/1000</f>
        <v>0.41</v>
      </c>
      <c r="G82" s="6">
        <v>110</v>
      </c>
      <c r="H82" s="6">
        <v>6.3</v>
      </c>
      <c r="I82" s="5">
        <f t="shared" si="7"/>
        <v>4339.1000000000004</v>
      </c>
      <c r="J82" s="22">
        <f t="shared" ref="J82:J108" si="9">(1000+G82)/1000</f>
        <v>1.1100000000000001</v>
      </c>
      <c r="K82" s="5"/>
    </row>
    <row r="83" spans="2:17">
      <c r="B83" s="5">
        <f t="shared" si="8"/>
        <v>78</v>
      </c>
      <c r="C83" s="6" t="s">
        <v>525</v>
      </c>
      <c r="D83" s="6" t="s">
        <v>417</v>
      </c>
      <c r="E83" s="6"/>
      <c r="F83" s="6"/>
      <c r="G83" s="6">
        <v>110</v>
      </c>
      <c r="H83" s="6">
        <v>381.5</v>
      </c>
      <c r="I83" s="5">
        <f t="shared" si="7"/>
        <v>4720.6000000000004</v>
      </c>
      <c r="J83" s="22">
        <f t="shared" si="9"/>
        <v>1.1100000000000001</v>
      </c>
      <c r="K83" s="5"/>
    </row>
    <row r="84" spans="2:17">
      <c r="B84" s="5">
        <f t="shared" si="8"/>
        <v>79</v>
      </c>
      <c r="C84" s="6" t="s">
        <v>418</v>
      </c>
      <c r="D84" s="6" t="s">
        <v>283</v>
      </c>
      <c r="E84" s="6"/>
      <c r="F84" s="6"/>
      <c r="G84" s="6">
        <v>110</v>
      </c>
      <c r="H84" s="6">
        <v>120.5</v>
      </c>
      <c r="I84" s="5">
        <f t="shared" si="7"/>
        <v>4841.1000000000004</v>
      </c>
      <c r="J84" s="22">
        <f t="shared" si="9"/>
        <v>1.1100000000000001</v>
      </c>
      <c r="K84" s="5"/>
    </row>
    <row r="85" spans="2:17">
      <c r="B85" s="5">
        <f t="shared" si="8"/>
        <v>80</v>
      </c>
      <c r="C85" s="6" t="s">
        <v>523</v>
      </c>
      <c r="D85" s="6" t="s">
        <v>283</v>
      </c>
      <c r="E85" s="6"/>
      <c r="F85" s="6"/>
      <c r="G85" s="6">
        <v>110</v>
      </c>
      <c r="H85" s="6">
        <v>14.1</v>
      </c>
      <c r="I85" s="5">
        <f t="shared" si="7"/>
        <v>4855.2000000000007</v>
      </c>
      <c r="J85" s="22">
        <f t="shared" si="9"/>
        <v>1.1100000000000001</v>
      </c>
      <c r="K85" s="5"/>
    </row>
    <row r="86" spans="2:17">
      <c r="B86" s="5">
        <f t="shared" si="8"/>
        <v>81</v>
      </c>
      <c r="C86" s="6" t="s">
        <v>523</v>
      </c>
      <c r="D86" s="6" t="s">
        <v>363</v>
      </c>
      <c r="E86" s="6"/>
      <c r="F86" s="6"/>
      <c r="G86" s="6">
        <v>125</v>
      </c>
      <c r="H86" s="6">
        <f>156-14.1</f>
        <v>141.9</v>
      </c>
      <c r="I86" s="5">
        <f t="shared" si="7"/>
        <v>4997.1000000000004</v>
      </c>
      <c r="J86" s="22">
        <f t="shared" si="9"/>
        <v>1.125</v>
      </c>
      <c r="K86" s="5"/>
    </row>
    <row r="87" spans="2:17">
      <c r="B87" s="5">
        <f t="shared" si="8"/>
        <v>82</v>
      </c>
      <c r="C87" s="6" t="s">
        <v>523</v>
      </c>
      <c r="D87" s="6" t="s">
        <v>363</v>
      </c>
      <c r="E87" s="6" t="s">
        <v>193</v>
      </c>
      <c r="F87" s="32">
        <f>(300+G87)/1000</f>
        <v>0.42499999999999999</v>
      </c>
      <c r="G87" s="6">
        <v>125</v>
      </c>
      <c r="H87" s="6">
        <v>6</v>
      </c>
      <c r="I87" s="5">
        <f t="shared" si="7"/>
        <v>5003.1000000000004</v>
      </c>
      <c r="J87" s="22">
        <f t="shared" si="9"/>
        <v>1.125</v>
      </c>
      <c r="K87" s="5"/>
    </row>
    <row r="88" spans="2:17">
      <c r="B88" s="5">
        <f t="shared" si="8"/>
        <v>83</v>
      </c>
      <c r="C88" s="6" t="s">
        <v>315</v>
      </c>
      <c r="D88" s="6" t="s">
        <v>314</v>
      </c>
      <c r="E88" s="6"/>
      <c r="F88" s="6"/>
      <c r="G88" s="6">
        <v>125</v>
      </c>
      <c r="H88" s="6">
        <v>106.9</v>
      </c>
      <c r="I88" s="5">
        <f t="shared" si="7"/>
        <v>5110</v>
      </c>
      <c r="J88" s="22">
        <f t="shared" si="9"/>
        <v>1.125</v>
      </c>
      <c r="K88" s="5"/>
    </row>
    <row r="89" spans="2:17">
      <c r="B89" s="5">
        <f t="shared" si="8"/>
        <v>84</v>
      </c>
      <c r="C89" s="6" t="s">
        <v>315</v>
      </c>
      <c r="D89" s="6" t="s">
        <v>314</v>
      </c>
      <c r="E89" s="6" t="s">
        <v>199</v>
      </c>
      <c r="F89" s="32">
        <f>(300+G89)/1000</f>
        <v>0.42499999999999999</v>
      </c>
      <c r="G89" s="6">
        <v>125</v>
      </c>
      <c r="H89" s="6">
        <v>45.9</v>
      </c>
      <c r="I89" s="5">
        <f t="shared" si="7"/>
        <v>5155.8999999999996</v>
      </c>
      <c r="J89" s="22">
        <f t="shared" si="9"/>
        <v>1.125</v>
      </c>
      <c r="K89" s="5"/>
    </row>
    <row r="90" spans="2:17">
      <c r="B90" s="5">
        <f t="shared" si="8"/>
        <v>85</v>
      </c>
      <c r="C90" s="6" t="s">
        <v>363</v>
      </c>
      <c r="D90" s="6" t="s">
        <v>315</v>
      </c>
      <c r="E90" s="6"/>
      <c r="F90" s="6"/>
      <c r="G90" s="6">
        <v>125</v>
      </c>
      <c r="H90" s="6">
        <v>174.6</v>
      </c>
      <c r="I90" s="5">
        <f t="shared" si="7"/>
        <v>5330.5</v>
      </c>
      <c r="J90" s="22">
        <f t="shared" si="9"/>
        <v>1.125</v>
      </c>
      <c r="K90" s="5"/>
    </row>
    <row r="91" spans="2:17">
      <c r="B91" s="5">
        <f t="shared" si="8"/>
        <v>86</v>
      </c>
      <c r="C91" s="6" t="s">
        <v>249</v>
      </c>
      <c r="D91" s="6" t="s">
        <v>355</v>
      </c>
      <c r="E91" s="6"/>
      <c r="F91" s="6"/>
      <c r="G91" s="6">
        <v>125</v>
      </c>
      <c r="H91" s="6">
        <v>24.1</v>
      </c>
      <c r="I91" s="5">
        <f t="shared" si="7"/>
        <v>5354.6</v>
      </c>
      <c r="J91" s="22">
        <f t="shared" si="9"/>
        <v>1.125</v>
      </c>
      <c r="K91" s="5"/>
    </row>
    <row r="92" spans="2:17">
      <c r="B92" s="5">
        <f t="shared" si="8"/>
        <v>87</v>
      </c>
      <c r="C92" s="6" t="s">
        <v>249</v>
      </c>
      <c r="D92" s="6" t="s">
        <v>314</v>
      </c>
      <c r="E92" s="6"/>
      <c r="F92" s="6"/>
      <c r="G92" s="6">
        <v>140</v>
      </c>
      <c r="H92" s="6">
        <v>72</v>
      </c>
      <c r="I92" s="5">
        <f t="shared" si="7"/>
        <v>5426.6</v>
      </c>
      <c r="J92" s="22">
        <f t="shared" si="9"/>
        <v>1.1399999999999999</v>
      </c>
      <c r="K92" s="6"/>
    </row>
    <row r="93" spans="2:17">
      <c r="B93" s="5">
        <f t="shared" si="8"/>
        <v>88</v>
      </c>
      <c r="C93" s="6" t="s">
        <v>270</v>
      </c>
      <c r="D93" s="6" t="s">
        <v>271</v>
      </c>
      <c r="E93" s="6" t="s">
        <v>301</v>
      </c>
      <c r="F93" s="32">
        <f>(300+G93)/1000</f>
        <v>0.46</v>
      </c>
      <c r="G93" s="6">
        <v>160</v>
      </c>
      <c r="H93" s="6">
        <v>487.1</v>
      </c>
      <c r="I93" s="5">
        <f t="shared" si="7"/>
        <v>5913.7000000000007</v>
      </c>
      <c r="J93" s="22">
        <f t="shared" si="9"/>
        <v>1.1599999999999999</v>
      </c>
      <c r="K93" s="6"/>
      <c r="L93" s="5"/>
      <c r="M93" s="5"/>
      <c r="N93" s="5"/>
      <c r="O93" s="5"/>
      <c r="P93" s="5"/>
      <c r="Q93" s="5"/>
    </row>
    <row r="94" spans="2:17">
      <c r="B94" s="5">
        <f t="shared" si="8"/>
        <v>89</v>
      </c>
      <c r="C94" s="6" t="s">
        <v>270</v>
      </c>
      <c r="D94" s="6" t="s">
        <v>271</v>
      </c>
      <c r="E94" s="6" t="s">
        <v>193</v>
      </c>
      <c r="F94" s="32">
        <f>(300+G94)/1000</f>
        <v>0.46</v>
      </c>
      <c r="G94" s="6">
        <v>160</v>
      </c>
      <c r="H94" s="6">
        <v>6</v>
      </c>
      <c r="I94" s="5">
        <f t="shared" si="7"/>
        <v>5919.7000000000007</v>
      </c>
      <c r="J94" s="22">
        <f t="shared" si="9"/>
        <v>1.1599999999999999</v>
      </c>
      <c r="K94" s="6"/>
    </row>
    <row r="95" spans="2:17">
      <c r="B95" s="5">
        <f t="shared" si="8"/>
        <v>90</v>
      </c>
      <c r="C95" s="6" t="s">
        <v>271</v>
      </c>
      <c r="D95" s="6" t="s">
        <v>509</v>
      </c>
      <c r="E95" s="6" t="s">
        <v>193</v>
      </c>
      <c r="F95" s="32">
        <f>(300+G95)/1000</f>
        <v>0.46</v>
      </c>
      <c r="G95" s="6">
        <v>160</v>
      </c>
      <c r="H95" s="6">
        <v>86.3</v>
      </c>
      <c r="I95" s="5">
        <f t="shared" si="7"/>
        <v>6006.0000000000009</v>
      </c>
      <c r="J95" s="22">
        <f t="shared" si="9"/>
        <v>1.1599999999999999</v>
      </c>
      <c r="K95" s="6"/>
    </row>
    <row r="96" spans="2:17">
      <c r="B96" s="5">
        <f t="shared" si="8"/>
        <v>91</v>
      </c>
      <c r="C96" s="6" t="s">
        <v>271</v>
      </c>
      <c r="D96" s="6" t="s">
        <v>509</v>
      </c>
      <c r="E96" s="6" t="s">
        <v>199</v>
      </c>
      <c r="F96" s="32">
        <f>(300+G96)/1000</f>
        <v>0.46</v>
      </c>
      <c r="G96" s="6">
        <v>160</v>
      </c>
      <c r="H96" s="6">
        <v>2.8</v>
      </c>
      <c r="I96" s="5">
        <f t="shared" si="7"/>
        <v>6008.8000000000011</v>
      </c>
      <c r="J96" s="22">
        <f t="shared" si="9"/>
        <v>1.1599999999999999</v>
      </c>
      <c r="K96" s="6"/>
    </row>
    <row r="97" spans="2:11">
      <c r="B97" s="5">
        <f t="shared" si="8"/>
        <v>92</v>
      </c>
      <c r="C97" s="6" t="s">
        <v>398</v>
      </c>
      <c r="D97" s="6" t="s">
        <v>524</v>
      </c>
      <c r="E97" s="6"/>
      <c r="F97" s="6"/>
      <c r="G97" s="6">
        <v>200</v>
      </c>
      <c r="H97" s="6">
        <v>13.8</v>
      </c>
      <c r="I97" s="5">
        <f t="shared" si="7"/>
        <v>6022.6000000000013</v>
      </c>
      <c r="J97" s="22">
        <f t="shared" si="9"/>
        <v>1.2</v>
      </c>
      <c r="K97" s="6"/>
    </row>
    <row r="98" spans="2:11">
      <c r="B98" s="5">
        <f t="shared" si="8"/>
        <v>93</v>
      </c>
      <c r="C98" s="6" t="s">
        <v>524</v>
      </c>
      <c r="D98" s="6" t="s">
        <v>266</v>
      </c>
      <c r="E98" s="6" t="s">
        <v>199</v>
      </c>
      <c r="F98" s="32">
        <v>0.46</v>
      </c>
      <c r="G98" s="6">
        <v>200</v>
      </c>
      <c r="H98" s="6">
        <v>186.2</v>
      </c>
      <c r="I98" s="5">
        <f t="shared" si="7"/>
        <v>6208.8000000000011</v>
      </c>
      <c r="J98" s="22">
        <f t="shared" si="9"/>
        <v>1.2</v>
      </c>
      <c r="K98" s="6"/>
    </row>
    <row r="99" spans="2:11">
      <c r="B99" s="5">
        <f t="shared" si="8"/>
        <v>94</v>
      </c>
      <c r="C99" s="6" t="s">
        <v>266</v>
      </c>
      <c r="D99" s="6" t="s">
        <v>403</v>
      </c>
      <c r="E99" s="6" t="s">
        <v>199</v>
      </c>
      <c r="F99" s="32">
        <v>0.46</v>
      </c>
      <c r="G99" s="6">
        <v>200</v>
      </c>
      <c r="H99" s="6">
        <v>38.4</v>
      </c>
      <c r="I99" s="5">
        <f t="shared" si="7"/>
        <v>6247.2000000000007</v>
      </c>
      <c r="J99" s="22">
        <f t="shared" si="9"/>
        <v>1.2</v>
      </c>
      <c r="K99" s="5"/>
    </row>
    <row r="100" spans="2:11">
      <c r="B100" s="5">
        <f t="shared" si="8"/>
        <v>95</v>
      </c>
      <c r="C100" s="6" t="s">
        <v>400</v>
      </c>
      <c r="D100" s="6" t="s">
        <v>349</v>
      </c>
      <c r="E100" s="6" t="s">
        <v>199</v>
      </c>
      <c r="F100" s="32">
        <v>0.46</v>
      </c>
      <c r="G100" s="6">
        <v>200</v>
      </c>
      <c r="H100" s="6">
        <v>12.8</v>
      </c>
      <c r="I100" s="5">
        <f t="shared" si="7"/>
        <v>6260.0000000000009</v>
      </c>
      <c r="J100" s="22">
        <f t="shared" si="9"/>
        <v>1.2</v>
      </c>
      <c r="K100" s="5"/>
    </row>
    <row r="101" spans="2:11">
      <c r="B101" s="5">
        <f t="shared" si="8"/>
        <v>96</v>
      </c>
      <c r="C101" s="6" t="s">
        <v>349</v>
      </c>
      <c r="D101" s="6" t="s">
        <v>198</v>
      </c>
      <c r="E101" s="6" t="s">
        <v>199</v>
      </c>
      <c r="F101" s="32">
        <f>(300+G101)/1000</f>
        <v>0.46</v>
      </c>
      <c r="G101" s="6">
        <v>160</v>
      </c>
      <c r="H101" s="6">
        <v>156.1</v>
      </c>
      <c r="I101" s="5">
        <f t="shared" si="7"/>
        <v>6416.1000000000013</v>
      </c>
      <c r="J101" s="22">
        <f t="shared" si="9"/>
        <v>1.1599999999999999</v>
      </c>
      <c r="K101" s="5"/>
    </row>
    <row r="102" spans="2:11">
      <c r="B102" s="431">
        <f t="shared" si="8"/>
        <v>97</v>
      </c>
      <c r="C102" s="6" t="s">
        <v>398</v>
      </c>
      <c r="D102" s="6" t="s">
        <v>270</v>
      </c>
      <c r="E102" s="6" t="s">
        <v>526</v>
      </c>
      <c r="F102" s="32">
        <f>(300+G102)/1000</f>
        <v>0.46</v>
      </c>
      <c r="G102" s="6">
        <v>160</v>
      </c>
      <c r="H102" s="6">
        <v>5.4</v>
      </c>
      <c r="I102" s="5">
        <f>+I101+H102</f>
        <v>6421.5000000000009</v>
      </c>
      <c r="J102" s="22">
        <f t="shared" si="9"/>
        <v>1.1599999999999999</v>
      </c>
      <c r="K102" s="5"/>
    </row>
    <row r="103" spans="2:11">
      <c r="B103" s="431">
        <f t="shared" si="8"/>
        <v>98</v>
      </c>
      <c r="C103" s="6" t="s">
        <v>398</v>
      </c>
      <c r="D103" s="6" t="s">
        <v>270</v>
      </c>
      <c r="E103" s="6"/>
      <c r="F103" s="6"/>
      <c r="G103" s="6">
        <v>160</v>
      </c>
      <c r="H103" s="6">
        <v>348.2</v>
      </c>
      <c r="I103" s="5">
        <f>+I104+H103</f>
        <v>6775.6</v>
      </c>
      <c r="J103" s="22">
        <f>(1000+G103)/1000</f>
        <v>1.1599999999999999</v>
      </c>
      <c r="K103" s="431"/>
    </row>
    <row r="104" spans="2:11">
      <c r="B104" s="431">
        <f t="shared" si="8"/>
        <v>99</v>
      </c>
      <c r="C104" s="6" t="s">
        <v>398</v>
      </c>
      <c r="D104" s="6" t="s">
        <v>270</v>
      </c>
      <c r="E104" s="6" t="s">
        <v>526</v>
      </c>
      <c r="F104" s="32">
        <f>(300+G104)/1000</f>
        <v>0.46</v>
      </c>
      <c r="G104" s="6">
        <v>160</v>
      </c>
      <c r="H104" s="6">
        <v>5.9</v>
      </c>
      <c r="I104" s="5">
        <f>+I102+H104</f>
        <v>6427.4000000000005</v>
      </c>
      <c r="J104" s="22">
        <f t="shared" si="9"/>
        <v>1.1599999999999999</v>
      </c>
      <c r="K104" s="5"/>
    </row>
    <row r="105" spans="2:11">
      <c r="B105" s="431">
        <f t="shared" si="8"/>
        <v>100</v>
      </c>
      <c r="C105" s="6" t="s">
        <v>398</v>
      </c>
      <c r="D105" s="6" t="s">
        <v>270</v>
      </c>
      <c r="E105" s="6"/>
      <c r="F105" s="6"/>
      <c r="G105" s="6">
        <v>160</v>
      </c>
      <c r="H105" s="6">
        <v>85.9</v>
      </c>
      <c r="I105" s="5">
        <f>+I103+H105</f>
        <v>6861.5</v>
      </c>
      <c r="J105" s="22">
        <f t="shared" si="9"/>
        <v>1.1599999999999999</v>
      </c>
      <c r="K105" s="6"/>
    </row>
    <row r="106" spans="2:11">
      <c r="B106" s="431">
        <f t="shared" si="8"/>
        <v>101</v>
      </c>
      <c r="C106" s="6" t="s">
        <v>398</v>
      </c>
      <c r="D106" s="6" t="s">
        <v>270</v>
      </c>
      <c r="E106" s="6" t="s">
        <v>301</v>
      </c>
      <c r="F106" s="32">
        <f>(300+G106)/1000</f>
        <v>0.46</v>
      </c>
      <c r="G106" s="6">
        <v>160</v>
      </c>
      <c r="H106" s="6">
        <v>179.1</v>
      </c>
      <c r="I106" s="5">
        <f t="shared" ref="I106:I108" si="10">+I105+H106</f>
        <v>7040.6</v>
      </c>
      <c r="J106" s="22">
        <f t="shared" si="9"/>
        <v>1.1599999999999999</v>
      </c>
      <c r="K106" s="6"/>
    </row>
    <row r="107" spans="2:11">
      <c r="B107" s="5">
        <f t="shared" si="8"/>
        <v>102</v>
      </c>
      <c r="C107" s="6" t="s">
        <v>249</v>
      </c>
      <c r="D107" s="6" t="s">
        <v>198</v>
      </c>
      <c r="E107" s="6" t="s">
        <v>301</v>
      </c>
      <c r="F107" s="32">
        <v>0.46</v>
      </c>
      <c r="G107" s="6">
        <v>200</v>
      </c>
      <c r="H107" s="6">
        <v>24.9</v>
      </c>
      <c r="I107" s="5">
        <f t="shared" si="10"/>
        <v>7065.5</v>
      </c>
      <c r="J107" s="22">
        <f t="shared" si="9"/>
        <v>1.2</v>
      </c>
      <c r="K107" s="6"/>
    </row>
    <row r="108" spans="2:11">
      <c r="B108" s="5">
        <f t="shared" si="8"/>
        <v>103</v>
      </c>
      <c r="C108" s="5" t="s">
        <v>249</v>
      </c>
      <c r="D108" s="5" t="s">
        <v>198</v>
      </c>
      <c r="E108" s="5" t="s">
        <v>199</v>
      </c>
      <c r="F108" s="22">
        <v>0.46</v>
      </c>
      <c r="G108" s="5">
        <v>200</v>
      </c>
      <c r="H108" s="5">
        <v>18.399999999999999</v>
      </c>
      <c r="I108" s="5">
        <f t="shared" si="10"/>
        <v>7083.9</v>
      </c>
      <c r="J108" s="22">
        <f t="shared" si="9"/>
        <v>1.2</v>
      </c>
      <c r="K108" s="6"/>
    </row>
    <row r="109" spans="2:11">
      <c r="B109" s="5"/>
      <c r="C109" s="5"/>
      <c r="D109" s="5"/>
      <c r="E109" s="5"/>
      <c r="F109" s="5"/>
      <c r="G109" s="5"/>
      <c r="H109" s="5"/>
      <c r="I109" s="5"/>
      <c r="J109" s="5"/>
      <c r="K109" s="5"/>
    </row>
    <row r="110" spans="2:11">
      <c r="B110" s="5"/>
      <c r="C110" s="5"/>
      <c r="D110" s="5"/>
      <c r="E110" s="5"/>
      <c r="F110" s="5"/>
      <c r="G110" s="5"/>
      <c r="H110" s="5"/>
      <c r="I110" s="5"/>
      <c r="J110" s="5"/>
      <c r="K110" s="5"/>
    </row>
    <row r="111" spans="2:11">
      <c r="B111" s="5">
        <v>63</v>
      </c>
      <c r="C111" s="5">
        <v>75</v>
      </c>
      <c r="D111" s="5">
        <v>90</v>
      </c>
      <c r="E111" s="5">
        <v>110</v>
      </c>
      <c r="F111" s="5">
        <v>125</v>
      </c>
      <c r="G111" s="106">
        <v>140</v>
      </c>
      <c r="H111" s="5">
        <v>160</v>
      </c>
      <c r="I111" s="5">
        <v>200</v>
      </c>
      <c r="J111" s="8"/>
      <c r="K111" s="8"/>
    </row>
    <row r="112" spans="2:11">
      <c r="B112" s="5">
        <f t="shared" ref="B112:I112" si="11">+SUMIF($G$5:$G$108,B111,$H$5:$H$108)</f>
        <v>3158.0999999999995</v>
      </c>
      <c r="C112" s="5">
        <f t="shared" si="11"/>
        <v>247.70000000000002</v>
      </c>
      <c r="D112" s="5">
        <f t="shared" si="11"/>
        <v>894.99999999999989</v>
      </c>
      <c r="E112" s="5">
        <f t="shared" si="11"/>
        <v>554.4</v>
      </c>
      <c r="F112" s="5">
        <f t="shared" si="11"/>
        <v>499.4</v>
      </c>
      <c r="G112" s="5">
        <f t="shared" si="11"/>
        <v>72</v>
      </c>
      <c r="H112" s="5">
        <f t="shared" si="11"/>
        <v>1362.8</v>
      </c>
      <c r="I112" s="5">
        <f t="shared" si="11"/>
        <v>294.5</v>
      </c>
      <c r="J112" s="8">
        <f>+B112+C112+D112+E112+F112+H112+I112+G112</f>
        <v>7083.8999999999987</v>
      </c>
      <c r="K112" s="8"/>
    </row>
    <row r="113" spans="2:11" ht="15.75">
      <c r="B113" s="503" t="s">
        <v>365</v>
      </c>
      <c r="C113" s="504"/>
      <c r="D113" s="504"/>
      <c r="E113" s="505"/>
      <c r="F113" s="506" t="s">
        <v>366</v>
      </c>
      <c r="G113" s="507"/>
      <c r="H113" s="508"/>
      <c r="I113" s="498" t="s">
        <v>367</v>
      </c>
      <c r="J113" s="498"/>
      <c r="K113" s="498"/>
    </row>
    <row r="114" spans="2:11" ht="15.75">
      <c r="B114" s="7" t="s">
        <v>368</v>
      </c>
      <c r="C114" s="286"/>
      <c r="D114" s="287"/>
      <c r="E114" s="288"/>
      <c r="F114" s="8" t="s">
        <v>368</v>
      </c>
      <c r="G114" s="498"/>
      <c r="H114" s="498"/>
      <c r="I114" s="8" t="s">
        <v>368</v>
      </c>
      <c r="J114" s="498"/>
      <c r="K114" s="498"/>
    </row>
    <row r="115" spans="2:11" ht="15.75">
      <c r="B115" s="7" t="s">
        <v>369</v>
      </c>
      <c r="C115" s="498"/>
      <c r="D115" s="498"/>
      <c r="E115" s="498"/>
      <c r="F115" s="8" t="s">
        <v>369</v>
      </c>
      <c r="G115" s="498"/>
      <c r="H115" s="498"/>
      <c r="I115" s="8" t="s">
        <v>369</v>
      </c>
      <c r="J115" s="498"/>
      <c r="K115" s="498"/>
    </row>
    <row r="116" spans="2:11" ht="15.75">
      <c r="B116" s="7" t="s">
        <v>370</v>
      </c>
      <c r="C116" s="286"/>
      <c r="D116" s="287"/>
      <c r="E116" s="288"/>
      <c r="F116" s="8" t="s">
        <v>370</v>
      </c>
      <c r="G116" s="498"/>
      <c r="H116" s="498"/>
      <c r="I116" s="8" t="s">
        <v>370</v>
      </c>
      <c r="J116" s="498"/>
      <c r="K116" s="498"/>
    </row>
  </sheetData>
  <autoFilter ref="B4:H108"/>
  <mergeCells count="11">
    <mergeCell ref="B3:K3"/>
    <mergeCell ref="B113:E113"/>
    <mergeCell ref="F113:H113"/>
    <mergeCell ref="I113:K113"/>
    <mergeCell ref="G114:H114"/>
    <mergeCell ref="J114:K114"/>
    <mergeCell ref="C115:E115"/>
    <mergeCell ref="G115:H115"/>
    <mergeCell ref="J115:K115"/>
    <mergeCell ref="G116:H116"/>
    <mergeCell ref="J116:K1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2:L298"/>
  <sheetViews>
    <sheetView zoomScaleNormal="100" zoomScaleSheetLayoutView="100" workbookViewId="0">
      <selection activeCell="H7" sqref="H7:H276"/>
    </sheetView>
  </sheetViews>
  <sheetFormatPr defaultColWidth="9" defaultRowHeight="15"/>
  <cols>
    <col min="2" max="2" width="7.28515625" customWidth="1"/>
    <col min="3" max="3" width="13.7109375" customWidth="1"/>
    <col min="4" max="4" width="12.140625" customWidth="1"/>
    <col min="5" max="5" width="16" customWidth="1"/>
    <col min="6" max="6" width="14.5703125" customWidth="1"/>
    <col min="7" max="7" width="19.140625" customWidth="1"/>
    <col min="8" max="8" width="19.5703125" customWidth="1"/>
    <col min="9" max="9" width="18.42578125" customWidth="1"/>
    <col min="10" max="11" width="8.28515625" customWidth="1"/>
  </cols>
  <sheetData>
    <row r="2" spans="2:12" ht="18.75">
      <c r="B2" s="502" t="s">
        <v>527</v>
      </c>
      <c r="C2" s="502"/>
      <c r="D2" s="502"/>
      <c r="E2" s="502"/>
      <c r="F2" s="502"/>
      <c r="G2" s="502"/>
      <c r="H2" s="502"/>
      <c r="I2" s="502"/>
      <c r="J2" s="502"/>
      <c r="K2" s="502"/>
      <c r="L2" s="502"/>
    </row>
    <row r="3" spans="2:12" ht="47.25">
      <c r="B3" s="25" t="s">
        <v>528</v>
      </c>
      <c r="C3" s="25" t="s">
        <v>180</v>
      </c>
      <c r="D3" s="25" t="s">
        <v>13</v>
      </c>
      <c r="E3" s="25" t="s">
        <v>181</v>
      </c>
      <c r="F3" s="27" t="s">
        <v>449</v>
      </c>
      <c r="G3" s="25" t="s">
        <v>529</v>
      </c>
      <c r="H3" s="33" t="s">
        <v>184</v>
      </c>
      <c r="I3" s="26" t="s">
        <v>185</v>
      </c>
      <c r="J3" s="26" t="s">
        <v>186</v>
      </c>
      <c r="K3" s="564" t="s">
        <v>187</v>
      </c>
      <c r="L3" s="565"/>
    </row>
    <row r="4" spans="2:12" hidden="1">
      <c r="B4" s="5">
        <v>1</v>
      </c>
      <c r="C4" s="5" t="s">
        <v>530</v>
      </c>
      <c r="D4" s="5" t="s">
        <v>531</v>
      </c>
      <c r="E4" s="5" t="s">
        <v>383</v>
      </c>
      <c r="F4" s="5">
        <v>0.36</v>
      </c>
      <c r="G4" s="5">
        <v>63</v>
      </c>
      <c r="H4" s="5">
        <v>9</v>
      </c>
      <c r="I4" s="5">
        <v>9</v>
      </c>
      <c r="J4" s="22">
        <f>1+G4/1000</f>
        <v>1.0629999999999999</v>
      </c>
      <c r="K4" s="499" t="s">
        <v>455</v>
      </c>
      <c r="L4" s="501"/>
    </row>
    <row r="5" spans="2:12" hidden="1">
      <c r="B5" s="5">
        <f>1+B4</f>
        <v>2</v>
      </c>
      <c r="C5" s="5" t="s">
        <v>530</v>
      </c>
      <c r="D5" s="5" t="s">
        <v>531</v>
      </c>
      <c r="E5" s="5" t="s">
        <v>450</v>
      </c>
      <c r="F5" s="5"/>
      <c r="G5" s="5">
        <v>63</v>
      </c>
      <c r="H5" s="5">
        <f>8.8+189</f>
        <v>197.8</v>
      </c>
      <c r="I5" s="5">
        <f>+I4+H5</f>
        <v>206.8</v>
      </c>
      <c r="J5" s="22">
        <f t="shared" ref="J5:J68" si="0">1+G5/1000</f>
        <v>1.0629999999999999</v>
      </c>
      <c r="K5" s="5"/>
      <c r="L5" s="5"/>
    </row>
    <row r="6" spans="2:12" hidden="1">
      <c r="B6" s="5">
        <f>1+B5</f>
        <v>3</v>
      </c>
      <c r="C6" s="5" t="s">
        <v>530</v>
      </c>
      <c r="D6" s="5" t="s">
        <v>531</v>
      </c>
      <c r="E6" s="5" t="s">
        <v>450</v>
      </c>
      <c r="F6" s="5"/>
      <c r="G6" s="5">
        <v>63</v>
      </c>
      <c r="H6" s="5">
        <v>4.4000000000000004</v>
      </c>
      <c r="I6" s="5">
        <f t="shared" ref="I6:I69" si="1">+I5+H6</f>
        <v>211.20000000000002</v>
      </c>
      <c r="J6" s="22">
        <f t="shared" si="0"/>
        <v>1.0629999999999999</v>
      </c>
      <c r="K6" s="499" t="s">
        <v>304</v>
      </c>
      <c r="L6" s="501"/>
    </row>
    <row r="7" spans="2:12" hidden="1">
      <c r="B7" s="5">
        <f t="shared" ref="B7:B70" si="2">1+B6</f>
        <v>4</v>
      </c>
      <c r="C7" s="5" t="s">
        <v>531</v>
      </c>
      <c r="D7" s="5" t="s">
        <v>532</v>
      </c>
      <c r="E7" s="5" t="s">
        <v>199</v>
      </c>
      <c r="F7" s="5">
        <v>0.36</v>
      </c>
      <c r="G7" s="5">
        <v>63</v>
      </c>
      <c r="H7" s="5">
        <v>300</v>
      </c>
      <c r="I7" s="5">
        <f t="shared" si="1"/>
        <v>511.20000000000005</v>
      </c>
      <c r="J7" s="22">
        <f t="shared" si="0"/>
        <v>1.0629999999999999</v>
      </c>
      <c r="K7" s="5"/>
      <c r="L7" s="5"/>
    </row>
    <row r="8" spans="2:12" hidden="1">
      <c r="B8" s="5">
        <f t="shared" si="2"/>
        <v>5</v>
      </c>
      <c r="C8" s="5" t="s">
        <v>532</v>
      </c>
      <c r="D8" s="5" t="s">
        <v>533</v>
      </c>
      <c r="E8" s="5" t="s">
        <v>450</v>
      </c>
      <c r="F8" s="5"/>
      <c r="G8" s="5">
        <v>63</v>
      </c>
      <c r="H8" s="5">
        <v>8.9</v>
      </c>
      <c r="I8" s="5">
        <f t="shared" si="1"/>
        <v>520.1</v>
      </c>
      <c r="J8" s="22">
        <f t="shared" si="0"/>
        <v>1.0629999999999999</v>
      </c>
      <c r="K8" s="5"/>
      <c r="L8" s="5"/>
    </row>
    <row r="9" spans="2:12" hidden="1">
      <c r="B9" s="5">
        <f t="shared" si="2"/>
        <v>6</v>
      </c>
      <c r="C9" s="5" t="s">
        <v>532</v>
      </c>
      <c r="D9" s="5" t="s">
        <v>533</v>
      </c>
      <c r="E9" s="5" t="s">
        <v>199</v>
      </c>
      <c r="F9" s="5">
        <v>0.36</v>
      </c>
      <c r="G9" s="5">
        <v>63</v>
      </c>
      <c r="H9" s="5">
        <v>10.8</v>
      </c>
      <c r="I9" s="5">
        <f t="shared" si="1"/>
        <v>530.9</v>
      </c>
      <c r="J9" s="22">
        <f t="shared" si="0"/>
        <v>1.0629999999999999</v>
      </c>
      <c r="K9" s="5"/>
      <c r="L9" s="5"/>
    </row>
    <row r="10" spans="2:12" hidden="1">
      <c r="B10" s="5">
        <f t="shared" si="2"/>
        <v>7</v>
      </c>
      <c r="C10" s="5" t="s">
        <v>532</v>
      </c>
      <c r="D10" s="5" t="s">
        <v>533</v>
      </c>
      <c r="E10" s="5" t="s">
        <v>450</v>
      </c>
      <c r="F10" s="5"/>
      <c r="G10" s="5">
        <v>63</v>
      </c>
      <c r="H10" s="5">
        <v>34.6</v>
      </c>
      <c r="I10" s="5">
        <f t="shared" si="1"/>
        <v>565.5</v>
      </c>
      <c r="J10" s="22">
        <f t="shared" si="0"/>
        <v>1.0629999999999999</v>
      </c>
      <c r="K10" s="5"/>
      <c r="L10" s="5"/>
    </row>
    <row r="11" spans="2:12" hidden="1">
      <c r="B11" s="5">
        <f t="shared" si="2"/>
        <v>8</v>
      </c>
      <c r="C11" s="5" t="s">
        <v>533</v>
      </c>
      <c r="D11" s="5" t="s">
        <v>534</v>
      </c>
      <c r="E11" s="5" t="s">
        <v>450</v>
      </c>
      <c r="F11" s="5"/>
      <c r="G11" s="5">
        <v>63</v>
      </c>
      <c r="H11" s="5">
        <v>102</v>
      </c>
      <c r="I11" s="5">
        <f t="shared" si="1"/>
        <v>667.5</v>
      </c>
      <c r="J11" s="22">
        <f t="shared" si="0"/>
        <v>1.0629999999999999</v>
      </c>
      <c r="K11" s="5"/>
      <c r="L11" s="5"/>
    </row>
    <row r="12" spans="2:12" hidden="1">
      <c r="B12" s="5">
        <f t="shared" si="2"/>
        <v>9</v>
      </c>
      <c r="C12" s="5" t="s">
        <v>323</v>
      </c>
      <c r="D12" s="5" t="s">
        <v>256</v>
      </c>
      <c r="E12" s="5" t="s">
        <v>450</v>
      </c>
      <c r="F12" s="5"/>
      <c r="G12" s="5">
        <v>63</v>
      </c>
      <c r="H12" s="5">
        <v>195.5</v>
      </c>
      <c r="I12" s="5">
        <f t="shared" si="1"/>
        <v>863</v>
      </c>
      <c r="J12" s="22">
        <f t="shared" si="0"/>
        <v>1.0629999999999999</v>
      </c>
      <c r="K12" s="5"/>
      <c r="L12" s="5"/>
    </row>
    <row r="13" spans="2:12" hidden="1">
      <c r="B13" s="5">
        <f t="shared" si="2"/>
        <v>10</v>
      </c>
      <c r="C13" s="5" t="s">
        <v>535</v>
      </c>
      <c r="D13" s="5" t="s">
        <v>536</v>
      </c>
      <c r="E13" s="5" t="s">
        <v>450</v>
      </c>
      <c r="F13" s="5"/>
      <c r="G13" s="5">
        <v>63</v>
      </c>
      <c r="H13" s="5">
        <v>19.100000000000001</v>
      </c>
      <c r="I13" s="5">
        <f t="shared" si="1"/>
        <v>882.1</v>
      </c>
      <c r="J13" s="22">
        <f t="shared" si="0"/>
        <v>1.0629999999999999</v>
      </c>
      <c r="K13" s="5"/>
      <c r="L13" s="5"/>
    </row>
    <row r="14" spans="2:12">
      <c r="B14" s="5">
        <f t="shared" si="2"/>
        <v>11</v>
      </c>
      <c r="C14" s="5" t="s">
        <v>535</v>
      </c>
      <c r="D14" s="5" t="s">
        <v>537</v>
      </c>
      <c r="E14" s="5" t="s">
        <v>301</v>
      </c>
      <c r="F14" s="5">
        <v>0.46</v>
      </c>
      <c r="G14" s="5">
        <v>63</v>
      </c>
      <c r="H14" s="5">
        <v>57.1</v>
      </c>
      <c r="I14" s="5">
        <f t="shared" si="1"/>
        <v>939.2</v>
      </c>
      <c r="J14" s="22">
        <f t="shared" si="0"/>
        <v>1.0629999999999999</v>
      </c>
      <c r="K14" s="5"/>
      <c r="L14" s="5"/>
    </row>
    <row r="15" spans="2:12">
      <c r="B15" s="5">
        <f t="shared" si="2"/>
        <v>12</v>
      </c>
      <c r="C15" s="5" t="s">
        <v>537</v>
      </c>
      <c r="D15" s="5" t="s">
        <v>197</v>
      </c>
      <c r="E15" s="5" t="s">
        <v>301</v>
      </c>
      <c r="F15" s="5">
        <v>0.46</v>
      </c>
      <c r="G15" s="5">
        <v>63</v>
      </c>
      <c r="H15" s="5">
        <v>32.700000000000003</v>
      </c>
      <c r="I15" s="5">
        <f t="shared" si="1"/>
        <v>971.90000000000009</v>
      </c>
      <c r="J15" s="22">
        <f t="shared" si="0"/>
        <v>1.0629999999999999</v>
      </c>
      <c r="K15" s="5"/>
      <c r="L15" s="5"/>
    </row>
    <row r="16" spans="2:12" hidden="1">
      <c r="B16" s="5">
        <f t="shared" si="2"/>
        <v>13</v>
      </c>
      <c r="C16" s="5" t="s">
        <v>537</v>
      </c>
      <c r="D16" s="5" t="s">
        <v>197</v>
      </c>
      <c r="E16" s="5" t="s">
        <v>199</v>
      </c>
      <c r="F16" s="5">
        <v>0.36</v>
      </c>
      <c r="G16" s="5">
        <v>63</v>
      </c>
      <c r="H16" s="5">
        <v>57</v>
      </c>
      <c r="I16" s="5">
        <f t="shared" si="1"/>
        <v>1028.9000000000001</v>
      </c>
      <c r="J16" s="22">
        <f t="shared" si="0"/>
        <v>1.0629999999999999</v>
      </c>
      <c r="K16" s="5"/>
      <c r="L16" s="5"/>
    </row>
    <row r="17" spans="2:12" hidden="1">
      <c r="B17" s="5">
        <f t="shared" si="2"/>
        <v>14</v>
      </c>
      <c r="C17" s="5" t="s">
        <v>537</v>
      </c>
      <c r="D17" s="5" t="s">
        <v>197</v>
      </c>
      <c r="E17" s="5" t="s">
        <v>450</v>
      </c>
      <c r="F17" s="5"/>
      <c r="G17" s="5">
        <v>63</v>
      </c>
      <c r="H17" s="5">
        <v>38.1</v>
      </c>
      <c r="I17" s="5">
        <f t="shared" si="1"/>
        <v>1067</v>
      </c>
      <c r="J17" s="22">
        <f t="shared" si="0"/>
        <v>1.0629999999999999</v>
      </c>
      <c r="K17" s="5"/>
      <c r="L17" s="5"/>
    </row>
    <row r="18" spans="2:12">
      <c r="B18" s="5">
        <f t="shared" si="2"/>
        <v>15</v>
      </c>
      <c r="C18" s="5" t="s">
        <v>537</v>
      </c>
      <c r="D18" s="5" t="s">
        <v>509</v>
      </c>
      <c r="E18" s="5" t="s">
        <v>301</v>
      </c>
      <c r="F18" s="5">
        <v>0.46</v>
      </c>
      <c r="G18" s="5">
        <v>63</v>
      </c>
      <c r="H18" s="5">
        <v>40.799999999999997</v>
      </c>
      <c r="I18" s="5">
        <f t="shared" si="1"/>
        <v>1107.8</v>
      </c>
      <c r="J18" s="22">
        <f t="shared" si="0"/>
        <v>1.0629999999999999</v>
      </c>
      <c r="K18" s="5"/>
      <c r="L18" s="5"/>
    </row>
    <row r="19" spans="2:12" hidden="1">
      <c r="B19" s="5">
        <f t="shared" si="2"/>
        <v>16</v>
      </c>
      <c r="C19" s="5" t="s">
        <v>509</v>
      </c>
      <c r="D19" s="5" t="s">
        <v>538</v>
      </c>
      <c r="E19" s="5" t="s">
        <v>199</v>
      </c>
      <c r="F19" s="5">
        <v>0.36</v>
      </c>
      <c r="G19" s="5">
        <v>63</v>
      </c>
      <c r="H19" s="18">
        <v>5.7</v>
      </c>
      <c r="I19" s="5">
        <f t="shared" si="1"/>
        <v>1113.5</v>
      </c>
      <c r="J19" s="22">
        <f t="shared" si="0"/>
        <v>1.0629999999999999</v>
      </c>
      <c r="K19" s="5"/>
      <c r="L19" s="5"/>
    </row>
    <row r="20" spans="2:12" hidden="1">
      <c r="B20" s="5">
        <f t="shared" si="2"/>
        <v>17</v>
      </c>
      <c r="C20" s="5" t="s">
        <v>509</v>
      </c>
      <c r="D20" s="5" t="s">
        <v>428</v>
      </c>
      <c r="E20" s="5" t="s">
        <v>199</v>
      </c>
      <c r="F20" s="5">
        <v>0.36</v>
      </c>
      <c r="G20" s="5">
        <v>63</v>
      </c>
      <c r="H20" s="5">
        <v>30.1</v>
      </c>
      <c r="I20" s="5">
        <f t="shared" si="1"/>
        <v>1143.5999999999999</v>
      </c>
      <c r="J20" s="22">
        <f t="shared" si="0"/>
        <v>1.0629999999999999</v>
      </c>
      <c r="K20" s="5"/>
      <c r="L20" s="5"/>
    </row>
    <row r="21" spans="2:12" hidden="1">
      <c r="B21" s="5">
        <f t="shared" si="2"/>
        <v>18</v>
      </c>
      <c r="C21" s="5" t="s">
        <v>428</v>
      </c>
      <c r="D21" s="5" t="s">
        <v>240</v>
      </c>
      <c r="E21" s="5" t="s">
        <v>450</v>
      </c>
      <c r="F21" s="5"/>
      <c r="G21" s="5">
        <v>63</v>
      </c>
      <c r="H21" s="5">
        <v>3</v>
      </c>
      <c r="I21" s="5">
        <f t="shared" si="1"/>
        <v>1146.5999999999999</v>
      </c>
      <c r="J21" s="22">
        <f t="shared" si="0"/>
        <v>1.0629999999999999</v>
      </c>
      <c r="K21" s="5"/>
      <c r="L21" s="5"/>
    </row>
    <row r="22" spans="2:12" hidden="1">
      <c r="B22" s="5">
        <f t="shared" si="2"/>
        <v>19</v>
      </c>
      <c r="C22" s="5" t="s">
        <v>428</v>
      </c>
      <c r="D22" s="5" t="s">
        <v>240</v>
      </c>
      <c r="E22" s="5" t="s">
        <v>450</v>
      </c>
      <c r="F22" s="5"/>
      <c r="G22" s="5">
        <v>63</v>
      </c>
      <c r="H22" s="5">
        <v>12.1</v>
      </c>
      <c r="I22" s="5">
        <f t="shared" si="1"/>
        <v>1158.6999999999998</v>
      </c>
      <c r="J22" s="22">
        <f t="shared" si="0"/>
        <v>1.0629999999999999</v>
      </c>
      <c r="K22" s="5"/>
      <c r="L22" s="5"/>
    </row>
    <row r="23" spans="2:12" hidden="1">
      <c r="B23" s="5">
        <f t="shared" si="2"/>
        <v>20</v>
      </c>
      <c r="C23" s="5" t="s">
        <v>428</v>
      </c>
      <c r="D23" s="5" t="s">
        <v>311</v>
      </c>
      <c r="E23" s="5" t="s">
        <v>450</v>
      </c>
      <c r="F23" s="5"/>
      <c r="G23" s="5">
        <v>63</v>
      </c>
      <c r="H23" s="5">
        <v>42.1</v>
      </c>
      <c r="I23" s="5">
        <f t="shared" si="1"/>
        <v>1200.7999999999997</v>
      </c>
      <c r="J23" s="22">
        <f t="shared" si="0"/>
        <v>1.0629999999999999</v>
      </c>
      <c r="K23" s="499" t="s">
        <v>304</v>
      </c>
      <c r="L23" s="501"/>
    </row>
    <row r="24" spans="2:12" hidden="1">
      <c r="B24" s="5">
        <f t="shared" si="2"/>
        <v>21</v>
      </c>
      <c r="C24" s="5" t="s">
        <v>428</v>
      </c>
      <c r="D24" s="5" t="s">
        <v>271</v>
      </c>
      <c r="E24" s="5" t="s">
        <v>199</v>
      </c>
      <c r="F24" s="5">
        <v>0.36</v>
      </c>
      <c r="G24" s="5">
        <v>63</v>
      </c>
      <c r="H24" s="5">
        <v>5</v>
      </c>
      <c r="I24" s="5">
        <f t="shared" si="1"/>
        <v>1205.7999999999997</v>
      </c>
      <c r="J24" s="22">
        <f t="shared" si="0"/>
        <v>1.0629999999999999</v>
      </c>
      <c r="K24" s="5"/>
      <c r="L24" s="5"/>
    </row>
    <row r="25" spans="2:12" hidden="1">
      <c r="B25" s="5">
        <f t="shared" si="2"/>
        <v>22</v>
      </c>
      <c r="C25" s="5" t="s">
        <v>428</v>
      </c>
      <c r="D25" s="5" t="s">
        <v>271</v>
      </c>
      <c r="E25" s="5" t="s">
        <v>450</v>
      </c>
      <c r="F25" s="5"/>
      <c r="G25" s="5">
        <v>63</v>
      </c>
      <c r="H25" s="5">
        <v>140</v>
      </c>
      <c r="I25" s="5">
        <f t="shared" si="1"/>
        <v>1345.7999999999997</v>
      </c>
      <c r="J25" s="22">
        <f t="shared" si="0"/>
        <v>1.0629999999999999</v>
      </c>
      <c r="K25" s="5"/>
      <c r="L25" s="5"/>
    </row>
    <row r="26" spans="2:12" hidden="1">
      <c r="B26" s="5">
        <f t="shared" si="2"/>
        <v>23</v>
      </c>
      <c r="C26" s="5" t="s">
        <v>393</v>
      </c>
      <c r="D26" s="5" t="s">
        <v>539</v>
      </c>
      <c r="E26" s="5" t="s">
        <v>199</v>
      </c>
      <c r="F26" s="5">
        <v>0.36</v>
      </c>
      <c r="G26" s="5">
        <v>63</v>
      </c>
      <c r="H26" s="5">
        <v>2.8</v>
      </c>
      <c r="I26" s="5">
        <f t="shared" si="1"/>
        <v>1348.5999999999997</v>
      </c>
      <c r="J26" s="22">
        <f t="shared" si="0"/>
        <v>1.0629999999999999</v>
      </c>
      <c r="K26" s="5"/>
      <c r="L26" s="5"/>
    </row>
    <row r="27" spans="2:12" hidden="1">
      <c r="B27" s="5">
        <f t="shared" si="2"/>
        <v>24</v>
      </c>
      <c r="C27" s="5" t="s">
        <v>393</v>
      </c>
      <c r="D27" s="5" t="s">
        <v>539</v>
      </c>
      <c r="E27" s="5" t="s">
        <v>450</v>
      </c>
      <c r="F27" s="5"/>
      <c r="G27" s="5">
        <v>63</v>
      </c>
      <c r="H27" s="5">
        <v>42.1</v>
      </c>
      <c r="I27" s="5">
        <f t="shared" si="1"/>
        <v>1390.6999999999996</v>
      </c>
      <c r="J27" s="22">
        <f t="shared" si="0"/>
        <v>1.0629999999999999</v>
      </c>
      <c r="K27" s="5"/>
      <c r="L27" s="5"/>
    </row>
    <row r="28" spans="2:12" hidden="1">
      <c r="B28" s="5">
        <f t="shared" si="2"/>
        <v>25</v>
      </c>
      <c r="C28" s="5" t="s">
        <v>251</v>
      </c>
      <c r="D28" s="5" t="s">
        <v>395</v>
      </c>
      <c r="E28" s="5" t="s">
        <v>450</v>
      </c>
      <c r="F28" s="5"/>
      <c r="G28" s="5">
        <v>63</v>
      </c>
      <c r="H28" s="5">
        <v>59.1</v>
      </c>
      <c r="I28" s="5">
        <f t="shared" si="1"/>
        <v>1449.7999999999995</v>
      </c>
      <c r="J28" s="22">
        <f t="shared" si="0"/>
        <v>1.0629999999999999</v>
      </c>
      <c r="K28" s="5"/>
      <c r="L28" s="5"/>
    </row>
    <row r="29" spans="2:12" hidden="1">
      <c r="B29" s="5">
        <f t="shared" si="2"/>
        <v>26</v>
      </c>
      <c r="C29" s="5" t="s">
        <v>540</v>
      </c>
      <c r="D29" s="5" t="s">
        <v>318</v>
      </c>
      <c r="E29" s="5" t="s">
        <v>450</v>
      </c>
      <c r="F29" s="5"/>
      <c r="G29" s="5">
        <v>63</v>
      </c>
      <c r="H29" s="5">
        <v>496.2</v>
      </c>
      <c r="I29" s="5">
        <f t="shared" si="1"/>
        <v>1945.9999999999995</v>
      </c>
      <c r="J29" s="22">
        <f t="shared" si="0"/>
        <v>1.0629999999999999</v>
      </c>
      <c r="K29" s="5"/>
      <c r="L29" s="5"/>
    </row>
    <row r="30" spans="2:12" hidden="1">
      <c r="B30" s="5">
        <f t="shared" si="2"/>
        <v>27</v>
      </c>
      <c r="C30" s="5" t="s">
        <v>309</v>
      </c>
      <c r="D30" s="5" t="s">
        <v>341</v>
      </c>
      <c r="E30" s="5" t="s">
        <v>199</v>
      </c>
      <c r="F30" s="5">
        <v>0.36</v>
      </c>
      <c r="G30" s="5">
        <v>63</v>
      </c>
      <c r="H30" s="5">
        <v>247</v>
      </c>
      <c r="I30" s="5">
        <f t="shared" si="1"/>
        <v>2192.9999999999995</v>
      </c>
      <c r="J30" s="22">
        <f t="shared" si="0"/>
        <v>1.0629999999999999</v>
      </c>
      <c r="K30" s="5"/>
      <c r="L30" s="5"/>
    </row>
    <row r="31" spans="2:12" hidden="1">
      <c r="B31" s="5">
        <f t="shared" si="2"/>
        <v>28</v>
      </c>
      <c r="C31" s="5" t="s">
        <v>309</v>
      </c>
      <c r="D31" s="5" t="s">
        <v>341</v>
      </c>
      <c r="E31" s="5" t="s">
        <v>450</v>
      </c>
      <c r="F31" s="5"/>
      <c r="G31" s="5">
        <v>63</v>
      </c>
      <c r="H31" s="5">
        <v>2.2000000000000002</v>
      </c>
      <c r="I31" s="5">
        <f t="shared" si="1"/>
        <v>2195.1999999999994</v>
      </c>
      <c r="J31" s="22">
        <f t="shared" si="0"/>
        <v>1.0629999999999999</v>
      </c>
      <c r="K31" s="5"/>
      <c r="L31" s="5"/>
    </row>
    <row r="32" spans="2:12" hidden="1">
      <c r="B32" s="5">
        <f t="shared" si="2"/>
        <v>29</v>
      </c>
      <c r="C32" s="5" t="s">
        <v>309</v>
      </c>
      <c r="D32" s="5" t="s">
        <v>341</v>
      </c>
      <c r="E32" s="5" t="s">
        <v>450</v>
      </c>
      <c r="F32" s="5"/>
      <c r="G32" s="5">
        <v>63</v>
      </c>
      <c r="H32" s="5">
        <v>140.80000000000001</v>
      </c>
      <c r="I32" s="5">
        <f t="shared" si="1"/>
        <v>2335.9999999999995</v>
      </c>
      <c r="J32" s="22">
        <f t="shared" si="0"/>
        <v>1.0629999999999999</v>
      </c>
      <c r="K32" s="499" t="s">
        <v>455</v>
      </c>
      <c r="L32" s="501"/>
    </row>
    <row r="33" spans="2:12" hidden="1">
      <c r="B33" s="5">
        <f t="shared" si="2"/>
        <v>30</v>
      </c>
      <c r="C33" s="5" t="s">
        <v>341</v>
      </c>
      <c r="D33" s="5" t="s">
        <v>435</v>
      </c>
      <c r="E33" s="5" t="s">
        <v>450</v>
      </c>
      <c r="F33" s="5"/>
      <c r="G33" s="5">
        <v>63</v>
      </c>
      <c r="H33" s="5">
        <v>112.3</v>
      </c>
      <c r="I33" s="5">
        <f t="shared" si="1"/>
        <v>2448.2999999999997</v>
      </c>
      <c r="J33" s="22">
        <f t="shared" si="0"/>
        <v>1.0629999999999999</v>
      </c>
      <c r="K33" s="5"/>
      <c r="L33" s="5"/>
    </row>
    <row r="34" spans="2:12" hidden="1">
      <c r="B34" s="5">
        <f t="shared" si="2"/>
        <v>31</v>
      </c>
      <c r="C34" s="5" t="s">
        <v>341</v>
      </c>
      <c r="D34" s="5" t="s">
        <v>270</v>
      </c>
      <c r="E34" s="5" t="s">
        <v>450</v>
      </c>
      <c r="F34" s="5"/>
      <c r="G34" s="5">
        <v>63</v>
      </c>
      <c r="H34" s="5">
        <f>72.1+248.8</f>
        <v>320.89999999999998</v>
      </c>
      <c r="I34" s="5">
        <f t="shared" si="1"/>
        <v>2769.2</v>
      </c>
      <c r="J34" s="22">
        <f t="shared" si="0"/>
        <v>1.0629999999999999</v>
      </c>
      <c r="K34" s="5"/>
      <c r="L34" s="5"/>
    </row>
    <row r="35" spans="2:12" hidden="1">
      <c r="B35" s="5">
        <f t="shared" si="2"/>
        <v>32</v>
      </c>
      <c r="C35" s="5" t="s">
        <v>309</v>
      </c>
      <c r="D35" s="5" t="s">
        <v>338</v>
      </c>
      <c r="E35" s="5" t="s">
        <v>450</v>
      </c>
      <c r="F35" s="5"/>
      <c r="G35" s="5">
        <v>63</v>
      </c>
      <c r="H35" s="5">
        <v>474.8</v>
      </c>
      <c r="I35" s="5">
        <f t="shared" si="1"/>
        <v>3244</v>
      </c>
      <c r="J35" s="22">
        <f t="shared" si="0"/>
        <v>1.0629999999999999</v>
      </c>
      <c r="K35" s="5"/>
      <c r="L35" s="5"/>
    </row>
    <row r="36" spans="2:12" hidden="1">
      <c r="B36" s="5">
        <f t="shared" si="2"/>
        <v>33</v>
      </c>
      <c r="C36" s="5" t="s">
        <v>309</v>
      </c>
      <c r="D36" s="5" t="s">
        <v>338</v>
      </c>
      <c r="E36" s="5" t="s">
        <v>450</v>
      </c>
      <c r="F36" s="5"/>
      <c r="G36" s="5">
        <v>63</v>
      </c>
      <c r="H36" s="5">
        <v>8</v>
      </c>
      <c r="I36" s="5">
        <f t="shared" si="1"/>
        <v>3252</v>
      </c>
      <c r="J36" s="22">
        <f t="shared" si="0"/>
        <v>1.0629999999999999</v>
      </c>
      <c r="K36" s="5"/>
      <c r="L36" s="5"/>
    </row>
    <row r="37" spans="2:12" hidden="1">
      <c r="B37" s="5">
        <f t="shared" si="2"/>
        <v>34</v>
      </c>
      <c r="C37" s="5" t="s">
        <v>338</v>
      </c>
      <c r="D37" s="5" t="s">
        <v>238</v>
      </c>
      <c r="E37" s="5" t="s">
        <v>450</v>
      </c>
      <c r="F37" s="5"/>
      <c r="G37" s="5">
        <v>63</v>
      </c>
      <c r="H37" s="5">
        <v>452.8</v>
      </c>
      <c r="I37" s="5">
        <f t="shared" si="1"/>
        <v>3704.8</v>
      </c>
      <c r="J37" s="22">
        <f t="shared" si="0"/>
        <v>1.0629999999999999</v>
      </c>
      <c r="K37" s="499" t="s">
        <v>455</v>
      </c>
      <c r="L37" s="501"/>
    </row>
    <row r="38" spans="2:12" hidden="1">
      <c r="B38" s="5">
        <f t="shared" si="2"/>
        <v>35</v>
      </c>
      <c r="C38" s="5" t="s">
        <v>238</v>
      </c>
      <c r="D38" s="5" t="s">
        <v>346</v>
      </c>
      <c r="E38" s="5" t="s">
        <v>450</v>
      </c>
      <c r="F38" s="5"/>
      <c r="G38" s="5">
        <v>63</v>
      </c>
      <c r="H38" s="5">
        <v>3</v>
      </c>
      <c r="I38" s="5">
        <f t="shared" si="1"/>
        <v>3707.8</v>
      </c>
      <c r="J38" s="22">
        <f t="shared" si="0"/>
        <v>1.0629999999999999</v>
      </c>
      <c r="K38" s="5"/>
      <c r="L38" s="5"/>
    </row>
    <row r="39" spans="2:12" hidden="1">
      <c r="B39" s="5">
        <f t="shared" si="2"/>
        <v>36</v>
      </c>
      <c r="C39" s="5" t="s">
        <v>346</v>
      </c>
      <c r="D39" s="5" t="s">
        <v>236</v>
      </c>
      <c r="E39" s="5" t="s">
        <v>450</v>
      </c>
      <c r="F39" s="5"/>
      <c r="G39" s="5">
        <v>63</v>
      </c>
      <c r="H39" s="5">
        <v>40</v>
      </c>
      <c r="I39" s="5">
        <f t="shared" si="1"/>
        <v>3747.8</v>
      </c>
      <c r="J39" s="22">
        <f t="shared" si="0"/>
        <v>1.0629999999999999</v>
      </c>
      <c r="K39" s="499" t="s">
        <v>455</v>
      </c>
      <c r="L39" s="501"/>
    </row>
    <row r="40" spans="2:12" hidden="1">
      <c r="B40" s="5">
        <f t="shared" si="2"/>
        <v>37</v>
      </c>
      <c r="C40" s="5" t="s">
        <v>236</v>
      </c>
      <c r="D40" s="5" t="s">
        <v>241</v>
      </c>
      <c r="E40" s="5" t="s">
        <v>450</v>
      </c>
      <c r="F40" s="5"/>
      <c r="G40" s="5">
        <v>63</v>
      </c>
      <c r="H40" s="5">
        <v>37</v>
      </c>
      <c r="I40" s="5">
        <f t="shared" si="1"/>
        <v>3784.8</v>
      </c>
      <c r="J40" s="22">
        <f t="shared" si="0"/>
        <v>1.0629999999999999</v>
      </c>
      <c r="K40" s="5"/>
      <c r="L40" s="5"/>
    </row>
    <row r="41" spans="2:12" hidden="1">
      <c r="B41" s="5">
        <f t="shared" si="2"/>
        <v>38</v>
      </c>
      <c r="C41" s="5" t="s">
        <v>236</v>
      </c>
      <c r="D41" s="5" t="s">
        <v>358</v>
      </c>
      <c r="E41" s="5" t="s">
        <v>450</v>
      </c>
      <c r="F41" s="5"/>
      <c r="G41" s="5">
        <v>63</v>
      </c>
      <c r="H41" s="5">
        <v>28</v>
      </c>
      <c r="I41" s="5">
        <f t="shared" si="1"/>
        <v>3812.8</v>
      </c>
      <c r="J41" s="22">
        <f t="shared" si="0"/>
        <v>1.0629999999999999</v>
      </c>
      <c r="K41" s="5"/>
      <c r="L41" s="5"/>
    </row>
    <row r="42" spans="2:12" hidden="1">
      <c r="B42" s="5">
        <f t="shared" si="2"/>
        <v>39</v>
      </c>
      <c r="C42" s="5" t="s">
        <v>244</v>
      </c>
      <c r="D42" s="5" t="s">
        <v>324</v>
      </c>
      <c r="E42" s="5" t="s">
        <v>450</v>
      </c>
      <c r="F42" s="5"/>
      <c r="G42" s="5">
        <v>63</v>
      </c>
      <c r="H42" s="5">
        <v>284.8</v>
      </c>
      <c r="I42" s="5">
        <f t="shared" si="1"/>
        <v>4097.6000000000004</v>
      </c>
      <c r="J42" s="22">
        <f t="shared" si="0"/>
        <v>1.0629999999999999</v>
      </c>
      <c r="K42" s="5"/>
      <c r="L42" s="5"/>
    </row>
    <row r="43" spans="2:12" hidden="1">
      <c r="B43" s="5">
        <f t="shared" si="2"/>
        <v>40</v>
      </c>
      <c r="C43" s="5" t="s">
        <v>324</v>
      </c>
      <c r="D43" s="5" t="s">
        <v>343</v>
      </c>
      <c r="E43" s="5" t="s">
        <v>199</v>
      </c>
      <c r="F43" s="5">
        <v>0.36</v>
      </c>
      <c r="G43" s="5">
        <v>63</v>
      </c>
      <c r="H43" s="5">
        <v>287.5</v>
      </c>
      <c r="I43" s="5">
        <f t="shared" si="1"/>
        <v>4385.1000000000004</v>
      </c>
      <c r="J43" s="22">
        <f t="shared" si="0"/>
        <v>1.0629999999999999</v>
      </c>
      <c r="K43" s="5"/>
      <c r="L43" s="5"/>
    </row>
    <row r="44" spans="2:12" hidden="1">
      <c r="B44" s="5">
        <f t="shared" si="2"/>
        <v>41</v>
      </c>
      <c r="C44" s="5" t="s">
        <v>359</v>
      </c>
      <c r="D44" s="5" t="s">
        <v>361</v>
      </c>
      <c r="E44" s="5" t="s">
        <v>450</v>
      </c>
      <c r="F44" s="5"/>
      <c r="G44" s="5">
        <v>63</v>
      </c>
      <c r="H44" s="5">
        <v>48.8</v>
      </c>
      <c r="I44" s="5">
        <f t="shared" si="1"/>
        <v>4433.9000000000005</v>
      </c>
      <c r="J44" s="22">
        <f t="shared" si="0"/>
        <v>1.0629999999999999</v>
      </c>
      <c r="K44" s="5"/>
      <c r="L44" s="5"/>
    </row>
    <row r="45" spans="2:12" hidden="1">
      <c r="B45" s="5">
        <f t="shared" si="2"/>
        <v>42</v>
      </c>
      <c r="C45" s="5" t="s">
        <v>273</v>
      </c>
      <c r="D45" s="5" t="s">
        <v>236</v>
      </c>
      <c r="E45" s="5" t="s">
        <v>450</v>
      </c>
      <c r="F45" s="5"/>
      <c r="G45" s="5">
        <v>63</v>
      </c>
      <c r="H45" s="5">
        <v>28.4</v>
      </c>
      <c r="I45" s="5">
        <f t="shared" si="1"/>
        <v>4462.3</v>
      </c>
      <c r="J45" s="22">
        <f t="shared" si="0"/>
        <v>1.0629999999999999</v>
      </c>
      <c r="K45" s="5"/>
      <c r="L45" s="5"/>
    </row>
    <row r="46" spans="2:12" hidden="1">
      <c r="B46" s="5">
        <f t="shared" si="2"/>
        <v>43</v>
      </c>
      <c r="C46" s="5" t="s">
        <v>541</v>
      </c>
      <c r="D46" s="5" t="s">
        <v>291</v>
      </c>
      <c r="E46" s="5" t="s">
        <v>450</v>
      </c>
      <c r="F46" s="5"/>
      <c r="G46" s="5">
        <v>63</v>
      </c>
      <c r="H46" s="5">
        <v>179</v>
      </c>
      <c r="I46" s="5">
        <f t="shared" si="1"/>
        <v>4641.3</v>
      </c>
      <c r="J46" s="22">
        <f t="shared" si="0"/>
        <v>1.0629999999999999</v>
      </c>
      <c r="K46" s="5"/>
      <c r="L46" s="5"/>
    </row>
    <row r="47" spans="2:12" hidden="1">
      <c r="B47" s="5">
        <f t="shared" si="2"/>
        <v>44</v>
      </c>
      <c r="C47" s="5" t="s">
        <v>337</v>
      </c>
      <c r="D47" s="5" t="s">
        <v>334</v>
      </c>
      <c r="E47" s="5" t="s">
        <v>450</v>
      </c>
      <c r="F47" s="5"/>
      <c r="G47" s="5">
        <v>63</v>
      </c>
      <c r="H47" s="5">
        <v>10.9</v>
      </c>
      <c r="I47" s="5">
        <f t="shared" si="1"/>
        <v>4652.2</v>
      </c>
      <c r="J47" s="22">
        <f t="shared" si="0"/>
        <v>1.0629999999999999</v>
      </c>
      <c r="K47" s="5"/>
      <c r="L47" s="5"/>
    </row>
    <row r="48" spans="2:12" hidden="1">
      <c r="B48" s="5">
        <f t="shared" si="2"/>
        <v>45</v>
      </c>
      <c r="C48" s="5" t="s">
        <v>334</v>
      </c>
      <c r="D48" s="5" t="s">
        <v>542</v>
      </c>
      <c r="E48" s="5" t="s">
        <v>199</v>
      </c>
      <c r="F48" s="5">
        <v>0.36</v>
      </c>
      <c r="G48" s="5">
        <v>63</v>
      </c>
      <c r="H48" s="5">
        <v>10.8</v>
      </c>
      <c r="I48" s="5">
        <f t="shared" si="1"/>
        <v>4663</v>
      </c>
      <c r="J48" s="22">
        <f t="shared" si="0"/>
        <v>1.0629999999999999</v>
      </c>
      <c r="K48" s="5"/>
      <c r="L48" s="5"/>
    </row>
    <row r="49" spans="2:12" hidden="1">
      <c r="B49" s="5">
        <f t="shared" si="2"/>
        <v>46</v>
      </c>
      <c r="C49" s="5" t="s">
        <v>334</v>
      </c>
      <c r="D49" s="5" t="s">
        <v>542</v>
      </c>
      <c r="E49" s="5" t="s">
        <v>450</v>
      </c>
      <c r="F49" s="5"/>
      <c r="G49" s="5">
        <v>63</v>
      </c>
      <c r="H49" s="5">
        <v>11.7</v>
      </c>
      <c r="I49" s="5">
        <f t="shared" si="1"/>
        <v>4674.7</v>
      </c>
      <c r="J49" s="22">
        <f t="shared" si="0"/>
        <v>1.0629999999999999</v>
      </c>
      <c r="K49" s="5"/>
      <c r="L49" s="5"/>
    </row>
    <row r="50" spans="2:12" hidden="1">
      <c r="B50" s="5">
        <f t="shared" si="2"/>
        <v>47</v>
      </c>
      <c r="C50" s="5" t="s">
        <v>542</v>
      </c>
      <c r="D50" s="5" t="s">
        <v>543</v>
      </c>
      <c r="E50" s="5" t="s">
        <v>199</v>
      </c>
      <c r="F50" s="5">
        <v>0.36</v>
      </c>
      <c r="G50" s="5">
        <v>63</v>
      </c>
      <c r="H50" s="5">
        <v>24</v>
      </c>
      <c r="I50" s="5">
        <f t="shared" si="1"/>
        <v>4698.7</v>
      </c>
      <c r="J50" s="22">
        <f t="shared" si="0"/>
        <v>1.0629999999999999</v>
      </c>
      <c r="K50" s="5"/>
      <c r="L50" s="5"/>
    </row>
    <row r="51" spans="2:12" hidden="1">
      <c r="B51" s="5">
        <f t="shared" si="2"/>
        <v>48</v>
      </c>
      <c r="C51" s="5" t="s">
        <v>542</v>
      </c>
      <c r="D51" s="5" t="s">
        <v>543</v>
      </c>
      <c r="E51" s="5" t="s">
        <v>450</v>
      </c>
      <c r="F51" s="5"/>
      <c r="G51" s="5">
        <v>63</v>
      </c>
      <c r="H51" s="5">
        <v>43.1</v>
      </c>
      <c r="I51" s="5">
        <f t="shared" si="1"/>
        <v>4741.8</v>
      </c>
      <c r="J51" s="22">
        <f t="shared" si="0"/>
        <v>1.0629999999999999</v>
      </c>
      <c r="K51" s="5"/>
      <c r="L51" s="5"/>
    </row>
    <row r="52" spans="2:12" hidden="1">
      <c r="B52" s="5">
        <f t="shared" si="2"/>
        <v>49</v>
      </c>
      <c r="C52" s="5" t="s">
        <v>334</v>
      </c>
      <c r="D52" s="5" t="s">
        <v>333</v>
      </c>
      <c r="E52" s="5" t="s">
        <v>450</v>
      </c>
      <c r="F52" s="5"/>
      <c r="G52" s="5">
        <v>63</v>
      </c>
      <c r="H52" s="5">
        <v>23.1</v>
      </c>
      <c r="I52" s="5">
        <f t="shared" si="1"/>
        <v>4764.9000000000005</v>
      </c>
      <c r="J52" s="22">
        <f t="shared" si="0"/>
        <v>1.0629999999999999</v>
      </c>
      <c r="K52" s="5"/>
      <c r="L52" s="5"/>
    </row>
    <row r="53" spans="2:12" hidden="1">
      <c r="B53" s="5">
        <f t="shared" si="2"/>
        <v>50</v>
      </c>
      <c r="C53" s="5" t="s">
        <v>544</v>
      </c>
      <c r="D53" s="5" t="s">
        <v>545</v>
      </c>
      <c r="E53" s="5" t="s">
        <v>450</v>
      </c>
      <c r="F53" s="5"/>
      <c r="G53" s="5">
        <v>63</v>
      </c>
      <c r="H53" s="5">
        <v>453.4</v>
      </c>
      <c r="I53" s="5">
        <f t="shared" si="1"/>
        <v>5218.3</v>
      </c>
      <c r="J53" s="22">
        <f t="shared" si="0"/>
        <v>1.0629999999999999</v>
      </c>
      <c r="K53" s="5"/>
      <c r="L53" s="5"/>
    </row>
    <row r="54" spans="2:12" hidden="1">
      <c r="B54" s="5">
        <f t="shared" si="2"/>
        <v>51</v>
      </c>
      <c r="C54" s="5" t="s">
        <v>545</v>
      </c>
      <c r="D54" s="5" t="s">
        <v>215</v>
      </c>
      <c r="E54" s="5" t="s">
        <v>450</v>
      </c>
      <c r="F54" s="5"/>
      <c r="G54" s="5">
        <v>63</v>
      </c>
      <c r="H54" s="5">
        <v>21.1</v>
      </c>
      <c r="I54" s="5">
        <f t="shared" si="1"/>
        <v>5239.4000000000005</v>
      </c>
      <c r="J54" s="22">
        <f t="shared" si="0"/>
        <v>1.0629999999999999</v>
      </c>
      <c r="K54" s="5"/>
      <c r="L54" s="5"/>
    </row>
    <row r="55" spans="2:12" hidden="1">
      <c r="B55" s="5">
        <f t="shared" si="2"/>
        <v>52</v>
      </c>
      <c r="C55" s="5" t="s">
        <v>215</v>
      </c>
      <c r="D55" s="5" t="s">
        <v>546</v>
      </c>
      <c r="E55" s="5" t="s">
        <v>450</v>
      </c>
      <c r="F55" s="5"/>
      <c r="G55" s="5">
        <v>90</v>
      </c>
      <c r="H55" s="5">
        <v>505.1</v>
      </c>
      <c r="I55" s="5">
        <f t="shared" si="1"/>
        <v>5744.5000000000009</v>
      </c>
      <c r="J55" s="22">
        <f t="shared" si="0"/>
        <v>1.0900000000000001</v>
      </c>
      <c r="K55" s="5"/>
      <c r="L55" s="5"/>
    </row>
    <row r="56" spans="2:12" hidden="1">
      <c r="B56" s="5">
        <f t="shared" si="2"/>
        <v>53</v>
      </c>
      <c r="C56" s="5" t="s">
        <v>546</v>
      </c>
      <c r="D56" s="5" t="s">
        <v>302</v>
      </c>
      <c r="E56" s="5" t="s">
        <v>450</v>
      </c>
      <c r="F56" s="5"/>
      <c r="G56" s="5">
        <v>110</v>
      </c>
      <c r="H56" s="5">
        <v>311.8</v>
      </c>
      <c r="I56" s="5">
        <f t="shared" si="1"/>
        <v>6056.3000000000011</v>
      </c>
      <c r="J56" s="22">
        <f t="shared" si="0"/>
        <v>1.1100000000000001</v>
      </c>
      <c r="K56" s="5"/>
      <c r="L56" s="5"/>
    </row>
    <row r="57" spans="2:12" hidden="1">
      <c r="B57" s="5">
        <f t="shared" si="2"/>
        <v>54</v>
      </c>
      <c r="C57" s="5" t="s">
        <v>302</v>
      </c>
      <c r="D57" s="5" t="s">
        <v>547</v>
      </c>
      <c r="E57" s="5" t="s">
        <v>450</v>
      </c>
      <c r="F57" s="5"/>
      <c r="G57" s="5">
        <v>90</v>
      </c>
      <c r="H57" s="5">
        <v>248.7</v>
      </c>
      <c r="I57" s="5">
        <f t="shared" si="1"/>
        <v>6305.0000000000009</v>
      </c>
      <c r="J57" s="22">
        <f t="shared" si="0"/>
        <v>1.0900000000000001</v>
      </c>
      <c r="K57" s="5"/>
      <c r="L57" s="5"/>
    </row>
    <row r="58" spans="2:12" hidden="1">
      <c r="B58" s="5">
        <f t="shared" si="2"/>
        <v>55</v>
      </c>
      <c r="C58" s="5" t="s">
        <v>546</v>
      </c>
      <c r="D58" s="5" t="s">
        <v>240</v>
      </c>
      <c r="E58" s="5" t="s">
        <v>450</v>
      </c>
      <c r="F58" s="5"/>
      <c r="G58" s="5">
        <v>90</v>
      </c>
      <c r="H58" s="5">
        <v>190.2</v>
      </c>
      <c r="I58" s="5">
        <f t="shared" si="1"/>
        <v>6495.2000000000007</v>
      </c>
      <c r="J58" s="22">
        <f t="shared" si="0"/>
        <v>1.0900000000000001</v>
      </c>
      <c r="K58" s="5"/>
      <c r="L58" s="5"/>
    </row>
    <row r="59" spans="2:12" hidden="1">
      <c r="B59" s="5">
        <f t="shared" si="2"/>
        <v>56</v>
      </c>
      <c r="C59" s="5" t="s">
        <v>240</v>
      </c>
      <c r="D59" s="5" t="s">
        <v>548</v>
      </c>
      <c r="E59" s="5" t="s">
        <v>450</v>
      </c>
      <c r="F59" s="5"/>
      <c r="G59" s="5">
        <v>90</v>
      </c>
      <c r="H59" s="5">
        <v>102.3</v>
      </c>
      <c r="I59" s="5">
        <f t="shared" si="1"/>
        <v>6597.5000000000009</v>
      </c>
      <c r="J59" s="22">
        <f t="shared" si="0"/>
        <v>1.0900000000000001</v>
      </c>
      <c r="K59" s="5"/>
      <c r="L59" s="5"/>
    </row>
    <row r="60" spans="2:12" hidden="1">
      <c r="B60" s="5">
        <f t="shared" si="2"/>
        <v>57</v>
      </c>
      <c r="C60" s="5" t="s">
        <v>548</v>
      </c>
      <c r="D60" s="5" t="s">
        <v>530</v>
      </c>
      <c r="E60" s="5" t="s">
        <v>450</v>
      </c>
      <c r="F60" s="5"/>
      <c r="G60" s="5">
        <v>63</v>
      </c>
      <c r="H60" s="5">
        <v>299.2</v>
      </c>
      <c r="I60" s="5">
        <f t="shared" si="1"/>
        <v>6896.7000000000007</v>
      </c>
      <c r="J60" s="22">
        <f t="shared" si="0"/>
        <v>1.0629999999999999</v>
      </c>
      <c r="K60" s="5"/>
      <c r="L60" s="5"/>
    </row>
    <row r="61" spans="2:12" hidden="1">
      <c r="B61" s="5">
        <f t="shared" si="2"/>
        <v>58</v>
      </c>
      <c r="C61" s="5" t="s">
        <v>548</v>
      </c>
      <c r="D61" s="5" t="s">
        <v>549</v>
      </c>
      <c r="E61" s="5" t="s">
        <v>199</v>
      </c>
      <c r="F61" s="5">
        <v>0.36</v>
      </c>
      <c r="G61" s="5">
        <v>63</v>
      </c>
      <c r="H61" s="5">
        <v>435.5</v>
      </c>
      <c r="I61" s="5">
        <f t="shared" si="1"/>
        <v>7332.2000000000007</v>
      </c>
      <c r="J61" s="22">
        <f t="shared" si="0"/>
        <v>1.0629999999999999</v>
      </c>
      <c r="K61" s="5"/>
      <c r="L61" s="5"/>
    </row>
    <row r="62" spans="2:12" hidden="1">
      <c r="B62" s="5">
        <f t="shared" si="2"/>
        <v>59</v>
      </c>
      <c r="C62" s="5" t="s">
        <v>546</v>
      </c>
      <c r="D62" s="5" t="s">
        <v>240</v>
      </c>
      <c r="E62" s="5" t="s">
        <v>450</v>
      </c>
      <c r="F62" s="5"/>
      <c r="G62" s="5">
        <v>90</v>
      </c>
      <c r="H62" s="5">
        <v>8.6999999999999993</v>
      </c>
      <c r="I62" s="5">
        <f t="shared" si="1"/>
        <v>7340.9000000000005</v>
      </c>
      <c r="J62" s="22">
        <f t="shared" si="0"/>
        <v>1.0900000000000001</v>
      </c>
      <c r="K62" s="5"/>
      <c r="L62" s="5"/>
    </row>
    <row r="63" spans="2:12" hidden="1">
      <c r="B63" s="5">
        <f t="shared" si="2"/>
        <v>60</v>
      </c>
      <c r="C63" s="5" t="s">
        <v>530</v>
      </c>
      <c r="D63" s="5" t="s">
        <v>325</v>
      </c>
      <c r="E63" s="5" t="s">
        <v>450</v>
      </c>
      <c r="F63" s="5"/>
      <c r="G63" s="5">
        <v>63</v>
      </c>
      <c r="H63" s="5">
        <v>3</v>
      </c>
      <c r="I63" s="5">
        <f t="shared" si="1"/>
        <v>7343.9000000000005</v>
      </c>
      <c r="J63" s="22">
        <f t="shared" si="0"/>
        <v>1.0629999999999999</v>
      </c>
      <c r="K63" s="5"/>
      <c r="L63" s="5"/>
    </row>
    <row r="64" spans="2:12" hidden="1">
      <c r="B64" s="5">
        <f t="shared" si="2"/>
        <v>61</v>
      </c>
      <c r="C64" s="5" t="s">
        <v>530</v>
      </c>
      <c r="D64" s="5" t="s">
        <v>325</v>
      </c>
      <c r="E64" s="5" t="s">
        <v>450</v>
      </c>
      <c r="F64" s="5"/>
      <c r="G64" s="5">
        <v>63</v>
      </c>
      <c r="H64" s="5">
        <v>3.3</v>
      </c>
      <c r="I64" s="5">
        <f t="shared" si="1"/>
        <v>7347.2000000000007</v>
      </c>
      <c r="J64" s="22">
        <f t="shared" si="0"/>
        <v>1.0629999999999999</v>
      </c>
      <c r="K64" s="5"/>
      <c r="L64" s="5"/>
    </row>
    <row r="65" spans="2:12" hidden="1">
      <c r="B65" s="5">
        <f t="shared" si="2"/>
        <v>62</v>
      </c>
      <c r="C65" s="5" t="s">
        <v>530</v>
      </c>
      <c r="D65" s="5" t="s">
        <v>325</v>
      </c>
      <c r="E65" s="5" t="s">
        <v>450</v>
      </c>
      <c r="F65" s="5"/>
      <c r="G65" s="5">
        <v>63</v>
      </c>
      <c r="H65" s="5">
        <v>12.6</v>
      </c>
      <c r="I65" s="5">
        <f t="shared" si="1"/>
        <v>7359.8000000000011</v>
      </c>
      <c r="J65" s="22">
        <f t="shared" si="0"/>
        <v>1.0629999999999999</v>
      </c>
      <c r="K65" s="5"/>
      <c r="L65" s="5"/>
    </row>
    <row r="66" spans="2:12" hidden="1">
      <c r="B66" s="5">
        <f t="shared" si="2"/>
        <v>63</v>
      </c>
      <c r="C66" s="5" t="s">
        <v>338</v>
      </c>
      <c r="D66" s="5" t="s">
        <v>412</v>
      </c>
      <c r="E66" s="5" t="s">
        <v>450</v>
      </c>
      <c r="F66" s="5"/>
      <c r="G66" s="5">
        <v>63</v>
      </c>
      <c r="H66" s="5">
        <v>483.6</v>
      </c>
      <c r="I66" s="5">
        <f t="shared" si="1"/>
        <v>7843.4000000000015</v>
      </c>
      <c r="J66" s="22">
        <f t="shared" si="0"/>
        <v>1.0629999999999999</v>
      </c>
      <c r="K66" s="499" t="s">
        <v>304</v>
      </c>
      <c r="L66" s="501"/>
    </row>
    <row r="67" spans="2:12" hidden="1">
      <c r="B67" s="5">
        <f t="shared" si="2"/>
        <v>64</v>
      </c>
      <c r="C67" s="5" t="s">
        <v>412</v>
      </c>
      <c r="D67" s="5" t="s">
        <v>257</v>
      </c>
      <c r="E67" s="5" t="s">
        <v>450</v>
      </c>
      <c r="F67" s="5"/>
      <c r="G67" s="5">
        <v>63</v>
      </c>
      <c r="H67" s="5">
        <v>6.1</v>
      </c>
      <c r="I67" s="5">
        <f t="shared" si="1"/>
        <v>7849.5000000000018</v>
      </c>
      <c r="J67" s="22">
        <f t="shared" si="0"/>
        <v>1.0629999999999999</v>
      </c>
      <c r="K67" s="5"/>
      <c r="L67" s="5"/>
    </row>
    <row r="68" spans="2:12" hidden="1">
      <c r="B68" s="5">
        <f t="shared" si="2"/>
        <v>65</v>
      </c>
      <c r="C68" s="5" t="s">
        <v>412</v>
      </c>
      <c r="D68" s="5" t="s">
        <v>257</v>
      </c>
      <c r="E68" s="5" t="s">
        <v>450</v>
      </c>
      <c r="F68" s="5"/>
      <c r="G68" s="5">
        <v>63</v>
      </c>
      <c r="H68" s="5">
        <v>324.7</v>
      </c>
      <c r="I68" s="5">
        <f t="shared" si="1"/>
        <v>8174.2000000000016</v>
      </c>
      <c r="J68" s="22">
        <f t="shared" si="0"/>
        <v>1.0629999999999999</v>
      </c>
      <c r="K68" s="5"/>
      <c r="L68" s="5"/>
    </row>
    <row r="69" spans="2:12" hidden="1">
      <c r="B69" s="5">
        <f t="shared" si="2"/>
        <v>66</v>
      </c>
      <c r="C69" s="5" t="s">
        <v>257</v>
      </c>
      <c r="D69" s="5" t="s">
        <v>416</v>
      </c>
      <c r="E69" s="5" t="s">
        <v>450</v>
      </c>
      <c r="F69" s="5"/>
      <c r="G69" s="5">
        <v>63</v>
      </c>
      <c r="H69" s="5">
        <v>5.5</v>
      </c>
      <c r="I69" s="5">
        <f t="shared" si="1"/>
        <v>8179.7000000000016</v>
      </c>
      <c r="J69" s="22">
        <f t="shared" ref="J69:J132" si="3">1+G69/1000</f>
        <v>1.0629999999999999</v>
      </c>
      <c r="K69" s="5"/>
      <c r="L69" s="5"/>
    </row>
    <row r="70" spans="2:12" hidden="1">
      <c r="B70" s="5">
        <f t="shared" si="2"/>
        <v>67</v>
      </c>
      <c r="C70" s="5" t="s">
        <v>323</v>
      </c>
      <c r="D70" s="5" t="s">
        <v>325</v>
      </c>
      <c r="E70" s="5" t="s">
        <v>450</v>
      </c>
      <c r="F70" s="5"/>
      <c r="G70" s="5">
        <v>63</v>
      </c>
      <c r="H70" s="5">
        <v>6</v>
      </c>
      <c r="I70" s="5">
        <f t="shared" ref="I70:I133" si="4">+I69+H70</f>
        <v>8185.7000000000016</v>
      </c>
      <c r="J70" s="22">
        <f t="shared" si="3"/>
        <v>1.0629999999999999</v>
      </c>
      <c r="K70" s="5"/>
      <c r="L70" s="5"/>
    </row>
    <row r="71" spans="2:12" hidden="1">
      <c r="B71" s="5">
        <f t="shared" ref="B71:B134" si="5">1+B70</f>
        <v>68</v>
      </c>
      <c r="C71" s="5" t="s">
        <v>323</v>
      </c>
      <c r="D71" s="5" t="s">
        <v>325</v>
      </c>
      <c r="E71" s="5" t="s">
        <v>450</v>
      </c>
      <c r="F71" s="5"/>
      <c r="G71" s="5">
        <v>63</v>
      </c>
      <c r="H71" s="5">
        <v>118.9</v>
      </c>
      <c r="I71" s="5">
        <f t="shared" si="4"/>
        <v>8304.6000000000022</v>
      </c>
      <c r="J71" s="22">
        <f t="shared" si="3"/>
        <v>1.0629999999999999</v>
      </c>
      <c r="K71" s="5"/>
      <c r="L71" s="5"/>
    </row>
    <row r="72" spans="2:12" hidden="1">
      <c r="B72" s="5">
        <f t="shared" si="5"/>
        <v>69</v>
      </c>
      <c r="C72" s="5" t="s">
        <v>273</v>
      </c>
      <c r="D72" s="5" t="s">
        <v>308</v>
      </c>
      <c r="E72" s="5" t="s">
        <v>450</v>
      </c>
      <c r="F72" s="5"/>
      <c r="G72" s="5">
        <v>63</v>
      </c>
      <c r="H72" s="5">
        <v>45.8</v>
      </c>
      <c r="I72" s="5">
        <f t="shared" si="4"/>
        <v>8350.4000000000015</v>
      </c>
      <c r="J72" s="22">
        <f t="shared" si="3"/>
        <v>1.0629999999999999</v>
      </c>
      <c r="K72" s="5"/>
      <c r="L72" s="5"/>
    </row>
    <row r="73" spans="2:12" hidden="1">
      <c r="B73" s="5">
        <f t="shared" si="5"/>
        <v>70</v>
      </c>
      <c r="C73" s="5" t="s">
        <v>308</v>
      </c>
      <c r="D73" s="5" t="s">
        <v>386</v>
      </c>
      <c r="E73" s="5" t="s">
        <v>450</v>
      </c>
      <c r="F73" s="5"/>
      <c r="G73" s="5">
        <v>63</v>
      </c>
      <c r="H73" s="5">
        <v>115.6</v>
      </c>
      <c r="I73" s="5">
        <f t="shared" si="4"/>
        <v>8466.0000000000018</v>
      </c>
      <c r="J73" s="22">
        <f t="shared" si="3"/>
        <v>1.0629999999999999</v>
      </c>
      <c r="K73" s="5"/>
      <c r="L73" s="5"/>
    </row>
    <row r="74" spans="2:12" hidden="1">
      <c r="B74" s="5">
        <f t="shared" si="5"/>
        <v>71</v>
      </c>
      <c r="C74" s="5" t="s">
        <v>346</v>
      </c>
      <c r="D74" s="5" t="s">
        <v>342</v>
      </c>
      <c r="E74" s="5" t="s">
        <v>450</v>
      </c>
      <c r="F74" s="5"/>
      <c r="G74" s="5">
        <v>63</v>
      </c>
      <c r="H74" s="5">
        <v>63.4</v>
      </c>
      <c r="I74" s="5">
        <f t="shared" si="4"/>
        <v>8529.4000000000015</v>
      </c>
      <c r="J74" s="22">
        <f t="shared" si="3"/>
        <v>1.0629999999999999</v>
      </c>
      <c r="K74" s="5"/>
      <c r="L74" s="5"/>
    </row>
    <row r="75" spans="2:12" hidden="1">
      <c r="B75" s="5">
        <f t="shared" si="5"/>
        <v>72</v>
      </c>
      <c r="C75" s="5" t="s">
        <v>308</v>
      </c>
      <c r="D75" s="5" t="s">
        <v>244</v>
      </c>
      <c r="E75" s="5" t="s">
        <v>450</v>
      </c>
      <c r="F75" s="5"/>
      <c r="G75" s="5">
        <v>63</v>
      </c>
      <c r="H75" s="5">
        <v>70.8</v>
      </c>
      <c r="I75" s="5">
        <f t="shared" si="4"/>
        <v>8600.2000000000007</v>
      </c>
      <c r="J75" s="22">
        <f t="shared" si="3"/>
        <v>1.0629999999999999</v>
      </c>
      <c r="K75" s="5"/>
      <c r="L75" s="5"/>
    </row>
    <row r="76" spans="2:12" hidden="1">
      <c r="B76" s="5">
        <f t="shared" si="5"/>
        <v>73</v>
      </c>
      <c r="C76" s="5" t="s">
        <v>308</v>
      </c>
      <c r="D76" s="5" t="s">
        <v>244</v>
      </c>
      <c r="E76" s="5" t="s">
        <v>383</v>
      </c>
      <c r="F76" s="5">
        <v>0.36</v>
      </c>
      <c r="G76" s="5">
        <v>63</v>
      </c>
      <c r="H76" s="5">
        <v>3.2</v>
      </c>
      <c r="I76" s="5">
        <f t="shared" si="4"/>
        <v>8603.4000000000015</v>
      </c>
      <c r="J76" s="22">
        <f t="shared" si="3"/>
        <v>1.0629999999999999</v>
      </c>
      <c r="K76" s="5"/>
      <c r="L76" s="5"/>
    </row>
    <row r="77" spans="2:12" hidden="1">
      <c r="B77" s="5">
        <f t="shared" si="5"/>
        <v>74</v>
      </c>
      <c r="C77" s="5" t="s">
        <v>273</v>
      </c>
      <c r="D77" s="5" t="s">
        <v>340</v>
      </c>
      <c r="E77" s="5" t="s">
        <v>450</v>
      </c>
      <c r="F77" s="5"/>
      <c r="G77" s="5">
        <v>63</v>
      </c>
      <c r="H77" s="5">
        <v>98.2</v>
      </c>
      <c r="I77" s="5">
        <f t="shared" si="4"/>
        <v>8701.6000000000022</v>
      </c>
      <c r="J77" s="22">
        <f t="shared" si="3"/>
        <v>1.0629999999999999</v>
      </c>
      <c r="K77" s="499" t="s">
        <v>455</v>
      </c>
      <c r="L77" s="501"/>
    </row>
    <row r="78" spans="2:12" hidden="1">
      <c r="B78" s="5">
        <f t="shared" si="5"/>
        <v>75</v>
      </c>
      <c r="C78" s="5" t="s">
        <v>272</v>
      </c>
      <c r="D78" s="5" t="s">
        <v>314</v>
      </c>
      <c r="E78" s="5" t="s">
        <v>450</v>
      </c>
      <c r="F78" s="5"/>
      <c r="G78" s="5">
        <v>63</v>
      </c>
      <c r="H78" s="5">
        <v>285</v>
      </c>
      <c r="I78" s="5">
        <f t="shared" si="4"/>
        <v>8986.6000000000022</v>
      </c>
      <c r="J78" s="22">
        <f t="shared" si="3"/>
        <v>1.0629999999999999</v>
      </c>
      <c r="K78" s="5"/>
      <c r="L78" s="5"/>
    </row>
    <row r="79" spans="2:12">
      <c r="B79" s="5">
        <f t="shared" si="5"/>
        <v>76</v>
      </c>
      <c r="C79" s="5" t="s">
        <v>547</v>
      </c>
      <c r="D79" s="5" t="s">
        <v>541</v>
      </c>
      <c r="E79" s="5" t="s">
        <v>301</v>
      </c>
      <c r="F79" s="5">
        <v>0.46</v>
      </c>
      <c r="G79" s="5">
        <v>63</v>
      </c>
      <c r="H79" s="5">
        <v>101.8</v>
      </c>
      <c r="I79" s="5">
        <f t="shared" si="4"/>
        <v>9088.4000000000015</v>
      </c>
      <c r="J79" s="22">
        <f t="shared" si="3"/>
        <v>1.0629999999999999</v>
      </c>
      <c r="K79" s="5"/>
      <c r="L79" s="5"/>
    </row>
    <row r="80" spans="2:12" hidden="1">
      <c r="B80" s="5">
        <f t="shared" si="5"/>
        <v>77</v>
      </c>
      <c r="C80" s="5" t="s">
        <v>547</v>
      </c>
      <c r="D80" s="5" t="s">
        <v>541</v>
      </c>
      <c r="E80" s="5" t="s">
        <v>199</v>
      </c>
      <c r="F80" s="5">
        <v>0.36</v>
      </c>
      <c r="G80" s="5">
        <v>63</v>
      </c>
      <c r="H80" s="5">
        <v>40</v>
      </c>
      <c r="I80" s="5">
        <f t="shared" si="4"/>
        <v>9128.4000000000015</v>
      </c>
      <c r="J80" s="22">
        <f t="shared" si="3"/>
        <v>1.0629999999999999</v>
      </c>
      <c r="K80" s="5"/>
      <c r="L80" s="5"/>
    </row>
    <row r="81" spans="2:12" hidden="1">
      <c r="B81" s="5">
        <f t="shared" si="5"/>
        <v>78</v>
      </c>
      <c r="C81" s="5" t="s">
        <v>547</v>
      </c>
      <c r="D81" s="5" t="s">
        <v>541</v>
      </c>
      <c r="E81" s="5" t="s">
        <v>450</v>
      </c>
      <c r="F81" s="5"/>
      <c r="G81" s="5">
        <v>63</v>
      </c>
      <c r="H81" s="5">
        <v>1.5</v>
      </c>
      <c r="I81" s="5">
        <f t="shared" si="4"/>
        <v>9129.9000000000015</v>
      </c>
      <c r="J81" s="22">
        <f t="shared" si="3"/>
        <v>1.0629999999999999</v>
      </c>
      <c r="K81" s="5"/>
      <c r="L81" s="5"/>
    </row>
    <row r="82" spans="2:12" hidden="1">
      <c r="B82" s="5">
        <f t="shared" si="5"/>
        <v>79</v>
      </c>
      <c r="C82" s="5" t="s">
        <v>550</v>
      </c>
      <c r="D82" s="5" t="s">
        <v>551</v>
      </c>
      <c r="E82" s="5" t="s">
        <v>199</v>
      </c>
      <c r="F82" s="5">
        <v>0.36</v>
      </c>
      <c r="G82" s="5">
        <v>63</v>
      </c>
      <c r="H82" s="5">
        <v>151.9</v>
      </c>
      <c r="I82" s="5">
        <f t="shared" si="4"/>
        <v>9281.8000000000011</v>
      </c>
      <c r="J82" s="22">
        <f t="shared" si="3"/>
        <v>1.0629999999999999</v>
      </c>
      <c r="K82" s="5"/>
      <c r="L82" s="5"/>
    </row>
    <row r="83" spans="2:12" hidden="1">
      <c r="B83" s="5">
        <f t="shared" si="5"/>
        <v>80</v>
      </c>
      <c r="C83" s="5" t="s">
        <v>530</v>
      </c>
      <c r="D83" s="5" t="s">
        <v>210</v>
      </c>
      <c r="E83" s="5" t="s">
        <v>199</v>
      </c>
      <c r="F83" s="5">
        <v>0.36</v>
      </c>
      <c r="G83" s="5">
        <v>63</v>
      </c>
      <c r="H83" s="5">
        <v>223.1</v>
      </c>
      <c r="I83" s="5">
        <f t="shared" si="4"/>
        <v>9504.9000000000015</v>
      </c>
      <c r="J83" s="22">
        <f t="shared" si="3"/>
        <v>1.0629999999999999</v>
      </c>
      <c r="K83" s="5"/>
      <c r="L83" s="5"/>
    </row>
    <row r="84" spans="2:12" hidden="1">
      <c r="B84" s="5">
        <f t="shared" si="5"/>
        <v>81</v>
      </c>
      <c r="C84" s="5" t="s">
        <v>210</v>
      </c>
      <c r="D84" s="5" t="s">
        <v>519</v>
      </c>
      <c r="E84" s="5" t="s">
        <v>199</v>
      </c>
      <c r="F84" s="5">
        <v>0.36</v>
      </c>
      <c r="G84" s="5">
        <v>63</v>
      </c>
      <c r="H84" s="5">
        <v>125.3</v>
      </c>
      <c r="I84" s="5">
        <f t="shared" si="4"/>
        <v>9630.2000000000007</v>
      </c>
      <c r="J84" s="22">
        <f t="shared" si="3"/>
        <v>1.0629999999999999</v>
      </c>
      <c r="K84" s="5"/>
      <c r="L84" s="5"/>
    </row>
    <row r="85" spans="2:12" hidden="1">
      <c r="B85" s="5">
        <f t="shared" si="5"/>
        <v>82</v>
      </c>
      <c r="C85" s="5" t="s">
        <v>519</v>
      </c>
      <c r="D85" s="5" t="s">
        <v>552</v>
      </c>
      <c r="E85" s="5" t="s">
        <v>199</v>
      </c>
      <c r="F85" s="5">
        <v>0.36</v>
      </c>
      <c r="G85" s="5">
        <v>63</v>
      </c>
      <c r="H85" s="5">
        <v>9.6999999999999993</v>
      </c>
      <c r="I85" s="5">
        <f t="shared" si="4"/>
        <v>9639.9000000000015</v>
      </c>
      <c r="J85" s="22">
        <f t="shared" si="3"/>
        <v>1.0629999999999999</v>
      </c>
      <c r="K85" s="5"/>
      <c r="L85" s="5"/>
    </row>
    <row r="86" spans="2:12" hidden="1">
      <c r="B86" s="5">
        <f t="shared" si="5"/>
        <v>83</v>
      </c>
      <c r="C86" s="5" t="s">
        <v>519</v>
      </c>
      <c r="D86" s="5" t="s">
        <v>434</v>
      </c>
      <c r="E86" s="5" t="s">
        <v>450</v>
      </c>
      <c r="F86" s="5"/>
      <c r="G86" s="5">
        <v>63</v>
      </c>
      <c r="H86" s="5">
        <v>93.7</v>
      </c>
      <c r="I86" s="5">
        <f t="shared" si="4"/>
        <v>9733.6000000000022</v>
      </c>
      <c r="J86" s="22">
        <f t="shared" si="3"/>
        <v>1.0629999999999999</v>
      </c>
      <c r="K86" s="5"/>
      <c r="L86" s="5"/>
    </row>
    <row r="87" spans="2:12" hidden="1">
      <c r="B87" s="5">
        <f t="shared" si="5"/>
        <v>84</v>
      </c>
      <c r="C87" s="5" t="s">
        <v>519</v>
      </c>
      <c r="D87" s="5" t="s">
        <v>520</v>
      </c>
      <c r="E87" s="5" t="s">
        <v>450</v>
      </c>
      <c r="F87" s="5"/>
      <c r="G87" s="5">
        <v>63</v>
      </c>
      <c r="H87" s="5">
        <v>177.8</v>
      </c>
      <c r="I87" s="5">
        <f t="shared" si="4"/>
        <v>9911.4000000000015</v>
      </c>
      <c r="J87" s="22">
        <f t="shared" si="3"/>
        <v>1.0629999999999999</v>
      </c>
      <c r="K87" s="5"/>
      <c r="L87" s="5"/>
    </row>
    <row r="88" spans="2:12" hidden="1">
      <c r="B88" s="5">
        <f t="shared" si="5"/>
        <v>85</v>
      </c>
      <c r="C88" s="5" t="s">
        <v>519</v>
      </c>
      <c r="D88" s="5" t="s">
        <v>520</v>
      </c>
      <c r="E88" s="5" t="s">
        <v>199</v>
      </c>
      <c r="F88" s="5">
        <v>0.36</v>
      </c>
      <c r="G88" s="5">
        <v>63</v>
      </c>
      <c r="H88" s="5">
        <v>3</v>
      </c>
      <c r="I88" s="5">
        <f t="shared" si="4"/>
        <v>9914.4000000000015</v>
      </c>
      <c r="J88" s="22">
        <f t="shared" si="3"/>
        <v>1.0629999999999999</v>
      </c>
      <c r="K88" s="5"/>
      <c r="L88" s="5"/>
    </row>
    <row r="89" spans="2:12" hidden="1">
      <c r="B89" s="5">
        <f t="shared" si="5"/>
        <v>86</v>
      </c>
      <c r="C89" s="5" t="s">
        <v>210</v>
      </c>
      <c r="D89" s="5" t="s">
        <v>218</v>
      </c>
      <c r="E89" s="5" t="s">
        <v>199</v>
      </c>
      <c r="F89" s="5">
        <v>0.36</v>
      </c>
      <c r="G89" s="5">
        <v>63</v>
      </c>
      <c r="H89" s="5">
        <v>128.5</v>
      </c>
      <c r="I89" s="5">
        <f t="shared" si="4"/>
        <v>10042.900000000001</v>
      </c>
      <c r="J89" s="22">
        <f t="shared" si="3"/>
        <v>1.0629999999999999</v>
      </c>
      <c r="K89" s="5"/>
      <c r="L89" s="5"/>
    </row>
    <row r="90" spans="2:12" hidden="1">
      <c r="B90" s="5">
        <f t="shared" si="5"/>
        <v>87</v>
      </c>
      <c r="C90" s="5" t="s">
        <v>210</v>
      </c>
      <c r="D90" s="5" t="s">
        <v>218</v>
      </c>
      <c r="E90" s="5" t="s">
        <v>450</v>
      </c>
      <c r="F90" s="5"/>
      <c r="G90" s="5">
        <v>63</v>
      </c>
      <c r="H90" s="5">
        <v>32.1</v>
      </c>
      <c r="I90" s="5">
        <f t="shared" si="4"/>
        <v>10075.000000000002</v>
      </c>
      <c r="J90" s="22">
        <f t="shared" si="3"/>
        <v>1.0629999999999999</v>
      </c>
      <c r="K90" s="5"/>
      <c r="L90" s="5"/>
    </row>
    <row r="91" spans="2:12" hidden="1">
      <c r="B91" s="5">
        <f t="shared" si="5"/>
        <v>88</v>
      </c>
      <c r="C91" s="5" t="s">
        <v>210</v>
      </c>
      <c r="D91" s="5" t="s">
        <v>218</v>
      </c>
      <c r="E91" s="5" t="s">
        <v>199</v>
      </c>
      <c r="F91" s="5">
        <v>0.36</v>
      </c>
      <c r="G91" s="5">
        <v>63</v>
      </c>
      <c r="H91" s="5">
        <v>62.5</v>
      </c>
      <c r="I91" s="5">
        <f t="shared" si="4"/>
        <v>10137.500000000002</v>
      </c>
      <c r="J91" s="22">
        <f t="shared" si="3"/>
        <v>1.0629999999999999</v>
      </c>
      <c r="K91" s="5"/>
      <c r="L91" s="5"/>
    </row>
    <row r="92" spans="2:12" hidden="1">
      <c r="B92" s="5">
        <f t="shared" si="5"/>
        <v>89</v>
      </c>
      <c r="C92" s="5" t="s">
        <v>210</v>
      </c>
      <c r="D92" s="5" t="s">
        <v>218</v>
      </c>
      <c r="E92" s="5" t="s">
        <v>450</v>
      </c>
      <c r="F92" s="5"/>
      <c r="G92" s="5">
        <v>63</v>
      </c>
      <c r="H92" s="5">
        <v>158.4</v>
      </c>
      <c r="I92" s="5">
        <f t="shared" si="4"/>
        <v>10295.900000000001</v>
      </c>
      <c r="J92" s="22">
        <f t="shared" si="3"/>
        <v>1.0629999999999999</v>
      </c>
      <c r="K92" s="5"/>
      <c r="L92" s="5"/>
    </row>
    <row r="93" spans="2:12" hidden="1">
      <c r="B93" s="5">
        <f t="shared" si="5"/>
        <v>90</v>
      </c>
      <c r="C93" s="5" t="s">
        <v>530</v>
      </c>
      <c r="D93" s="5" t="s">
        <v>553</v>
      </c>
      <c r="E93" s="5" t="s">
        <v>450</v>
      </c>
      <c r="F93" s="5"/>
      <c r="G93" s="5">
        <v>63</v>
      </c>
      <c r="H93" s="5">
        <v>550.6</v>
      </c>
      <c r="I93" s="5">
        <f t="shared" si="4"/>
        <v>10846.500000000002</v>
      </c>
      <c r="J93" s="22">
        <f t="shared" si="3"/>
        <v>1.0629999999999999</v>
      </c>
      <c r="K93" s="5"/>
      <c r="L93" s="5"/>
    </row>
    <row r="94" spans="2:12" hidden="1">
      <c r="B94" s="5">
        <f t="shared" si="5"/>
        <v>91</v>
      </c>
      <c r="C94" s="5" t="s">
        <v>553</v>
      </c>
      <c r="D94" s="5" t="s">
        <v>554</v>
      </c>
      <c r="E94" s="5" t="s">
        <v>450</v>
      </c>
      <c r="F94" s="5"/>
      <c r="G94" s="5">
        <v>63</v>
      </c>
      <c r="H94" s="5">
        <v>156.4</v>
      </c>
      <c r="I94" s="5">
        <f t="shared" si="4"/>
        <v>11002.900000000001</v>
      </c>
      <c r="J94" s="22">
        <f t="shared" si="3"/>
        <v>1.0629999999999999</v>
      </c>
      <c r="K94" s="5"/>
      <c r="L94" s="5"/>
    </row>
    <row r="95" spans="2:12" hidden="1">
      <c r="B95" s="5">
        <f t="shared" si="5"/>
        <v>92</v>
      </c>
      <c r="C95" s="5" t="s">
        <v>555</v>
      </c>
      <c r="D95" s="5" t="s">
        <v>556</v>
      </c>
      <c r="E95" s="5" t="s">
        <v>450</v>
      </c>
      <c r="F95" s="5"/>
      <c r="G95" s="5">
        <v>63</v>
      </c>
      <c r="H95" s="5">
        <v>11.2</v>
      </c>
      <c r="I95" s="5">
        <f t="shared" si="4"/>
        <v>11014.100000000002</v>
      </c>
      <c r="J95" s="22">
        <f t="shared" si="3"/>
        <v>1.0629999999999999</v>
      </c>
      <c r="K95" s="5"/>
      <c r="L95" s="5"/>
    </row>
    <row r="96" spans="2:12" hidden="1">
      <c r="B96" s="5">
        <f t="shared" si="5"/>
        <v>93</v>
      </c>
      <c r="C96" s="5" t="s">
        <v>556</v>
      </c>
      <c r="D96" s="5" t="s">
        <v>557</v>
      </c>
      <c r="E96" s="5" t="s">
        <v>450</v>
      </c>
      <c r="F96" s="5"/>
      <c r="G96" s="5">
        <v>63</v>
      </c>
      <c r="H96" s="5">
        <v>13.4</v>
      </c>
      <c r="I96" s="5">
        <f t="shared" si="4"/>
        <v>11027.500000000002</v>
      </c>
      <c r="J96" s="22">
        <f t="shared" si="3"/>
        <v>1.0629999999999999</v>
      </c>
      <c r="K96" s="5"/>
      <c r="L96" s="5"/>
    </row>
    <row r="97" spans="2:12" hidden="1">
      <c r="B97" s="5">
        <f t="shared" si="5"/>
        <v>94</v>
      </c>
      <c r="C97" s="5" t="s">
        <v>556</v>
      </c>
      <c r="D97" s="5" t="s">
        <v>558</v>
      </c>
      <c r="E97" s="5" t="s">
        <v>450</v>
      </c>
      <c r="F97" s="5"/>
      <c r="G97" s="5">
        <v>63</v>
      </c>
      <c r="H97" s="5">
        <v>3.4</v>
      </c>
      <c r="I97" s="5">
        <f t="shared" si="4"/>
        <v>11030.900000000001</v>
      </c>
      <c r="J97" s="22">
        <f t="shared" si="3"/>
        <v>1.0629999999999999</v>
      </c>
      <c r="K97" s="5"/>
      <c r="L97" s="5"/>
    </row>
    <row r="98" spans="2:12" hidden="1">
      <c r="B98" s="5">
        <f t="shared" si="5"/>
        <v>95</v>
      </c>
      <c r="C98" s="5" t="s">
        <v>556</v>
      </c>
      <c r="D98" s="5" t="s">
        <v>558</v>
      </c>
      <c r="E98" s="5" t="s">
        <v>199</v>
      </c>
      <c r="F98" s="5">
        <v>0.36</v>
      </c>
      <c r="G98" s="5">
        <v>63</v>
      </c>
      <c r="H98" s="5">
        <v>6.2</v>
      </c>
      <c r="I98" s="5">
        <f t="shared" si="4"/>
        <v>11037.100000000002</v>
      </c>
      <c r="J98" s="22">
        <f t="shared" si="3"/>
        <v>1.0629999999999999</v>
      </c>
      <c r="K98" s="5"/>
      <c r="L98" s="5"/>
    </row>
    <row r="99" spans="2:12" hidden="1">
      <c r="B99" s="5">
        <f t="shared" si="5"/>
        <v>96</v>
      </c>
      <c r="C99" s="5" t="s">
        <v>556</v>
      </c>
      <c r="D99" s="5" t="s">
        <v>558</v>
      </c>
      <c r="E99" s="5" t="s">
        <v>450</v>
      </c>
      <c r="F99" s="5"/>
      <c r="G99" s="5">
        <v>63</v>
      </c>
      <c r="H99" s="5">
        <v>17.600000000000001</v>
      </c>
      <c r="I99" s="5">
        <f t="shared" si="4"/>
        <v>11054.700000000003</v>
      </c>
      <c r="J99" s="22">
        <f t="shared" si="3"/>
        <v>1.0629999999999999</v>
      </c>
      <c r="K99" s="5"/>
      <c r="L99" s="5"/>
    </row>
    <row r="100" spans="2:12" hidden="1">
      <c r="B100" s="5">
        <f t="shared" si="5"/>
        <v>97</v>
      </c>
      <c r="C100" s="5" t="s">
        <v>343</v>
      </c>
      <c r="D100" s="5" t="s">
        <v>559</v>
      </c>
      <c r="E100" s="5" t="s">
        <v>450</v>
      </c>
      <c r="F100" s="5"/>
      <c r="G100" s="5">
        <v>63</v>
      </c>
      <c r="H100" s="5">
        <v>294</v>
      </c>
      <c r="I100" s="5">
        <f t="shared" si="4"/>
        <v>11348.700000000003</v>
      </c>
      <c r="J100" s="22">
        <f t="shared" si="3"/>
        <v>1.0629999999999999</v>
      </c>
      <c r="K100" s="5"/>
      <c r="L100" s="5"/>
    </row>
    <row r="101" spans="2:12" hidden="1">
      <c r="B101" s="5">
        <f t="shared" si="5"/>
        <v>98</v>
      </c>
      <c r="C101" s="5" t="s">
        <v>360</v>
      </c>
      <c r="D101" s="5" t="s">
        <v>516</v>
      </c>
      <c r="E101" s="5" t="s">
        <v>450</v>
      </c>
      <c r="F101" s="5"/>
      <c r="G101" s="5">
        <v>110</v>
      </c>
      <c r="H101" s="5">
        <v>42.5</v>
      </c>
      <c r="I101" s="5">
        <f t="shared" si="4"/>
        <v>11391.200000000003</v>
      </c>
      <c r="J101" s="22">
        <f t="shared" si="3"/>
        <v>1.1100000000000001</v>
      </c>
      <c r="K101" s="5"/>
      <c r="L101" s="5"/>
    </row>
    <row r="102" spans="2:12" hidden="1">
      <c r="B102" s="5">
        <f t="shared" si="5"/>
        <v>99</v>
      </c>
      <c r="C102" s="5" t="s">
        <v>302</v>
      </c>
      <c r="D102" s="5" t="s">
        <v>360</v>
      </c>
      <c r="E102" s="5" t="s">
        <v>450</v>
      </c>
      <c r="F102" s="5"/>
      <c r="G102" s="5">
        <v>110</v>
      </c>
      <c r="H102" s="5">
        <v>3.2</v>
      </c>
      <c r="I102" s="5">
        <f t="shared" si="4"/>
        <v>11394.400000000003</v>
      </c>
      <c r="J102" s="22">
        <f t="shared" si="3"/>
        <v>1.1100000000000001</v>
      </c>
      <c r="K102" s="5"/>
      <c r="L102" s="5"/>
    </row>
    <row r="103" spans="2:12" hidden="1">
      <c r="B103" s="5">
        <f t="shared" si="5"/>
        <v>100</v>
      </c>
      <c r="C103" s="5" t="s">
        <v>302</v>
      </c>
      <c r="D103" s="5" t="s">
        <v>360</v>
      </c>
      <c r="E103" s="5" t="s">
        <v>450</v>
      </c>
      <c r="F103" s="5"/>
      <c r="G103" s="5">
        <v>110</v>
      </c>
      <c r="H103" s="5">
        <v>3.4</v>
      </c>
      <c r="I103" s="5">
        <f t="shared" si="4"/>
        <v>11397.800000000003</v>
      </c>
      <c r="J103" s="22">
        <f t="shared" si="3"/>
        <v>1.1100000000000001</v>
      </c>
      <c r="K103" s="499" t="s">
        <v>455</v>
      </c>
      <c r="L103" s="501"/>
    </row>
    <row r="104" spans="2:12" hidden="1">
      <c r="B104" s="5">
        <f t="shared" si="5"/>
        <v>101</v>
      </c>
      <c r="C104" s="5" t="s">
        <v>302</v>
      </c>
      <c r="D104" s="5" t="s">
        <v>360</v>
      </c>
      <c r="E104" s="5" t="s">
        <v>450</v>
      </c>
      <c r="F104" s="5"/>
      <c r="G104" s="5">
        <v>110</v>
      </c>
      <c r="H104" s="5">
        <v>7.6</v>
      </c>
      <c r="I104" s="5">
        <f t="shared" si="4"/>
        <v>11405.400000000003</v>
      </c>
      <c r="J104" s="22">
        <f t="shared" si="3"/>
        <v>1.1100000000000001</v>
      </c>
      <c r="L104" s="5"/>
    </row>
    <row r="105" spans="2:12" hidden="1">
      <c r="B105" s="5">
        <f t="shared" si="5"/>
        <v>102</v>
      </c>
      <c r="C105" s="5" t="s">
        <v>302</v>
      </c>
      <c r="D105" s="5" t="s">
        <v>360</v>
      </c>
      <c r="E105" s="5" t="s">
        <v>199</v>
      </c>
      <c r="F105" s="5">
        <v>0.36</v>
      </c>
      <c r="G105" s="5">
        <v>110</v>
      </c>
      <c r="H105" s="5">
        <v>30</v>
      </c>
      <c r="I105" s="5">
        <f t="shared" si="4"/>
        <v>11435.400000000003</v>
      </c>
      <c r="J105" s="22">
        <f t="shared" si="3"/>
        <v>1.1100000000000001</v>
      </c>
      <c r="K105" s="499" t="s">
        <v>304</v>
      </c>
      <c r="L105" s="501"/>
    </row>
    <row r="106" spans="2:12" hidden="1">
      <c r="B106" s="5">
        <f t="shared" si="5"/>
        <v>103</v>
      </c>
      <c r="C106" s="5" t="s">
        <v>302</v>
      </c>
      <c r="D106" s="5" t="s">
        <v>360</v>
      </c>
      <c r="E106" s="5" t="s">
        <v>450</v>
      </c>
      <c r="F106" s="5"/>
      <c r="G106" s="5">
        <v>110</v>
      </c>
      <c r="H106" s="5">
        <v>131.80000000000001</v>
      </c>
      <c r="I106" s="5">
        <f t="shared" si="4"/>
        <v>11567.200000000003</v>
      </c>
      <c r="J106" s="22">
        <f t="shared" si="3"/>
        <v>1.1100000000000001</v>
      </c>
      <c r="K106" s="5"/>
      <c r="L106" s="5"/>
    </row>
    <row r="107" spans="2:12" hidden="1">
      <c r="B107" s="5">
        <f t="shared" si="5"/>
        <v>104</v>
      </c>
      <c r="C107" s="5" t="s">
        <v>560</v>
      </c>
      <c r="D107" s="5" t="s">
        <v>324</v>
      </c>
      <c r="E107" s="5" t="s">
        <v>450</v>
      </c>
      <c r="F107" s="5"/>
      <c r="G107" s="5">
        <v>63</v>
      </c>
      <c r="H107" s="5">
        <v>4.3</v>
      </c>
      <c r="I107" s="5">
        <f t="shared" si="4"/>
        <v>11571.500000000002</v>
      </c>
      <c r="J107" s="22">
        <f t="shared" si="3"/>
        <v>1.0629999999999999</v>
      </c>
      <c r="K107" s="5"/>
      <c r="L107" s="5"/>
    </row>
    <row r="108" spans="2:12" hidden="1">
      <c r="B108" s="5">
        <f t="shared" si="5"/>
        <v>105</v>
      </c>
      <c r="C108" s="5" t="s">
        <v>560</v>
      </c>
      <c r="D108" s="5" t="s">
        <v>324</v>
      </c>
      <c r="E108" s="5" t="s">
        <v>450</v>
      </c>
      <c r="F108" s="5"/>
      <c r="G108" s="5">
        <v>63</v>
      </c>
      <c r="H108" s="5">
        <v>9.6999999999999993</v>
      </c>
      <c r="I108" s="5">
        <f t="shared" si="4"/>
        <v>11581.200000000003</v>
      </c>
      <c r="J108" s="22">
        <f t="shared" si="3"/>
        <v>1.0629999999999999</v>
      </c>
      <c r="K108" s="499" t="s">
        <v>455</v>
      </c>
      <c r="L108" s="501"/>
    </row>
    <row r="109" spans="2:12" hidden="1">
      <c r="B109" s="5">
        <f t="shared" si="5"/>
        <v>106</v>
      </c>
      <c r="C109" s="5" t="s">
        <v>560</v>
      </c>
      <c r="D109" s="5" t="s">
        <v>324</v>
      </c>
      <c r="E109" s="5" t="s">
        <v>450</v>
      </c>
      <c r="F109" s="5"/>
      <c r="G109" s="5">
        <v>63</v>
      </c>
      <c r="H109" s="5">
        <v>11.2</v>
      </c>
      <c r="I109" s="5">
        <f t="shared" si="4"/>
        <v>11592.400000000003</v>
      </c>
      <c r="J109" s="22">
        <f t="shared" si="3"/>
        <v>1.0629999999999999</v>
      </c>
      <c r="K109" s="499" t="s">
        <v>304</v>
      </c>
      <c r="L109" s="501"/>
    </row>
    <row r="110" spans="2:12" hidden="1">
      <c r="B110" s="5">
        <f t="shared" si="5"/>
        <v>107</v>
      </c>
      <c r="C110" s="5" t="s">
        <v>560</v>
      </c>
      <c r="D110" s="5" t="s">
        <v>324</v>
      </c>
      <c r="E110" s="5" t="s">
        <v>450</v>
      </c>
      <c r="F110" s="5"/>
      <c r="G110" s="5">
        <v>63</v>
      </c>
      <c r="H110" s="5">
        <v>418.7</v>
      </c>
      <c r="I110" s="5">
        <f t="shared" si="4"/>
        <v>12011.100000000004</v>
      </c>
      <c r="J110" s="22">
        <f t="shared" si="3"/>
        <v>1.0629999999999999</v>
      </c>
      <c r="K110" s="5"/>
      <c r="L110" s="5"/>
    </row>
    <row r="111" spans="2:12" hidden="1">
      <c r="B111" s="5">
        <f t="shared" si="5"/>
        <v>108</v>
      </c>
      <c r="C111" s="5" t="s">
        <v>561</v>
      </c>
      <c r="D111" s="5" t="s">
        <v>560</v>
      </c>
      <c r="E111" s="5" t="s">
        <v>450</v>
      </c>
      <c r="F111" s="5"/>
      <c r="G111" s="5">
        <v>63</v>
      </c>
      <c r="H111" s="5">
        <v>8.1</v>
      </c>
      <c r="I111" s="5">
        <f t="shared" si="4"/>
        <v>12019.200000000004</v>
      </c>
      <c r="J111" s="22">
        <f t="shared" si="3"/>
        <v>1.0629999999999999</v>
      </c>
      <c r="K111" s="5"/>
      <c r="L111" s="5"/>
    </row>
    <row r="112" spans="2:12" hidden="1">
      <c r="B112" s="5">
        <f t="shared" si="5"/>
        <v>109</v>
      </c>
      <c r="C112" s="5" t="s">
        <v>560</v>
      </c>
      <c r="D112" s="5" t="s">
        <v>562</v>
      </c>
      <c r="E112" s="5" t="s">
        <v>450</v>
      </c>
      <c r="F112" s="5"/>
      <c r="G112" s="5">
        <v>63</v>
      </c>
      <c r="H112" s="5">
        <v>118.7</v>
      </c>
      <c r="I112" s="5">
        <f t="shared" si="4"/>
        <v>12137.900000000005</v>
      </c>
      <c r="J112" s="22">
        <f t="shared" si="3"/>
        <v>1.0629999999999999</v>
      </c>
      <c r="K112" s="5"/>
      <c r="L112" s="5"/>
    </row>
    <row r="113" spans="2:12" hidden="1">
      <c r="B113" s="5">
        <f t="shared" si="5"/>
        <v>110</v>
      </c>
      <c r="C113" s="5" t="s">
        <v>562</v>
      </c>
      <c r="D113" s="5" t="s">
        <v>216</v>
      </c>
      <c r="E113" s="5" t="s">
        <v>450</v>
      </c>
      <c r="F113" s="5"/>
      <c r="G113" s="5">
        <v>63</v>
      </c>
      <c r="H113" s="5">
        <v>9.3000000000000007</v>
      </c>
      <c r="I113" s="5">
        <f t="shared" si="4"/>
        <v>12147.200000000004</v>
      </c>
      <c r="J113" s="22">
        <f t="shared" si="3"/>
        <v>1.0629999999999999</v>
      </c>
      <c r="K113" s="5"/>
      <c r="L113" s="5"/>
    </row>
    <row r="114" spans="2:12" hidden="1">
      <c r="B114" s="5">
        <f t="shared" si="5"/>
        <v>111</v>
      </c>
      <c r="C114" s="5" t="s">
        <v>563</v>
      </c>
      <c r="D114" s="5" t="s">
        <v>564</v>
      </c>
      <c r="E114" s="5" t="s">
        <v>450</v>
      </c>
      <c r="F114" s="5"/>
      <c r="G114" s="5">
        <v>63</v>
      </c>
      <c r="H114" s="5">
        <v>98.6</v>
      </c>
      <c r="I114" s="5">
        <f t="shared" si="4"/>
        <v>12245.800000000005</v>
      </c>
      <c r="J114" s="22">
        <f t="shared" si="3"/>
        <v>1.0629999999999999</v>
      </c>
      <c r="K114" s="5"/>
      <c r="L114" s="5"/>
    </row>
    <row r="115" spans="2:12" hidden="1">
      <c r="B115" s="5">
        <f t="shared" si="5"/>
        <v>112</v>
      </c>
      <c r="C115" s="5" t="s">
        <v>562</v>
      </c>
      <c r="D115" s="5" t="s">
        <v>550</v>
      </c>
      <c r="E115" s="5" t="s">
        <v>450</v>
      </c>
      <c r="F115" s="5"/>
      <c r="G115" s="5">
        <v>63</v>
      </c>
      <c r="H115" s="5">
        <v>131</v>
      </c>
      <c r="I115" s="5">
        <f t="shared" si="4"/>
        <v>12376.800000000005</v>
      </c>
      <c r="J115" s="22">
        <f t="shared" si="3"/>
        <v>1.0629999999999999</v>
      </c>
      <c r="K115" s="5"/>
      <c r="L115" s="5"/>
    </row>
    <row r="116" spans="2:12" hidden="1">
      <c r="B116" s="5">
        <f t="shared" si="5"/>
        <v>113</v>
      </c>
      <c r="C116" s="5" t="s">
        <v>551</v>
      </c>
      <c r="D116" s="5" t="s">
        <v>565</v>
      </c>
      <c r="E116" s="5" t="s">
        <v>199</v>
      </c>
      <c r="F116" s="5">
        <v>0.36</v>
      </c>
      <c r="G116" s="5">
        <v>63</v>
      </c>
      <c r="H116" s="5">
        <v>2.7</v>
      </c>
      <c r="I116" s="5">
        <f t="shared" si="4"/>
        <v>12379.500000000005</v>
      </c>
      <c r="J116" s="22">
        <f t="shared" si="3"/>
        <v>1.0629999999999999</v>
      </c>
      <c r="K116" s="5"/>
      <c r="L116" s="5"/>
    </row>
    <row r="117" spans="2:12" hidden="1">
      <c r="B117" s="5">
        <f t="shared" si="5"/>
        <v>114</v>
      </c>
      <c r="C117" s="5" t="s">
        <v>551</v>
      </c>
      <c r="D117" s="5" t="s">
        <v>565</v>
      </c>
      <c r="E117" s="5" t="s">
        <v>450</v>
      </c>
      <c r="F117" s="5"/>
      <c r="G117" s="5">
        <v>63</v>
      </c>
      <c r="H117" s="5">
        <v>125.6</v>
      </c>
      <c r="I117" s="5">
        <f t="shared" si="4"/>
        <v>12505.100000000006</v>
      </c>
      <c r="J117" s="22">
        <f t="shared" si="3"/>
        <v>1.0629999999999999</v>
      </c>
      <c r="K117" s="5"/>
      <c r="L117" s="5"/>
    </row>
    <row r="118" spans="2:12" hidden="1">
      <c r="B118" s="5">
        <f t="shared" si="5"/>
        <v>115</v>
      </c>
      <c r="C118" s="5" t="s">
        <v>210</v>
      </c>
      <c r="D118" s="5" t="s">
        <v>218</v>
      </c>
      <c r="E118" s="5" t="s">
        <v>199</v>
      </c>
      <c r="F118" s="5">
        <v>0.36</v>
      </c>
      <c r="G118" s="5">
        <v>63</v>
      </c>
      <c r="H118" s="5">
        <v>2.2999999999999998</v>
      </c>
      <c r="I118" s="5">
        <f t="shared" si="4"/>
        <v>12507.400000000005</v>
      </c>
      <c r="J118" s="22">
        <f t="shared" si="3"/>
        <v>1.0629999999999999</v>
      </c>
      <c r="K118" s="5"/>
      <c r="L118" s="5"/>
    </row>
    <row r="119" spans="2:12" hidden="1">
      <c r="B119" s="5">
        <f t="shared" si="5"/>
        <v>116</v>
      </c>
      <c r="C119" s="5" t="s">
        <v>547</v>
      </c>
      <c r="D119" s="5" t="s">
        <v>550</v>
      </c>
      <c r="E119" s="5" t="s">
        <v>450</v>
      </c>
      <c r="F119" s="5"/>
      <c r="G119" s="5">
        <v>63</v>
      </c>
      <c r="H119" s="5">
        <v>7.1</v>
      </c>
      <c r="I119" s="5">
        <f t="shared" si="4"/>
        <v>12514.500000000005</v>
      </c>
      <c r="J119" s="22">
        <f t="shared" si="3"/>
        <v>1.0629999999999999</v>
      </c>
      <c r="K119" s="499" t="s">
        <v>455</v>
      </c>
      <c r="L119" s="501"/>
    </row>
    <row r="120" spans="2:12" hidden="1">
      <c r="B120" s="5">
        <f t="shared" si="5"/>
        <v>117</v>
      </c>
      <c r="C120" s="5" t="s">
        <v>547</v>
      </c>
      <c r="D120" s="5" t="s">
        <v>550</v>
      </c>
      <c r="E120" s="5" t="s">
        <v>450</v>
      </c>
      <c r="F120" s="5"/>
      <c r="G120" s="5">
        <v>63</v>
      </c>
      <c r="H120" s="5">
        <v>352.2</v>
      </c>
      <c r="I120" s="5">
        <f t="shared" si="4"/>
        <v>12866.700000000006</v>
      </c>
      <c r="J120" s="22">
        <f t="shared" si="3"/>
        <v>1.0629999999999999</v>
      </c>
      <c r="K120" s="499" t="s">
        <v>455</v>
      </c>
      <c r="L120" s="501"/>
    </row>
    <row r="121" spans="2:12" hidden="1">
      <c r="B121" s="5">
        <f t="shared" si="5"/>
        <v>118</v>
      </c>
      <c r="C121" s="5" t="s">
        <v>272</v>
      </c>
      <c r="D121" s="5" t="s">
        <v>314</v>
      </c>
      <c r="E121" s="5" t="s">
        <v>450</v>
      </c>
      <c r="F121" s="5"/>
      <c r="G121" s="5">
        <v>63</v>
      </c>
      <c r="H121" s="5">
        <v>284.3</v>
      </c>
      <c r="I121" s="5">
        <f t="shared" si="4"/>
        <v>13151.000000000005</v>
      </c>
      <c r="J121" s="22">
        <f t="shared" si="3"/>
        <v>1.0629999999999999</v>
      </c>
      <c r="K121" s="5"/>
      <c r="L121" s="5"/>
    </row>
    <row r="122" spans="2:12" hidden="1">
      <c r="B122" s="5">
        <f t="shared" si="5"/>
        <v>119</v>
      </c>
      <c r="C122" s="5" t="s">
        <v>550</v>
      </c>
      <c r="D122" s="5" t="s">
        <v>551</v>
      </c>
      <c r="E122" s="5" t="s">
        <v>199</v>
      </c>
      <c r="F122" s="5">
        <v>0.36</v>
      </c>
      <c r="G122" s="5">
        <v>63</v>
      </c>
      <c r="H122" s="5">
        <v>152.1</v>
      </c>
      <c r="I122" s="5">
        <f t="shared" si="4"/>
        <v>13303.100000000006</v>
      </c>
      <c r="J122" s="22">
        <f t="shared" si="3"/>
        <v>1.0629999999999999</v>
      </c>
      <c r="K122" s="5"/>
      <c r="L122" s="5"/>
    </row>
    <row r="123" spans="2:12" hidden="1">
      <c r="B123" s="5">
        <f t="shared" si="5"/>
        <v>120</v>
      </c>
      <c r="C123" s="5" t="s">
        <v>519</v>
      </c>
      <c r="D123" s="5" t="s">
        <v>434</v>
      </c>
      <c r="E123" s="5" t="s">
        <v>199</v>
      </c>
      <c r="F123" s="5">
        <v>0.36</v>
      </c>
      <c r="G123" s="5">
        <v>63</v>
      </c>
      <c r="H123" s="5">
        <v>9.8000000000000007</v>
      </c>
      <c r="I123" s="5">
        <f t="shared" si="4"/>
        <v>13312.900000000005</v>
      </c>
      <c r="J123" s="22">
        <f t="shared" si="3"/>
        <v>1.0629999999999999</v>
      </c>
      <c r="K123" s="5"/>
      <c r="L123" s="5"/>
    </row>
    <row r="124" spans="2:12" hidden="1">
      <c r="B124" s="5">
        <f t="shared" si="5"/>
        <v>121</v>
      </c>
      <c r="C124" s="5" t="s">
        <v>519</v>
      </c>
      <c r="D124" s="5" t="s">
        <v>520</v>
      </c>
      <c r="E124" s="5" t="s">
        <v>450</v>
      </c>
      <c r="F124" s="5"/>
      <c r="G124" s="5">
        <v>63</v>
      </c>
      <c r="H124" s="5">
        <v>178.1</v>
      </c>
      <c r="I124" s="5">
        <f t="shared" si="4"/>
        <v>13491.000000000005</v>
      </c>
      <c r="J124" s="22">
        <f t="shared" si="3"/>
        <v>1.0629999999999999</v>
      </c>
      <c r="K124" s="5"/>
      <c r="L124" s="5"/>
    </row>
    <row r="125" spans="2:12" hidden="1">
      <c r="B125" s="5">
        <f t="shared" si="5"/>
        <v>122</v>
      </c>
      <c r="C125" s="5" t="s">
        <v>210</v>
      </c>
      <c r="D125" s="5" t="s">
        <v>218</v>
      </c>
      <c r="E125" s="5" t="s">
        <v>199</v>
      </c>
      <c r="F125" s="5">
        <v>0.36</v>
      </c>
      <c r="G125" s="5">
        <v>63</v>
      </c>
      <c r="H125" s="5">
        <v>128.9</v>
      </c>
      <c r="I125" s="5">
        <f t="shared" si="4"/>
        <v>13619.900000000005</v>
      </c>
      <c r="J125" s="22">
        <f t="shared" si="3"/>
        <v>1.0629999999999999</v>
      </c>
      <c r="K125" s="5"/>
      <c r="L125" s="5"/>
    </row>
    <row r="126" spans="2:12" hidden="1">
      <c r="B126" s="5">
        <f t="shared" si="5"/>
        <v>123</v>
      </c>
      <c r="C126" s="5" t="s">
        <v>210</v>
      </c>
      <c r="D126" s="5" t="s">
        <v>218</v>
      </c>
      <c r="E126" s="5" t="s">
        <v>450</v>
      </c>
      <c r="F126" s="5"/>
      <c r="G126" s="5">
        <v>63</v>
      </c>
      <c r="H126" s="5">
        <v>159.1</v>
      </c>
      <c r="I126" s="5">
        <f t="shared" si="4"/>
        <v>13779.000000000005</v>
      </c>
      <c r="J126" s="22">
        <f t="shared" si="3"/>
        <v>1.0629999999999999</v>
      </c>
      <c r="K126" s="499" t="s">
        <v>455</v>
      </c>
      <c r="L126" s="501"/>
    </row>
    <row r="127" spans="2:12" hidden="1">
      <c r="B127" s="5">
        <f t="shared" si="5"/>
        <v>124</v>
      </c>
      <c r="C127" s="5" t="s">
        <v>530</v>
      </c>
      <c r="D127" s="5" t="s">
        <v>553</v>
      </c>
      <c r="E127" s="5" t="s">
        <v>450</v>
      </c>
      <c r="F127" s="5"/>
      <c r="G127" s="5">
        <v>63</v>
      </c>
      <c r="H127" s="5">
        <v>551.9</v>
      </c>
      <c r="I127" s="5">
        <f t="shared" si="4"/>
        <v>14330.900000000005</v>
      </c>
      <c r="J127" s="22">
        <f t="shared" si="3"/>
        <v>1.0629999999999999</v>
      </c>
      <c r="K127" s="5"/>
      <c r="L127" s="5"/>
    </row>
    <row r="128" spans="2:12" hidden="1">
      <c r="B128" s="5">
        <f t="shared" si="5"/>
        <v>125</v>
      </c>
      <c r="C128" s="5" t="s">
        <v>556</v>
      </c>
      <c r="D128" s="5" t="s">
        <v>566</v>
      </c>
      <c r="E128" s="5" t="s">
        <v>450</v>
      </c>
      <c r="F128" s="5"/>
      <c r="G128" s="5">
        <v>63</v>
      </c>
      <c r="H128" s="5">
        <v>39.700000000000003</v>
      </c>
      <c r="I128" s="5">
        <f t="shared" si="4"/>
        <v>14370.600000000006</v>
      </c>
      <c r="J128" s="22">
        <f t="shared" si="3"/>
        <v>1.0629999999999999</v>
      </c>
      <c r="K128" s="5"/>
      <c r="L128" s="5"/>
    </row>
    <row r="129" spans="2:12" hidden="1">
      <c r="B129" s="5">
        <f t="shared" si="5"/>
        <v>126</v>
      </c>
      <c r="C129" s="5" t="s">
        <v>566</v>
      </c>
      <c r="D129" s="5" t="s">
        <v>567</v>
      </c>
      <c r="E129" s="5" t="s">
        <v>450</v>
      </c>
      <c r="F129" s="5"/>
      <c r="G129" s="5">
        <v>63</v>
      </c>
      <c r="H129" s="5">
        <v>3</v>
      </c>
      <c r="I129" s="5">
        <f t="shared" si="4"/>
        <v>14373.600000000006</v>
      </c>
      <c r="J129" s="22">
        <f t="shared" si="3"/>
        <v>1.0629999999999999</v>
      </c>
      <c r="K129" s="5"/>
      <c r="L129" s="5"/>
    </row>
    <row r="130" spans="2:12" hidden="1">
      <c r="B130" s="5">
        <f t="shared" si="5"/>
        <v>127</v>
      </c>
      <c r="C130" s="5" t="s">
        <v>566</v>
      </c>
      <c r="D130" s="5" t="s">
        <v>567</v>
      </c>
      <c r="E130" s="5" t="s">
        <v>199</v>
      </c>
      <c r="F130" s="5">
        <v>0.36</v>
      </c>
      <c r="G130" s="5">
        <v>63</v>
      </c>
      <c r="H130" s="5">
        <v>52.9</v>
      </c>
      <c r="I130" s="5">
        <f t="shared" si="4"/>
        <v>14426.500000000005</v>
      </c>
      <c r="J130" s="22">
        <f t="shared" si="3"/>
        <v>1.0629999999999999</v>
      </c>
      <c r="K130" s="5"/>
      <c r="L130" s="5"/>
    </row>
    <row r="131" spans="2:12" hidden="1">
      <c r="B131" s="5">
        <f t="shared" si="5"/>
        <v>128</v>
      </c>
      <c r="C131" s="5" t="s">
        <v>566</v>
      </c>
      <c r="D131" s="5" t="s">
        <v>191</v>
      </c>
      <c r="E131" s="5" t="s">
        <v>450</v>
      </c>
      <c r="F131" s="5"/>
      <c r="G131" s="5">
        <v>63</v>
      </c>
      <c r="H131" s="5">
        <v>53.1</v>
      </c>
      <c r="I131" s="5">
        <f t="shared" si="4"/>
        <v>14479.600000000006</v>
      </c>
      <c r="J131" s="22">
        <f t="shared" si="3"/>
        <v>1.0629999999999999</v>
      </c>
      <c r="K131" s="5"/>
      <c r="L131" s="5"/>
    </row>
    <row r="132" spans="2:12" hidden="1">
      <c r="B132" s="5">
        <f t="shared" si="5"/>
        <v>129</v>
      </c>
      <c r="C132" s="5" t="s">
        <v>191</v>
      </c>
      <c r="D132" s="5" t="s">
        <v>568</v>
      </c>
      <c r="E132" s="5" t="s">
        <v>450</v>
      </c>
      <c r="F132" s="5"/>
      <c r="G132" s="5">
        <v>63</v>
      </c>
      <c r="H132" s="5">
        <v>62.2</v>
      </c>
      <c r="I132" s="5">
        <f t="shared" si="4"/>
        <v>14541.800000000007</v>
      </c>
      <c r="J132" s="22">
        <f t="shared" si="3"/>
        <v>1.0629999999999999</v>
      </c>
      <c r="K132" s="5"/>
      <c r="L132" s="5"/>
    </row>
    <row r="133" spans="2:12" hidden="1">
      <c r="B133" s="5">
        <f t="shared" si="5"/>
        <v>130</v>
      </c>
      <c r="C133" s="5" t="s">
        <v>294</v>
      </c>
      <c r="D133" s="5" t="s">
        <v>569</v>
      </c>
      <c r="E133" s="5" t="s">
        <v>450</v>
      </c>
      <c r="F133" s="5"/>
      <c r="G133" s="5">
        <v>63</v>
      </c>
      <c r="H133" s="5">
        <v>101.8</v>
      </c>
      <c r="I133" s="5">
        <f t="shared" si="4"/>
        <v>14643.600000000006</v>
      </c>
      <c r="J133" s="22">
        <f t="shared" ref="J133:J196" si="6">1+G133/1000</f>
        <v>1.0629999999999999</v>
      </c>
      <c r="K133" s="5"/>
      <c r="L133" s="5"/>
    </row>
    <row r="134" spans="2:12" hidden="1">
      <c r="B134" s="5">
        <f t="shared" si="5"/>
        <v>131</v>
      </c>
      <c r="C134" s="5" t="s">
        <v>569</v>
      </c>
      <c r="D134" s="5" t="s">
        <v>567</v>
      </c>
      <c r="E134" s="5" t="s">
        <v>450</v>
      </c>
      <c r="F134" s="5"/>
      <c r="G134" s="5">
        <v>63</v>
      </c>
      <c r="H134" s="5">
        <v>30.1</v>
      </c>
      <c r="I134" s="5">
        <f t="shared" ref="I134:I197" si="7">+I133+H134</f>
        <v>14673.700000000006</v>
      </c>
      <c r="J134" s="22">
        <f t="shared" si="6"/>
        <v>1.0629999999999999</v>
      </c>
      <c r="K134" s="5"/>
      <c r="L134" s="5"/>
    </row>
    <row r="135" spans="2:12" hidden="1">
      <c r="B135" s="5">
        <f t="shared" ref="B135:B198" si="8">1+B134</f>
        <v>132</v>
      </c>
      <c r="C135" s="5" t="s">
        <v>567</v>
      </c>
      <c r="D135" s="5" t="s">
        <v>570</v>
      </c>
      <c r="E135" s="5" t="s">
        <v>450</v>
      </c>
      <c r="F135" s="5"/>
      <c r="G135" s="5">
        <v>63</v>
      </c>
      <c r="H135" s="5">
        <v>45.9</v>
      </c>
      <c r="I135" s="5">
        <f t="shared" si="7"/>
        <v>14719.600000000006</v>
      </c>
      <c r="J135" s="22">
        <f t="shared" si="6"/>
        <v>1.0629999999999999</v>
      </c>
      <c r="K135" s="5"/>
      <c r="L135" s="5"/>
    </row>
    <row r="136" spans="2:12" hidden="1">
      <c r="B136" s="5">
        <f t="shared" si="8"/>
        <v>133</v>
      </c>
      <c r="C136" s="5" t="s">
        <v>553</v>
      </c>
      <c r="D136" s="5" t="s">
        <v>571</v>
      </c>
      <c r="E136" s="5" t="s">
        <v>199</v>
      </c>
      <c r="F136" s="5">
        <v>0.36</v>
      </c>
      <c r="G136" s="5">
        <v>63</v>
      </c>
      <c r="H136" s="5">
        <v>2.6</v>
      </c>
      <c r="I136" s="5">
        <f t="shared" si="7"/>
        <v>14722.200000000006</v>
      </c>
      <c r="J136" s="22">
        <f t="shared" si="6"/>
        <v>1.0629999999999999</v>
      </c>
      <c r="K136" s="5"/>
      <c r="L136" s="5"/>
    </row>
    <row r="137" spans="2:12" hidden="1">
      <c r="B137" s="5">
        <f t="shared" si="8"/>
        <v>134</v>
      </c>
      <c r="C137" s="5" t="s">
        <v>553</v>
      </c>
      <c r="D137" s="5" t="s">
        <v>571</v>
      </c>
      <c r="E137" s="5" t="s">
        <v>450</v>
      </c>
      <c r="F137" s="5"/>
      <c r="G137" s="5">
        <v>63</v>
      </c>
      <c r="H137" s="5">
        <v>5</v>
      </c>
      <c r="I137" s="5">
        <f t="shared" si="7"/>
        <v>14727.200000000006</v>
      </c>
      <c r="J137" s="22">
        <f t="shared" si="6"/>
        <v>1.0629999999999999</v>
      </c>
      <c r="K137" s="5"/>
      <c r="L137" s="5"/>
    </row>
    <row r="138" spans="2:12" hidden="1">
      <c r="B138" s="5">
        <f t="shared" si="8"/>
        <v>135</v>
      </c>
      <c r="C138" s="5" t="s">
        <v>553</v>
      </c>
      <c r="D138" s="5" t="s">
        <v>571</v>
      </c>
      <c r="E138" s="5" t="s">
        <v>450</v>
      </c>
      <c r="F138" s="5"/>
      <c r="G138" s="5">
        <v>63</v>
      </c>
      <c r="H138" s="5">
        <v>114.1</v>
      </c>
      <c r="I138" s="5">
        <f t="shared" si="7"/>
        <v>14841.300000000007</v>
      </c>
      <c r="J138" s="22">
        <f t="shared" si="6"/>
        <v>1.0629999999999999</v>
      </c>
      <c r="K138" s="5"/>
      <c r="L138" s="5"/>
    </row>
    <row r="139" spans="2:12" hidden="1">
      <c r="B139" s="5">
        <f t="shared" si="8"/>
        <v>136</v>
      </c>
      <c r="C139" s="5" t="s">
        <v>549</v>
      </c>
      <c r="D139" s="5" t="s">
        <v>572</v>
      </c>
      <c r="E139" s="5" t="s">
        <v>450</v>
      </c>
      <c r="F139" s="5"/>
      <c r="G139" s="5">
        <v>63</v>
      </c>
      <c r="H139" s="5">
        <v>133.6</v>
      </c>
      <c r="I139" s="5">
        <f t="shared" si="7"/>
        <v>14974.900000000007</v>
      </c>
      <c r="J139" s="22">
        <f t="shared" si="6"/>
        <v>1.0629999999999999</v>
      </c>
      <c r="K139" s="5"/>
      <c r="L139" s="5"/>
    </row>
    <row r="140" spans="2:12" hidden="1">
      <c r="B140" s="5">
        <f t="shared" si="8"/>
        <v>137</v>
      </c>
      <c r="C140" s="5" t="s">
        <v>572</v>
      </c>
      <c r="D140" s="5" t="s">
        <v>292</v>
      </c>
      <c r="E140" s="5" t="s">
        <v>450</v>
      </c>
      <c r="F140" s="5"/>
      <c r="G140" s="5">
        <v>63</v>
      </c>
      <c r="H140" s="5">
        <v>34.700000000000003</v>
      </c>
      <c r="I140" s="5">
        <f t="shared" si="7"/>
        <v>15009.600000000008</v>
      </c>
      <c r="J140" s="22">
        <f t="shared" si="6"/>
        <v>1.0629999999999999</v>
      </c>
      <c r="K140" s="5"/>
      <c r="L140" s="5"/>
    </row>
    <row r="141" spans="2:12" hidden="1">
      <c r="B141" s="5">
        <f t="shared" si="8"/>
        <v>138</v>
      </c>
      <c r="C141" s="5" t="s">
        <v>572</v>
      </c>
      <c r="D141" s="5" t="s">
        <v>190</v>
      </c>
      <c r="E141" s="5" t="s">
        <v>450</v>
      </c>
      <c r="F141" s="5"/>
      <c r="G141" s="5">
        <v>63</v>
      </c>
      <c r="H141" s="5">
        <v>30.1</v>
      </c>
      <c r="I141" s="5">
        <f t="shared" si="7"/>
        <v>15039.700000000008</v>
      </c>
      <c r="J141" s="22">
        <f t="shared" si="6"/>
        <v>1.0629999999999999</v>
      </c>
      <c r="K141" s="5"/>
      <c r="L141" s="5"/>
    </row>
    <row r="142" spans="2:12" hidden="1">
      <c r="B142" s="5">
        <f t="shared" si="8"/>
        <v>139</v>
      </c>
      <c r="C142" s="5" t="s">
        <v>573</v>
      </c>
      <c r="D142" s="5" t="s">
        <v>574</v>
      </c>
      <c r="E142" s="5" t="s">
        <v>450</v>
      </c>
      <c r="F142" s="5"/>
      <c r="G142" s="5">
        <v>63</v>
      </c>
      <c r="H142" s="5">
        <v>36.1</v>
      </c>
      <c r="I142" s="5">
        <f t="shared" si="7"/>
        <v>15075.800000000008</v>
      </c>
      <c r="J142" s="22">
        <f t="shared" si="6"/>
        <v>1.0629999999999999</v>
      </c>
      <c r="K142" s="5"/>
      <c r="L142" s="5"/>
    </row>
    <row r="143" spans="2:12" hidden="1">
      <c r="B143" s="5">
        <f t="shared" si="8"/>
        <v>140</v>
      </c>
      <c r="C143" s="5" t="s">
        <v>549</v>
      </c>
      <c r="D143" s="5" t="s">
        <v>575</v>
      </c>
      <c r="E143" s="5" t="s">
        <v>199</v>
      </c>
      <c r="F143" s="5">
        <v>0.36</v>
      </c>
      <c r="G143" s="5">
        <v>63</v>
      </c>
      <c r="H143" s="5">
        <v>131.19999999999999</v>
      </c>
      <c r="I143" s="5">
        <f t="shared" si="7"/>
        <v>15207.000000000009</v>
      </c>
      <c r="J143" s="22">
        <f t="shared" si="6"/>
        <v>1.0629999999999999</v>
      </c>
      <c r="K143" s="5"/>
      <c r="L143" s="5"/>
    </row>
    <row r="144" spans="2:12" hidden="1">
      <c r="B144" s="5">
        <f t="shared" si="8"/>
        <v>141</v>
      </c>
      <c r="C144" s="5" t="s">
        <v>575</v>
      </c>
      <c r="D144" s="5" t="s">
        <v>205</v>
      </c>
      <c r="E144" s="5" t="s">
        <v>199</v>
      </c>
      <c r="F144" s="5">
        <v>0.36</v>
      </c>
      <c r="G144" s="5">
        <v>63</v>
      </c>
      <c r="H144" s="5">
        <v>29.1</v>
      </c>
      <c r="I144" s="5">
        <f t="shared" si="7"/>
        <v>15236.100000000009</v>
      </c>
      <c r="J144" s="22">
        <f t="shared" si="6"/>
        <v>1.0629999999999999</v>
      </c>
      <c r="K144" s="5"/>
      <c r="L144" s="5"/>
    </row>
    <row r="145" spans="2:12" hidden="1">
      <c r="B145" s="5">
        <f t="shared" si="8"/>
        <v>142</v>
      </c>
      <c r="C145" s="5" t="s">
        <v>205</v>
      </c>
      <c r="D145" s="5" t="s">
        <v>576</v>
      </c>
      <c r="E145" s="5" t="s">
        <v>450</v>
      </c>
      <c r="F145" s="5"/>
      <c r="G145" s="5">
        <v>63</v>
      </c>
      <c r="H145" s="5">
        <v>35.200000000000003</v>
      </c>
      <c r="I145" s="5">
        <f t="shared" si="7"/>
        <v>15271.30000000001</v>
      </c>
      <c r="J145" s="22">
        <f t="shared" si="6"/>
        <v>1.0629999999999999</v>
      </c>
      <c r="K145" s="5"/>
      <c r="L145" s="5"/>
    </row>
    <row r="146" spans="2:12" hidden="1">
      <c r="B146" s="5">
        <f t="shared" si="8"/>
        <v>143</v>
      </c>
      <c r="C146" s="5" t="s">
        <v>205</v>
      </c>
      <c r="D146" s="5" t="s">
        <v>577</v>
      </c>
      <c r="E146" s="5" t="s">
        <v>199</v>
      </c>
      <c r="F146" s="5">
        <v>0.36</v>
      </c>
      <c r="G146" s="5">
        <v>63</v>
      </c>
      <c r="H146" s="5">
        <v>62.7</v>
      </c>
      <c r="I146" s="5">
        <f t="shared" si="7"/>
        <v>15334.000000000011</v>
      </c>
      <c r="J146" s="22">
        <f t="shared" si="6"/>
        <v>1.0629999999999999</v>
      </c>
      <c r="K146" s="5"/>
      <c r="L146" s="5"/>
    </row>
    <row r="147" spans="2:12" hidden="1">
      <c r="B147" s="5">
        <f t="shared" si="8"/>
        <v>144</v>
      </c>
      <c r="C147" s="5" t="s">
        <v>577</v>
      </c>
      <c r="D147" s="5" t="s">
        <v>578</v>
      </c>
      <c r="E147" s="5" t="s">
        <v>199</v>
      </c>
      <c r="F147" s="5">
        <v>0.36</v>
      </c>
      <c r="G147" s="5">
        <v>63</v>
      </c>
      <c r="H147" s="5">
        <v>22.1</v>
      </c>
      <c r="I147" s="5">
        <f t="shared" si="7"/>
        <v>15356.100000000011</v>
      </c>
      <c r="J147" s="22">
        <f t="shared" si="6"/>
        <v>1.0629999999999999</v>
      </c>
      <c r="K147" s="5"/>
      <c r="L147" s="5"/>
    </row>
    <row r="148" spans="2:12" hidden="1">
      <c r="B148" s="5">
        <f t="shared" si="8"/>
        <v>145</v>
      </c>
      <c r="C148" s="5" t="s">
        <v>579</v>
      </c>
      <c r="D148" s="5" t="s">
        <v>580</v>
      </c>
      <c r="E148" s="5" t="s">
        <v>199</v>
      </c>
      <c r="F148" s="5">
        <v>0.36</v>
      </c>
      <c r="G148" s="5">
        <v>63</v>
      </c>
      <c r="H148" s="5">
        <v>47.2</v>
      </c>
      <c r="I148" s="5">
        <f t="shared" si="7"/>
        <v>15403.300000000012</v>
      </c>
      <c r="J148" s="22">
        <f t="shared" si="6"/>
        <v>1.0629999999999999</v>
      </c>
      <c r="K148" s="5"/>
      <c r="L148" s="5"/>
    </row>
    <row r="149" spans="2:12" hidden="1">
      <c r="B149" s="5">
        <f t="shared" si="8"/>
        <v>146</v>
      </c>
      <c r="C149" s="5" t="s">
        <v>578</v>
      </c>
      <c r="D149" s="5" t="s">
        <v>217</v>
      </c>
      <c r="E149" s="5" t="s">
        <v>199</v>
      </c>
      <c r="F149" s="5">
        <v>0.36</v>
      </c>
      <c r="G149" s="5">
        <v>63</v>
      </c>
      <c r="H149" s="5">
        <v>74.599999999999994</v>
      </c>
      <c r="I149" s="5">
        <f t="shared" si="7"/>
        <v>15477.900000000012</v>
      </c>
      <c r="J149" s="22">
        <f t="shared" si="6"/>
        <v>1.0629999999999999</v>
      </c>
      <c r="K149" s="5"/>
      <c r="L149" s="5"/>
    </row>
    <row r="150" spans="2:12" hidden="1">
      <c r="B150" s="5">
        <f t="shared" si="8"/>
        <v>147</v>
      </c>
      <c r="C150" s="5" t="s">
        <v>217</v>
      </c>
      <c r="D150" s="5" t="s">
        <v>576</v>
      </c>
      <c r="E150" s="5" t="s">
        <v>199</v>
      </c>
      <c r="F150" s="5">
        <v>0.36</v>
      </c>
      <c r="G150" s="5">
        <v>63</v>
      </c>
      <c r="H150" s="5">
        <v>7.8</v>
      </c>
      <c r="I150" s="5">
        <f t="shared" si="7"/>
        <v>15485.700000000012</v>
      </c>
      <c r="J150" s="22">
        <f t="shared" si="6"/>
        <v>1.0629999999999999</v>
      </c>
      <c r="K150" s="5"/>
      <c r="L150" s="5"/>
    </row>
    <row r="151" spans="2:12" hidden="1">
      <c r="B151" s="5">
        <f t="shared" si="8"/>
        <v>148</v>
      </c>
      <c r="C151" s="5" t="s">
        <v>217</v>
      </c>
      <c r="D151" s="5" t="s">
        <v>576</v>
      </c>
      <c r="E151" s="5" t="s">
        <v>450</v>
      </c>
      <c r="F151" s="5"/>
      <c r="G151" s="5">
        <v>63</v>
      </c>
      <c r="H151" s="5">
        <v>30.4</v>
      </c>
      <c r="I151" s="5">
        <f t="shared" si="7"/>
        <v>15516.100000000011</v>
      </c>
      <c r="J151" s="22">
        <f t="shared" si="6"/>
        <v>1.0629999999999999</v>
      </c>
      <c r="K151" s="5"/>
      <c r="L151" s="5"/>
    </row>
    <row r="152" spans="2:12" hidden="1">
      <c r="B152" s="5">
        <f t="shared" si="8"/>
        <v>149</v>
      </c>
      <c r="C152" s="5" t="s">
        <v>576</v>
      </c>
      <c r="D152" s="5" t="s">
        <v>581</v>
      </c>
      <c r="E152" s="5" t="s">
        <v>199</v>
      </c>
      <c r="F152" s="5">
        <v>0.36</v>
      </c>
      <c r="G152" s="5">
        <v>63</v>
      </c>
      <c r="H152" s="5">
        <v>45.1</v>
      </c>
      <c r="I152" s="5">
        <f t="shared" si="7"/>
        <v>15561.200000000012</v>
      </c>
      <c r="J152" s="22">
        <f t="shared" si="6"/>
        <v>1.0629999999999999</v>
      </c>
      <c r="K152" s="5"/>
      <c r="L152" s="5"/>
    </row>
    <row r="153" spans="2:12" hidden="1">
      <c r="B153" s="5">
        <f t="shared" si="8"/>
        <v>150</v>
      </c>
      <c r="C153" s="5" t="s">
        <v>576</v>
      </c>
      <c r="D153" s="5" t="s">
        <v>581</v>
      </c>
      <c r="E153" s="5" t="s">
        <v>450</v>
      </c>
      <c r="F153" s="5"/>
      <c r="G153" s="5">
        <v>63</v>
      </c>
      <c r="H153" s="5">
        <v>18.2</v>
      </c>
      <c r="I153" s="5">
        <f t="shared" si="7"/>
        <v>15579.400000000012</v>
      </c>
      <c r="J153" s="22">
        <f t="shared" si="6"/>
        <v>1.0629999999999999</v>
      </c>
      <c r="K153" s="5"/>
      <c r="L153" s="5"/>
    </row>
    <row r="154" spans="2:12" hidden="1">
      <c r="B154" s="5">
        <f t="shared" si="8"/>
        <v>151</v>
      </c>
      <c r="C154" s="5" t="s">
        <v>581</v>
      </c>
      <c r="D154" s="5" t="s">
        <v>295</v>
      </c>
      <c r="E154" s="5" t="s">
        <v>450</v>
      </c>
      <c r="F154" s="5"/>
      <c r="G154" s="5">
        <v>63</v>
      </c>
      <c r="H154" s="5">
        <v>38.1</v>
      </c>
      <c r="I154" s="5">
        <f t="shared" si="7"/>
        <v>15617.500000000013</v>
      </c>
      <c r="J154" s="22">
        <f t="shared" si="6"/>
        <v>1.0629999999999999</v>
      </c>
      <c r="K154" s="5"/>
      <c r="L154" s="5"/>
    </row>
    <row r="155" spans="2:12" hidden="1">
      <c r="B155" s="5">
        <f t="shared" si="8"/>
        <v>152</v>
      </c>
      <c r="C155" s="5" t="s">
        <v>581</v>
      </c>
      <c r="D155" s="5" t="s">
        <v>582</v>
      </c>
      <c r="E155" s="5" t="s">
        <v>450</v>
      </c>
      <c r="F155" s="5"/>
      <c r="G155" s="5">
        <v>63</v>
      </c>
      <c r="H155" s="5">
        <v>23.4</v>
      </c>
      <c r="I155" s="5">
        <f t="shared" si="7"/>
        <v>15640.900000000012</v>
      </c>
      <c r="J155" s="22">
        <f t="shared" si="6"/>
        <v>1.0629999999999999</v>
      </c>
      <c r="K155" s="499" t="s">
        <v>455</v>
      </c>
      <c r="L155" s="501"/>
    </row>
    <row r="156" spans="2:12" hidden="1">
      <c r="B156" s="5">
        <f t="shared" si="8"/>
        <v>153</v>
      </c>
      <c r="C156" s="5" t="s">
        <v>582</v>
      </c>
      <c r="D156" s="5" t="s">
        <v>583</v>
      </c>
      <c r="E156" s="5" t="s">
        <v>199</v>
      </c>
      <c r="F156" s="5">
        <v>0.36</v>
      </c>
      <c r="G156" s="5">
        <v>63</v>
      </c>
      <c r="H156" s="5">
        <v>2.6</v>
      </c>
      <c r="I156" s="5">
        <f t="shared" si="7"/>
        <v>15643.500000000013</v>
      </c>
      <c r="J156" s="22">
        <f t="shared" si="6"/>
        <v>1.0629999999999999</v>
      </c>
      <c r="K156" s="5"/>
      <c r="L156" s="5"/>
    </row>
    <row r="157" spans="2:12" hidden="1">
      <c r="B157" s="5">
        <f t="shared" si="8"/>
        <v>154</v>
      </c>
      <c r="C157" s="5" t="s">
        <v>582</v>
      </c>
      <c r="D157" s="5" t="s">
        <v>583</v>
      </c>
      <c r="E157" s="5" t="s">
        <v>450</v>
      </c>
      <c r="F157" s="5"/>
      <c r="G157" s="5">
        <v>63</v>
      </c>
      <c r="H157" s="5">
        <v>39.5</v>
      </c>
      <c r="I157" s="5">
        <f t="shared" si="7"/>
        <v>15683.000000000013</v>
      </c>
      <c r="J157" s="22">
        <f t="shared" si="6"/>
        <v>1.0629999999999999</v>
      </c>
      <c r="K157" s="5"/>
      <c r="L157" s="5"/>
    </row>
    <row r="158" spans="2:12" hidden="1">
      <c r="B158" s="5">
        <f t="shared" si="8"/>
        <v>155</v>
      </c>
      <c r="C158" s="5" t="s">
        <v>582</v>
      </c>
      <c r="D158" s="5" t="s">
        <v>584</v>
      </c>
      <c r="E158" s="5" t="s">
        <v>450</v>
      </c>
      <c r="F158" s="5"/>
      <c r="G158" s="5">
        <v>63</v>
      </c>
      <c r="H158" s="5">
        <v>25.5</v>
      </c>
      <c r="I158" s="5">
        <f t="shared" si="7"/>
        <v>15708.500000000013</v>
      </c>
      <c r="J158" s="22">
        <f t="shared" si="6"/>
        <v>1.0629999999999999</v>
      </c>
      <c r="K158" s="5"/>
      <c r="L158" s="5"/>
    </row>
    <row r="159" spans="2:12" hidden="1">
      <c r="B159" s="5">
        <f t="shared" si="8"/>
        <v>156</v>
      </c>
      <c r="C159" s="5" t="s">
        <v>584</v>
      </c>
      <c r="D159" s="5" t="s">
        <v>585</v>
      </c>
      <c r="E159" s="5" t="s">
        <v>450</v>
      </c>
      <c r="F159" s="5"/>
      <c r="G159" s="5">
        <v>63</v>
      </c>
      <c r="H159" s="5">
        <v>41.3</v>
      </c>
      <c r="I159" s="5">
        <f t="shared" si="7"/>
        <v>15749.800000000012</v>
      </c>
      <c r="J159" s="22">
        <f t="shared" si="6"/>
        <v>1.0629999999999999</v>
      </c>
      <c r="K159" s="5"/>
      <c r="L159" s="5"/>
    </row>
    <row r="160" spans="2:12" hidden="1">
      <c r="B160" s="5">
        <f t="shared" si="8"/>
        <v>157</v>
      </c>
      <c r="C160" s="5" t="s">
        <v>584</v>
      </c>
      <c r="D160" s="5" t="s">
        <v>586</v>
      </c>
      <c r="E160" s="5" t="s">
        <v>450</v>
      </c>
      <c r="F160" s="5"/>
      <c r="G160" s="5">
        <v>63</v>
      </c>
      <c r="H160" s="5">
        <v>15.1</v>
      </c>
      <c r="I160" s="5">
        <f t="shared" si="7"/>
        <v>15764.900000000012</v>
      </c>
      <c r="J160" s="22">
        <f t="shared" si="6"/>
        <v>1.0629999999999999</v>
      </c>
      <c r="K160" s="5"/>
      <c r="L160" s="5"/>
    </row>
    <row r="161" spans="2:12" hidden="1">
      <c r="B161" s="5">
        <f t="shared" si="8"/>
        <v>158</v>
      </c>
      <c r="C161" s="5" t="s">
        <v>586</v>
      </c>
      <c r="D161" s="5" t="s">
        <v>587</v>
      </c>
      <c r="E161" s="5" t="s">
        <v>199</v>
      </c>
      <c r="F161" s="5">
        <v>0.36</v>
      </c>
      <c r="G161" s="5">
        <v>63</v>
      </c>
      <c r="H161" s="5">
        <v>2.7</v>
      </c>
      <c r="I161" s="5">
        <f t="shared" si="7"/>
        <v>15767.600000000013</v>
      </c>
      <c r="J161" s="22">
        <f t="shared" si="6"/>
        <v>1.0629999999999999</v>
      </c>
      <c r="K161" s="5"/>
      <c r="L161" s="5"/>
    </row>
    <row r="162" spans="2:12" hidden="1">
      <c r="B162" s="5">
        <f t="shared" si="8"/>
        <v>159</v>
      </c>
      <c r="C162" s="5" t="s">
        <v>586</v>
      </c>
      <c r="D162" s="5" t="s">
        <v>587</v>
      </c>
      <c r="E162" s="5" t="s">
        <v>450</v>
      </c>
      <c r="F162" s="5"/>
      <c r="G162" s="5">
        <v>63</v>
      </c>
      <c r="H162" s="5">
        <v>1.2</v>
      </c>
      <c r="I162" s="5">
        <f t="shared" si="7"/>
        <v>15768.800000000014</v>
      </c>
      <c r="J162" s="22">
        <f t="shared" si="6"/>
        <v>1.0629999999999999</v>
      </c>
      <c r="K162" s="5"/>
      <c r="L162" s="5"/>
    </row>
    <row r="163" spans="2:12" hidden="1">
      <c r="B163" s="5">
        <f t="shared" si="8"/>
        <v>160</v>
      </c>
      <c r="C163" s="5" t="s">
        <v>586</v>
      </c>
      <c r="D163" s="5" t="s">
        <v>587</v>
      </c>
      <c r="E163" s="5" t="s">
        <v>199</v>
      </c>
      <c r="F163" s="5">
        <v>0.36</v>
      </c>
      <c r="G163" s="5">
        <v>63</v>
      </c>
      <c r="H163" s="5">
        <v>6.4</v>
      </c>
      <c r="I163" s="5">
        <f t="shared" si="7"/>
        <v>15775.200000000013</v>
      </c>
      <c r="J163" s="22">
        <f t="shared" si="6"/>
        <v>1.0629999999999999</v>
      </c>
      <c r="K163" s="5"/>
      <c r="L163" s="5"/>
    </row>
    <row r="164" spans="2:12" hidden="1">
      <c r="B164" s="5">
        <f t="shared" si="8"/>
        <v>161</v>
      </c>
      <c r="C164" s="5" t="s">
        <v>586</v>
      </c>
      <c r="D164" s="5" t="s">
        <v>587</v>
      </c>
      <c r="E164" s="5" t="s">
        <v>450</v>
      </c>
      <c r="F164" s="5"/>
      <c r="G164" s="5">
        <v>63</v>
      </c>
      <c r="H164" s="5">
        <v>26.1</v>
      </c>
      <c r="I164" s="5">
        <f t="shared" si="7"/>
        <v>15801.300000000014</v>
      </c>
      <c r="J164" s="22">
        <f t="shared" si="6"/>
        <v>1.0629999999999999</v>
      </c>
      <c r="K164" s="5"/>
      <c r="L164" s="5"/>
    </row>
    <row r="165" spans="2:12" hidden="1">
      <c r="B165" s="5">
        <f t="shared" si="8"/>
        <v>162</v>
      </c>
      <c r="C165" s="5" t="s">
        <v>584</v>
      </c>
      <c r="D165" s="5" t="s">
        <v>588</v>
      </c>
      <c r="E165" s="5" t="s">
        <v>199</v>
      </c>
      <c r="F165" s="5">
        <v>0.36</v>
      </c>
      <c r="G165" s="5">
        <v>63</v>
      </c>
      <c r="H165" s="5">
        <v>2.7</v>
      </c>
      <c r="I165" s="5">
        <f t="shared" si="7"/>
        <v>15804.000000000015</v>
      </c>
      <c r="J165" s="22">
        <f t="shared" si="6"/>
        <v>1.0629999999999999</v>
      </c>
      <c r="K165" s="5"/>
      <c r="L165" s="5"/>
    </row>
    <row r="166" spans="2:12" hidden="1">
      <c r="B166" s="5">
        <f t="shared" si="8"/>
        <v>163</v>
      </c>
      <c r="C166" s="5" t="s">
        <v>584</v>
      </c>
      <c r="D166" s="5" t="s">
        <v>588</v>
      </c>
      <c r="E166" s="5" t="s">
        <v>450</v>
      </c>
      <c r="F166" s="5"/>
      <c r="G166" s="5">
        <v>63</v>
      </c>
      <c r="H166" s="5">
        <v>37.200000000000003</v>
      </c>
      <c r="I166" s="5">
        <f t="shared" si="7"/>
        <v>15841.200000000015</v>
      </c>
      <c r="J166" s="22">
        <f t="shared" si="6"/>
        <v>1.0629999999999999</v>
      </c>
      <c r="K166" s="5"/>
      <c r="L166" s="5"/>
    </row>
    <row r="167" spans="2:12" hidden="1">
      <c r="B167" s="5">
        <f t="shared" si="8"/>
        <v>164</v>
      </c>
      <c r="C167" s="5" t="s">
        <v>588</v>
      </c>
      <c r="D167" s="5" t="s">
        <v>204</v>
      </c>
      <c r="E167" s="5" t="s">
        <v>450</v>
      </c>
      <c r="F167" s="5"/>
      <c r="G167" s="5">
        <v>63</v>
      </c>
      <c r="H167" s="5">
        <v>90.5</v>
      </c>
      <c r="I167" s="5">
        <f t="shared" si="7"/>
        <v>15931.700000000015</v>
      </c>
      <c r="J167" s="22">
        <f t="shared" si="6"/>
        <v>1.0629999999999999</v>
      </c>
      <c r="K167" s="5"/>
      <c r="L167" s="5"/>
    </row>
    <row r="168" spans="2:12" hidden="1">
      <c r="B168" s="5">
        <f t="shared" si="8"/>
        <v>165</v>
      </c>
      <c r="C168" s="5" t="s">
        <v>204</v>
      </c>
      <c r="D168" s="5" t="s">
        <v>287</v>
      </c>
      <c r="E168" s="5" t="s">
        <v>450</v>
      </c>
      <c r="F168" s="5"/>
      <c r="G168" s="5">
        <v>63</v>
      </c>
      <c r="H168" s="5">
        <v>36.299999999999997</v>
      </c>
      <c r="I168" s="5">
        <f t="shared" si="7"/>
        <v>15968.000000000015</v>
      </c>
      <c r="J168" s="22">
        <f t="shared" si="6"/>
        <v>1.0629999999999999</v>
      </c>
      <c r="K168" s="5"/>
      <c r="L168" s="5"/>
    </row>
    <row r="169" spans="2:12" hidden="1">
      <c r="B169" s="5">
        <f t="shared" si="8"/>
        <v>166</v>
      </c>
      <c r="C169" s="5" t="s">
        <v>204</v>
      </c>
      <c r="D169" s="5" t="s">
        <v>589</v>
      </c>
      <c r="E169" s="5" t="s">
        <v>450</v>
      </c>
      <c r="F169" s="5"/>
      <c r="G169" s="5">
        <v>63</v>
      </c>
      <c r="H169" s="5">
        <v>79.2</v>
      </c>
      <c r="I169" s="5">
        <f t="shared" si="7"/>
        <v>16047.200000000015</v>
      </c>
      <c r="J169" s="22">
        <f t="shared" si="6"/>
        <v>1.0629999999999999</v>
      </c>
      <c r="K169" s="5"/>
      <c r="L169" s="5"/>
    </row>
    <row r="170" spans="2:12" hidden="1">
      <c r="B170" s="5">
        <f t="shared" si="8"/>
        <v>167</v>
      </c>
      <c r="C170" s="5" t="s">
        <v>589</v>
      </c>
      <c r="D170" s="5" t="s">
        <v>545</v>
      </c>
      <c r="E170" s="5" t="s">
        <v>450</v>
      </c>
      <c r="F170" s="5"/>
      <c r="G170" s="5">
        <v>63</v>
      </c>
      <c r="H170" s="5">
        <v>31.2</v>
      </c>
      <c r="I170" s="5">
        <f t="shared" si="7"/>
        <v>16078.400000000016</v>
      </c>
      <c r="J170" s="22">
        <f t="shared" si="6"/>
        <v>1.0629999999999999</v>
      </c>
      <c r="K170" s="5"/>
      <c r="L170" s="5"/>
    </row>
    <row r="171" spans="2:12" hidden="1">
      <c r="B171" s="5">
        <f t="shared" si="8"/>
        <v>168</v>
      </c>
      <c r="C171" s="5" t="s">
        <v>215</v>
      </c>
      <c r="D171" s="5" t="s">
        <v>211</v>
      </c>
      <c r="E171" s="5" t="s">
        <v>450</v>
      </c>
      <c r="F171" s="5"/>
      <c r="G171" s="5">
        <v>75</v>
      </c>
      <c r="H171" s="5">
        <v>140.1</v>
      </c>
      <c r="I171" s="5">
        <f t="shared" si="7"/>
        <v>16218.500000000016</v>
      </c>
      <c r="J171" s="22">
        <f t="shared" si="6"/>
        <v>1.075</v>
      </c>
      <c r="K171" s="5"/>
      <c r="L171" s="5"/>
    </row>
    <row r="172" spans="2:12" hidden="1">
      <c r="B172" s="5">
        <f t="shared" si="8"/>
        <v>169</v>
      </c>
      <c r="C172" s="5" t="s">
        <v>211</v>
      </c>
      <c r="D172" s="5" t="s">
        <v>590</v>
      </c>
      <c r="E172" s="5" t="s">
        <v>450</v>
      </c>
      <c r="F172" s="5"/>
      <c r="G172" s="5">
        <v>63</v>
      </c>
      <c r="H172" s="5">
        <v>56.1</v>
      </c>
      <c r="I172" s="5">
        <f t="shared" si="7"/>
        <v>16274.600000000017</v>
      </c>
      <c r="J172" s="22">
        <f t="shared" si="6"/>
        <v>1.0629999999999999</v>
      </c>
      <c r="K172" s="5"/>
      <c r="L172" s="5"/>
    </row>
    <row r="173" spans="2:12" hidden="1">
      <c r="B173" s="5">
        <f t="shared" si="8"/>
        <v>170</v>
      </c>
      <c r="C173" s="5" t="s">
        <v>211</v>
      </c>
      <c r="D173" s="5" t="s">
        <v>577</v>
      </c>
      <c r="E173" s="5" t="s">
        <v>450</v>
      </c>
      <c r="F173" s="5"/>
      <c r="G173" s="5">
        <v>63</v>
      </c>
      <c r="H173" s="5">
        <v>6.1</v>
      </c>
      <c r="I173" s="5">
        <f t="shared" si="7"/>
        <v>16280.700000000017</v>
      </c>
      <c r="J173" s="22">
        <f t="shared" si="6"/>
        <v>1.0629999999999999</v>
      </c>
      <c r="K173" s="5"/>
      <c r="L173" s="5"/>
    </row>
    <row r="174" spans="2:12" hidden="1">
      <c r="B174" s="5">
        <f t="shared" si="8"/>
        <v>171</v>
      </c>
      <c r="C174" s="5" t="s">
        <v>211</v>
      </c>
      <c r="D174" s="5" t="s">
        <v>577</v>
      </c>
      <c r="E174" s="5" t="s">
        <v>383</v>
      </c>
      <c r="F174" s="5">
        <v>0.36</v>
      </c>
      <c r="G174" s="5">
        <v>63</v>
      </c>
      <c r="H174" s="5">
        <v>2.2000000000000002</v>
      </c>
      <c r="I174" s="5">
        <f t="shared" si="7"/>
        <v>16282.900000000018</v>
      </c>
      <c r="J174" s="22">
        <f t="shared" si="6"/>
        <v>1.0629999999999999</v>
      </c>
      <c r="K174" s="5"/>
      <c r="L174" s="5"/>
    </row>
    <row r="175" spans="2:12" hidden="1">
      <c r="B175" s="5">
        <f t="shared" si="8"/>
        <v>172</v>
      </c>
      <c r="C175" s="5" t="s">
        <v>211</v>
      </c>
      <c r="D175" s="5" t="s">
        <v>577</v>
      </c>
      <c r="E175" s="5" t="s">
        <v>450</v>
      </c>
      <c r="F175" s="5"/>
      <c r="G175" s="5">
        <v>63</v>
      </c>
      <c r="H175" s="5">
        <v>101.1</v>
      </c>
      <c r="I175" s="5">
        <f t="shared" si="7"/>
        <v>16384.000000000018</v>
      </c>
      <c r="J175" s="22">
        <f t="shared" si="6"/>
        <v>1.0629999999999999</v>
      </c>
      <c r="K175" s="5"/>
      <c r="L175" s="5"/>
    </row>
    <row r="176" spans="2:12" hidden="1">
      <c r="B176" s="5">
        <f t="shared" si="8"/>
        <v>173</v>
      </c>
      <c r="C176" s="5" t="s">
        <v>591</v>
      </c>
      <c r="D176" s="5" t="s">
        <v>460</v>
      </c>
      <c r="E176" s="5" t="s">
        <v>450</v>
      </c>
      <c r="F176" s="5"/>
      <c r="G176" s="5">
        <v>63</v>
      </c>
      <c r="H176" s="5">
        <v>35.4</v>
      </c>
      <c r="I176" s="5">
        <f t="shared" si="7"/>
        <v>16419.40000000002</v>
      </c>
      <c r="J176" s="22">
        <f t="shared" si="6"/>
        <v>1.0629999999999999</v>
      </c>
      <c r="K176" s="5"/>
      <c r="L176" s="5"/>
    </row>
    <row r="177" spans="2:12">
      <c r="B177" s="5">
        <f t="shared" si="8"/>
        <v>174</v>
      </c>
      <c r="C177" s="5" t="s">
        <v>591</v>
      </c>
      <c r="D177" s="5" t="s">
        <v>460</v>
      </c>
      <c r="E177" s="5" t="s">
        <v>301</v>
      </c>
      <c r="F177" s="5">
        <v>0.46</v>
      </c>
      <c r="G177" s="5">
        <v>63</v>
      </c>
      <c r="H177" s="5">
        <v>24.8</v>
      </c>
      <c r="I177" s="5">
        <f t="shared" si="7"/>
        <v>16444.200000000019</v>
      </c>
      <c r="J177" s="22">
        <f t="shared" si="6"/>
        <v>1.0629999999999999</v>
      </c>
      <c r="K177" s="5"/>
      <c r="L177" s="5"/>
    </row>
    <row r="178" spans="2:12" hidden="1">
      <c r="B178" s="5">
        <f t="shared" si="8"/>
        <v>175</v>
      </c>
      <c r="C178" s="5" t="s">
        <v>211</v>
      </c>
      <c r="D178" s="5" t="s">
        <v>460</v>
      </c>
      <c r="E178" s="5" t="s">
        <v>450</v>
      </c>
      <c r="F178" s="5"/>
      <c r="G178" s="5">
        <v>63</v>
      </c>
      <c r="H178" s="5">
        <v>71.3</v>
      </c>
      <c r="I178" s="5">
        <f t="shared" si="7"/>
        <v>16515.500000000018</v>
      </c>
      <c r="J178" s="22">
        <f t="shared" si="6"/>
        <v>1.0629999999999999</v>
      </c>
      <c r="K178" s="5"/>
      <c r="L178" s="5"/>
    </row>
    <row r="179" spans="2:12" hidden="1">
      <c r="B179" s="5">
        <f t="shared" si="8"/>
        <v>176</v>
      </c>
      <c r="C179" s="5" t="s">
        <v>592</v>
      </c>
      <c r="D179" s="5" t="s">
        <v>593</v>
      </c>
      <c r="E179" s="5" t="s">
        <v>450</v>
      </c>
      <c r="F179" s="5"/>
      <c r="G179" s="5">
        <v>63</v>
      </c>
      <c r="H179" s="5">
        <v>43.2</v>
      </c>
      <c r="I179" s="5">
        <f t="shared" si="7"/>
        <v>16558.700000000019</v>
      </c>
      <c r="J179" s="22">
        <f t="shared" si="6"/>
        <v>1.0629999999999999</v>
      </c>
      <c r="K179" s="5"/>
      <c r="L179" s="5"/>
    </row>
    <row r="180" spans="2:12" hidden="1">
      <c r="B180" s="5">
        <f t="shared" si="8"/>
        <v>177</v>
      </c>
      <c r="C180" s="5" t="s">
        <v>460</v>
      </c>
      <c r="D180" s="5" t="s">
        <v>213</v>
      </c>
      <c r="E180" s="5" t="s">
        <v>450</v>
      </c>
      <c r="F180" s="5"/>
      <c r="G180" s="5">
        <v>63</v>
      </c>
      <c r="H180" s="5">
        <v>25.1</v>
      </c>
      <c r="I180" s="5">
        <f t="shared" si="7"/>
        <v>16583.800000000017</v>
      </c>
      <c r="J180" s="22">
        <f t="shared" si="6"/>
        <v>1.0629999999999999</v>
      </c>
      <c r="K180" s="499" t="s">
        <v>455</v>
      </c>
      <c r="L180" s="501"/>
    </row>
    <row r="181" spans="2:12">
      <c r="B181" s="5">
        <f t="shared" si="8"/>
        <v>178</v>
      </c>
      <c r="C181" s="5" t="s">
        <v>460</v>
      </c>
      <c r="D181" s="5" t="s">
        <v>213</v>
      </c>
      <c r="E181" s="5" t="s">
        <v>301</v>
      </c>
      <c r="F181" s="5">
        <v>0.46</v>
      </c>
      <c r="G181" s="5">
        <v>63</v>
      </c>
      <c r="H181" s="5">
        <v>3</v>
      </c>
      <c r="I181" s="5">
        <f t="shared" si="7"/>
        <v>16586.800000000017</v>
      </c>
      <c r="J181" s="22">
        <f t="shared" si="6"/>
        <v>1.0629999999999999</v>
      </c>
      <c r="K181" s="5"/>
      <c r="L181" s="5"/>
    </row>
    <row r="182" spans="2:12" hidden="1">
      <c r="B182" s="5">
        <f t="shared" si="8"/>
        <v>179</v>
      </c>
      <c r="C182" s="5" t="s">
        <v>460</v>
      </c>
      <c r="D182" s="5" t="s">
        <v>213</v>
      </c>
      <c r="E182" s="5" t="s">
        <v>450</v>
      </c>
      <c r="F182" s="5"/>
      <c r="G182" s="5">
        <v>63</v>
      </c>
      <c r="H182" s="5">
        <v>20.100000000000001</v>
      </c>
      <c r="I182" s="5">
        <f t="shared" si="7"/>
        <v>16606.900000000016</v>
      </c>
      <c r="J182" s="22">
        <f t="shared" si="6"/>
        <v>1.0629999999999999</v>
      </c>
      <c r="K182" s="5"/>
      <c r="L182" s="5"/>
    </row>
    <row r="183" spans="2:12" hidden="1">
      <c r="B183" s="5">
        <f t="shared" si="8"/>
        <v>180</v>
      </c>
      <c r="C183" s="5" t="s">
        <v>460</v>
      </c>
      <c r="D183" s="5" t="s">
        <v>213</v>
      </c>
      <c r="E183" s="5" t="s">
        <v>199</v>
      </c>
      <c r="F183" s="5">
        <v>0.36</v>
      </c>
      <c r="G183" s="5">
        <v>63</v>
      </c>
      <c r="H183" s="5">
        <v>2.8</v>
      </c>
      <c r="I183" s="5">
        <f t="shared" si="7"/>
        <v>16609.700000000015</v>
      </c>
      <c r="J183" s="22">
        <f t="shared" si="6"/>
        <v>1.0629999999999999</v>
      </c>
      <c r="K183" s="5"/>
      <c r="L183" s="5"/>
    </row>
    <row r="184" spans="2:12" hidden="1">
      <c r="B184" s="5">
        <f t="shared" si="8"/>
        <v>181</v>
      </c>
      <c r="C184" s="5" t="s">
        <v>588</v>
      </c>
      <c r="D184" s="5" t="s">
        <v>594</v>
      </c>
      <c r="E184" s="5" t="s">
        <v>450</v>
      </c>
      <c r="F184" s="5"/>
      <c r="G184" s="5">
        <v>63</v>
      </c>
      <c r="H184" s="5">
        <v>53.2</v>
      </c>
      <c r="I184" s="5">
        <f t="shared" si="7"/>
        <v>16662.900000000016</v>
      </c>
      <c r="J184" s="22">
        <f t="shared" si="6"/>
        <v>1.0629999999999999</v>
      </c>
      <c r="K184" s="499" t="s">
        <v>455</v>
      </c>
      <c r="L184" s="501"/>
    </row>
    <row r="185" spans="2:12" hidden="1">
      <c r="B185" s="5">
        <f t="shared" si="8"/>
        <v>182</v>
      </c>
      <c r="C185" s="5" t="s">
        <v>363</v>
      </c>
      <c r="D185" s="5" t="s">
        <v>402</v>
      </c>
      <c r="E185" s="5" t="s">
        <v>450</v>
      </c>
      <c r="F185" s="5"/>
      <c r="G185" s="5">
        <v>63</v>
      </c>
      <c r="H185" s="5">
        <v>232.1</v>
      </c>
      <c r="I185" s="5">
        <f t="shared" si="7"/>
        <v>16895.000000000015</v>
      </c>
      <c r="J185" s="22">
        <f t="shared" si="6"/>
        <v>1.0629999999999999</v>
      </c>
      <c r="K185" s="5"/>
      <c r="L185" s="5"/>
    </row>
    <row r="186" spans="2:12" hidden="1">
      <c r="B186" s="5">
        <f t="shared" si="8"/>
        <v>183</v>
      </c>
      <c r="C186" s="5" t="s">
        <v>402</v>
      </c>
      <c r="D186" s="5" t="s">
        <v>255</v>
      </c>
      <c r="E186" s="5" t="s">
        <v>450</v>
      </c>
      <c r="F186" s="5"/>
      <c r="G186" s="5">
        <v>63</v>
      </c>
      <c r="H186" s="5">
        <v>125.8</v>
      </c>
      <c r="I186" s="5">
        <f t="shared" si="7"/>
        <v>17020.800000000014</v>
      </c>
      <c r="J186" s="22">
        <f t="shared" si="6"/>
        <v>1.0629999999999999</v>
      </c>
      <c r="K186" s="5"/>
      <c r="L186" s="5"/>
    </row>
    <row r="187" spans="2:12" hidden="1">
      <c r="B187" s="5">
        <f t="shared" si="8"/>
        <v>184</v>
      </c>
      <c r="C187" s="5" t="s">
        <v>402</v>
      </c>
      <c r="D187" s="5" t="s">
        <v>412</v>
      </c>
      <c r="E187" s="5" t="s">
        <v>450</v>
      </c>
      <c r="F187" s="5"/>
      <c r="G187" s="5">
        <v>63</v>
      </c>
      <c r="H187" s="5">
        <v>279.2</v>
      </c>
      <c r="I187" s="5">
        <f t="shared" si="7"/>
        <v>17300.000000000015</v>
      </c>
      <c r="J187" s="22">
        <f t="shared" si="6"/>
        <v>1.0629999999999999</v>
      </c>
      <c r="K187" s="5"/>
      <c r="L187" s="5"/>
    </row>
    <row r="188" spans="2:12" hidden="1">
      <c r="B188" s="5">
        <f t="shared" si="8"/>
        <v>185</v>
      </c>
      <c r="C188" s="5" t="s">
        <v>257</v>
      </c>
      <c r="D188" s="5" t="s">
        <v>268</v>
      </c>
      <c r="E188" s="5" t="s">
        <v>450</v>
      </c>
      <c r="F188" s="5"/>
      <c r="G188" s="5">
        <v>63</v>
      </c>
      <c r="H188" s="5">
        <v>190.5</v>
      </c>
      <c r="I188" s="5">
        <f t="shared" si="7"/>
        <v>17490.500000000015</v>
      </c>
      <c r="J188" s="22">
        <f t="shared" si="6"/>
        <v>1.0629999999999999</v>
      </c>
      <c r="K188" s="5"/>
      <c r="L188" s="5"/>
    </row>
    <row r="189" spans="2:12" hidden="1">
      <c r="B189" s="5">
        <f t="shared" si="8"/>
        <v>186</v>
      </c>
      <c r="C189" s="5" t="s">
        <v>268</v>
      </c>
      <c r="D189" s="5" t="s">
        <v>278</v>
      </c>
      <c r="E189" s="5" t="s">
        <v>383</v>
      </c>
      <c r="F189" s="5">
        <v>0.36</v>
      </c>
      <c r="G189" s="5">
        <v>63</v>
      </c>
      <c r="H189" s="5">
        <v>2.5</v>
      </c>
      <c r="I189" s="5">
        <f t="shared" si="7"/>
        <v>17493.000000000015</v>
      </c>
      <c r="J189" s="22">
        <f t="shared" si="6"/>
        <v>1.0629999999999999</v>
      </c>
      <c r="K189" s="5"/>
      <c r="L189" s="5"/>
    </row>
    <row r="190" spans="2:12" hidden="1">
      <c r="B190" s="5">
        <f t="shared" si="8"/>
        <v>187</v>
      </c>
      <c r="C190" s="5" t="s">
        <v>268</v>
      </c>
      <c r="D190" s="5" t="s">
        <v>278</v>
      </c>
      <c r="E190" s="5" t="s">
        <v>199</v>
      </c>
      <c r="F190" s="5">
        <v>0.36</v>
      </c>
      <c r="G190" s="5">
        <v>63</v>
      </c>
      <c r="H190" s="5">
        <v>1.3</v>
      </c>
      <c r="I190" s="5">
        <f t="shared" si="7"/>
        <v>17494.300000000014</v>
      </c>
      <c r="J190" s="22">
        <f t="shared" si="6"/>
        <v>1.0629999999999999</v>
      </c>
      <c r="K190" s="5"/>
      <c r="L190" s="5"/>
    </row>
    <row r="191" spans="2:12" hidden="1">
      <c r="B191" s="5">
        <f t="shared" si="8"/>
        <v>188</v>
      </c>
      <c r="C191" s="5" t="s">
        <v>268</v>
      </c>
      <c r="D191" s="5" t="s">
        <v>278</v>
      </c>
      <c r="E191" s="5" t="s">
        <v>450</v>
      </c>
      <c r="F191" s="5"/>
      <c r="G191" s="5">
        <v>63</v>
      </c>
      <c r="H191" s="5">
        <v>27</v>
      </c>
      <c r="I191" s="5">
        <f t="shared" si="7"/>
        <v>17521.300000000014</v>
      </c>
      <c r="J191" s="22">
        <f t="shared" si="6"/>
        <v>1.0629999999999999</v>
      </c>
      <c r="K191" s="5"/>
      <c r="L191" s="5"/>
    </row>
    <row r="192" spans="2:12" hidden="1">
      <c r="B192" s="5">
        <f t="shared" si="8"/>
        <v>189</v>
      </c>
      <c r="C192" s="5" t="s">
        <v>278</v>
      </c>
      <c r="D192" s="5" t="s">
        <v>595</v>
      </c>
      <c r="E192" s="5" t="s">
        <v>199</v>
      </c>
      <c r="F192" s="5">
        <v>0.36</v>
      </c>
      <c r="G192" s="5">
        <v>63</v>
      </c>
      <c r="H192" s="5">
        <v>14</v>
      </c>
      <c r="I192" s="5">
        <f t="shared" si="7"/>
        <v>17535.300000000014</v>
      </c>
      <c r="J192" s="22">
        <f t="shared" si="6"/>
        <v>1.0629999999999999</v>
      </c>
      <c r="K192" s="5"/>
      <c r="L192" s="5"/>
    </row>
    <row r="193" spans="2:12" hidden="1">
      <c r="B193" s="5">
        <f t="shared" si="8"/>
        <v>190</v>
      </c>
      <c r="C193" s="5" t="s">
        <v>278</v>
      </c>
      <c r="D193" s="5" t="s">
        <v>595</v>
      </c>
      <c r="E193" s="5" t="s">
        <v>450</v>
      </c>
      <c r="F193" s="5"/>
      <c r="G193" s="5">
        <v>63</v>
      </c>
      <c r="H193" s="5">
        <v>27.9</v>
      </c>
      <c r="I193" s="5">
        <f t="shared" si="7"/>
        <v>17563.200000000015</v>
      </c>
      <c r="J193" s="22">
        <f t="shared" si="6"/>
        <v>1.0629999999999999</v>
      </c>
      <c r="K193" s="499" t="s">
        <v>455</v>
      </c>
      <c r="L193" s="501"/>
    </row>
    <row r="194" spans="2:12" hidden="1">
      <c r="B194" s="5">
        <f t="shared" si="8"/>
        <v>191</v>
      </c>
      <c r="C194" s="5" t="s">
        <v>278</v>
      </c>
      <c r="D194" s="5" t="s">
        <v>595</v>
      </c>
      <c r="E194" s="5" t="s">
        <v>450</v>
      </c>
      <c r="F194" s="5"/>
      <c r="G194" s="5">
        <v>63</v>
      </c>
      <c r="H194" s="5">
        <v>13.2</v>
      </c>
      <c r="I194" s="5">
        <f t="shared" si="7"/>
        <v>17576.400000000016</v>
      </c>
      <c r="J194" s="22">
        <f t="shared" si="6"/>
        <v>1.0629999999999999</v>
      </c>
      <c r="K194" s="5"/>
      <c r="L194" s="5"/>
    </row>
    <row r="195" spans="2:12" hidden="1">
      <c r="B195" s="5">
        <f t="shared" si="8"/>
        <v>192</v>
      </c>
      <c r="C195" s="5" t="s">
        <v>268</v>
      </c>
      <c r="D195" s="5" t="s">
        <v>279</v>
      </c>
      <c r="E195" s="5" t="s">
        <v>450</v>
      </c>
      <c r="F195" s="5"/>
      <c r="G195" s="5">
        <v>63</v>
      </c>
      <c r="H195" s="5">
        <v>67.3</v>
      </c>
      <c r="I195" s="5">
        <f t="shared" si="7"/>
        <v>17643.700000000015</v>
      </c>
      <c r="J195" s="22">
        <f t="shared" si="6"/>
        <v>1.0629999999999999</v>
      </c>
      <c r="K195" s="5"/>
      <c r="L195" s="5"/>
    </row>
    <row r="196" spans="2:12" hidden="1">
      <c r="B196" s="5">
        <f t="shared" si="8"/>
        <v>193</v>
      </c>
      <c r="C196" s="5" t="s">
        <v>279</v>
      </c>
      <c r="D196" s="5" t="s">
        <v>285</v>
      </c>
      <c r="E196" s="5" t="s">
        <v>383</v>
      </c>
      <c r="F196" s="5">
        <v>0.36</v>
      </c>
      <c r="G196" s="5">
        <v>63</v>
      </c>
      <c r="H196" s="5">
        <v>3.6</v>
      </c>
      <c r="I196" s="5">
        <f t="shared" si="7"/>
        <v>17647.300000000014</v>
      </c>
      <c r="J196" s="22">
        <f t="shared" si="6"/>
        <v>1.0629999999999999</v>
      </c>
      <c r="K196" s="5"/>
      <c r="L196" s="5"/>
    </row>
    <row r="197" spans="2:12" hidden="1">
      <c r="B197" s="5">
        <f t="shared" si="8"/>
        <v>194</v>
      </c>
      <c r="C197" s="5" t="s">
        <v>279</v>
      </c>
      <c r="D197" s="5" t="s">
        <v>285</v>
      </c>
      <c r="E197" s="5" t="s">
        <v>199</v>
      </c>
      <c r="F197" s="5">
        <v>0.36</v>
      </c>
      <c r="G197" s="5">
        <v>63</v>
      </c>
      <c r="H197" s="5">
        <v>32.799999999999997</v>
      </c>
      <c r="I197" s="5">
        <f t="shared" si="7"/>
        <v>17680.100000000013</v>
      </c>
      <c r="J197" s="22">
        <f t="shared" ref="J197:J260" si="9">1+G197/1000</f>
        <v>1.0629999999999999</v>
      </c>
      <c r="K197" s="5"/>
      <c r="L197" s="5"/>
    </row>
    <row r="198" spans="2:12" hidden="1">
      <c r="B198" s="5">
        <f t="shared" si="8"/>
        <v>195</v>
      </c>
      <c r="C198" s="5" t="s">
        <v>285</v>
      </c>
      <c r="D198" s="5" t="s">
        <v>391</v>
      </c>
      <c r="E198" s="5" t="s">
        <v>450</v>
      </c>
      <c r="F198" s="5"/>
      <c r="G198" s="5">
        <v>63</v>
      </c>
      <c r="H198" s="5">
        <v>53.9</v>
      </c>
      <c r="I198" s="5">
        <f t="shared" ref="I198:I261" si="10">+I197+H198</f>
        <v>17734.000000000015</v>
      </c>
      <c r="J198" s="22">
        <f t="shared" si="9"/>
        <v>1.0629999999999999</v>
      </c>
      <c r="K198" s="5"/>
      <c r="L198" s="5"/>
    </row>
    <row r="199" spans="2:12" hidden="1">
      <c r="B199" s="5">
        <f t="shared" ref="B199:B262" si="11">1+B198</f>
        <v>196</v>
      </c>
      <c r="C199" s="5" t="s">
        <v>391</v>
      </c>
      <c r="D199" s="5" t="s">
        <v>282</v>
      </c>
      <c r="E199" s="5" t="s">
        <v>450</v>
      </c>
      <c r="F199" s="5"/>
      <c r="G199" s="5">
        <v>63</v>
      </c>
      <c r="H199" s="5">
        <v>29.1</v>
      </c>
      <c r="I199" s="5">
        <f t="shared" si="10"/>
        <v>17763.100000000013</v>
      </c>
      <c r="J199" s="22">
        <f t="shared" si="9"/>
        <v>1.0629999999999999</v>
      </c>
      <c r="K199" s="5"/>
      <c r="L199" s="5"/>
    </row>
    <row r="200" spans="2:12" hidden="1">
      <c r="B200" s="5">
        <f t="shared" si="11"/>
        <v>197</v>
      </c>
      <c r="C200" s="5" t="s">
        <v>596</v>
      </c>
      <c r="D200" s="5" t="s">
        <v>597</v>
      </c>
      <c r="E200" s="5" t="s">
        <v>450</v>
      </c>
      <c r="F200" s="5"/>
      <c r="G200" s="5">
        <v>63</v>
      </c>
      <c r="H200" s="5">
        <v>28.6</v>
      </c>
      <c r="I200" s="5">
        <f t="shared" si="10"/>
        <v>17791.700000000012</v>
      </c>
      <c r="J200" s="22">
        <f t="shared" si="9"/>
        <v>1.0629999999999999</v>
      </c>
      <c r="K200" s="5"/>
      <c r="L200" s="5"/>
    </row>
    <row r="201" spans="2:12" hidden="1">
      <c r="B201" s="5">
        <f t="shared" si="11"/>
        <v>198</v>
      </c>
      <c r="C201" s="5" t="s">
        <v>598</v>
      </c>
      <c r="D201" s="5" t="s">
        <v>599</v>
      </c>
      <c r="E201" s="5" t="s">
        <v>450</v>
      </c>
      <c r="F201" s="5"/>
      <c r="G201" s="5">
        <v>63</v>
      </c>
      <c r="H201" s="5">
        <v>18.8</v>
      </c>
      <c r="I201" s="5">
        <f t="shared" si="10"/>
        <v>17810.500000000011</v>
      </c>
      <c r="J201" s="22">
        <f t="shared" si="9"/>
        <v>1.0629999999999999</v>
      </c>
      <c r="K201" s="5"/>
      <c r="L201" s="5"/>
    </row>
    <row r="202" spans="2:12" hidden="1">
      <c r="B202" s="5">
        <f t="shared" si="11"/>
        <v>199</v>
      </c>
      <c r="C202" s="5" t="s">
        <v>285</v>
      </c>
      <c r="D202" s="5" t="s">
        <v>540</v>
      </c>
      <c r="E202" s="5" t="s">
        <v>450</v>
      </c>
      <c r="F202" s="5"/>
      <c r="G202" s="5">
        <v>63</v>
      </c>
      <c r="H202" s="5">
        <v>59.8</v>
      </c>
      <c r="I202" s="5">
        <f t="shared" si="10"/>
        <v>17870.30000000001</v>
      </c>
      <c r="J202" s="22">
        <f t="shared" si="9"/>
        <v>1.0629999999999999</v>
      </c>
      <c r="K202" s="499" t="s">
        <v>455</v>
      </c>
      <c r="L202" s="501"/>
    </row>
    <row r="203" spans="2:12" hidden="1">
      <c r="B203" s="5">
        <f t="shared" si="11"/>
        <v>200</v>
      </c>
      <c r="C203" s="5" t="s">
        <v>540</v>
      </c>
      <c r="D203" s="5" t="s">
        <v>355</v>
      </c>
      <c r="E203" s="5" t="s">
        <v>450</v>
      </c>
      <c r="F203" s="5"/>
      <c r="G203" s="5">
        <v>63</v>
      </c>
      <c r="H203" s="5">
        <v>116.1</v>
      </c>
      <c r="I203" s="5">
        <f t="shared" si="10"/>
        <v>17986.400000000009</v>
      </c>
      <c r="J203" s="22">
        <f t="shared" si="9"/>
        <v>1.0629999999999999</v>
      </c>
      <c r="K203" s="5"/>
      <c r="L203" s="5"/>
    </row>
    <row r="204" spans="2:12" hidden="1">
      <c r="B204" s="5">
        <f t="shared" si="11"/>
        <v>201</v>
      </c>
      <c r="C204" s="5" t="s">
        <v>315</v>
      </c>
      <c r="D204" s="5" t="s">
        <v>540</v>
      </c>
      <c r="E204" s="5" t="s">
        <v>450</v>
      </c>
      <c r="F204" s="5"/>
      <c r="G204" s="5">
        <v>63</v>
      </c>
      <c r="H204" s="5">
        <v>56.1</v>
      </c>
      <c r="I204" s="5">
        <f t="shared" si="10"/>
        <v>18042.500000000007</v>
      </c>
      <c r="J204" s="22">
        <f t="shared" si="9"/>
        <v>1.0629999999999999</v>
      </c>
      <c r="K204" s="5"/>
      <c r="L204" s="5"/>
    </row>
    <row r="205" spans="2:12" hidden="1">
      <c r="B205" s="5">
        <f t="shared" si="11"/>
        <v>202</v>
      </c>
      <c r="C205" s="5" t="s">
        <v>315</v>
      </c>
      <c r="D205" s="5" t="s">
        <v>540</v>
      </c>
      <c r="E205" s="5" t="s">
        <v>199</v>
      </c>
      <c r="F205" s="5">
        <v>0.36</v>
      </c>
      <c r="G205" s="5">
        <v>63</v>
      </c>
      <c r="H205" s="5">
        <v>19.7</v>
      </c>
      <c r="I205" s="5">
        <f t="shared" si="10"/>
        <v>18062.200000000008</v>
      </c>
      <c r="J205" s="22">
        <f t="shared" si="9"/>
        <v>1.0629999999999999</v>
      </c>
      <c r="K205" s="5"/>
      <c r="L205" s="5"/>
    </row>
    <row r="206" spans="2:12" hidden="1">
      <c r="B206" s="5">
        <f t="shared" si="11"/>
        <v>203</v>
      </c>
      <c r="C206" s="5" t="s">
        <v>315</v>
      </c>
      <c r="D206" s="5" t="s">
        <v>540</v>
      </c>
      <c r="E206" s="5" t="s">
        <v>450</v>
      </c>
      <c r="F206" s="5"/>
      <c r="G206" s="5">
        <v>63</v>
      </c>
      <c r="H206" s="5">
        <v>30.2</v>
      </c>
      <c r="I206" s="5">
        <f t="shared" si="10"/>
        <v>18092.400000000009</v>
      </c>
      <c r="J206" s="22">
        <f t="shared" si="9"/>
        <v>1.0629999999999999</v>
      </c>
      <c r="K206" s="5"/>
      <c r="L206" s="5"/>
    </row>
    <row r="207" spans="2:12" hidden="1">
      <c r="B207" s="5">
        <f t="shared" si="11"/>
        <v>204</v>
      </c>
      <c r="C207" s="5" t="s">
        <v>279</v>
      </c>
      <c r="D207" s="5" t="s">
        <v>282</v>
      </c>
      <c r="E207" s="5" t="s">
        <v>450</v>
      </c>
      <c r="F207" s="5"/>
      <c r="G207" s="5">
        <v>63</v>
      </c>
      <c r="H207" s="5">
        <v>42.9</v>
      </c>
      <c r="I207" s="5">
        <f t="shared" si="10"/>
        <v>18135.30000000001</v>
      </c>
      <c r="J207" s="22">
        <f t="shared" si="9"/>
        <v>1.0629999999999999</v>
      </c>
      <c r="K207" s="5"/>
      <c r="L207" s="5"/>
    </row>
    <row r="208" spans="2:12" hidden="1">
      <c r="B208" s="5">
        <f t="shared" si="11"/>
        <v>205</v>
      </c>
      <c r="C208" s="5" t="s">
        <v>279</v>
      </c>
      <c r="D208" s="5" t="s">
        <v>282</v>
      </c>
      <c r="E208" s="5" t="s">
        <v>199</v>
      </c>
      <c r="F208" s="5">
        <v>0.36</v>
      </c>
      <c r="G208" s="5">
        <v>63</v>
      </c>
      <c r="H208" s="5">
        <v>3.8</v>
      </c>
      <c r="I208" s="5">
        <f t="shared" si="10"/>
        <v>18139.100000000009</v>
      </c>
      <c r="J208" s="22">
        <f t="shared" si="9"/>
        <v>1.0629999999999999</v>
      </c>
      <c r="K208" s="5"/>
      <c r="L208" s="5"/>
    </row>
    <row r="209" spans="2:12" hidden="1">
      <c r="B209" s="5">
        <f t="shared" si="11"/>
        <v>206</v>
      </c>
      <c r="C209" s="5" t="s">
        <v>279</v>
      </c>
      <c r="D209" s="5" t="s">
        <v>282</v>
      </c>
      <c r="E209" s="5" t="s">
        <v>450</v>
      </c>
      <c r="F209" s="5"/>
      <c r="G209" s="5">
        <v>63</v>
      </c>
      <c r="H209" s="5">
        <v>51.5</v>
      </c>
      <c r="I209" s="5">
        <f t="shared" si="10"/>
        <v>18190.600000000009</v>
      </c>
      <c r="J209" s="22">
        <f t="shared" si="9"/>
        <v>1.0629999999999999</v>
      </c>
      <c r="K209" s="5"/>
      <c r="L209" s="5"/>
    </row>
    <row r="210" spans="2:12" hidden="1">
      <c r="B210" s="5">
        <f t="shared" si="11"/>
        <v>207</v>
      </c>
      <c r="C210" s="5" t="s">
        <v>282</v>
      </c>
      <c r="D210" s="5" t="s">
        <v>391</v>
      </c>
      <c r="E210" s="5" t="s">
        <v>450</v>
      </c>
      <c r="F210" s="5"/>
      <c r="G210" s="5">
        <v>63</v>
      </c>
      <c r="H210" s="5">
        <v>31.8</v>
      </c>
      <c r="I210" s="5">
        <f t="shared" si="10"/>
        <v>18222.400000000009</v>
      </c>
      <c r="J210" s="22">
        <f t="shared" si="9"/>
        <v>1.0629999999999999</v>
      </c>
      <c r="K210" s="5"/>
      <c r="L210" s="5"/>
    </row>
    <row r="211" spans="2:12" hidden="1">
      <c r="B211" s="5">
        <f t="shared" si="11"/>
        <v>208</v>
      </c>
      <c r="C211" s="5" t="s">
        <v>282</v>
      </c>
      <c r="D211" s="5" t="s">
        <v>391</v>
      </c>
      <c r="E211" s="5" t="s">
        <v>450</v>
      </c>
      <c r="F211" s="5"/>
      <c r="G211" s="5">
        <v>63</v>
      </c>
      <c r="H211" s="5">
        <v>10.7</v>
      </c>
      <c r="I211" s="5">
        <f t="shared" si="10"/>
        <v>18233.100000000009</v>
      </c>
      <c r="J211" s="22">
        <f t="shared" si="9"/>
        <v>1.0629999999999999</v>
      </c>
      <c r="K211" s="5"/>
      <c r="L211" s="5"/>
    </row>
    <row r="212" spans="2:12" hidden="1">
      <c r="B212" s="5">
        <f t="shared" si="11"/>
        <v>209</v>
      </c>
      <c r="C212" s="5" t="s">
        <v>282</v>
      </c>
      <c r="D212" s="5" t="s">
        <v>391</v>
      </c>
      <c r="E212" s="5" t="s">
        <v>383</v>
      </c>
      <c r="F212" s="5">
        <v>0.36</v>
      </c>
      <c r="G212" s="5">
        <v>63</v>
      </c>
      <c r="H212" s="5">
        <v>3.6</v>
      </c>
      <c r="I212" s="5">
        <f t="shared" si="10"/>
        <v>18236.700000000008</v>
      </c>
      <c r="J212" s="22">
        <f t="shared" si="9"/>
        <v>1.0629999999999999</v>
      </c>
      <c r="K212" s="5"/>
      <c r="L212" s="5"/>
    </row>
    <row r="213" spans="2:12" hidden="1">
      <c r="B213" s="5">
        <f t="shared" si="11"/>
        <v>210</v>
      </c>
      <c r="C213" s="5" t="s">
        <v>282</v>
      </c>
      <c r="D213" s="5" t="s">
        <v>417</v>
      </c>
      <c r="E213" s="5" t="s">
        <v>450</v>
      </c>
      <c r="F213" s="5"/>
      <c r="G213" s="5">
        <v>63</v>
      </c>
      <c r="H213" s="5">
        <v>36.299999999999997</v>
      </c>
      <c r="I213" s="5">
        <f t="shared" si="10"/>
        <v>18273.000000000007</v>
      </c>
      <c r="J213" s="22">
        <f t="shared" si="9"/>
        <v>1.0629999999999999</v>
      </c>
      <c r="K213" s="5"/>
      <c r="L213" s="5"/>
    </row>
    <row r="214" spans="2:12" hidden="1">
      <c r="B214" s="5">
        <f t="shared" si="11"/>
        <v>211</v>
      </c>
      <c r="C214" s="5" t="s">
        <v>417</v>
      </c>
      <c r="D214" s="5" t="s">
        <v>523</v>
      </c>
      <c r="E214" s="5" t="s">
        <v>383</v>
      </c>
      <c r="F214" s="5">
        <v>0.36</v>
      </c>
      <c r="G214" s="5">
        <v>63</v>
      </c>
      <c r="H214" s="5">
        <v>2.4</v>
      </c>
      <c r="I214" s="5">
        <f t="shared" si="10"/>
        <v>18275.400000000009</v>
      </c>
      <c r="J214" s="22">
        <f t="shared" si="9"/>
        <v>1.0629999999999999</v>
      </c>
      <c r="K214" s="5"/>
      <c r="L214" s="5"/>
    </row>
    <row r="215" spans="2:12" hidden="1">
      <c r="B215" s="5">
        <f t="shared" si="11"/>
        <v>212</v>
      </c>
      <c r="C215" s="5" t="s">
        <v>417</v>
      </c>
      <c r="D215" s="5" t="s">
        <v>523</v>
      </c>
      <c r="E215" s="5" t="s">
        <v>450</v>
      </c>
      <c r="F215" s="5"/>
      <c r="G215" s="5">
        <v>63</v>
      </c>
      <c r="H215" s="5">
        <v>27.7</v>
      </c>
      <c r="I215" s="5">
        <f t="shared" si="10"/>
        <v>18303.100000000009</v>
      </c>
      <c r="J215" s="22">
        <f t="shared" si="9"/>
        <v>1.0629999999999999</v>
      </c>
      <c r="K215" s="5"/>
      <c r="L215" s="5"/>
    </row>
    <row r="216" spans="2:12" hidden="1">
      <c r="B216" s="5">
        <f t="shared" si="11"/>
        <v>213</v>
      </c>
      <c r="C216" s="5" t="s">
        <v>412</v>
      </c>
      <c r="D216" s="5" t="s">
        <v>350</v>
      </c>
      <c r="E216" s="5" t="s">
        <v>450</v>
      </c>
      <c r="F216" s="5"/>
      <c r="G216" s="5">
        <v>110</v>
      </c>
      <c r="H216" s="5">
        <v>81.400000000000006</v>
      </c>
      <c r="I216" s="5">
        <f t="shared" si="10"/>
        <v>18384.500000000011</v>
      </c>
      <c r="J216" s="22">
        <f t="shared" si="9"/>
        <v>1.1100000000000001</v>
      </c>
      <c r="K216" s="5"/>
      <c r="L216" s="5"/>
    </row>
    <row r="217" spans="2:12" hidden="1">
      <c r="B217" s="5">
        <f t="shared" si="11"/>
        <v>214</v>
      </c>
      <c r="C217" s="5" t="s">
        <v>350</v>
      </c>
      <c r="D217" s="5" t="s">
        <v>400</v>
      </c>
      <c r="E217" s="5" t="s">
        <v>450</v>
      </c>
      <c r="F217" s="5"/>
      <c r="G217" s="5">
        <v>140</v>
      </c>
      <c r="H217" s="5">
        <v>32.299999999999997</v>
      </c>
      <c r="I217" s="5">
        <f t="shared" si="10"/>
        <v>18416.80000000001</v>
      </c>
      <c r="J217" s="22">
        <f t="shared" si="9"/>
        <v>1.1400000000000001</v>
      </c>
      <c r="K217" s="5"/>
      <c r="L217" s="5"/>
    </row>
    <row r="218" spans="2:12" hidden="1">
      <c r="B218" s="5">
        <f t="shared" si="11"/>
        <v>215</v>
      </c>
      <c r="C218" s="5" t="s">
        <v>400</v>
      </c>
      <c r="D218" s="5" t="s">
        <v>248</v>
      </c>
      <c r="E218" s="5" t="s">
        <v>450</v>
      </c>
      <c r="F218" s="5"/>
      <c r="G218" s="5">
        <v>75</v>
      </c>
      <c r="H218" s="5">
        <v>57.1</v>
      </c>
      <c r="I218" s="5">
        <f t="shared" si="10"/>
        <v>18473.900000000009</v>
      </c>
      <c r="J218" s="22">
        <f t="shared" si="9"/>
        <v>1.075</v>
      </c>
      <c r="K218" s="5"/>
      <c r="L218" s="5"/>
    </row>
    <row r="219" spans="2:12" hidden="1">
      <c r="B219" s="5">
        <f t="shared" si="11"/>
        <v>216</v>
      </c>
      <c r="C219" s="5" t="s">
        <v>248</v>
      </c>
      <c r="D219" s="5" t="s">
        <v>250</v>
      </c>
      <c r="E219" s="5" t="s">
        <v>450</v>
      </c>
      <c r="F219" s="5"/>
      <c r="G219" s="5">
        <v>63</v>
      </c>
      <c r="H219" s="5">
        <v>103.9</v>
      </c>
      <c r="I219" s="5">
        <f t="shared" si="10"/>
        <v>18577.80000000001</v>
      </c>
      <c r="J219" s="22">
        <f t="shared" si="9"/>
        <v>1.0629999999999999</v>
      </c>
      <c r="K219" s="8"/>
      <c r="L219" s="8"/>
    </row>
    <row r="220" spans="2:12" hidden="1">
      <c r="B220" s="5">
        <f t="shared" si="11"/>
        <v>217</v>
      </c>
      <c r="C220" s="5" t="s">
        <v>248</v>
      </c>
      <c r="D220" s="5" t="s">
        <v>375</v>
      </c>
      <c r="E220" s="5" t="s">
        <v>450</v>
      </c>
      <c r="F220" s="5"/>
      <c r="G220" s="5">
        <v>63</v>
      </c>
      <c r="H220" s="5">
        <v>58.5</v>
      </c>
      <c r="I220" s="5">
        <f t="shared" si="10"/>
        <v>18636.30000000001</v>
      </c>
      <c r="J220" s="22">
        <f t="shared" si="9"/>
        <v>1.0629999999999999</v>
      </c>
      <c r="K220" s="8"/>
      <c r="L220" s="8"/>
    </row>
    <row r="221" spans="2:12" hidden="1">
      <c r="B221" s="5">
        <f t="shared" si="11"/>
        <v>218</v>
      </c>
      <c r="C221" s="5" t="s">
        <v>600</v>
      </c>
      <c r="D221" s="5" t="s">
        <v>277</v>
      </c>
      <c r="E221" s="5" t="s">
        <v>450</v>
      </c>
      <c r="F221" s="5"/>
      <c r="G221" s="5">
        <v>63</v>
      </c>
      <c r="H221" s="5">
        <v>25.8</v>
      </c>
      <c r="I221" s="5">
        <f t="shared" si="10"/>
        <v>18662.100000000009</v>
      </c>
      <c r="J221" s="22">
        <f t="shared" si="9"/>
        <v>1.0629999999999999</v>
      </c>
      <c r="K221" s="8"/>
      <c r="L221" s="8"/>
    </row>
    <row r="222" spans="2:12" hidden="1">
      <c r="B222" s="5">
        <f t="shared" si="11"/>
        <v>219</v>
      </c>
      <c r="C222" s="5" t="s">
        <v>375</v>
      </c>
      <c r="D222" s="5" t="s">
        <v>419</v>
      </c>
      <c r="E222" s="5" t="s">
        <v>450</v>
      </c>
      <c r="F222" s="5"/>
      <c r="G222" s="5">
        <v>63</v>
      </c>
      <c r="H222" s="5">
        <v>33</v>
      </c>
      <c r="I222" s="5">
        <f t="shared" si="10"/>
        <v>18695.100000000009</v>
      </c>
      <c r="J222" s="22">
        <f t="shared" si="9"/>
        <v>1.0629999999999999</v>
      </c>
      <c r="K222" s="8"/>
      <c r="L222" s="8"/>
    </row>
    <row r="223" spans="2:12" hidden="1">
      <c r="B223" s="5">
        <f t="shared" si="11"/>
        <v>220</v>
      </c>
      <c r="C223" s="5" t="s">
        <v>601</v>
      </c>
      <c r="D223" s="5" t="s">
        <v>602</v>
      </c>
      <c r="E223" s="5" t="s">
        <v>450</v>
      </c>
      <c r="F223" s="5"/>
      <c r="G223" s="5">
        <v>63</v>
      </c>
      <c r="H223" s="5">
        <v>17.3</v>
      </c>
      <c r="I223" s="5">
        <f t="shared" si="10"/>
        <v>18712.400000000009</v>
      </c>
      <c r="J223" s="22">
        <f t="shared" si="9"/>
        <v>1.0629999999999999</v>
      </c>
      <c r="K223" s="8"/>
      <c r="L223" s="8"/>
    </row>
    <row r="224" spans="2:12" hidden="1">
      <c r="B224" s="5">
        <f t="shared" si="11"/>
        <v>221</v>
      </c>
      <c r="C224" s="5" t="s">
        <v>601</v>
      </c>
      <c r="D224" s="5" t="s">
        <v>314</v>
      </c>
      <c r="E224" s="5" t="s">
        <v>450</v>
      </c>
      <c r="F224" s="5"/>
      <c r="G224" s="5">
        <v>63</v>
      </c>
      <c r="H224" s="5">
        <v>157.80000000000001</v>
      </c>
      <c r="I224" s="5">
        <f t="shared" si="10"/>
        <v>18870.200000000008</v>
      </c>
      <c r="J224" s="22">
        <f t="shared" si="9"/>
        <v>1.0629999999999999</v>
      </c>
      <c r="K224" s="8"/>
      <c r="L224" s="8"/>
    </row>
    <row r="225" spans="2:12" hidden="1">
      <c r="B225" s="5">
        <f t="shared" si="11"/>
        <v>222</v>
      </c>
      <c r="C225" s="5" t="s">
        <v>314</v>
      </c>
      <c r="D225" s="5" t="s">
        <v>426</v>
      </c>
      <c r="E225" s="5" t="s">
        <v>450</v>
      </c>
      <c r="F225" s="5"/>
      <c r="G225" s="5">
        <v>63</v>
      </c>
      <c r="H225" s="5">
        <v>20</v>
      </c>
      <c r="I225" s="5">
        <f t="shared" si="10"/>
        <v>18890.200000000008</v>
      </c>
      <c r="J225" s="22">
        <f t="shared" si="9"/>
        <v>1.0629999999999999</v>
      </c>
      <c r="K225" s="8"/>
      <c r="L225" s="8"/>
    </row>
    <row r="226" spans="2:12" hidden="1">
      <c r="B226" s="5">
        <f t="shared" si="11"/>
        <v>223</v>
      </c>
      <c r="C226" s="5" t="s">
        <v>314</v>
      </c>
      <c r="D226" s="5" t="s">
        <v>426</v>
      </c>
      <c r="E226" s="5" t="s">
        <v>199</v>
      </c>
      <c r="F226" s="5">
        <v>0.36</v>
      </c>
      <c r="G226" s="5">
        <v>63</v>
      </c>
      <c r="H226" s="5">
        <v>74.099999999999994</v>
      </c>
      <c r="I226" s="5">
        <f t="shared" si="10"/>
        <v>18964.300000000007</v>
      </c>
      <c r="J226" s="22">
        <f t="shared" si="9"/>
        <v>1.0629999999999999</v>
      </c>
      <c r="K226" s="8"/>
      <c r="L226" s="8"/>
    </row>
    <row r="227" spans="2:12" hidden="1">
      <c r="B227" s="5">
        <f t="shared" si="11"/>
        <v>224</v>
      </c>
      <c r="C227" s="5" t="s">
        <v>603</v>
      </c>
      <c r="D227" s="5" t="s">
        <v>604</v>
      </c>
      <c r="E227" s="5" t="s">
        <v>199</v>
      </c>
      <c r="F227" s="5">
        <v>0.36</v>
      </c>
      <c r="G227" s="5">
        <v>63</v>
      </c>
      <c r="H227" s="5">
        <v>2.5</v>
      </c>
      <c r="I227" s="5">
        <f t="shared" si="10"/>
        <v>18966.800000000007</v>
      </c>
      <c r="J227" s="22">
        <f t="shared" si="9"/>
        <v>1.0629999999999999</v>
      </c>
      <c r="K227" s="8"/>
      <c r="L227" s="8"/>
    </row>
    <row r="228" spans="2:12" hidden="1">
      <c r="B228" s="5">
        <f t="shared" si="11"/>
        <v>225</v>
      </c>
      <c r="C228" s="5" t="s">
        <v>603</v>
      </c>
      <c r="D228" s="5" t="s">
        <v>604</v>
      </c>
      <c r="E228" s="5" t="s">
        <v>450</v>
      </c>
      <c r="F228" s="5"/>
      <c r="G228" s="5">
        <v>63</v>
      </c>
      <c r="H228" s="5">
        <v>118.7</v>
      </c>
      <c r="I228" s="5">
        <f t="shared" si="10"/>
        <v>19085.500000000007</v>
      </c>
      <c r="J228" s="22">
        <f t="shared" si="9"/>
        <v>1.0629999999999999</v>
      </c>
      <c r="K228" s="8"/>
      <c r="L228" s="8"/>
    </row>
    <row r="229" spans="2:12" hidden="1">
      <c r="B229" s="5">
        <f t="shared" si="11"/>
        <v>226</v>
      </c>
      <c r="C229" s="5" t="s">
        <v>605</v>
      </c>
      <c r="D229" s="5" t="s">
        <v>606</v>
      </c>
      <c r="E229" s="5" t="s">
        <v>450</v>
      </c>
      <c r="F229" s="5"/>
      <c r="G229" s="5">
        <v>63</v>
      </c>
      <c r="H229" s="5">
        <v>28.4</v>
      </c>
      <c r="I229" s="5">
        <f t="shared" si="10"/>
        <v>19113.900000000009</v>
      </c>
      <c r="J229" s="22">
        <f t="shared" si="9"/>
        <v>1.0629999999999999</v>
      </c>
      <c r="K229" s="8"/>
      <c r="L229" s="8"/>
    </row>
    <row r="230" spans="2:12" hidden="1">
      <c r="B230" s="5">
        <f t="shared" si="11"/>
        <v>227</v>
      </c>
      <c r="C230" s="5" t="s">
        <v>399</v>
      </c>
      <c r="D230" s="5" t="s">
        <v>277</v>
      </c>
      <c r="E230" s="5" t="s">
        <v>450</v>
      </c>
      <c r="F230" s="5"/>
      <c r="G230" s="5">
        <v>63</v>
      </c>
      <c r="H230" s="5">
        <v>122.1</v>
      </c>
      <c r="I230" s="5">
        <f t="shared" si="10"/>
        <v>19236.000000000007</v>
      </c>
      <c r="J230" s="22">
        <f t="shared" si="9"/>
        <v>1.0629999999999999</v>
      </c>
      <c r="K230" s="8"/>
      <c r="L230" s="8"/>
    </row>
    <row r="231" spans="2:12" hidden="1">
      <c r="B231" s="5">
        <f t="shared" si="11"/>
        <v>228</v>
      </c>
      <c r="C231" s="5" t="s">
        <v>277</v>
      </c>
      <c r="D231" s="5" t="s">
        <v>264</v>
      </c>
      <c r="E231" s="5" t="s">
        <v>450</v>
      </c>
      <c r="F231" s="5"/>
      <c r="G231" s="5">
        <v>63</v>
      </c>
      <c r="H231" s="5">
        <v>67.5</v>
      </c>
      <c r="I231" s="5">
        <f t="shared" si="10"/>
        <v>19303.500000000007</v>
      </c>
      <c r="J231" s="22">
        <f t="shared" si="9"/>
        <v>1.0629999999999999</v>
      </c>
      <c r="K231" s="8"/>
      <c r="L231" s="8"/>
    </row>
    <row r="232" spans="2:12">
      <c r="B232" s="5">
        <f t="shared" si="11"/>
        <v>229</v>
      </c>
      <c r="C232" s="5" t="s">
        <v>277</v>
      </c>
      <c r="D232" s="5" t="s">
        <v>264</v>
      </c>
      <c r="E232" s="5" t="s">
        <v>301</v>
      </c>
      <c r="F232" s="5">
        <v>0.46</v>
      </c>
      <c r="G232" s="5">
        <v>63</v>
      </c>
      <c r="H232" s="5">
        <v>7.9</v>
      </c>
      <c r="I232" s="5">
        <f t="shared" si="10"/>
        <v>19311.400000000009</v>
      </c>
      <c r="J232" s="22">
        <f t="shared" si="9"/>
        <v>1.0629999999999999</v>
      </c>
      <c r="K232" s="8"/>
      <c r="L232" s="8"/>
    </row>
    <row r="233" spans="2:12" hidden="1">
      <c r="B233" s="5">
        <f t="shared" si="11"/>
        <v>230</v>
      </c>
      <c r="C233" s="5" t="s">
        <v>277</v>
      </c>
      <c r="D233" s="5" t="s">
        <v>264</v>
      </c>
      <c r="E233" s="5" t="s">
        <v>199</v>
      </c>
      <c r="F233" s="5">
        <v>0.36</v>
      </c>
      <c r="G233" s="5">
        <v>63</v>
      </c>
      <c r="H233" s="5">
        <v>11.2</v>
      </c>
      <c r="I233" s="5">
        <f t="shared" si="10"/>
        <v>19322.600000000009</v>
      </c>
      <c r="J233" s="22">
        <f t="shared" si="9"/>
        <v>1.0629999999999999</v>
      </c>
      <c r="K233" s="8"/>
      <c r="L233" s="8"/>
    </row>
    <row r="234" spans="2:12" hidden="1">
      <c r="B234" s="5">
        <f t="shared" si="11"/>
        <v>231</v>
      </c>
      <c r="C234" s="5" t="s">
        <v>277</v>
      </c>
      <c r="D234" s="5" t="s">
        <v>264</v>
      </c>
      <c r="E234" s="5" t="s">
        <v>199</v>
      </c>
      <c r="F234" s="5">
        <v>0.36</v>
      </c>
      <c r="G234" s="5">
        <v>63</v>
      </c>
      <c r="H234" s="5">
        <v>10.1</v>
      </c>
      <c r="I234" s="5">
        <f t="shared" si="10"/>
        <v>19332.700000000008</v>
      </c>
      <c r="J234" s="22">
        <f t="shared" si="9"/>
        <v>1.0629999999999999</v>
      </c>
      <c r="K234" s="8"/>
      <c r="L234" s="8"/>
    </row>
    <row r="235" spans="2:12">
      <c r="B235" s="5">
        <f t="shared" si="11"/>
        <v>232</v>
      </c>
      <c r="C235" s="5" t="s">
        <v>264</v>
      </c>
      <c r="D235" s="5" t="s">
        <v>350</v>
      </c>
      <c r="E235" s="5" t="s">
        <v>301</v>
      </c>
      <c r="F235" s="5">
        <v>0.46</v>
      </c>
      <c r="G235" s="5">
        <v>140</v>
      </c>
      <c r="H235" s="5">
        <v>4.2</v>
      </c>
      <c r="I235" s="5">
        <f t="shared" si="10"/>
        <v>19336.900000000009</v>
      </c>
      <c r="J235" s="22">
        <f t="shared" si="9"/>
        <v>1.1400000000000001</v>
      </c>
      <c r="K235" s="8"/>
      <c r="L235" s="8"/>
    </row>
    <row r="236" spans="2:12" hidden="1">
      <c r="B236" s="5">
        <f t="shared" si="11"/>
        <v>233</v>
      </c>
      <c r="C236" s="5" t="s">
        <v>264</v>
      </c>
      <c r="D236" s="5" t="s">
        <v>350</v>
      </c>
      <c r="E236" s="5" t="s">
        <v>450</v>
      </c>
      <c r="F236" s="5"/>
      <c r="G236" s="5">
        <v>140</v>
      </c>
      <c r="H236" s="5">
        <v>119.8</v>
      </c>
      <c r="I236" s="5">
        <f t="shared" si="10"/>
        <v>19456.700000000008</v>
      </c>
      <c r="J236" s="22">
        <f t="shared" si="9"/>
        <v>1.1400000000000001</v>
      </c>
      <c r="K236" s="8"/>
      <c r="L236" s="8"/>
    </row>
    <row r="237" spans="2:12" hidden="1">
      <c r="B237" s="5">
        <f t="shared" si="11"/>
        <v>234</v>
      </c>
      <c r="C237" s="5" t="s">
        <v>264</v>
      </c>
      <c r="D237" s="5" t="s">
        <v>350</v>
      </c>
      <c r="E237" s="5" t="s">
        <v>383</v>
      </c>
      <c r="F237" s="5">
        <v>0.36</v>
      </c>
      <c r="G237" s="5">
        <v>140</v>
      </c>
      <c r="H237" s="5">
        <v>5.9</v>
      </c>
      <c r="I237" s="5">
        <f t="shared" si="10"/>
        <v>19462.600000000009</v>
      </c>
      <c r="J237" s="22">
        <f t="shared" si="9"/>
        <v>1.1400000000000001</v>
      </c>
      <c r="K237" s="8"/>
      <c r="L237" s="8"/>
    </row>
    <row r="238" spans="2:12" hidden="1">
      <c r="B238" s="5">
        <f t="shared" si="11"/>
        <v>235</v>
      </c>
      <c r="C238" s="5" t="s">
        <v>264</v>
      </c>
      <c r="D238" s="5" t="s">
        <v>286</v>
      </c>
      <c r="E238" s="5" t="s">
        <v>450</v>
      </c>
      <c r="F238" s="5"/>
      <c r="G238" s="5">
        <v>140</v>
      </c>
      <c r="H238" s="5">
        <v>23</v>
      </c>
      <c r="I238" s="5">
        <f t="shared" si="10"/>
        <v>19485.600000000009</v>
      </c>
      <c r="J238" s="22">
        <f t="shared" si="9"/>
        <v>1.1400000000000001</v>
      </c>
      <c r="K238" s="8"/>
      <c r="L238" s="8"/>
    </row>
    <row r="239" spans="2:12" hidden="1">
      <c r="B239" s="5">
        <f t="shared" si="11"/>
        <v>236</v>
      </c>
      <c r="C239" s="5" t="s">
        <v>286</v>
      </c>
      <c r="D239" s="5" t="s">
        <v>414</v>
      </c>
      <c r="E239" s="5" t="s">
        <v>383</v>
      </c>
      <c r="F239" s="5">
        <v>0.36</v>
      </c>
      <c r="G239" s="5">
        <v>63</v>
      </c>
      <c r="H239" s="5">
        <v>3.5</v>
      </c>
      <c r="I239" s="5">
        <f t="shared" si="10"/>
        <v>19489.100000000009</v>
      </c>
      <c r="J239" s="22">
        <f t="shared" si="9"/>
        <v>1.0629999999999999</v>
      </c>
      <c r="K239" s="8"/>
      <c r="L239" s="8"/>
    </row>
    <row r="240" spans="2:12" hidden="1">
      <c r="B240" s="5">
        <f t="shared" si="11"/>
        <v>237</v>
      </c>
      <c r="C240" s="5" t="s">
        <v>286</v>
      </c>
      <c r="D240" s="5" t="s">
        <v>414</v>
      </c>
      <c r="E240" s="5" t="s">
        <v>199</v>
      </c>
      <c r="F240" s="5">
        <v>0.36</v>
      </c>
      <c r="G240" s="5">
        <v>63</v>
      </c>
      <c r="H240" s="5">
        <v>22.7</v>
      </c>
      <c r="I240" s="5">
        <f t="shared" si="10"/>
        <v>19511.80000000001</v>
      </c>
      <c r="J240" s="22">
        <f t="shared" si="9"/>
        <v>1.0629999999999999</v>
      </c>
      <c r="K240" s="8"/>
      <c r="L240" s="8"/>
    </row>
    <row r="241" spans="2:12" hidden="1">
      <c r="B241" s="5">
        <f t="shared" si="11"/>
        <v>238</v>
      </c>
      <c r="C241" s="5" t="s">
        <v>286</v>
      </c>
      <c r="D241" s="5" t="s">
        <v>414</v>
      </c>
      <c r="E241" s="5" t="s">
        <v>450</v>
      </c>
      <c r="F241" s="5"/>
      <c r="G241" s="5">
        <v>63</v>
      </c>
      <c r="H241" s="5">
        <v>158.69999999999999</v>
      </c>
      <c r="I241" s="5">
        <f t="shared" si="10"/>
        <v>19670.500000000011</v>
      </c>
      <c r="J241" s="22">
        <f t="shared" si="9"/>
        <v>1.0629999999999999</v>
      </c>
      <c r="K241" s="8"/>
      <c r="L241" s="8"/>
    </row>
    <row r="242" spans="2:12" hidden="1">
      <c r="B242" s="5">
        <f t="shared" si="11"/>
        <v>239</v>
      </c>
      <c r="C242" s="5" t="s">
        <v>286</v>
      </c>
      <c r="D242" s="5" t="s">
        <v>524</v>
      </c>
      <c r="E242" s="5" t="s">
        <v>450</v>
      </c>
      <c r="F242" s="5"/>
      <c r="G242" s="5">
        <v>140</v>
      </c>
      <c r="H242" s="5">
        <v>181.9</v>
      </c>
      <c r="I242" s="5">
        <f t="shared" si="10"/>
        <v>19852.400000000012</v>
      </c>
      <c r="J242" s="22">
        <f t="shared" si="9"/>
        <v>1.1400000000000001</v>
      </c>
      <c r="K242" s="8"/>
      <c r="L242" s="8"/>
    </row>
    <row r="243" spans="2:12" hidden="1">
      <c r="B243" s="5">
        <f t="shared" si="11"/>
        <v>240</v>
      </c>
      <c r="C243" s="5" t="s">
        <v>524</v>
      </c>
      <c r="D243" s="5" t="s">
        <v>414</v>
      </c>
      <c r="E243" s="5" t="s">
        <v>383</v>
      </c>
      <c r="F243" s="5">
        <v>0.36</v>
      </c>
      <c r="G243" s="5">
        <v>63</v>
      </c>
      <c r="H243" s="5">
        <v>3</v>
      </c>
      <c r="I243" s="5">
        <f t="shared" si="10"/>
        <v>19855.400000000012</v>
      </c>
      <c r="J243" s="22">
        <f t="shared" si="9"/>
        <v>1.0629999999999999</v>
      </c>
      <c r="K243" s="8"/>
      <c r="L243" s="8"/>
    </row>
    <row r="244" spans="2:12" hidden="1">
      <c r="B244" s="5">
        <f t="shared" si="11"/>
        <v>241</v>
      </c>
      <c r="C244" s="5" t="s">
        <v>524</v>
      </c>
      <c r="D244" s="5" t="s">
        <v>414</v>
      </c>
      <c r="E244" s="5" t="s">
        <v>450</v>
      </c>
      <c r="F244" s="5"/>
      <c r="G244" s="5">
        <v>63</v>
      </c>
      <c r="H244" s="5">
        <v>131.6</v>
      </c>
      <c r="I244" s="5">
        <f t="shared" si="10"/>
        <v>19987.000000000011</v>
      </c>
      <c r="J244" s="22">
        <f t="shared" si="9"/>
        <v>1.0629999999999999</v>
      </c>
      <c r="K244" s="8"/>
      <c r="L244" s="8"/>
    </row>
    <row r="245" spans="2:12" hidden="1">
      <c r="B245" s="5">
        <f t="shared" si="11"/>
        <v>242</v>
      </c>
      <c r="C245" s="5" t="s">
        <v>607</v>
      </c>
      <c r="D245" s="5" t="s">
        <v>608</v>
      </c>
      <c r="E245" s="5" t="s">
        <v>450</v>
      </c>
      <c r="F245" s="5"/>
      <c r="G245" s="5">
        <v>63</v>
      </c>
      <c r="H245" s="5">
        <v>58</v>
      </c>
      <c r="I245" s="5">
        <f t="shared" si="10"/>
        <v>20045.000000000011</v>
      </c>
      <c r="J245" s="22">
        <f t="shared" si="9"/>
        <v>1.0629999999999999</v>
      </c>
      <c r="K245" s="8"/>
      <c r="L245" s="8"/>
    </row>
    <row r="246" spans="2:12" hidden="1">
      <c r="B246" s="5">
        <f t="shared" si="11"/>
        <v>243</v>
      </c>
      <c r="C246" s="5" t="s">
        <v>414</v>
      </c>
      <c r="D246" s="5" t="s">
        <v>247</v>
      </c>
      <c r="E246" s="5" t="s">
        <v>450</v>
      </c>
      <c r="F246" s="5"/>
      <c r="G246" s="5">
        <v>63</v>
      </c>
      <c r="H246" s="5">
        <v>67.400000000000006</v>
      </c>
      <c r="I246" s="5">
        <f t="shared" si="10"/>
        <v>20112.400000000012</v>
      </c>
      <c r="J246" s="22">
        <f t="shared" si="9"/>
        <v>1.0629999999999999</v>
      </c>
      <c r="K246" s="8"/>
      <c r="L246" s="8"/>
    </row>
    <row r="247" spans="2:12" hidden="1">
      <c r="B247" s="5">
        <f t="shared" si="11"/>
        <v>244</v>
      </c>
      <c r="C247" s="5" t="s">
        <v>516</v>
      </c>
      <c r="D247" s="5" t="s">
        <v>269</v>
      </c>
      <c r="E247" s="5" t="s">
        <v>450</v>
      </c>
      <c r="F247" s="5"/>
      <c r="G247" s="5">
        <v>63</v>
      </c>
      <c r="H247" s="5">
        <v>147.6</v>
      </c>
      <c r="I247" s="5">
        <f t="shared" si="10"/>
        <v>20260.000000000011</v>
      </c>
      <c r="J247" s="22">
        <f t="shared" si="9"/>
        <v>1.0629999999999999</v>
      </c>
      <c r="K247" s="8"/>
      <c r="L247" s="8"/>
    </row>
    <row r="248" spans="2:12" hidden="1">
      <c r="B248" s="5">
        <f t="shared" si="11"/>
        <v>245</v>
      </c>
      <c r="C248" s="5" t="s">
        <v>269</v>
      </c>
      <c r="D248" s="5" t="s">
        <v>319</v>
      </c>
      <c r="E248" s="5" t="s">
        <v>450</v>
      </c>
      <c r="F248" s="5"/>
      <c r="G248" s="5">
        <v>63</v>
      </c>
      <c r="H248" s="5">
        <v>153.30000000000001</v>
      </c>
      <c r="I248" s="5">
        <f t="shared" si="10"/>
        <v>20413.30000000001</v>
      </c>
      <c r="J248" s="22">
        <f t="shared" si="9"/>
        <v>1.0629999999999999</v>
      </c>
      <c r="K248" s="8"/>
      <c r="L248" s="8"/>
    </row>
    <row r="249" spans="2:12" hidden="1">
      <c r="B249" s="5">
        <f t="shared" si="11"/>
        <v>246</v>
      </c>
      <c r="C249" s="5" t="s">
        <v>269</v>
      </c>
      <c r="D249" s="5" t="s">
        <v>343</v>
      </c>
      <c r="E249" s="5" t="s">
        <v>450</v>
      </c>
      <c r="F249" s="5"/>
      <c r="G249" s="5">
        <v>63</v>
      </c>
      <c r="H249" s="5">
        <v>343.4</v>
      </c>
      <c r="I249" s="5">
        <f t="shared" si="10"/>
        <v>20756.700000000012</v>
      </c>
      <c r="J249" s="22">
        <f t="shared" si="9"/>
        <v>1.0629999999999999</v>
      </c>
      <c r="K249" s="8"/>
      <c r="L249" s="8"/>
    </row>
    <row r="250" spans="2:12" hidden="1">
      <c r="B250" s="5">
        <f t="shared" si="11"/>
        <v>247</v>
      </c>
      <c r="C250" s="5" t="s">
        <v>257</v>
      </c>
      <c r="D250" s="5" t="s">
        <v>323</v>
      </c>
      <c r="E250" s="5" t="s">
        <v>450</v>
      </c>
      <c r="F250" s="5"/>
      <c r="G250" s="5">
        <v>63</v>
      </c>
      <c r="H250" s="5">
        <v>392.1</v>
      </c>
      <c r="I250" s="5">
        <f t="shared" si="10"/>
        <v>21148.80000000001</v>
      </c>
      <c r="J250" s="22">
        <f t="shared" si="9"/>
        <v>1.0629999999999999</v>
      </c>
      <c r="K250" s="8"/>
      <c r="L250" s="8"/>
    </row>
    <row r="251" spans="2:12" hidden="1">
      <c r="B251" s="5">
        <f t="shared" si="11"/>
        <v>248</v>
      </c>
      <c r="C251" s="5" t="s">
        <v>360</v>
      </c>
      <c r="D251" s="5" t="s">
        <v>274</v>
      </c>
      <c r="E251" s="5" t="s">
        <v>199</v>
      </c>
      <c r="F251" s="5">
        <v>0.36</v>
      </c>
      <c r="G251" s="5">
        <v>63</v>
      </c>
      <c r="H251" s="5">
        <v>109</v>
      </c>
      <c r="I251" s="5">
        <f t="shared" si="10"/>
        <v>21257.80000000001</v>
      </c>
      <c r="J251" s="22">
        <f t="shared" si="9"/>
        <v>1.0629999999999999</v>
      </c>
      <c r="K251" s="8"/>
      <c r="L251" s="8"/>
    </row>
    <row r="252" spans="2:12" hidden="1">
      <c r="B252" s="5">
        <f t="shared" si="11"/>
        <v>249</v>
      </c>
      <c r="C252" s="5" t="s">
        <v>274</v>
      </c>
      <c r="D252" s="5" t="s">
        <v>306</v>
      </c>
      <c r="E252" s="5" t="s">
        <v>450</v>
      </c>
      <c r="F252" s="5"/>
      <c r="G252" s="5">
        <v>63</v>
      </c>
      <c r="H252" s="5">
        <v>13.2</v>
      </c>
      <c r="I252" s="5">
        <f t="shared" si="10"/>
        <v>21271.000000000011</v>
      </c>
      <c r="J252" s="22">
        <f t="shared" si="9"/>
        <v>1.0629999999999999</v>
      </c>
      <c r="K252" s="8"/>
      <c r="L252" s="8"/>
    </row>
    <row r="253" spans="2:12" hidden="1">
      <c r="B253" s="5">
        <f t="shared" si="11"/>
        <v>250</v>
      </c>
      <c r="C253" s="5" t="s">
        <v>274</v>
      </c>
      <c r="D253" s="5" t="s">
        <v>245</v>
      </c>
      <c r="E253" s="5" t="s">
        <v>199</v>
      </c>
      <c r="F253" s="5">
        <v>0.36</v>
      </c>
      <c r="G253" s="5">
        <v>63</v>
      </c>
      <c r="H253" s="5">
        <v>6.5</v>
      </c>
      <c r="I253" s="5">
        <f t="shared" si="10"/>
        <v>21277.500000000011</v>
      </c>
      <c r="J253" s="22">
        <f t="shared" si="9"/>
        <v>1.0629999999999999</v>
      </c>
      <c r="K253" s="8"/>
      <c r="L253" s="8"/>
    </row>
    <row r="254" spans="2:12" hidden="1">
      <c r="B254" s="5">
        <f t="shared" si="11"/>
        <v>251</v>
      </c>
      <c r="C254" s="5" t="s">
        <v>274</v>
      </c>
      <c r="D254" s="5" t="s">
        <v>245</v>
      </c>
      <c r="E254" s="5" t="s">
        <v>450</v>
      </c>
      <c r="F254" s="5"/>
      <c r="G254" s="5">
        <v>63</v>
      </c>
      <c r="H254" s="5">
        <v>25.6</v>
      </c>
      <c r="I254" s="5">
        <f t="shared" si="10"/>
        <v>21303.100000000009</v>
      </c>
      <c r="J254" s="22">
        <f t="shared" si="9"/>
        <v>1.0629999999999999</v>
      </c>
      <c r="K254" s="8"/>
      <c r="L254" s="8"/>
    </row>
    <row r="255" spans="2:12" hidden="1">
      <c r="B255" s="5">
        <f t="shared" si="11"/>
        <v>252</v>
      </c>
      <c r="C255" s="5" t="s">
        <v>575</v>
      </c>
      <c r="D255" s="5" t="s">
        <v>203</v>
      </c>
      <c r="E255" s="5" t="s">
        <v>450</v>
      </c>
      <c r="F255" s="5"/>
      <c r="G255" s="5">
        <v>63</v>
      </c>
      <c r="H255" s="5">
        <v>6.1</v>
      </c>
      <c r="I255" s="5">
        <f t="shared" si="10"/>
        <v>21309.200000000008</v>
      </c>
      <c r="J255" s="22">
        <f t="shared" si="9"/>
        <v>1.0629999999999999</v>
      </c>
      <c r="K255" s="8"/>
      <c r="L255" s="8"/>
    </row>
    <row r="256" spans="2:12" hidden="1">
      <c r="B256" s="5">
        <f t="shared" si="11"/>
        <v>253</v>
      </c>
      <c r="C256" s="5" t="s">
        <v>575</v>
      </c>
      <c r="D256" s="5" t="s">
        <v>203</v>
      </c>
      <c r="E256" s="5" t="s">
        <v>450</v>
      </c>
      <c r="F256" s="5"/>
      <c r="G256" s="5">
        <v>63</v>
      </c>
      <c r="H256" s="5">
        <v>112.3</v>
      </c>
      <c r="I256" s="5">
        <f t="shared" si="10"/>
        <v>21421.500000000007</v>
      </c>
      <c r="J256" s="22">
        <f t="shared" si="9"/>
        <v>1.0629999999999999</v>
      </c>
      <c r="K256" s="8"/>
      <c r="L256" s="8"/>
    </row>
    <row r="257" spans="2:12" hidden="1">
      <c r="B257" s="5">
        <f t="shared" si="11"/>
        <v>254</v>
      </c>
      <c r="C257" s="5" t="s">
        <v>203</v>
      </c>
      <c r="D257" s="5" t="s">
        <v>609</v>
      </c>
      <c r="E257" s="5" t="s">
        <v>199</v>
      </c>
      <c r="F257" s="5">
        <v>0.36</v>
      </c>
      <c r="G257" s="5">
        <v>63</v>
      </c>
      <c r="H257" s="5">
        <v>6.1</v>
      </c>
      <c r="I257" s="5">
        <f t="shared" si="10"/>
        <v>21427.600000000006</v>
      </c>
      <c r="J257" s="22">
        <f t="shared" si="9"/>
        <v>1.0629999999999999</v>
      </c>
      <c r="K257" s="8"/>
      <c r="L257" s="8"/>
    </row>
    <row r="258" spans="2:12" hidden="1">
      <c r="B258" s="5">
        <f t="shared" si="11"/>
        <v>255</v>
      </c>
      <c r="C258" s="5" t="s">
        <v>609</v>
      </c>
      <c r="D258" s="5" t="s">
        <v>212</v>
      </c>
      <c r="E258" s="5" t="s">
        <v>450</v>
      </c>
      <c r="F258" s="5"/>
      <c r="G258" s="5">
        <v>63</v>
      </c>
      <c r="H258" s="5">
        <v>124.2</v>
      </c>
      <c r="I258" s="5">
        <f t="shared" si="10"/>
        <v>21551.800000000007</v>
      </c>
      <c r="J258" s="22">
        <f t="shared" si="9"/>
        <v>1.0629999999999999</v>
      </c>
      <c r="K258" s="8"/>
      <c r="L258" s="8"/>
    </row>
    <row r="259" spans="2:12" hidden="1">
      <c r="B259" s="5">
        <f t="shared" si="11"/>
        <v>256</v>
      </c>
      <c r="C259" s="5" t="s">
        <v>609</v>
      </c>
      <c r="D259" s="5" t="s">
        <v>610</v>
      </c>
      <c r="E259" s="5" t="s">
        <v>450</v>
      </c>
      <c r="F259" s="5"/>
      <c r="G259" s="5">
        <v>63</v>
      </c>
      <c r="H259" s="5">
        <v>22.3</v>
      </c>
      <c r="I259" s="5">
        <f t="shared" si="10"/>
        <v>21574.100000000006</v>
      </c>
      <c r="J259" s="22">
        <f t="shared" si="9"/>
        <v>1.0629999999999999</v>
      </c>
      <c r="K259" s="8"/>
      <c r="L259" s="8"/>
    </row>
    <row r="260" spans="2:12" hidden="1">
      <c r="B260" s="5">
        <f t="shared" si="11"/>
        <v>257</v>
      </c>
      <c r="C260" s="5" t="s">
        <v>610</v>
      </c>
      <c r="D260" s="5" t="s">
        <v>611</v>
      </c>
      <c r="E260" s="5" t="s">
        <v>450</v>
      </c>
      <c r="F260" s="5"/>
      <c r="G260" s="5">
        <v>63</v>
      </c>
      <c r="H260" s="5">
        <v>50.1</v>
      </c>
      <c r="I260" s="5">
        <f t="shared" si="10"/>
        <v>21624.200000000004</v>
      </c>
      <c r="J260" s="22">
        <f t="shared" si="9"/>
        <v>1.0629999999999999</v>
      </c>
      <c r="K260" s="8"/>
      <c r="L260" s="8"/>
    </row>
    <row r="261" spans="2:12" hidden="1">
      <c r="B261" s="5">
        <f t="shared" si="11"/>
        <v>258</v>
      </c>
      <c r="C261" s="5" t="s">
        <v>610</v>
      </c>
      <c r="D261" s="5" t="s">
        <v>289</v>
      </c>
      <c r="E261" s="5" t="s">
        <v>450</v>
      </c>
      <c r="F261" s="5"/>
      <c r="G261" s="5">
        <v>63</v>
      </c>
      <c r="H261" s="5">
        <v>76.099999999999994</v>
      </c>
      <c r="I261" s="5">
        <f t="shared" si="10"/>
        <v>21700.300000000003</v>
      </c>
      <c r="J261" s="22">
        <f t="shared" ref="J261:J290" si="12">1+G261/1000</f>
        <v>1.0629999999999999</v>
      </c>
      <c r="K261" s="8"/>
      <c r="L261" s="8"/>
    </row>
    <row r="262" spans="2:12" hidden="1">
      <c r="B262" s="5">
        <f t="shared" si="11"/>
        <v>259</v>
      </c>
      <c r="C262" s="5" t="s">
        <v>289</v>
      </c>
      <c r="D262" s="5" t="s">
        <v>456</v>
      </c>
      <c r="E262" s="5" t="s">
        <v>199</v>
      </c>
      <c r="F262" s="5">
        <v>0.36</v>
      </c>
      <c r="G262" s="5">
        <v>63</v>
      </c>
      <c r="H262" s="5">
        <v>2.4</v>
      </c>
      <c r="I262" s="5">
        <f t="shared" ref="I262:I290" si="13">+I261+H262</f>
        <v>21702.700000000004</v>
      </c>
      <c r="J262" s="22">
        <f t="shared" si="12"/>
        <v>1.0629999999999999</v>
      </c>
      <c r="K262" s="8"/>
      <c r="L262" s="8"/>
    </row>
    <row r="263" spans="2:12" hidden="1">
      <c r="B263" s="5">
        <f t="shared" ref="B263:B290" si="14">1+B262</f>
        <v>260</v>
      </c>
      <c r="C263" s="5" t="s">
        <v>289</v>
      </c>
      <c r="D263" s="5" t="s">
        <v>456</v>
      </c>
      <c r="E263" s="5" t="s">
        <v>450</v>
      </c>
      <c r="F263" s="5"/>
      <c r="G263" s="5">
        <v>63</v>
      </c>
      <c r="H263" s="5">
        <v>23.5</v>
      </c>
      <c r="I263" s="5">
        <f t="shared" si="13"/>
        <v>21726.200000000004</v>
      </c>
      <c r="J263" s="22">
        <f t="shared" si="12"/>
        <v>1.0629999999999999</v>
      </c>
      <c r="K263" s="8"/>
      <c r="L263" s="8"/>
    </row>
    <row r="264" spans="2:12" hidden="1">
      <c r="B264" s="5">
        <f t="shared" si="14"/>
        <v>261</v>
      </c>
      <c r="C264" s="5" t="s">
        <v>289</v>
      </c>
      <c r="D264" s="5" t="s">
        <v>217</v>
      </c>
      <c r="E264" s="5" t="s">
        <v>199</v>
      </c>
      <c r="F264" s="5">
        <v>0.36</v>
      </c>
      <c r="G264" s="5">
        <v>63</v>
      </c>
      <c r="H264" s="5">
        <v>21.9</v>
      </c>
      <c r="I264" s="5">
        <f t="shared" si="13"/>
        <v>21748.100000000006</v>
      </c>
      <c r="J264" s="22">
        <f t="shared" si="12"/>
        <v>1.0629999999999999</v>
      </c>
      <c r="K264" s="8"/>
      <c r="L264" s="8"/>
    </row>
    <row r="265" spans="2:12" hidden="1">
      <c r="B265" s="5">
        <f t="shared" si="14"/>
        <v>262</v>
      </c>
      <c r="C265" s="5" t="s">
        <v>289</v>
      </c>
      <c r="D265" s="5" t="s">
        <v>217</v>
      </c>
      <c r="E265" s="5" t="s">
        <v>450</v>
      </c>
      <c r="F265" s="5"/>
      <c r="G265" s="5">
        <v>63</v>
      </c>
      <c r="H265" s="5">
        <v>18.5</v>
      </c>
      <c r="I265" s="5">
        <f t="shared" si="13"/>
        <v>21766.600000000006</v>
      </c>
      <c r="J265" s="22">
        <f t="shared" si="12"/>
        <v>1.0629999999999999</v>
      </c>
      <c r="K265" s="8"/>
      <c r="L265" s="8"/>
    </row>
    <row r="266" spans="2:12" hidden="1">
      <c r="B266" s="5">
        <f t="shared" si="14"/>
        <v>263</v>
      </c>
      <c r="C266" s="5" t="s">
        <v>289</v>
      </c>
      <c r="D266" s="5" t="s">
        <v>217</v>
      </c>
      <c r="E266" s="5" t="s">
        <v>199</v>
      </c>
      <c r="F266" s="5">
        <v>0.36</v>
      </c>
      <c r="G266" s="5">
        <v>63</v>
      </c>
      <c r="H266" s="5">
        <v>8.6</v>
      </c>
      <c r="I266" s="5">
        <f t="shared" si="13"/>
        <v>21775.200000000004</v>
      </c>
      <c r="J266" s="22">
        <f t="shared" si="12"/>
        <v>1.0629999999999999</v>
      </c>
      <c r="K266" s="8"/>
      <c r="L266" s="8"/>
    </row>
    <row r="267" spans="2:12" hidden="1">
      <c r="B267" s="5">
        <f t="shared" si="14"/>
        <v>264</v>
      </c>
      <c r="C267" s="5" t="s">
        <v>609</v>
      </c>
      <c r="D267" s="5" t="s">
        <v>612</v>
      </c>
      <c r="E267" s="5" t="s">
        <v>450</v>
      </c>
      <c r="F267" s="5"/>
      <c r="G267" s="5">
        <v>63</v>
      </c>
      <c r="H267" s="5">
        <v>98.1</v>
      </c>
      <c r="I267" s="5">
        <f t="shared" si="13"/>
        <v>21873.300000000003</v>
      </c>
      <c r="J267" s="22">
        <f t="shared" si="12"/>
        <v>1.0629999999999999</v>
      </c>
      <c r="K267" s="8"/>
      <c r="L267" s="8"/>
    </row>
    <row r="268" spans="2:12" hidden="1">
      <c r="B268" s="5">
        <f t="shared" si="14"/>
        <v>265</v>
      </c>
      <c r="C268" s="5" t="s">
        <v>612</v>
      </c>
      <c r="D268" s="5" t="s">
        <v>613</v>
      </c>
      <c r="E268" s="5" t="s">
        <v>450</v>
      </c>
      <c r="F268" s="5"/>
      <c r="G268" s="5">
        <v>63</v>
      </c>
      <c r="H268" s="5">
        <v>30.1</v>
      </c>
      <c r="I268" s="5">
        <f t="shared" si="13"/>
        <v>21903.4</v>
      </c>
      <c r="J268" s="22">
        <f t="shared" si="12"/>
        <v>1.0629999999999999</v>
      </c>
      <c r="K268" s="8"/>
      <c r="L268" s="8"/>
    </row>
    <row r="269" spans="2:12" hidden="1">
      <c r="B269" s="5">
        <f t="shared" si="14"/>
        <v>266</v>
      </c>
      <c r="C269" s="5" t="s">
        <v>612</v>
      </c>
      <c r="D269" s="5" t="s">
        <v>464</v>
      </c>
      <c r="E269" s="5" t="s">
        <v>450</v>
      </c>
      <c r="F269" s="5"/>
      <c r="G269" s="5">
        <v>63</v>
      </c>
      <c r="H269" s="5">
        <v>12.5</v>
      </c>
      <c r="I269" s="5">
        <f t="shared" si="13"/>
        <v>21915.9</v>
      </c>
      <c r="J269" s="22">
        <f t="shared" ref="J269:J271" si="15">1+G269/1000</f>
        <v>1.0629999999999999</v>
      </c>
      <c r="K269" s="8"/>
      <c r="L269" s="8"/>
    </row>
    <row r="270" spans="2:12" hidden="1">
      <c r="B270" s="5">
        <f t="shared" si="14"/>
        <v>267</v>
      </c>
      <c r="C270" s="5" t="s">
        <v>464</v>
      </c>
      <c r="D270" s="5" t="s">
        <v>303</v>
      </c>
      <c r="E270" s="5" t="s">
        <v>450</v>
      </c>
      <c r="F270" s="5"/>
      <c r="G270" s="5">
        <v>63</v>
      </c>
      <c r="H270" s="5">
        <v>62.5</v>
      </c>
      <c r="I270" s="5">
        <f t="shared" si="13"/>
        <v>21978.400000000001</v>
      </c>
      <c r="J270" s="22">
        <f t="shared" si="15"/>
        <v>1.0629999999999999</v>
      </c>
      <c r="K270" s="8"/>
      <c r="L270" s="8"/>
    </row>
    <row r="271" spans="2:12" hidden="1">
      <c r="B271" s="5">
        <f t="shared" si="14"/>
        <v>268</v>
      </c>
      <c r="C271" s="5" t="s">
        <v>464</v>
      </c>
      <c r="D271" s="5" t="s">
        <v>614</v>
      </c>
      <c r="E271" s="5" t="s">
        <v>450</v>
      </c>
      <c r="F271" s="5"/>
      <c r="G271" s="5">
        <v>63</v>
      </c>
      <c r="H271" s="5">
        <v>70.099999999999994</v>
      </c>
      <c r="I271" s="5">
        <f t="shared" si="13"/>
        <v>22048.5</v>
      </c>
      <c r="J271" s="22">
        <f t="shared" si="15"/>
        <v>1.0629999999999999</v>
      </c>
      <c r="K271" s="8"/>
      <c r="L271" s="8"/>
    </row>
    <row r="272" spans="2:12" hidden="1">
      <c r="B272" s="5">
        <f t="shared" si="14"/>
        <v>269</v>
      </c>
      <c r="C272" s="5" t="s">
        <v>614</v>
      </c>
      <c r="D272" s="5" t="s">
        <v>615</v>
      </c>
      <c r="E272" s="5" t="s">
        <v>450</v>
      </c>
      <c r="F272" s="5"/>
      <c r="G272" s="5">
        <v>63</v>
      </c>
      <c r="H272" s="5">
        <v>28.7</v>
      </c>
      <c r="I272" s="5">
        <f t="shared" si="13"/>
        <v>22077.200000000001</v>
      </c>
      <c r="J272" s="22">
        <f t="shared" si="12"/>
        <v>1.0629999999999999</v>
      </c>
      <c r="K272" s="8"/>
      <c r="L272" s="8"/>
    </row>
    <row r="273" spans="2:12" hidden="1">
      <c r="B273" s="5">
        <f t="shared" si="14"/>
        <v>270</v>
      </c>
      <c r="C273" s="5" t="s">
        <v>614</v>
      </c>
      <c r="D273" s="5" t="s">
        <v>616</v>
      </c>
      <c r="E273" s="5" t="s">
        <v>450</v>
      </c>
      <c r="F273" s="5"/>
      <c r="G273" s="5">
        <v>63</v>
      </c>
      <c r="H273" s="5">
        <v>97.1</v>
      </c>
      <c r="I273" s="5">
        <f t="shared" si="13"/>
        <v>22174.3</v>
      </c>
      <c r="J273" s="22">
        <f t="shared" si="12"/>
        <v>1.0629999999999999</v>
      </c>
      <c r="K273" s="8"/>
      <c r="L273" s="8"/>
    </row>
    <row r="274" spans="2:12" hidden="1">
      <c r="B274" s="5">
        <f t="shared" si="14"/>
        <v>271</v>
      </c>
      <c r="C274" s="5" t="s">
        <v>614</v>
      </c>
      <c r="D274" s="5" t="s">
        <v>616</v>
      </c>
      <c r="E274" s="5" t="s">
        <v>199</v>
      </c>
      <c r="F274" s="5">
        <v>0.36</v>
      </c>
      <c r="G274" s="5">
        <v>63</v>
      </c>
      <c r="H274" s="5">
        <v>40.799999999999997</v>
      </c>
      <c r="I274" s="5">
        <f t="shared" si="13"/>
        <v>22215.1</v>
      </c>
      <c r="J274" s="22">
        <f t="shared" si="12"/>
        <v>1.0629999999999999</v>
      </c>
      <c r="K274" s="8"/>
      <c r="L274" s="8"/>
    </row>
    <row r="275" spans="2:12" hidden="1">
      <c r="B275" s="5">
        <f t="shared" si="14"/>
        <v>272</v>
      </c>
      <c r="C275" s="5" t="s">
        <v>614</v>
      </c>
      <c r="D275" s="5" t="s">
        <v>616</v>
      </c>
      <c r="E275" s="5" t="s">
        <v>450</v>
      </c>
      <c r="F275" s="5"/>
      <c r="G275" s="5">
        <v>63</v>
      </c>
      <c r="H275" s="5">
        <v>3.2</v>
      </c>
      <c r="I275" s="5">
        <f t="shared" si="13"/>
        <v>22218.3</v>
      </c>
      <c r="J275" s="22">
        <f t="shared" si="12"/>
        <v>1.0629999999999999</v>
      </c>
      <c r="K275" s="8"/>
      <c r="L275" s="8"/>
    </row>
    <row r="276" spans="2:12" hidden="1">
      <c r="B276" s="5">
        <f t="shared" si="14"/>
        <v>273</v>
      </c>
      <c r="C276" s="5" t="s">
        <v>614</v>
      </c>
      <c r="D276" s="5" t="s">
        <v>616</v>
      </c>
      <c r="E276" s="5" t="s">
        <v>199</v>
      </c>
      <c r="F276" s="5">
        <v>0.36</v>
      </c>
      <c r="G276" s="5">
        <v>63</v>
      </c>
      <c r="H276" s="5">
        <v>82.2</v>
      </c>
      <c r="I276" s="5">
        <f t="shared" si="13"/>
        <v>22300.5</v>
      </c>
      <c r="J276" s="22">
        <f t="shared" si="12"/>
        <v>1.0629999999999999</v>
      </c>
      <c r="K276" s="8"/>
      <c r="L276" s="8"/>
    </row>
    <row r="277" spans="2:12" hidden="1">
      <c r="B277" s="5">
        <f t="shared" si="14"/>
        <v>274</v>
      </c>
      <c r="C277" s="5" t="s">
        <v>614</v>
      </c>
      <c r="D277" s="5" t="s">
        <v>616</v>
      </c>
      <c r="E277" s="5" t="s">
        <v>450</v>
      </c>
      <c r="F277" s="5"/>
      <c r="G277" s="5">
        <v>63</v>
      </c>
      <c r="H277" s="5">
        <v>92.1</v>
      </c>
      <c r="I277" s="5">
        <f t="shared" si="13"/>
        <v>22392.6</v>
      </c>
      <c r="J277" s="22">
        <f t="shared" si="12"/>
        <v>1.0629999999999999</v>
      </c>
      <c r="K277" s="8"/>
      <c r="L277" s="8"/>
    </row>
    <row r="278" spans="2:12" hidden="1">
      <c r="B278" s="5">
        <f t="shared" si="14"/>
        <v>275</v>
      </c>
      <c r="C278" s="5" t="s">
        <v>616</v>
      </c>
      <c r="D278" s="5" t="s">
        <v>288</v>
      </c>
      <c r="E278" s="5" t="s">
        <v>450</v>
      </c>
      <c r="F278" s="5"/>
      <c r="G278" s="5">
        <v>63</v>
      </c>
      <c r="H278" s="5">
        <v>90.8</v>
      </c>
      <c r="I278" s="5">
        <f t="shared" si="13"/>
        <v>22483.399999999998</v>
      </c>
      <c r="J278" s="22">
        <f t="shared" si="12"/>
        <v>1.0629999999999999</v>
      </c>
      <c r="K278" s="8"/>
      <c r="L278" s="8"/>
    </row>
    <row r="279" spans="2:12" hidden="1">
      <c r="B279" s="5">
        <f t="shared" si="14"/>
        <v>276</v>
      </c>
      <c r="C279" s="5" t="s">
        <v>616</v>
      </c>
      <c r="D279" s="5" t="s">
        <v>206</v>
      </c>
      <c r="E279" s="5" t="s">
        <v>450</v>
      </c>
      <c r="F279" s="5"/>
      <c r="G279" s="5">
        <v>63</v>
      </c>
      <c r="H279" s="5">
        <v>139.30000000000001</v>
      </c>
      <c r="I279" s="5">
        <f t="shared" si="13"/>
        <v>22622.699999999997</v>
      </c>
      <c r="J279" s="22">
        <f t="shared" si="12"/>
        <v>1.0629999999999999</v>
      </c>
      <c r="K279" s="8"/>
      <c r="L279" s="8"/>
    </row>
    <row r="280" spans="2:12" hidden="1">
      <c r="B280" s="5">
        <f t="shared" si="14"/>
        <v>277</v>
      </c>
      <c r="C280" s="5" t="s">
        <v>206</v>
      </c>
      <c r="D280" s="5" t="s">
        <v>617</v>
      </c>
      <c r="E280" s="5" t="s">
        <v>450</v>
      </c>
      <c r="F280" s="5"/>
      <c r="G280" s="5">
        <v>63</v>
      </c>
      <c r="H280" s="5">
        <v>112.2</v>
      </c>
      <c r="I280" s="5">
        <f t="shared" si="13"/>
        <v>22734.899999999998</v>
      </c>
      <c r="J280" s="22">
        <f t="shared" si="12"/>
        <v>1.0629999999999999</v>
      </c>
      <c r="K280" s="8"/>
      <c r="L280" s="8"/>
    </row>
    <row r="281" spans="2:12" hidden="1">
      <c r="B281" s="5">
        <f t="shared" si="14"/>
        <v>278</v>
      </c>
      <c r="C281" s="5" t="s">
        <v>206</v>
      </c>
      <c r="D281" s="5" t="s">
        <v>618</v>
      </c>
      <c r="E281" s="5" t="s">
        <v>450</v>
      </c>
      <c r="F281" s="5"/>
      <c r="G281" s="5">
        <v>63</v>
      </c>
      <c r="H281" s="5">
        <v>246.1</v>
      </c>
      <c r="I281" s="5">
        <f t="shared" si="13"/>
        <v>22980.999999999996</v>
      </c>
      <c r="J281" s="22">
        <f t="shared" si="12"/>
        <v>1.0629999999999999</v>
      </c>
      <c r="K281" s="8"/>
      <c r="L281" s="8"/>
    </row>
    <row r="282" spans="2:12" hidden="1">
      <c r="B282" s="5">
        <f t="shared" si="14"/>
        <v>279</v>
      </c>
      <c r="C282" s="5" t="s">
        <v>203</v>
      </c>
      <c r="D282" s="5" t="s">
        <v>191</v>
      </c>
      <c r="E282" s="5" t="s">
        <v>450</v>
      </c>
      <c r="F282" s="5"/>
      <c r="G282" s="5">
        <v>63</v>
      </c>
      <c r="H282" s="5">
        <v>350.3</v>
      </c>
      <c r="I282" s="5">
        <f t="shared" si="13"/>
        <v>23331.299999999996</v>
      </c>
      <c r="J282" s="22">
        <f t="shared" si="12"/>
        <v>1.0629999999999999</v>
      </c>
      <c r="K282" s="8"/>
      <c r="L282" s="8"/>
    </row>
    <row r="283" spans="2:12" hidden="1">
      <c r="B283" s="5">
        <f t="shared" si="14"/>
        <v>280</v>
      </c>
      <c r="C283" s="5" t="s">
        <v>619</v>
      </c>
      <c r="D283" s="5" t="s">
        <v>620</v>
      </c>
      <c r="E283" s="5" t="s">
        <v>450</v>
      </c>
      <c r="F283" s="5"/>
      <c r="G283" s="5">
        <v>63</v>
      </c>
      <c r="H283" s="5">
        <v>55.5</v>
      </c>
      <c r="I283" s="5">
        <f t="shared" si="13"/>
        <v>23386.799999999996</v>
      </c>
      <c r="J283" s="22">
        <f t="shared" si="12"/>
        <v>1.0629999999999999</v>
      </c>
      <c r="K283" s="8"/>
      <c r="L283" s="8"/>
    </row>
    <row r="284" spans="2:12" hidden="1">
      <c r="B284" s="5">
        <f t="shared" si="14"/>
        <v>281</v>
      </c>
      <c r="C284" s="5" t="s">
        <v>620</v>
      </c>
      <c r="D284" s="5" t="s">
        <v>621</v>
      </c>
      <c r="E284" s="5" t="s">
        <v>450</v>
      </c>
      <c r="F284" s="5"/>
      <c r="G284" s="5">
        <v>63</v>
      </c>
      <c r="H284" s="5">
        <v>37.4</v>
      </c>
      <c r="I284" s="5">
        <f t="shared" si="13"/>
        <v>23424.199999999997</v>
      </c>
      <c r="J284" s="22">
        <f t="shared" si="12"/>
        <v>1.0629999999999999</v>
      </c>
      <c r="K284" s="8"/>
      <c r="L284" s="8"/>
    </row>
    <row r="285" spans="2:12" hidden="1">
      <c r="B285" s="5">
        <f t="shared" si="14"/>
        <v>282</v>
      </c>
      <c r="C285" s="5" t="s">
        <v>404</v>
      </c>
      <c r="D285" s="5" t="s">
        <v>405</v>
      </c>
      <c r="E285" s="5" t="s">
        <v>450</v>
      </c>
      <c r="F285" s="5"/>
      <c r="G285" s="5">
        <v>63</v>
      </c>
      <c r="H285" s="5">
        <v>56.4</v>
      </c>
      <c r="I285" s="5">
        <f t="shared" si="13"/>
        <v>23480.6</v>
      </c>
      <c r="J285" s="22">
        <f t="shared" si="12"/>
        <v>1.0629999999999999</v>
      </c>
      <c r="K285" s="8"/>
      <c r="L285" s="8"/>
    </row>
    <row r="286" spans="2:12" hidden="1">
      <c r="B286" s="5">
        <f t="shared" si="14"/>
        <v>283</v>
      </c>
      <c r="C286" s="5" t="s">
        <v>622</v>
      </c>
      <c r="D286" s="5" t="s">
        <v>623</v>
      </c>
      <c r="E286" s="5" t="s">
        <v>450</v>
      </c>
      <c r="F286" s="5"/>
      <c r="G286" s="5">
        <v>63</v>
      </c>
      <c r="H286" s="5">
        <v>21.8</v>
      </c>
      <c r="I286" s="5">
        <f t="shared" si="13"/>
        <v>23502.399999999998</v>
      </c>
      <c r="J286" s="22">
        <f t="shared" si="12"/>
        <v>1.0629999999999999</v>
      </c>
      <c r="K286" s="8"/>
      <c r="L286" s="8"/>
    </row>
    <row r="287" spans="2:12" hidden="1">
      <c r="B287" s="5">
        <f t="shared" si="14"/>
        <v>284</v>
      </c>
      <c r="C287" s="5" t="s">
        <v>623</v>
      </c>
      <c r="D287" s="5" t="s">
        <v>624</v>
      </c>
      <c r="E287" s="5" t="s">
        <v>450</v>
      </c>
      <c r="F287" s="5"/>
      <c r="G287" s="5">
        <v>63</v>
      </c>
      <c r="H287" s="5">
        <v>8.6999999999999993</v>
      </c>
      <c r="I287" s="5">
        <f t="shared" si="13"/>
        <v>23511.1</v>
      </c>
      <c r="J287" s="22">
        <f t="shared" si="12"/>
        <v>1.0629999999999999</v>
      </c>
      <c r="K287" s="8"/>
      <c r="L287" s="8"/>
    </row>
    <row r="288" spans="2:12" hidden="1">
      <c r="B288" s="5">
        <f t="shared" si="14"/>
        <v>285</v>
      </c>
      <c r="C288" s="5" t="s">
        <v>319</v>
      </c>
      <c r="D288" s="5" t="s">
        <v>395</v>
      </c>
      <c r="E288" s="5" t="s">
        <v>450</v>
      </c>
      <c r="F288" s="5"/>
      <c r="G288" s="5">
        <v>63</v>
      </c>
      <c r="H288" s="5">
        <v>12.4</v>
      </c>
      <c r="I288" s="5">
        <f t="shared" si="13"/>
        <v>23523.5</v>
      </c>
      <c r="J288" s="22">
        <f t="shared" si="12"/>
        <v>1.0629999999999999</v>
      </c>
      <c r="K288" s="8"/>
      <c r="L288" s="8"/>
    </row>
    <row r="289" spans="2:12" hidden="1">
      <c r="B289" s="5">
        <f t="shared" si="14"/>
        <v>286</v>
      </c>
      <c r="C289" s="5" t="s">
        <v>395</v>
      </c>
      <c r="D289" s="5" t="s">
        <v>251</v>
      </c>
      <c r="E289" s="5" t="s">
        <v>450</v>
      </c>
      <c r="F289" s="5"/>
      <c r="G289" s="5">
        <v>63</v>
      </c>
      <c r="H289" s="5">
        <v>19.899999999999999</v>
      </c>
      <c r="I289" s="5">
        <f t="shared" si="13"/>
        <v>23543.4</v>
      </c>
      <c r="J289" s="22">
        <f t="shared" si="12"/>
        <v>1.0629999999999999</v>
      </c>
      <c r="K289" s="8"/>
      <c r="L289" s="8"/>
    </row>
    <row r="290" spans="2:12" hidden="1">
      <c r="B290" s="5">
        <f t="shared" si="14"/>
        <v>287</v>
      </c>
      <c r="C290" s="5" t="s">
        <v>319</v>
      </c>
      <c r="D290" s="5" t="s">
        <v>625</v>
      </c>
      <c r="E290" s="5" t="s">
        <v>450</v>
      </c>
      <c r="F290" s="5"/>
      <c r="G290" s="5">
        <v>63</v>
      </c>
      <c r="H290" s="5">
        <v>77.5</v>
      </c>
      <c r="I290" s="5">
        <f t="shared" si="13"/>
        <v>23620.9</v>
      </c>
      <c r="J290" s="22">
        <f t="shared" si="12"/>
        <v>1.0629999999999999</v>
      </c>
      <c r="K290" s="8"/>
      <c r="L290" s="8"/>
    </row>
    <row r="291" spans="2:12">
      <c r="B291" s="5"/>
      <c r="C291" s="5"/>
      <c r="D291" s="5"/>
      <c r="E291" s="5"/>
      <c r="F291" s="5"/>
      <c r="G291" s="5"/>
      <c r="H291" s="5"/>
      <c r="I291" s="5"/>
      <c r="J291" s="22"/>
      <c r="K291" s="8"/>
      <c r="L291" s="8"/>
    </row>
    <row r="292" spans="2:12">
      <c r="B292" s="5"/>
      <c r="C292" s="5">
        <v>21389.9</v>
      </c>
      <c r="D292" s="5">
        <v>197.2</v>
      </c>
      <c r="E292" s="5">
        <v>1055</v>
      </c>
      <c r="F292" s="5">
        <v>611.70000000000005</v>
      </c>
      <c r="G292" s="5">
        <v>367.1</v>
      </c>
      <c r="H292" s="5"/>
      <c r="I292" s="105">
        <f>+C292+D292+E292+F292+G292</f>
        <v>23620.9</v>
      </c>
      <c r="J292" s="22"/>
      <c r="K292" s="8"/>
      <c r="L292" s="8"/>
    </row>
    <row r="293" spans="2:12">
      <c r="B293" s="5"/>
      <c r="C293" s="105">
        <v>23136</v>
      </c>
      <c r="D293" s="105">
        <v>198</v>
      </c>
      <c r="E293" s="105">
        <v>1057</v>
      </c>
      <c r="F293" s="105">
        <v>691</v>
      </c>
      <c r="G293" s="105">
        <v>369</v>
      </c>
      <c r="H293" s="5"/>
      <c r="I293" s="105">
        <v>25451</v>
      </c>
      <c r="J293" s="22"/>
      <c r="K293" s="8"/>
      <c r="L293" s="8"/>
    </row>
    <row r="294" spans="2:12">
      <c r="B294" s="5"/>
      <c r="C294" s="105">
        <v>63</v>
      </c>
      <c r="D294" s="105">
        <v>75</v>
      </c>
      <c r="E294" s="105">
        <v>90</v>
      </c>
      <c r="F294" s="105">
        <v>110</v>
      </c>
      <c r="G294" s="105">
        <v>140</v>
      </c>
      <c r="H294" s="5"/>
      <c r="I294" s="105"/>
      <c r="J294" s="22"/>
      <c r="K294" s="8"/>
      <c r="L294" s="8"/>
    </row>
    <row r="295" spans="2:12" ht="15.75">
      <c r="B295" s="557" t="s">
        <v>365</v>
      </c>
      <c r="C295" s="558"/>
      <c r="D295" s="558"/>
      <c r="E295" s="559"/>
      <c r="F295" s="560" t="s">
        <v>366</v>
      </c>
      <c r="G295" s="561"/>
      <c r="H295" s="562"/>
      <c r="I295" s="560" t="s">
        <v>367</v>
      </c>
      <c r="J295" s="561"/>
      <c r="K295" s="561"/>
      <c r="L295" s="563"/>
    </row>
    <row r="296" spans="2:12" ht="15.75">
      <c r="B296" s="310" t="s">
        <v>368</v>
      </c>
      <c r="C296" s="8"/>
      <c r="D296" s="498"/>
      <c r="E296" s="498"/>
      <c r="F296" s="8" t="s">
        <v>368</v>
      </c>
      <c r="G296" s="498"/>
      <c r="H296" s="498"/>
      <c r="I296" s="8" t="s">
        <v>368</v>
      </c>
      <c r="J296" s="8"/>
      <c r="K296" s="499"/>
      <c r="L296" s="556"/>
    </row>
    <row r="297" spans="2:12" ht="15.75">
      <c r="B297" s="310" t="s">
        <v>369</v>
      </c>
      <c r="C297" s="498"/>
      <c r="D297" s="498"/>
      <c r="E297" s="498"/>
      <c r="F297" s="8" t="s">
        <v>369</v>
      </c>
      <c r="G297" s="498"/>
      <c r="H297" s="498"/>
      <c r="I297" s="8" t="s">
        <v>369</v>
      </c>
      <c r="J297" s="499"/>
      <c r="K297" s="500"/>
      <c r="L297" s="556"/>
    </row>
    <row r="298" spans="2:12" ht="15.75">
      <c r="B298" s="311" t="s">
        <v>370</v>
      </c>
      <c r="C298" s="147"/>
      <c r="D298" s="553"/>
      <c r="E298" s="553"/>
      <c r="F298" s="147" t="s">
        <v>370</v>
      </c>
      <c r="G298" s="553"/>
      <c r="H298" s="553"/>
      <c r="I298" s="147" t="s">
        <v>370</v>
      </c>
      <c r="J298" s="147"/>
      <c r="K298" s="554"/>
      <c r="L298" s="555"/>
    </row>
  </sheetData>
  <autoFilter ref="C3:G290">
    <filterColumn colId="2">
      <filters>
        <filter val="INTERLOCKING"/>
      </filters>
    </filterColumn>
  </autoFilter>
  <mergeCells count="34">
    <mergeCell ref="B2:L2"/>
    <mergeCell ref="K3:L3"/>
    <mergeCell ref="K4:L4"/>
    <mergeCell ref="K6:L6"/>
    <mergeCell ref="K23:L23"/>
    <mergeCell ref="K32:L32"/>
    <mergeCell ref="K37:L37"/>
    <mergeCell ref="K39:L39"/>
    <mergeCell ref="K66:L66"/>
    <mergeCell ref="K77:L77"/>
    <mergeCell ref="K103:L103"/>
    <mergeCell ref="K105:L105"/>
    <mergeCell ref="K108:L108"/>
    <mergeCell ref="K109:L109"/>
    <mergeCell ref="K119:L119"/>
    <mergeCell ref="K120:L120"/>
    <mergeCell ref="K126:L126"/>
    <mergeCell ref="K155:L155"/>
    <mergeCell ref="K180:L180"/>
    <mergeCell ref="K184:L184"/>
    <mergeCell ref="K193:L193"/>
    <mergeCell ref="K202:L202"/>
    <mergeCell ref="B295:E295"/>
    <mergeCell ref="F295:H295"/>
    <mergeCell ref="I295:L295"/>
    <mergeCell ref="D298:E298"/>
    <mergeCell ref="G298:H298"/>
    <mergeCell ref="K298:L298"/>
    <mergeCell ref="D296:E296"/>
    <mergeCell ref="G296:H296"/>
    <mergeCell ref="K296:L296"/>
    <mergeCell ref="C297:E297"/>
    <mergeCell ref="G297:H297"/>
    <mergeCell ref="J297:L297"/>
  </mergeCells>
  <printOptions horizontalCentered="1"/>
  <pageMargins left="0.25" right="0.25" top="0.25" bottom="0.5" header="0.3" footer="0.3"/>
  <pageSetup paperSize="9" scale="97" fitToHeight="0" orientation="landscape" r:id="rId1"/>
  <rowBreaks count="7" manualBreakCount="7">
    <brk id="37" max="11" man="1"/>
    <brk id="75" max="11" man="1"/>
    <brk id="113" max="11" man="1"/>
    <brk id="147" max="11" man="1"/>
    <brk id="184" max="11" man="1"/>
    <brk id="221" max="11" man="1"/>
    <brk id="257"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C2:M161"/>
  <sheetViews>
    <sheetView workbookViewId="0">
      <selection activeCell="I45" sqref="I45:I152"/>
    </sheetView>
  </sheetViews>
  <sheetFormatPr defaultColWidth="9" defaultRowHeight="15"/>
  <cols>
    <col min="1" max="2" width="9" style="35"/>
    <col min="3" max="3" width="6.85546875" style="35" customWidth="1"/>
    <col min="4" max="4" width="13.7109375" style="35" customWidth="1"/>
    <col min="5" max="5" width="12.140625" style="35" customWidth="1"/>
    <col min="6" max="6" width="15.5703125" style="35" customWidth="1"/>
    <col min="7" max="7" width="15" style="35" customWidth="1"/>
    <col min="8" max="8" width="20.28515625" style="35" customWidth="1"/>
    <col min="9" max="9" width="19.5703125" style="35" customWidth="1"/>
    <col min="10" max="10" width="18.5703125" style="35" customWidth="1"/>
    <col min="11" max="11" width="8.28515625" style="35" customWidth="1"/>
    <col min="12" max="12" width="11.140625" style="35" customWidth="1"/>
    <col min="13" max="16384" width="9" style="35"/>
  </cols>
  <sheetData>
    <row r="2" spans="3:13" ht="18.75">
      <c r="C2" s="581" t="s">
        <v>626</v>
      </c>
      <c r="D2" s="581"/>
      <c r="E2" s="581"/>
      <c r="F2" s="581"/>
      <c r="G2" s="581"/>
      <c r="H2" s="581"/>
      <c r="I2" s="581"/>
      <c r="J2" s="581"/>
      <c r="K2" s="581"/>
      <c r="L2" s="581"/>
      <c r="M2" s="581"/>
    </row>
    <row r="3" spans="3:13" ht="37.5">
      <c r="C3" s="1" t="s">
        <v>448</v>
      </c>
      <c r="D3" s="1" t="s">
        <v>180</v>
      </c>
      <c r="E3" s="1" t="s">
        <v>13</v>
      </c>
      <c r="F3" s="1" t="s">
        <v>181</v>
      </c>
      <c r="G3" s="2" t="s">
        <v>449</v>
      </c>
      <c r="H3" s="1" t="s">
        <v>183</v>
      </c>
      <c r="I3" s="9" t="s">
        <v>184</v>
      </c>
      <c r="J3" s="3" t="s">
        <v>185</v>
      </c>
      <c r="K3" s="3" t="s">
        <v>186</v>
      </c>
      <c r="L3" s="582" t="s">
        <v>187</v>
      </c>
      <c r="M3" s="583"/>
    </row>
    <row r="4" spans="3:13" hidden="1">
      <c r="C4" s="36">
        <v>1</v>
      </c>
      <c r="D4" s="36" t="s">
        <v>250</v>
      </c>
      <c r="E4" s="36" t="s">
        <v>338</v>
      </c>
      <c r="F4" s="36" t="s">
        <v>383</v>
      </c>
      <c r="G4" s="306">
        <f>+(300+H4)/1000</f>
        <v>0.36299999999999999</v>
      </c>
      <c r="H4" s="36">
        <v>63</v>
      </c>
      <c r="I4" s="36">
        <v>5</v>
      </c>
      <c r="J4" s="36">
        <v>5</v>
      </c>
      <c r="K4" s="306">
        <f>(1000+H4)/1000</f>
        <v>1.0629999999999999</v>
      </c>
      <c r="L4" s="570" t="s">
        <v>627</v>
      </c>
      <c r="M4" s="573"/>
    </row>
    <row r="5" spans="3:13" hidden="1">
      <c r="C5" s="36">
        <f>+C4+1</f>
        <v>2</v>
      </c>
      <c r="D5" s="36" t="s">
        <v>250</v>
      </c>
      <c r="E5" s="36" t="s">
        <v>338</v>
      </c>
      <c r="F5" s="36"/>
      <c r="G5" s="36"/>
      <c r="H5" s="36">
        <v>63</v>
      </c>
      <c r="I5" s="36">
        <v>1151.0999999999999</v>
      </c>
      <c r="J5" s="36">
        <f>+$J4+I5</f>
        <v>1156.0999999999999</v>
      </c>
      <c r="K5" s="306">
        <f t="shared" ref="K5:K70" si="0">(1000+H5)/1000</f>
        <v>1.0629999999999999</v>
      </c>
      <c r="L5" s="36"/>
      <c r="M5" s="36"/>
    </row>
    <row r="6" spans="3:13" hidden="1">
      <c r="C6" s="36">
        <f t="shared" ref="C6:C69" si="1">+C5+1</f>
        <v>3</v>
      </c>
      <c r="D6" s="36" t="s">
        <v>250</v>
      </c>
      <c r="E6" s="36" t="s">
        <v>314</v>
      </c>
      <c r="F6" s="36"/>
      <c r="G6" s="36"/>
      <c r="H6" s="36">
        <v>140</v>
      </c>
      <c r="I6" s="36">
        <v>158.19999999999999</v>
      </c>
      <c r="J6" s="36">
        <f t="shared" ref="J6:J69" si="2">+$J5+I6</f>
        <v>1314.3</v>
      </c>
      <c r="K6" s="306">
        <f t="shared" si="0"/>
        <v>1.1399999999999999</v>
      </c>
      <c r="L6" s="36"/>
      <c r="M6" s="36"/>
    </row>
    <row r="7" spans="3:13" hidden="1">
      <c r="C7" s="36">
        <f t="shared" si="1"/>
        <v>4</v>
      </c>
      <c r="D7" s="36" t="s">
        <v>314</v>
      </c>
      <c r="E7" s="36" t="s">
        <v>595</v>
      </c>
      <c r="F7" s="36" t="s">
        <v>383</v>
      </c>
      <c r="G7" s="306">
        <f>+(300+H7)/1000</f>
        <v>0.36299999999999999</v>
      </c>
      <c r="H7" s="36">
        <v>63</v>
      </c>
      <c r="I7" s="36">
        <v>4</v>
      </c>
      <c r="J7" s="36">
        <f t="shared" si="2"/>
        <v>1318.3</v>
      </c>
      <c r="K7" s="306">
        <f t="shared" si="0"/>
        <v>1.0629999999999999</v>
      </c>
      <c r="L7" s="570" t="s">
        <v>627</v>
      </c>
      <c r="M7" s="573"/>
    </row>
    <row r="8" spans="3:13" hidden="1">
      <c r="C8" s="36">
        <f t="shared" si="1"/>
        <v>5</v>
      </c>
      <c r="D8" s="36" t="s">
        <v>314</v>
      </c>
      <c r="E8" s="36" t="s">
        <v>595</v>
      </c>
      <c r="F8" s="36"/>
      <c r="G8" s="36"/>
      <c r="H8" s="36">
        <v>63</v>
      </c>
      <c r="I8" s="36">
        <v>65.3</v>
      </c>
      <c r="J8" s="36">
        <f t="shared" si="2"/>
        <v>1383.6</v>
      </c>
      <c r="K8" s="306">
        <f t="shared" si="0"/>
        <v>1.0629999999999999</v>
      </c>
      <c r="L8" s="36"/>
      <c r="M8" s="36"/>
    </row>
    <row r="9" spans="3:13" hidden="1">
      <c r="C9" s="36">
        <f t="shared" si="1"/>
        <v>6</v>
      </c>
      <c r="D9" s="36" t="s">
        <v>314</v>
      </c>
      <c r="E9" s="36" t="s">
        <v>382</v>
      </c>
      <c r="F9" s="36"/>
      <c r="G9" s="36"/>
      <c r="H9" s="36">
        <v>140</v>
      </c>
      <c r="I9" s="36">
        <v>124.1</v>
      </c>
      <c r="J9" s="36">
        <f t="shared" si="2"/>
        <v>1507.6999999999998</v>
      </c>
      <c r="K9" s="306">
        <f t="shared" si="0"/>
        <v>1.1399999999999999</v>
      </c>
      <c r="L9" s="36"/>
      <c r="M9" s="36"/>
    </row>
    <row r="10" spans="3:13" hidden="1">
      <c r="C10" s="36">
        <f t="shared" si="1"/>
        <v>7</v>
      </c>
      <c r="D10" s="36" t="s">
        <v>314</v>
      </c>
      <c r="E10" s="36" t="s">
        <v>382</v>
      </c>
      <c r="F10" s="36" t="s">
        <v>383</v>
      </c>
      <c r="G10" s="36">
        <f>+(300+H10)/1000</f>
        <v>0.44</v>
      </c>
      <c r="H10" s="36">
        <v>140</v>
      </c>
      <c r="I10" s="36">
        <v>4.7</v>
      </c>
      <c r="J10" s="36">
        <f t="shared" si="2"/>
        <v>1512.3999999999999</v>
      </c>
      <c r="K10" s="306">
        <f t="shared" si="0"/>
        <v>1.1399999999999999</v>
      </c>
      <c r="L10" s="570" t="s">
        <v>627</v>
      </c>
      <c r="M10" s="573"/>
    </row>
    <row r="11" spans="3:13" hidden="1">
      <c r="C11" s="36">
        <f t="shared" si="1"/>
        <v>8</v>
      </c>
      <c r="D11" s="36" t="s">
        <v>382</v>
      </c>
      <c r="E11" s="36" t="s">
        <v>356</v>
      </c>
      <c r="F11" s="36"/>
      <c r="G11" s="36"/>
      <c r="H11" s="36">
        <v>63</v>
      </c>
      <c r="I11" s="36">
        <v>326.2</v>
      </c>
      <c r="J11" s="36">
        <f t="shared" si="2"/>
        <v>1838.6</v>
      </c>
      <c r="K11" s="306">
        <f t="shared" si="0"/>
        <v>1.0629999999999999</v>
      </c>
      <c r="L11" s="36"/>
      <c r="M11" s="36"/>
    </row>
    <row r="12" spans="3:13" hidden="1">
      <c r="C12" s="36">
        <f t="shared" si="1"/>
        <v>9</v>
      </c>
      <c r="D12" s="36" t="s">
        <v>628</v>
      </c>
      <c r="E12" s="36" t="s">
        <v>363</v>
      </c>
      <c r="F12" s="36" t="s">
        <v>383</v>
      </c>
      <c r="G12" s="306">
        <f>+(300+H12)/1000</f>
        <v>0.36299999999999999</v>
      </c>
      <c r="H12" s="36">
        <v>63</v>
      </c>
      <c r="I12" s="36">
        <v>4.7</v>
      </c>
      <c r="J12" s="36">
        <f t="shared" si="2"/>
        <v>1843.3</v>
      </c>
      <c r="K12" s="306">
        <f t="shared" si="0"/>
        <v>1.0629999999999999</v>
      </c>
      <c r="L12" s="570" t="s">
        <v>627</v>
      </c>
      <c r="M12" s="573"/>
    </row>
    <row r="13" spans="3:13" hidden="1">
      <c r="C13" s="36">
        <f t="shared" si="1"/>
        <v>10</v>
      </c>
      <c r="D13" s="36" t="s">
        <v>356</v>
      </c>
      <c r="E13" s="36" t="s">
        <v>363</v>
      </c>
      <c r="F13" s="36"/>
      <c r="G13" s="36"/>
      <c r="H13" s="36">
        <v>63</v>
      </c>
      <c r="I13" s="36">
        <v>110.7</v>
      </c>
      <c r="J13" s="36">
        <f t="shared" si="2"/>
        <v>1954</v>
      </c>
      <c r="K13" s="306">
        <f t="shared" si="0"/>
        <v>1.0629999999999999</v>
      </c>
      <c r="L13" s="36"/>
      <c r="M13" s="36"/>
    </row>
    <row r="14" spans="3:13" hidden="1">
      <c r="C14" s="36">
        <f t="shared" si="1"/>
        <v>11</v>
      </c>
      <c r="D14" s="36" t="s">
        <v>349</v>
      </c>
      <c r="E14" s="36" t="s">
        <v>357</v>
      </c>
      <c r="F14" s="36"/>
      <c r="G14" s="36"/>
      <c r="H14" s="36">
        <v>63</v>
      </c>
      <c r="I14" s="36">
        <v>148.69999999999999</v>
      </c>
      <c r="J14" s="36">
        <f t="shared" si="2"/>
        <v>2102.6999999999998</v>
      </c>
      <c r="K14" s="306">
        <f t="shared" si="0"/>
        <v>1.0629999999999999</v>
      </c>
      <c r="L14" s="36"/>
      <c r="M14" s="36"/>
    </row>
    <row r="15" spans="3:13" hidden="1">
      <c r="C15" s="36">
        <f t="shared" si="1"/>
        <v>12</v>
      </c>
      <c r="D15" s="36" t="s">
        <v>349</v>
      </c>
      <c r="E15" s="36" t="s">
        <v>357</v>
      </c>
      <c r="F15" s="36" t="s">
        <v>383</v>
      </c>
      <c r="G15" s="306">
        <f>+(300+H15)/1000</f>
        <v>0.36299999999999999</v>
      </c>
      <c r="H15" s="36">
        <v>63</v>
      </c>
      <c r="I15" s="36">
        <v>6</v>
      </c>
      <c r="J15" s="36">
        <f t="shared" si="2"/>
        <v>2108.6999999999998</v>
      </c>
      <c r="K15" s="306">
        <f t="shared" si="0"/>
        <v>1.0629999999999999</v>
      </c>
      <c r="L15" s="570" t="s">
        <v>627</v>
      </c>
      <c r="M15" s="573"/>
    </row>
    <row r="16" spans="3:13" hidden="1">
      <c r="C16" s="36">
        <f t="shared" si="1"/>
        <v>13</v>
      </c>
      <c r="D16" s="36" t="s">
        <v>628</v>
      </c>
      <c r="E16" s="36" t="s">
        <v>357</v>
      </c>
      <c r="F16" s="36"/>
      <c r="G16" s="36"/>
      <c r="H16" s="36">
        <v>63</v>
      </c>
      <c r="I16" s="36">
        <v>7.2</v>
      </c>
      <c r="J16" s="36">
        <f t="shared" si="2"/>
        <v>2115.8999999999996</v>
      </c>
      <c r="K16" s="306">
        <f t="shared" si="0"/>
        <v>1.0629999999999999</v>
      </c>
      <c r="L16" s="36"/>
      <c r="M16" s="36"/>
    </row>
    <row r="17" spans="3:13" hidden="1">
      <c r="C17" s="36">
        <f t="shared" si="1"/>
        <v>14</v>
      </c>
      <c r="D17" s="36" t="s">
        <v>357</v>
      </c>
      <c r="E17" s="36" t="s">
        <v>315</v>
      </c>
      <c r="F17" s="36"/>
      <c r="G17" s="36"/>
      <c r="H17" s="36">
        <v>63</v>
      </c>
      <c r="I17" s="36">
        <v>17.399999999999999</v>
      </c>
      <c r="J17" s="36">
        <f t="shared" si="2"/>
        <v>2133.2999999999997</v>
      </c>
      <c r="K17" s="306">
        <f t="shared" si="0"/>
        <v>1.0629999999999999</v>
      </c>
      <c r="L17" s="36"/>
      <c r="M17" s="36"/>
    </row>
    <row r="18" spans="3:13" hidden="1">
      <c r="C18" s="36">
        <f t="shared" si="1"/>
        <v>15</v>
      </c>
      <c r="D18" s="36" t="s">
        <v>382</v>
      </c>
      <c r="E18" s="36" t="s">
        <v>278</v>
      </c>
      <c r="F18" s="36"/>
      <c r="G18" s="36"/>
      <c r="H18" s="36">
        <v>125</v>
      </c>
      <c r="I18" s="36">
        <v>428.3</v>
      </c>
      <c r="J18" s="36">
        <f t="shared" si="2"/>
        <v>2561.6</v>
      </c>
      <c r="K18" s="306">
        <f t="shared" si="0"/>
        <v>1.125</v>
      </c>
      <c r="L18" s="36"/>
      <c r="M18" s="36"/>
    </row>
    <row r="19" spans="3:13" hidden="1">
      <c r="C19" s="36">
        <f t="shared" si="1"/>
        <v>16</v>
      </c>
      <c r="D19" s="36" t="s">
        <v>278</v>
      </c>
      <c r="E19" s="36" t="s">
        <v>282</v>
      </c>
      <c r="F19" s="36"/>
      <c r="G19" s="36"/>
      <c r="H19" s="36">
        <v>110</v>
      </c>
      <c r="I19" s="305">
        <v>86.1</v>
      </c>
      <c r="J19" s="36">
        <f t="shared" si="2"/>
        <v>2647.7</v>
      </c>
      <c r="K19" s="306">
        <f t="shared" si="0"/>
        <v>1.1100000000000001</v>
      </c>
      <c r="L19" s="36"/>
      <c r="M19" s="36"/>
    </row>
    <row r="20" spans="3:13" hidden="1">
      <c r="C20" s="36">
        <f t="shared" si="1"/>
        <v>17</v>
      </c>
      <c r="D20" s="36" t="s">
        <v>282</v>
      </c>
      <c r="E20" s="36" t="s">
        <v>281</v>
      </c>
      <c r="F20" s="36"/>
      <c r="G20" s="36"/>
      <c r="H20" s="36">
        <v>63</v>
      </c>
      <c r="I20" s="36">
        <v>123.2</v>
      </c>
      <c r="J20" s="36">
        <f t="shared" si="2"/>
        <v>2770.8999999999996</v>
      </c>
      <c r="K20" s="306">
        <f t="shared" si="0"/>
        <v>1.0629999999999999</v>
      </c>
      <c r="L20" s="36"/>
      <c r="M20" s="36"/>
    </row>
    <row r="21" spans="3:13" hidden="1">
      <c r="C21" s="36">
        <f t="shared" si="1"/>
        <v>18</v>
      </c>
      <c r="D21" s="36" t="s">
        <v>282</v>
      </c>
      <c r="E21" s="36" t="s">
        <v>252</v>
      </c>
      <c r="F21" s="36"/>
      <c r="G21" s="36"/>
      <c r="H21" s="36">
        <v>110</v>
      </c>
      <c r="I21" s="36">
        <v>229.4</v>
      </c>
      <c r="J21" s="36">
        <f t="shared" si="2"/>
        <v>3000.2999999999997</v>
      </c>
      <c r="K21" s="306">
        <f t="shared" si="0"/>
        <v>1.1100000000000001</v>
      </c>
      <c r="L21" s="36"/>
      <c r="M21" s="36"/>
    </row>
    <row r="22" spans="3:13" hidden="1">
      <c r="C22" s="36">
        <f t="shared" si="1"/>
        <v>19</v>
      </c>
      <c r="D22" s="36" t="s">
        <v>252</v>
      </c>
      <c r="E22" s="36" t="s">
        <v>629</v>
      </c>
      <c r="F22" s="36"/>
      <c r="G22" s="36"/>
      <c r="H22" s="36">
        <v>90</v>
      </c>
      <c r="I22" s="36">
        <v>58.4</v>
      </c>
      <c r="J22" s="36">
        <f t="shared" si="2"/>
        <v>3058.7</v>
      </c>
      <c r="K22" s="306">
        <f t="shared" si="0"/>
        <v>1.0900000000000001</v>
      </c>
      <c r="L22" s="36"/>
      <c r="M22" s="36"/>
    </row>
    <row r="23" spans="3:13" hidden="1">
      <c r="C23" s="36">
        <f t="shared" si="1"/>
        <v>20</v>
      </c>
      <c r="D23" s="36" t="s">
        <v>629</v>
      </c>
      <c r="E23" s="36" t="s">
        <v>630</v>
      </c>
      <c r="F23" s="36"/>
      <c r="G23" s="36"/>
      <c r="H23" s="36">
        <v>63</v>
      </c>
      <c r="I23" s="36">
        <v>208.3</v>
      </c>
      <c r="J23" s="36">
        <f t="shared" si="2"/>
        <v>3267</v>
      </c>
      <c r="K23" s="306">
        <f t="shared" si="0"/>
        <v>1.0629999999999999</v>
      </c>
      <c r="L23" s="36"/>
      <c r="M23" s="36"/>
    </row>
    <row r="24" spans="3:13" hidden="1">
      <c r="C24" s="36">
        <f t="shared" si="1"/>
        <v>21</v>
      </c>
      <c r="D24" s="36" t="s">
        <v>629</v>
      </c>
      <c r="E24" s="36" t="s">
        <v>255</v>
      </c>
      <c r="F24" s="36"/>
      <c r="G24" s="36"/>
      <c r="H24" s="36">
        <v>90</v>
      </c>
      <c r="I24" s="36">
        <v>87</v>
      </c>
      <c r="J24" s="36">
        <f t="shared" si="2"/>
        <v>3354</v>
      </c>
      <c r="K24" s="306">
        <f t="shared" si="0"/>
        <v>1.0900000000000001</v>
      </c>
      <c r="L24" s="36"/>
      <c r="M24" s="36"/>
    </row>
    <row r="25" spans="3:13" hidden="1">
      <c r="C25" s="36">
        <f t="shared" si="1"/>
        <v>22</v>
      </c>
      <c r="D25" s="36" t="s">
        <v>255</v>
      </c>
      <c r="E25" s="36" t="s">
        <v>413</v>
      </c>
      <c r="F25" s="36" t="s">
        <v>199</v>
      </c>
      <c r="G25" s="306">
        <v>0.46</v>
      </c>
      <c r="H25" s="36">
        <v>63</v>
      </c>
      <c r="I25" s="36">
        <v>2.8</v>
      </c>
      <c r="J25" s="36">
        <f t="shared" si="2"/>
        <v>3356.8</v>
      </c>
      <c r="K25" s="306">
        <f t="shared" si="0"/>
        <v>1.0629999999999999</v>
      </c>
      <c r="L25" s="570" t="s">
        <v>627</v>
      </c>
      <c r="M25" s="573"/>
    </row>
    <row r="26" spans="3:13" hidden="1">
      <c r="C26" s="36">
        <f t="shared" si="1"/>
        <v>23</v>
      </c>
      <c r="D26" s="36" t="s">
        <v>255</v>
      </c>
      <c r="E26" s="36" t="s">
        <v>413</v>
      </c>
      <c r="F26" s="36"/>
      <c r="G26" s="36"/>
      <c r="H26" s="36">
        <v>63</v>
      </c>
      <c r="I26" s="36">
        <v>106.9</v>
      </c>
      <c r="J26" s="36">
        <f t="shared" si="2"/>
        <v>3463.7000000000003</v>
      </c>
      <c r="K26" s="306">
        <f t="shared" si="0"/>
        <v>1.0629999999999999</v>
      </c>
      <c r="L26" s="36"/>
      <c r="M26" s="36"/>
    </row>
    <row r="27" spans="3:13" hidden="1">
      <c r="C27" s="36">
        <f t="shared" si="1"/>
        <v>24</v>
      </c>
      <c r="D27" s="36" t="s">
        <v>255</v>
      </c>
      <c r="E27" s="36" t="s">
        <v>256</v>
      </c>
      <c r="F27" s="36"/>
      <c r="G27" s="36"/>
      <c r="H27" s="36">
        <v>90</v>
      </c>
      <c r="I27" s="36">
        <v>13.7</v>
      </c>
      <c r="J27" s="36">
        <f t="shared" si="2"/>
        <v>3477.4</v>
      </c>
      <c r="K27" s="306">
        <f t="shared" si="0"/>
        <v>1.0900000000000001</v>
      </c>
      <c r="L27" s="36"/>
      <c r="M27" s="36"/>
    </row>
    <row r="28" spans="3:13" hidden="1">
      <c r="C28" s="36">
        <f t="shared" si="1"/>
        <v>25</v>
      </c>
      <c r="D28" s="36" t="s">
        <v>256</v>
      </c>
      <c r="E28" s="36" t="s">
        <v>396</v>
      </c>
      <c r="F28" s="36"/>
      <c r="G28" s="36"/>
      <c r="H28" s="36">
        <v>90</v>
      </c>
      <c r="I28" s="36">
        <v>11.3</v>
      </c>
      <c r="J28" s="36">
        <f t="shared" si="2"/>
        <v>3488.7000000000003</v>
      </c>
      <c r="K28" s="306">
        <f t="shared" si="0"/>
        <v>1.0900000000000001</v>
      </c>
      <c r="L28" s="36"/>
      <c r="M28" s="36"/>
    </row>
    <row r="29" spans="3:13" hidden="1">
      <c r="C29" s="36">
        <f t="shared" si="1"/>
        <v>26</v>
      </c>
      <c r="D29" s="36" t="s">
        <v>256</v>
      </c>
      <c r="E29" s="36" t="s">
        <v>631</v>
      </c>
      <c r="F29" s="36" t="s">
        <v>199</v>
      </c>
      <c r="G29" s="306">
        <v>0.46</v>
      </c>
      <c r="H29" s="36">
        <v>75</v>
      </c>
      <c r="I29" s="36">
        <v>3.1</v>
      </c>
      <c r="J29" s="36">
        <f t="shared" si="2"/>
        <v>3491.8</v>
      </c>
      <c r="K29" s="306">
        <f t="shared" si="0"/>
        <v>1.075</v>
      </c>
      <c r="L29" s="570" t="s">
        <v>627</v>
      </c>
      <c r="M29" s="573"/>
    </row>
    <row r="30" spans="3:13" hidden="1">
      <c r="C30" s="36">
        <f t="shared" si="1"/>
        <v>27</v>
      </c>
      <c r="D30" s="36" t="s">
        <v>631</v>
      </c>
      <c r="E30" s="36" t="s">
        <v>632</v>
      </c>
      <c r="F30" s="36"/>
      <c r="G30" s="36"/>
      <c r="H30" s="36">
        <v>63</v>
      </c>
      <c r="I30" s="36">
        <v>30.3</v>
      </c>
      <c r="J30" s="36">
        <f t="shared" si="2"/>
        <v>3522.1000000000004</v>
      </c>
      <c r="K30" s="306">
        <f t="shared" si="0"/>
        <v>1.0629999999999999</v>
      </c>
      <c r="L30" s="36"/>
      <c r="M30" s="36"/>
    </row>
    <row r="31" spans="3:13" hidden="1">
      <c r="C31" s="36">
        <f t="shared" si="1"/>
        <v>28</v>
      </c>
      <c r="D31" s="36" t="s">
        <v>256</v>
      </c>
      <c r="E31" s="36" t="s">
        <v>276</v>
      </c>
      <c r="F31" s="36" t="s">
        <v>199</v>
      </c>
      <c r="G31" s="306">
        <v>0.46</v>
      </c>
      <c r="H31" s="36">
        <v>75</v>
      </c>
      <c r="I31" s="36">
        <v>41.9</v>
      </c>
      <c r="J31" s="36">
        <f t="shared" si="2"/>
        <v>3564.0000000000005</v>
      </c>
      <c r="K31" s="306">
        <f t="shared" si="0"/>
        <v>1.075</v>
      </c>
      <c r="L31" s="36"/>
      <c r="M31" s="36"/>
    </row>
    <row r="32" spans="3:13" hidden="1">
      <c r="C32" s="36">
        <f t="shared" si="1"/>
        <v>29</v>
      </c>
      <c r="D32" s="36" t="s">
        <v>631</v>
      </c>
      <c r="E32" s="36" t="s">
        <v>276</v>
      </c>
      <c r="F32" s="36"/>
      <c r="G32" s="36"/>
      <c r="H32" s="36">
        <v>75</v>
      </c>
      <c r="I32" s="36">
        <v>8.4</v>
      </c>
      <c r="J32" s="36">
        <f t="shared" si="2"/>
        <v>3572.4000000000005</v>
      </c>
      <c r="K32" s="306">
        <f t="shared" si="0"/>
        <v>1.075</v>
      </c>
      <c r="L32" s="36"/>
      <c r="M32" s="36"/>
    </row>
    <row r="33" spans="3:13" hidden="1">
      <c r="C33" s="36">
        <f t="shared" si="1"/>
        <v>30</v>
      </c>
      <c r="D33" s="36" t="s">
        <v>396</v>
      </c>
      <c r="E33" s="36" t="s">
        <v>275</v>
      </c>
      <c r="F33" s="36"/>
      <c r="G33" s="36"/>
      <c r="H33" s="36">
        <v>75</v>
      </c>
      <c r="I33" s="36">
        <v>36.6</v>
      </c>
      <c r="J33" s="36">
        <f t="shared" si="2"/>
        <v>3609.0000000000005</v>
      </c>
      <c r="K33" s="306">
        <f t="shared" si="0"/>
        <v>1.075</v>
      </c>
      <c r="L33" s="36"/>
      <c r="M33" s="36"/>
    </row>
    <row r="34" spans="3:13" hidden="1">
      <c r="C34" s="36">
        <f t="shared" si="1"/>
        <v>31</v>
      </c>
      <c r="D34" s="36" t="s">
        <v>275</v>
      </c>
      <c r="E34" s="36" t="s">
        <v>509</v>
      </c>
      <c r="F34" s="36" t="s">
        <v>199</v>
      </c>
      <c r="G34" s="306">
        <v>0.46</v>
      </c>
      <c r="H34" s="36">
        <v>75</v>
      </c>
      <c r="I34" s="36">
        <v>2.6</v>
      </c>
      <c r="J34" s="36">
        <f t="shared" si="2"/>
        <v>3611.6000000000004</v>
      </c>
      <c r="K34" s="306">
        <f t="shared" si="0"/>
        <v>1.075</v>
      </c>
      <c r="L34" s="570" t="s">
        <v>627</v>
      </c>
      <c r="M34" s="573"/>
    </row>
    <row r="35" spans="3:13" hidden="1">
      <c r="C35" s="36">
        <f t="shared" si="1"/>
        <v>32</v>
      </c>
      <c r="D35" s="36" t="s">
        <v>275</v>
      </c>
      <c r="E35" s="36" t="s">
        <v>509</v>
      </c>
      <c r="F35" s="36"/>
      <c r="G35" s="36"/>
      <c r="H35" s="36">
        <v>75</v>
      </c>
      <c r="I35" s="36">
        <v>47.7</v>
      </c>
      <c r="J35" s="36">
        <f t="shared" si="2"/>
        <v>3659.3</v>
      </c>
      <c r="K35" s="306">
        <f t="shared" si="0"/>
        <v>1.075</v>
      </c>
      <c r="L35" s="36"/>
      <c r="M35" s="36"/>
    </row>
    <row r="36" spans="3:13" hidden="1">
      <c r="C36" s="36">
        <f t="shared" si="1"/>
        <v>33</v>
      </c>
      <c r="D36" s="36" t="s">
        <v>275</v>
      </c>
      <c r="E36" s="36" t="s">
        <v>538</v>
      </c>
      <c r="F36" s="36"/>
      <c r="G36" s="36"/>
      <c r="H36" s="36">
        <v>75</v>
      </c>
      <c r="I36" s="36">
        <v>77.7</v>
      </c>
      <c r="J36" s="36">
        <f t="shared" si="2"/>
        <v>3737</v>
      </c>
      <c r="K36" s="306">
        <f t="shared" si="0"/>
        <v>1.075</v>
      </c>
      <c r="L36" s="36"/>
      <c r="M36" s="36"/>
    </row>
    <row r="37" spans="3:13" hidden="1">
      <c r="C37" s="36">
        <f t="shared" si="1"/>
        <v>34</v>
      </c>
      <c r="D37" s="36" t="s">
        <v>275</v>
      </c>
      <c r="E37" s="36" t="s">
        <v>538</v>
      </c>
      <c r="F37" s="36" t="s">
        <v>383</v>
      </c>
      <c r="G37" s="306">
        <f>+(300+H37)/1000</f>
        <v>0.375</v>
      </c>
      <c r="H37" s="36">
        <v>75</v>
      </c>
      <c r="I37" s="36">
        <v>3.2</v>
      </c>
      <c r="J37" s="36">
        <f t="shared" si="2"/>
        <v>3740.2</v>
      </c>
      <c r="K37" s="306">
        <f t="shared" si="0"/>
        <v>1.075</v>
      </c>
      <c r="L37" s="570" t="s">
        <v>627</v>
      </c>
      <c r="M37" s="573"/>
    </row>
    <row r="38" spans="3:13" hidden="1">
      <c r="C38" s="36">
        <f t="shared" si="1"/>
        <v>35</v>
      </c>
      <c r="D38" s="36" t="s">
        <v>538</v>
      </c>
      <c r="E38" s="36" t="s">
        <v>306</v>
      </c>
      <c r="F38" s="36"/>
      <c r="G38" s="36"/>
      <c r="H38" s="36">
        <v>63</v>
      </c>
      <c r="I38" s="36">
        <v>67.400000000000006</v>
      </c>
      <c r="J38" s="36">
        <f t="shared" si="2"/>
        <v>3807.6</v>
      </c>
      <c r="K38" s="306">
        <f t="shared" si="0"/>
        <v>1.0629999999999999</v>
      </c>
      <c r="L38" s="36"/>
      <c r="M38" s="36"/>
    </row>
    <row r="39" spans="3:13" hidden="1">
      <c r="C39" s="36">
        <f t="shared" si="1"/>
        <v>36</v>
      </c>
      <c r="D39" s="36" t="s">
        <v>306</v>
      </c>
      <c r="E39" s="36" t="s">
        <v>359</v>
      </c>
      <c r="F39" s="36"/>
      <c r="G39" s="36"/>
      <c r="H39" s="36">
        <v>63</v>
      </c>
      <c r="I39" s="36">
        <v>57</v>
      </c>
      <c r="J39" s="36">
        <f t="shared" si="2"/>
        <v>3864.6</v>
      </c>
      <c r="K39" s="306">
        <f t="shared" si="0"/>
        <v>1.0629999999999999</v>
      </c>
      <c r="L39" s="36"/>
      <c r="M39" s="36"/>
    </row>
    <row r="40" spans="3:13" hidden="1">
      <c r="C40" s="36">
        <f t="shared" si="1"/>
        <v>37</v>
      </c>
      <c r="D40" s="36" t="s">
        <v>386</v>
      </c>
      <c r="E40" s="36" t="s">
        <v>246</v>
      </c>
      <c r="F40" s="36"/>
      <c r="G40" s="36"/>
      <c r="H40" s="36">
        <v>63</v>
      </c>
      <c r="I40" s="36">
        <v>58.2</v>
      </c>
      <c r="J40" s="36">
        <f t="shared" si="2"/>
        <v>3922.7999999999997</v>
      </c>
      <c r="K40" s="306">
        <f t="shared" si="0"/>
        <v>1.0629999999999999</v>
      </c>
      <c r="L40" s="36"/>
      <c r="M40" s="36"/>
    </row>
    <row r="41" spans="3:13" hidden="1">
      <c r="C41" s="36">
        <f t="shared" si="1"/>
        <v>38</v>
      </c>
      <c r="D41" s="36" t="s">
        <v>306</v>
      </c>
      <c r="E41" s="36" t="s">
        <v>360</v>
      </c>
      <c r="F41" s="36"/>
      <c r="G41" s="36"/>
      <c r="H41" s="36">
        <v>63</v>
      </c>
      <c r="I41" s="36">
        <v>41</v>
      </c>
      <c r="J41" s="36">
        <f t="shared" si="2"/>
        <v>3963.7999999999997</v>
      </c>
      <c r="K41" s="306">
        <f t="shared" si="0"/>
        <v>1.0629999999999999</v>
      </c>
      <c r="L41" s="36"/>
      <c r="M41" s="36"/>
    </row>
    <row r="42" spans="3:13" hidden="1">
      <c r="C42" s="36">
        <f t="shared" si="1"/>
        <v>39</v>
      </c>
      <c r="D42" s="36" t="s">
        <v>360</v>
      </c>
      <c r="E42" s="36" t="s">
        <v>537</v>
      </c>
      <c r="F42" s="36"/>
      <c r="G42" s="36"/>
      <c r="H42" s="36">
        <v>63</v>
      </c>
      <c r="I42" s="36">
        <v>30.3</v>
      </c>
      <c r="J42" s="36">
        <f t="shared" si="2"/>
        <v>3994.1</v>
      </c>
      <c r="K42" s="306">
        <f t="shared" si="0"/>
        <v>1.0629999999999999</v>
      </c>
      <c r="L42" s="36"/>
      <c r="M42" s="36"/>
    </row>
    <row r="43" spans="3:13" hidden="1">
      <c r="C43" s="36">
        <f t="shared" si="1"/>
        <v>40</v>
      </c>
      <c r="D43" s="36" t="s">
        <v>360</v>
      </c>
      <c r="E43" s="36" t="s">
        <v>358</v>
      </c>
      <c r="F43" s="36"/>
      <c r="G43" s="36"/>
      <c r="H43" s="36">
        <v>63</v>
      </c>
      <c r="I43" s="36">
        <v>74</v>
      </c>
      <c r="J43" s="36">
        <f t="shared" si="2"/>
        <v>4068.1</v>
      </c>
      <c r="K43" s="306">
        <f t="shared" si="0"/>
        <v>1.0629999999999999</v>
      </c>
      <c r="L43" s="36"/>
      <c r="M43" s="36"/>
    </row>
    <row r="44" spans="3:13" hidden="1">
      <c r="C44" s="36">
        <f t="shared" si="1"/>
        <v>41</v>
      </c>
      <c r="D44" s="36" t="s">
        <v>538</v>
      </c>
      <c r="E44" s="36" t="s">
        <v>633</v>
      </c>
      <c r="F44" s="36"/>
      <c r="G44" s="36"/>
      <c r="H44" s="36">
        <v>75</v>
      </c>
      <c r="I44" s="36">
        <v>18.8</v>
      </c>
      <c r="J44" s="36">
        <f t="shared" si="2"/>
        <v>4086.9</v>
      </c>
      <c r="K44" s="306">
        <f t="shared" si="0"/>
        <v>1.075</v>
      </c>
      <c r="L44" s="36"/>
      <c r="M44" s="36"/>
    </row>
    <row r="45" spans="3:13">
      <c r="C45" s="36">
        <f t="shared" si="1"/>
        <v>42</v>
      </c>
      <c r="D45" s="36" t="s">
        <v>633</v>
      </c>
      <c r="E45" s="36" t="s">
        <v>634</v>
      </c>
      <c r="F45" s="36" t="s">
        <v>301</v>
      </c>
      <c r="G45" s="306">
        <v>0.46</v>
      </c>
      <c r="H45" s="36">
        <v>63</v>
      </c>
      <c r="I45" s="36">
        <v>41</v>
      </c>
      <c r="J45" s="36">
        <f t="shared" si="2"/>
        <v>4127.8999999999996</v>
      </c>
      <c r="K45" s="306">
        <f t="shared" si="0"/>
        <v>1.0629999999999999</v>
      </c>
      <c r="L45" s="36"/>
      <c r="M45" s="36"/>
    </row>
    <row r="46" spans="3:13">
      <c r="C46" s="36">
        <f t="shared" si="1"/>
        <v>43</v>
      </c>
      <c r="D46" s="36" t="s">
        <v>634</v>
      </c>
      <c r="E46" s="36" t="s">
        <v>352</v>
      </c>
      <c r="F46" s="36" t="s">
        <v>301</v>
      </c>
      <c r="G46" s="306">
        <v>0.46</v>
      </c>
      <c r="H46" s="36">
        <v>63</v>
      </c>
      <c r="I46" s="36">
        <v>67.599999999999994</v>
      </c>
      <c r="J46" s="36">
        <f t="shared" si="2"/>
        <v>4195.5</v>
      </c>
      <c r="K46" s="306">
        <f t="shared" si="0"/>
        <v>1.0629999999999999</v>
      </c>
      <c r="L46" s="36"/>
      <c r="M46" s="36"/>
    </row>
    <row r="47" spans="3:13" hidden="1">
      <c r="C47" s="36">
        <f t="shared" si="1"/>
        <v>44</v>
      </c>
      <c r="D47" s="36" t="s">
        <v>634</v>
      </c>
      <c r="E47" s="36" t="s">
        <v>352</v>
      </c>
      <c r="F47" s="36"/>
      <c r="G47" s="36"/>
      <c r="H47" s="36">
        <v>63</v>
      </c>
      <c r="I47" s="36">
        <v>17.5</v>
      </c>
      <c r="J47" s="36">
        <f t="shared" si="2"/>
        <v>4213</v>
      </c>
      <c r="K47" s="306">
        <f t="shared" si="0"/>
        <v>1.0629999999999999</v>
      </c>
      <c r="L47" s="36"/>
      <c r="M47" s="36"/>
    </row>
    <row r="48" spans="3:13">
      <c r="C48" s="36">
        <f t="shared" si="1"/>
        <v>45</v>
      </c>
      <c r="D48" s="36" t="s">
        <v>634</v>
      </c>
      <c r="E48" s="36" t="s">
        <v>635</v>
      </c>
      <c r="F48" s="36" t="s">
        <v>301</v>
      </c>
      <c r="G48" s="306">
        <v>0.46</v>
      </c>
      <c r="H48" s="36">
        <v>63</v>
      </c>
      <c r="I48" s="36">
        <v>15.9</v>
      </c>
      <c r="J48" s="36">
        <f t="shared" si="2"/>
        <v>4228.8999999999996</v>
      </c>
      <c r="K48" s="306">
        <f t="shared" si="0"/>
        <v>1.0629999999999999</v>
      </c>
      <c r="L48" s="36"/>
      <c r="M48" s="36"/>
    </row>
    <row r="49" spans="3:13" hidden="1">
      <c r="C49" s="36">
        <f t="shared" si="1"/>
        <v>46</v>
      </c>
      <c r="D49" s="36" t="s">
        <v>635</v>
      </c>
      <c r="E49" s="36" t="s">
        <v>636</v>
      </c>
      <c r="F49" s="36"/>
      <c r="G49" s="36"/>
      <c r="H49" s="36">
        <v>63</v>
      </c>
      <c r="I49" s="36">
        <v>37</v>
      </c>
      <c r="J49" s="36">
        <f t="shared" si="2"/>
        <v>4265.8999999999996</v>
      </c>
      <c r="K49" s="306">
        <f t="shared" si="0"/>
        <v>1.0629999999999999</v>
      </c>
      <c r="L49" s="36"/>
      <c r="M49" s="36"/>
    </row>
    <row r="50" spans="3:13">
      <c r="C50" s="36">
        <f t="shared" si="1"/>
        <v>47</v>
      </c>
      <c r="D50" s="36" t="s">
        <v>635</v>
      </c>
      <c r="E50" s="36" t="s">
        <v>637</v>
      </c>
      <c r="F50" s="36" t="s">
        <v>301</v>
      </c>
      <c r="G50" s="306">
        <v>0.46</v>
      </c>
      <c r="H50" s="36">
        <v>63</v>
      </c>
      <c r="I50" s="36">
        <v>13</v>
      </c>
      <c r="J50" s="36">
        <f t="shared" si="2"/>
        <v>4278.8999999999996</v>
      </c>
      <c r="K50" s="306">
        <f t="shared" si="0"/>
        <v>1.0629999999999999</v>
      </c>
      <c r="L50" s="36"/>
      <c r="M50" s="36"/>
    </row>
    <row r="51" spans="3:13" hidden="1">
      <c r="C51" s="36">
        <f t="shared" si="1"/>
        <v>48</v>
      </c>
      <c r="D51" s="36" t="s">
        <v>637</v>
      </c>
      <c r="E51" s="36" t="s">
        <v>347</v>
      </c>
      <c r="F51" s="36"/>
      <c r="G51" s="36"/>
      <c r="H51" s="36">
        <v>63</v>
      </c>
      <c r="I51" s="36">
        <v>21.5</v>
      </c>
      <c r="J51" s="36">
        <f t="shared" si="2"/>
        <v>4300.3999999999996</v>
      </c>
      <c r="K51" s="306">
        <f t="shared" si="0"/>
        <v>1.0629999999999999</v>
      </c>
      <c r="L51" s="36"/>
      <c r="M51" s="36"/>
    </row>
    <row r="52" spans="3:13" hidden="1">
      <c r="C52" s="36">
        <f t="shared" si="1"/>
        <v>49</v>
      </c>
      <c r="D52" s="36" t="s">
        <v>637</v>
      </c>
      <c r="E52" s="36" t="s">
        <v>638</v>
      </c>
      <c r="F52" s="36"/>
      <c r="G52" s="36"/>
      <c r="H52" s="36">
        <v>63</v>
      </c>
      <c r="I52" s="36">
        <v>23.6</v>
      </c>
      <c r="J52" s="36">
        <f t="shared" si="2"/>
        <v>4324</v>
      </c>
      <c r="K52" s="306">
        <f t="shared" si="0"/>
        <v>1.0629999999999999</v>
      </c>
      <c r="L52" s="36"/>
      <c r="M52" s="36"/>
    </row>
    <row r="53" spans="3:13" hidden="1">
      <c r="C53" s="36">
        <f t="shared" si="1"/>
        <v>50</v>
      </c>
      <c r="D53" s="36" t="s">
        <v>633</v>
      </c>
      <c r="E53" s="36" t="s">
        <v>238</v>
      </c>
      <c r="F53" s="36" t="s">
        <v>383</v>
      </c>
      <c r="G53" s="306">
        <f>+(300+H53)/1000</f>
        <v>0.375</v>
      </c>
      <c r="H53" s="36">
        <v>75</v>
      </c>
      <c r="I53" s="36">
        <v>4</v>
      </c>
      <c r="J53" s="36">
        <f t="shared" si="2"/>
        <v>4328</v>
      </c>
      <c r="K53" s="306">
        <f t="shared" si="0"/>
        <v>1.075</v>
      </c>
      <c r="L53" s="570" t="s">
        <v>627</v>
      </c>
      <c r="M53" s="573"/>
    </row>
    <row r="54" spans="3:13" hidden="1">
      <c r="C54" s="36">
        <f t="shared" si="1"/>
        <v>51</v>
      </c>
      <c r="D54" s="36" t="s">
        <v>633</v>
      </c>
      <c r="E54" s="36" t="s">
        <v>238</v>
      </c>
      <c r="F54" s="36"/>
      <c r="G54" s="36"/>
      <c r="H54" s="36">
        <v>75</v>
      </c>
      <c r="I54" s="36">
        <v>49.5</v>
      </c>
      <c r="J54" s="36">
        <f t="shared" si="2"/>
        <v>4377.5</v>
      </c>
      <c r="K54" s="306">
        <f t="shared" si="0"/>
        <v>1.075</v>
      </c>
      <c r="L54" s="36"/>
      <c r="M54" s="36"/>
    </row>
    <row r="55" spans="3:13" hidden="1">
      <c r="C55" s="36">
        <f t="shared" si="1"/>
        <v>52</v>
      </c>
      <c r="D55" s="36" t="s">
        <v>633</v>
      </c>
      <c r="E55" s="36" t="s">
        <v>238</v>
      </c>
      <c r="F55" s="36" t="s">
        <v>199</v>
      </c>
      <c r="G55" s="306">
        <v>0.46</v>
      </c>
      <c r="H55" s="36">
        <v>75</v>
      </c>
      <c r="I55" s="36">
        <v>21.6</v>
      </c>
      <c r="J55" s="36">
        <f t="shared" si="2"/>
        <v>4399.1000000000004</v>
      </c>
      <c r="K55" s="306">
        <f t="shared" si="0"/>
        <v>1.075</v>
      </c>
      <c r="L55" s="36"/>
      <c r="M55" s="36"/>
    </row>
    <row r="56" spans="3:13" hidden="1">
      <c r="C56" s="36">
        <f t="shared" si="1"/>
        <v>53</v>
      </c>
      <c r="D56" s="36" t="s">
        <v>633</v>
      </c>
      <c r="E56" s="36" t="s">
        <v>238</v>
      </c>
      <c r="F56" s="36"/>
      <c r="G56" s="36"/>
      <c r="H56" s="36">
        <v>75</v>
      </c>
      <c r="I56" s="36">
        <v>50.3</v>
      </c>
      <c r="J56" s="36">
        <f t="shared" si="2"/>
        <v>4449.4000000000005</v>
      </c>
      <c r="K56" s="306">
        <f t="shared" si="0"/>
        <v>1.075</v>
      </c>
      <c r="L56" s="36"/>
      <c r="M56" s="36"/>
    </row>
    <row r="57" spans="3:13" hidden="1">
      <c r="C57" s="36">
        <f t="shared" si="1"/>
        <v>54</v>
      </c>
      <c r="D57" s="36" t="s">
        <v>633</v>
      </c>
      <c r="E57" s="36" t="s">
        <v>238</v>
      </c>
      <c r="F57" s="36"/>
      <c r="G57" s="306"/>
      <c r="H57" s="36">
        <v>75</v>
      </c>
      <c r="I57" s="36">
        <v>41</v>
      </c>
      <c r="J57" s="36">
        <f t="shared" si="2"/>
        <v>4490.4000000000005</v>
      </c>
      <c r="K57" s="306">
        <f t="shared" si="0"/>
        <v>1.075</v>
      </c>
      <c r="L57" s="36"/>
      <c r="M57" s="36"/>
    </row>
    <row r="58" spans="3:13" hidden="1">
      <c r="C58" s="36">
        <f t="shared" si="1"/>
        <v>55</v>
      </c>
      <c r="D58" s="36" t="s">
        <v>633</v>
      </c>
      <c r="E58" s="36" t="s">
        <v>238</v>
      </c>
      <c r="F58" s="36"/>
      <c r="G58" s="36"/>
      <c r="H58" s="36">
        <v>75</v>
      </c>
      <c r="I58" s="36">
        <v>203.3</v>
      </c>
      <c r="J58" s="36">
        <f t="shared" si="2"/>
        <v>4693.7000000000007</v>
      </c>
      <c r="K58" s="306">
        <f t="shared" si="0"/>
        <v>1.075</v>
      </c>
      <c r="L58" s="36"/>
      <c r="M58" s="36"/>
    </row>
    <row r="59" spans="3:13" hidden="1">
      <c r="C59" s="36">
        <f t="shared" si="1"/>
        <v>56</v>
      </c>
      <c r="D59" s="36" t="s">
        <v>341</v>
      </c>
      <c r="E59" s="36" t="s">
        <v>341</v>
      </c>
      <c r="F59" s="36" t="s">
        <v>199</v>
      </c>
      <c r="G59" s="306">
        <v>0.46</v>
      </c>
      <c r="H59" s="36">
        <v>63</v>
      </c>
      <c r="I59" s="36">
        <v>77.599999999999994</v>
      </c>
      <c r="J59" s="36">
        <f t="shared" si="2"/>
        <v>4771.3000000000011</v>
      </c>
      <c r="K59" s="306">
        <f t="shared" si="0"/>
        <v>1.0629999999999999</v>
      </c>
      <c r="L59" s="36"/>
      <c r="M59" s="36"/>
    </row>
    <row r="60" spans="3:13" hidden="1">
      <c r="C60" s="36">
        <f t="shared" si="1"/>
        <v>57</v>
      </c>
      <c r="D60" s="36" t="s">
        <v>341</v>
      </c>
      <c r="E60" s="36" t="s">
        <v>341</v>
      </c>
      <c r="F60" s="36"/>
      <c r="G60" s="36"/>
      <c r="H60" s="36">
        <v>63</v>
      </c>
      <c r="I60" s="36">
        <v>238.4</v>
      </c>
      <c r="J60" s="36">
        <f t="shared" si="2"/>
        <v>5009.7000000000007</v>
      </c>
      <c r="K60" s="306">
        <f t="shared" si="0"/>
        <v>1.0629999999999999</v>
      </c>
      <c r="L60" s="36"/>
      <c r="M60" s="36"/>
    </row>
    <row r="61" spans="3:13" hidden="1">
      <c r="C61" s="36">
        <f t="shared" si="1"/>
        <v>58</v>
      </c>
      <c r="D61" s="36" t="s">
        <v>348</v>
      </c>
      <c r="E61" s="36" t="s">
        <v>344</v>
      </c>
      <c r="F61" s="36"/>
      <c r="G61" s="36"/>
      <c r="H61" s="36">
        <v>63</v>
      </c>
      <c r="I61" s="36">
        <v>55.4</v>
      </c>
      <c r="J61" s="36">
        <f t="shared" si="2"/>
        <v>5065.1000000000004</v>
      </c>
      <c r="K61" s="306">
        <f t="shared" si="0"/>
        <v>1.0629999999999999</v>
      </c>
      <c r="L61" s="36"/>
      <c r="M61" s="36"/>
    </row>
    <row r="62" spans="3:13" hidden="1">
      <c r="C62" s="36">
        <f t="shared" si="1"/>
        <v>59</v>
      </c>
      <c r="D62" s="36" t="s">
        <v>348</v>
      </c>
      <c r="E62" s="36" t="s">
        <v>343</v>
      </c>
      <c r="F62" s="36"/>
      <c r="G62" s="36"/>
      <c r="H62" s="36">
        <v>63</v>
      </c>
      <c r="I62" s="36">
        <v>276.8</v>
      </c>
      <c r="J62" s="36">
        <f t="shared" si="2"/>
        <v>5341.9000000000005</v>
      </c>
      <c r="K62" s="306">
        <f t="shared" si="0"/>
        <v>1.0629999999999999</v>
      </c>
      <c r="L62" s="36"/>
      <c r="M62" s="36"/>
    </row>
    <row r="63" spans="3:13" hidden="1">
      <c r="C63" s="36">
        <f t="shared" si="1"/>
        <v>60</v>
      </c>
      <c r="D63" s="36" t="s">
        <v>343</v>
      </c>
      <c r="E63" s="36" t="s">
        <v>342</v>
      </c>
      <c r="F63" s="36"/>
      <c r="G63" s="36"/>
      <c r="H63" s="36">
        <v>63</v>
      </c>
      <c r="I63" s="36">
        <v>250.5</v>
      </c>
      <c r="J63" s="36">
        <f t="shared" si="2"/>
        <v>5592.4000000000005</v>
      </c>
      <c r="K63" s="306">
        <f t="shared" si="0"/>
        <v>1.0629999999999999</v>
      </c>
      <c r="L63" s="36"/>
      <c r="M63" s="36"/>
    </row>
    <row r="64" spans="3:13" hidden="1">
      <c r="C64" s="36">
        <f t="shared" si="1"/>
        <v>61</v>
      </c>
      <c r="D64" s="36" t="s">
        <v>443</v>
      </c>
      <c r="E64" s="36" t="s">
        <v>639</v>
      </c>
      <c r="F64" s="36"/>
      <c r="G64" s="36"/>
      <c r="H64" s="36">
        <v>63</v>
      </c>
      <c r="I64" s="36">
        <v>62.3</v>
      </c>
      <c r="J64" s="36">
        <f t="shared" si="2"/>
        <v>5654.7000000000007</v>
      </c>
      <c r="K64" s="306">
        <f t="shared" si="0"/>
        <v>1.0629999999999999</v>
      </c>
      <c r="L64" s="36"/>
      <c r="M64" s="36"/>
    </row>
    <row r="65" spans="3:13" hidden="1">
      <c r="C65" s="36">
        <f t="shared" si="1"/>
        <v>62</v>
      </c>
      <c r="D65" s="36" t="s">
        <v>640</v>
      </c>
      <c r="E65" s="36" t="s">
        <v>239</v>
      </c>
      <c r="F65" s="36"/>
      <c r="G65" s="36"/>
      <c r="H65" s="36">
        <v>63</v>
      </c>
      <c r="I65" s="36">
        <v>48.2</v>
      </c>
      <c r="J65" s="36">
        <f t="shared" si="2"/>
        <v>5702.9000000000005</v>
      </c>
      <c r="K65" s="306">
        <f t="shared" si="0"/>
        <v>1.0629999999999999</v>
      </c>
      <c r="L65" s="36"/>
      <c r="M65" s="36"/>
    </row>
    <row r="66" spans="3:13" hidden="1">
      <c r="C66" s="36">
        <f t="shared" si="1"/>
        <v>63</v>
      </c>
      <c r="D66" s="36" t="s">
        <v>239</v>
      </c>
      <c r="E66" s="36" t="s">
        <v>343</v>
      </c>
      <c r="F66" s="36"/>
      <c r="G66" s="36"/>
      <c r="H66" s="36">
        <v>63</v>
      </c>
      <c r="I66" s="36">
        <v>38.1</v>
      </c>
      <c r="J66" s="36">
        <f t="shared" si="2"/>
        <v>5741.0000000000009</v>
      </c>
      <c r="K66" s="306">
        <f t="shared" si="0"/>
        <v>1.0629999999999999</v>
      </c>
      <c r="L66" s="36"/>
      <c r="M66" s="36"/>
    </row>
    <row r="67" spans="3:13" hidden="1">
      <c r="C67" s="36">
        <f t="shared" si="1"/>
        <v>64</v>
      </c>
      <c r="D67" s="36" t="s">
        <v>239</v>
      </c>
      <c r="E67" s="36" t="s">
        <v>271</v>
      </c>
      <c r="F67" s="36"/>
      <c r="G67" s="36"/>
      <c r="H67" s="36">
        <v>63</v>
      </c>
      <c r="I67" s="36">
        <v>183.6</v>
      </c>
      <c r="J67" s="36">
        <f t="shared" si="2"/>
        <v>5924.6000000000013</v>
      </c>
      <c r="K67" s="306">
        <f t="shared" si="0"/>
        <v>1.0629999999999999</v>
      </c>
      <c r="L67" s="36"/>
      <c r="M67" s="36"/>
    </row>
    <row r="68" spans="3:13" hidden="1">
      <c r="C68" s="36">
        <f t="shared" si="1"/>
        <v>65</v>
      </c>
      <c r="D68" s="36" t="s">
        <v>239</v>
      </c>
      <c r="E68" s="36" t="s">
        <v>271</v>
      </c>
      <c r="F68" s="36" t="s">
        <v>199</v>
      </c>
      <c r="G68" s="306">
        <v>0.46</v>
      </c>
      <c r="H68" s="36">
        <v>63</v>
      </c>
      <c r="I68" s="36">
        <v>120.2</v>
      </c>
      <c r="J68" s="36">
        <f t="shared" si="2"/>
        <v>6044.8000000000011</v>
      </c>
      <c r="K68" s="306">
        <f t="shared" si="0"/>
        <v>1.0629999999999999</v>
      </c>
      <c r="L68" s="36"/>
      <c r="M68" s="36"/>
    </row>
    <row r="69" spans="3:13" hidden="1">
      <c r="C69" s="36">
        <f t="shared" si="1"/>
        <v>66</v>
      </c>
      <c r="D69" s="36" t="s">
        <v>239</v>
      </c>
      <c r="E69" s="36" t="s">
        <v>271</v>
      </c>
      <c r="F69" s="36" t="s">
        <v>383</v>
      </c>
      <c r="G69" s="306">
        <f t="shared" ref="G69" si="3">+(300+H69)/1000</f>
        <v>0.36299999999999999</v>
      </c>
      <c r="H69" s="36">
        <v>63</v>
      </c>
      <c r="I69" s="36">
        <v>3.4</v>
      </c>
      <c r="J69" s="36">
        <f t="shared" si="2"/>
        <v>6048.2000000000007</v>
      </c>
      <c r="K69" s="306">
        <f t="shared" si="0"/>
        <v>1.0629999999999999</v>
      </c>
      <c r="L69" s="570" t="s">
        <v>627</v>
      </c>
      <c r="M69" s="573"/>
    </row>
    <row r="70" spans="3:13" hidden="1">
      <c r="C70" s="36">
        <f t="shared" ref="C70:C133" si="4">+C69+1</f>
        <v>67</v>
      </c>
      <c r="D70" s="36" t="s">
        <v>271</v>
      </c>
      <c r="E70" s="36" t="s">
        <v>243</v>
      </c>
      <c r="F70" s="36"/>
      <c r="G70" s="36"/>
      <c r="H70" s="36">
        <v>90</v>
      </c>
      <c r="I70" s="36">
        <v>164.4</v>
      </c>
      <c r="J70" s="36">
        <f t="shared" ref="J70:J133" si="5">+$J69+I70</f>
        <v>6212.6</v>
      </c>
      <c r="K70" s="306">
        <f t="shared" si="0"/>
        <v>1.0900000000000001</v>
      </c>
      <c r="L70" s="36"/>
      <c r="M70" s="36"/>
    </row>
    <row r="71" spans="3:13" hidden="1">
      <c r="C71" s="36">
        <f t="shared" si="4"/>
        <v>68</v>
      </c>
      <c r="D71" s="36" t="s">
        <v>243</v>
      </c>
      <c r="E71" s="36" t="s">
        <v>440</v>
      </c>
      <c r="F71" s="36"/>
      <c r="G71" s="36"/>
      <c r="H71" s="36">
        <v>90</v>
      </c>
      <c r="I71" s="36">
        <v>199.2</v>
      </c>
      <c r="J71" s="36">
        <f t="shared" si="5"/>
        <v>6411.8</v>
      </c>
      <c r="K71" s="306">
        <f t="shared" ref="K71:K153" si="6">(1000+H71)/1000</f>
        <v>1.0900000000000001</v>
      </c>
      <c r="L71" s="36"/>
      <c r="M71" s="36"/>
    </row>
    <row r="72" spans="3:13" hidden="1">
      <c r="C72" s="36">
        <f t="shared" si="4"/>
        <v>69</v>
      </c>
      <c r="D72" s="36" t="s">
        <v>440</v>
      </c>
      <c r="E72" s="36" t="s">
        <v>441</v>
      </c>
      <c r="F72" s="36"/>
      <c r="G72" s="36"/>
      <c r="H72" s="36">
        <v>63</v>
      </c>
      <c r="I72" s="36">
        <v>56.8</v>
      </c>
      <c r="J72" s="36">
        <f t="shared" si="5"/>
        <v>6468.6</v>
      </c>
      <c r="K72" s="306">
        <f t="shared" si="6"/>
        <v>1.0629999999999999</v>
      </c>
      <c r="L72" s="36"/>
      <c r="M72" s="36"/>
    </row>
    <row r="73" spans="3:13" hidden="1">
      <c r="C73" s="36">
        <f t="shared" si="4"/>
        <v>70</v>
      </c>
      <c r="D73" s="36" t="s">
        <v>440</v>
      </c>
      <c r="E73" s="36" t="s">
        <v>238</v>
      </c>
      <c r="F73" s="36"/>
      <c r="G73" s="36"/>
      <c r="H73" s="36">
        <v>90</v>
      </c>
      <c r="I73" s="36">
        <v>5.7</v>
      </c>
      <c r="J73" s="36">
        <f t="shared" si="5"/>
        <v>6474.3</v>
      </c>
      <c r="K73" s="306">
        <f t="shared" si="6"/>
        <v>1.0900000000000001</v>
      </c>
      <c r="L73" s="36"/>
      <c r="M73" s="36"/>
    </row>
    <row r="74" spans="3:13" hidden="1">
      <c r="C74" s="36">
        <f t="shared" si="4"/>
        <v>71</v>
      </c>
      <c r="D74" s="36" t="s">
        <v>440</v>
      </c>
      <c r="E74" s="36" t="s">
        <v>238</v>
      </c>
      <c r="F74" s="36"/>
      <c r="G74" s="36"/>
      <c r="H74" s="36">
        <v>90</v>
      </c>
      <c r="I74" s="36">
        <v>19.600000000000001</v>
      </c>
      <c r="J74" s="36">
        <f t="shared" si="5"/>
        <v>6493.9000000000005</v>
      </c>
      <c r="K74" s="306">
        <f t="shared" si="6"/>
        <v>1.0900000000000001</v>
      </c>
      <c r="L74" s="36"/>
      <c r="M74" s="36"/>
    </row>
    <row r="75" spans="3:13" hidden="1">
      <c r="C75" s="36">
        <f t="shared" si="4"/>
        <v>72</v>
      </c>
      <c r="D75" s="36" t="s">
        <v>440</v>
      </c>
      <c r="E75" s="36" t="s">
        <v>238</v>
      </c>
      <c r="F75" s="36"/>
      <c r="G75" s="36"/>
      <c r="H75" s="36">
        <v>90</v>
      </c>
      <c r="I75" s="36">
        <v>52.4</v>
      </c>
      <c r="J75" s="36">
        <f t="shared" si="5"/>
        <v>6546.3</v>
      </c>
      <c r="K75" s="306">
        <f t="shared" si="6"/>
        <v>1.0900000000000001</v>
      </c>
      <c r="L75" s="36"/>
      <c r="M75" s="36"/>
    </row>
    <row r="76" spans="3:13" hidden="1">
      <c r="C76" s="36">
        <f t="shared" si="4"/>
        <v>73</v>
      </c>
      <c r="D76" s="36" t="s">
        <v>243</v>
      </c>
      <c r="E76" s="36" t="s">
        <v>325</v>
      </c>
      <c r="F76" s="36"/>
      <c r="G76" s="36"/>
      <c r="H76" s="36">
        <v>63</v>
      </c>
      <c r="I76" s="36">
        <v>196.7</v>
      </c>
      <c r="J76" s="36">
        <f t="shared" si="5"/>
        <v>6743</v>
      </c>
      <c r="K76" s="306">
        <f t="shared" si="6"/>
        <v>1.0629999999999999</v>
      </c>
      <c r="L76" s="36"/>
      <c r="M76" s="36"/>
    </row>
    <row r="77" spans="3:13" hidden="1">
      <c r="C77" s="36">
        <f t="shared" si="4"/>
        <v>74</v>
      </c>
      <c r="D77" s="36" t="s">
        <v>325</v>
      </c>
      <c r="E77" s="36" t="s">
        <v>324</v>
      </c>
      <c r="F77" s="36"/>
      <c r="G77" s="36"/>
      <c r="H77" s="36">
        <v>63</v>
      </c>
      <c r="I77" s="36">
        <v>22.2</v>
      </c>
      <c r="J77" s="36">
        <f t="shared" si="5"/>
        <v>6765.2</v>
      </c>
      <c r="K77" s="306">
        <f t="shared" si="6"/>
        <v>1.0629999999999999</v>
      </c>
      <c r="L77" s="36"/>
      <c r="M77" s="36"/>
    </row>
    <row r="78" spans="3:13" hidden="1">
      <c r="C78" s="36">
        <f t="shared" si="4"/>
        <v>75</v>
      </c>
      <c r="D78" s="36" t="s">
        <v>325</v>
      </c>
      <c r="E78" s="36" t="s">
        <v>309</v>
      </c>
      <c r="F78" s="36"/>
      <c r="G78" s="36"/>
      <c r="H78" s="36">
        <v>63</v>
      </c>
      <c r="I78" s="36">
        <v>40.799999999999997</v>
      </c>
      <c r="J78" s="36">
        <f t="shared" si="5"/>
        <v>6806</v>
      </c>
      <c r="K78" s="306">
        <f t="shared" si="6"/>
        <v>1.0629999999999999</v>
      </c>
      <c r="L78" s="36"/>
      <c r="M78" s="36"/>
    </row>
    <row r="79" spans="3:13" hidden="1">
      <c r="C79" s="36">
        <f t="shared" si="4"/>
        <v>76</v>
      </c>
      <c r="D79" s="36" t="s">
        <v>309</v>
      </c>
      <c r="E79" s="36" t="s">
        <v>235</v>
      </c>
      <c r="F79" s="36"/>
      <c r="G79" s="36"/>
      <c r="H79" s="36">
        <v>63</v>
      </c>
      <c r="I79" s="36">
        <v>10.3</v>
      </c>
      <c r="J79" s="36">
        <f t="shared" si="5"/>
        <v>6816.3</v>
      </c>
      <c r="K79" s="306">
        <f t="shared" si="6"/>
        <v>1.0629999999999999</v>
      </c>
      <c r="L79" s="36"/>
      <c r="M79" s="36"/>
    </row>
    <row r="80" spans="3:13" hidden="1">
      <c r="C80" s="36">
        <f t="shared" si="4"/>
        <v>77</v>
      </c>
      <c r="D80" s="36" t="s">
        <v>235</v>
      </c>
      <c r="E80" s="36" t="s">
        <v>335</v>
      </c>
      <c r="F80" s="36"/>
      <c r="G80" s="36"/>
      <c r="H80" s="36">
        <v>63</v>
      </c>
      <c r="I80" s="36">
        <v>17.5</v>
      </c>
      <c r="J80" s="36">
        <f t="shared" si="5"/>
        <v>6833.8</v>
      </c>
      <c r="K80" s="306">
        <f t="shared" si="6"/>
        <v>1.0629999999999999</v>
      </c>
      <c r="L80" s="36"/>
      <c r="M80" s="36"/>
    </row>
    <row r="81" spans="3:13" hidden="1">
      <c r="C81" s="36">
        <f t="shared" si="4"/>
        <v>78</v>
      </c>
      <c r="D81" s="36" t="s">
        <v>235</v>
      </c>
      <c r="E81" s="36" t="s">
        <v>234</v>
      </c>
      <c r="F81" s="36"/>
      <c r="G81" s="36"/>
      <c r="H81" s="36">
        <v>63</v>
      </c>
      <c r="I81" s="36">
        <v>53.2</v>
      </c>
      <c r="J81" s="36">
        <f t="shared" si="5"/>
        <v>6887</v>
      </c>
      <c r="K81" s="306">
        <f t="shared" si="6"/>
        <v>1.0629999999999999</v>
      </c>
      <c r="L81" s="36"/>
      <c r="M81" s="36"/>
    </row>
    <row r="82" spans="3:13" hidden="1">
      <c r="C82" s="36">
        <f t="shared" si="4"/>
        <v>79</v>
      </c>
      <c r="D82" s="36" t="s">
        <v>309</v>
      </c>
      <c r="E82" s="36" t="s">
        <v>336</v>
      </c>
      <c r="F82" s="36"/>
      <c r="G82" s="36"/>
      <c r="H82" s="36">
        <v>63</v>
      </c>
      <c r="I82" s="36">
        <v>106.3</v>
      </c>
      <c r="J82" s="36">
        <f t="shared" si="5"/>
        <v>6993.3</v>
      </c>
      <c r="K82" s="306">
        <f t="shared" si="6"/>
        <v>1.0629999999999999</v>
      </c>
      <c r="L82" s="36"/>
      <c r="M82" s="36"/>
    </row>
    <row r="83" spans="3:13" hidden="1">
      <c r="C83" s="36">
        <f t="shared" si="4"/>
        <v>80</v>
      </c>
      <c r="D83" s="36" t="s">
        <v>271</v>
      </c>
      <c r="E83" s="36" t="s">
        <v>641</v>
      </c>
      <c r="F83" s="36"/>
      <c r="G83" s="36"/>
      <c r="H83" s="36">
        <v>90</v>
      </c>
      <c r="I83" s="36">
        <v>35.799999999999997</v>
      </c>
      <c r="J83" s="36">
        <f t="shared" si="5"/>
        <v>7029.1</v>
      </c>
      <c r="K83" s="306">
        <f t="shared" si="6"/>
        <v>1.0900000000000001</v>
      </c>
      <c r="L83" s="36"/>
      <c r="M83" s="36"/>
    </row>
    <row r="84" spans="3:13" hidden="1">
      <c r="C84" s="36">
        <f t="shared" si="4"/>
        <v>81</v>
      </c>
      <c r="D84" s="36" t="s">
        <v>641</v>
      </c>
      <c r="E84" s="36" t="s">
        <v>642</v>
      </c>
      <c r="F84" s="36"/>
      <c r="G84" s="36"/>
      <c r="H84" s="36">
        <v>63</v>
      </c>
      <c r="I84" s="36">
        <v>100.7</v>
      </c>
      <c r="J84" s="36">
        <f t="shared" si="5"/>
        <v>7129.8</v>
      </c>
      <c r="K84" s="306">
        <f t="shared" si="6"/>
        <v>1.0629999999999999</v>
      </c>
      <c r="L84" s="36"/>
      <c r="M84" s="36"/>
    </row>
    <row r="85" spans="3:13" hidden="1">
      <c r="C85" s="36">
        <f t="shared" si="4"/>
        <v>82</v>
      </c>
      <c r="D85" s="36" t="s">
        <v>641</v>
      </c>
      <c r="E85" s="36" t="s">
        <v>398</v>
      </c>
      <c r="F85" s="36"/>
      <c r="G85" s="36"/>
      <c r="H85" s="36">
        <v>90</v>
      </c>
      <c r="I85" s="36">
        <v>106.3</v>
      </c>
      <c r="J85" s="36">
        <f t="shared" si="5"/>
        <v>7236.1</v>
      </c>
      <c r="K85" s="306">
        <f t="shared" si="6"/>
        <v>1.0900000000000001</v>
      </c>
      <c r="L85" s="36"/>
      <c r="M85" s="36"/>
    </row>
    <row r="86" spans="3:13" hidden="1">
      <c r="C86" s="36">
        <f t="shared" si="4"/>
        <v>83</v>
      </c>
      <c r="D86" s="36" t="s">
        <v>398</v>
      </c>
      <c r="E86" s="36" t="s">
        <v>395</v>
      </c>
      <c r="F86" s="36"/>
      <c r="G86" s="36"/>
      <c r="H86" s="36">
        <v>63</v>
      </c>
      <c r="I86" s="36">
        <v>116.1</v>
      </c>
      <c r="J86" s="36">
        <f t="shared" si="5"/>
        <v>7352.2000000000007</v>
      </c>
      <c r="K86" s="306">
        <f t="shared" si="6"/>
        <v>1.0629999999999999</v>
      </c>
      <c r="L86" s="36"/>
      <c r="M86" s="36"/>
    </row>
    <row r="87" spans="3:13" hidden="1">
      <c r="C87" s="36">
        <f t="shared" si="4"/>
        <v>84</v>
      </c>
      <c r="D87" s="36" t="s">
        <v>395</v>
      </c>
      <c r="E87" s="36" t="s">
        <v>259</v>
      </c>
      <c r="F87" s="36"/>
      <c r="G87" s="36"/>
      <c r="H87" s="36">
        <v>63</v>
      </c>
      <c r="I87" s="36">
        <v>20.7</v>
      </c>
      <c r="J87" s="36">
        <f t="shared" si="5"/>
        <v>7372.9000000000005</v>
      </c>
      <c r="K87" s="306">
        <f t="shared" si="6"/>
        <v>1.0629999999999999</v>
      </c>
      <c r="L87" s="36"/>
      <c r="M87" s="36"/>
    </row>
    <row r="88" spans="3:13" hidden="1">
      <c r="C88" s="36">
        <f t="shared" si="4"/>
        <v>85</v>
      </c>
      <c r="D88" s="36" t="s">
        <v>259</v>
      </c>
      <c r="E88" s="36" t="s">
        <v>260</v>
      </c>
      <c r="F88" s="36"/>
      <c r="G88" s="36"/>
      <c r="H88" s="36">
        <v>63</v>
      </c>
      <c r="I88" s="36">
        <v>5.6</v>
      </c>
      <c r="J88" s="36">
        <f t="shared" si="5"/>
        <v>7378.5000000000009</v>
      </c>
      <c r="K88" s="306">
        <f t="shared" si="6"/>
        <v>1.0629999999999999</v>
      </c>
      <c r="L88" s="36"/>
      <c r="M88" s="36"/>
    </row>
    <row r="89" spans="3:13" hidden="1">
      <c r="C89" s="36">
        <f t="shared" si="4"/>
        <v>86</v>
      </c>
      <c r="D89" s="36" t="s">
        <v>259</v>
      </c>
      <c r="E89" s="36" t="s">
        <v>318</v>
      </c>
      <c r="F89" s="36"/>
      <c r="G89" s="36"/>
      <c r="H89" s="36">
        <v>63</v>
      </c>
      <c r="I89" s="36">
        <v>76.900000000000006</v>
      </c>
      <c r="J89" s="36">
        <f t="shared" si="5"/>
        <v>7455.4000000000005</v>
      </c>
      <c r="K89" s="306">
        <f t="shared" si="6"/>
        <v>1.0629999999999999</v>
      </c>
      <c r="L89" s="36"/>
      <c r="M89" s="36"/>
    </row>
    <row r="90" spans="3:13" hidden="1">
      <c r="C90" s="36">
        <f t="shared" si="4"/>
        <v>87</v>
      </c>
      <c r="D90" s="36" t="s">
        <v>318</v>
      </c>
      <c r="E90" s="36" t="s">
        <v>319</v>
      </c>
      <c r="F90" s="36"/>
      <c r="G90" s="36"/>
      <c r="H90" s="36">
        <v>63</v>
      </c>
      <c r="I90" s="36">
        <v>33.6</v>
      </c>
      <c r="J90" s="36">
        <f t="shared" si="5"/>
        <v>7489.0000000000009</v>
      </c>
      <c r="K90" s="306">
        <f t="shared" si="6"/>
        <v>1.0629999999999999</v>
      </c>
      <c r="L90" s="36"/>
      <c r="M90" s="36"/>
    </row>
    <row r="91" spans="3:13" hidden="1">
      <c r="C91" s="36">
        <f t="shared" si="4"/>
        <v>88</v>
      </c>
      <c r="D91" s="36" t="s">
        <v>319</v>
      </c>
      <c r="E91" s="36" t="s">
        <v>264</v>
      </c>
      <c r="F91" s="36"/>
      <c r="G91" s="36"/>
      <c r="H91" s="36">
        <v>63</v>
      </c>
      <c r="I91" s="36">
        <v>55.3</v>
      </c>
      <c r="J91" s="36">
        <f t="shared" si="5"/>
        <v>7544.3000000000011</v>
      </c>
      <c r="K91" s="306">
        <f t="shared" si="6"/>
        <v>1.0629999999999999</v>
      </c>
      <c r="L91" s="36"/>
      <c r="M91" s="36"/>
    </row>
    <row r="92" spans="3:13" hidden="1">
      <c r="C92" s="36">
        <f t="shared" si="4"/>
        <v>89</v>
      </c>
      <c r="D92" s="36" t="s">
        <v>319</v>
      </c>
      <c r="E92" s="36" t="s">
        <v>521</v>
      </c>
      <c r="F92" s="36"/>
      <c r="G92" s="36"/>
      <c r="H92" s="36">
        <v>63</v>
      </c>
      <c r="I92" s="36">
        <v>54.2</v>
      </c>
      <c r="J92" s="36">
        <f t="shared" si="5"/>
        <v>7598.5000000000009</v>
      </c>
      <c r="K92" s="306">
        <f t="shared" si="6"/>
        <v>1.0629999999999999</v>
      </c>
      <c r="L92" s="36"/>
      <c r="M92" s="36"/>
    </row>
    <row r="93" spans="3:13" hidden="1">
      <c r="C93" s="36">
        <f t="shared" si="4"/>
        <v>90</v>
      </c>
      <c r="D93" s="36" t="s">
        <v>521</v>
      </c>
      <c r="E93" s="36" t="s">
        <v>261</v>
      </c>
      <c r="F93" s="36"/>
      <c r="G93" s="36"/>
      <c r="H93" s="36">
        <v>110</v>
      </c>
      <c r="I93" s="36">
        <v>13.7</v>
      </c>
      <c r="J93" s="36">
        <f t="shared" si="5"/>
        <v>7612.2000000000007</v>
      </c>
      <c r="K93" s="306">
        <f t="shared" si="6"/>
        <v>1.1100000000000001</v>
      </c>
      <c r="L93" s="36"/>
      <c r="M93" s="36"/>
    </row>
    <row r="94" spans="3:13" hidden="1">
      <c r="C94" s="36">
        <f t="shared" si="4"/>
        <v>91</v>
      </c>
      <c r="D94" s="36" t="s">
        <v>261</v>
      </c>
      <c r="E94" s="36" t="s">
        <v>395</v>
      </c>
      <c r="F94" s="36" t="s">
        <v>199</v>
      </c>
      <c r="G94" s="306">
        <v>0.46</v>
      </c>
      <c r="H94" s="36">
        <v>63</v>
      </c>
      <c r="I94" s="36">
        <v>50.7</v>
      </c>
      <c r="J94" s="36">
        <f t="shared" si="5"/>
        <v>7662.9000000000005</v>
      </c>
      <c r="K94" s="306">
        <f t="shared" si="6"/>
        <v>1.0629999999999999</v>
      </c>
      <c r="L94" s="36"/>
      <c r="M94" s="36"/>
    </row>
    <row r="95" spans="3:13" hidden="1">
      <c r="C95" s="36">
        <f t="shared" si="4"/>
        <v>92</v>
      </c>
      <c r="D95" s="36" t="s">
        <v>261</v>
      </c>
      <c r="E95" s="36" t="s">
        <v>395</v>
      </c>
      <c r="F95" s="36"/>
      <c r="G95" s="36"/>
      <c r="H95" s="36">
        <v>63</v>
      </c>
      <c r="I95" s="36">
        <v>9.3000000000000007</v>
      </c>
      <c r="J95" s="36">
        <f t="shared" si="5"/>
        <v>7672.2000000000007</v>
      </c>
      <c r="K95" s="306">
        <f t="shared" si="6"/>
        <v>1.0629999999999999</v>
      </c>
      <c r="L95" s="36"/>
      <c r="M95" s="36"/>
    </row>
    <row r="96" spans="3:13" hidden="1">
      <c r="C96" s="36">
        <f t="shared" si="4"/>
        <v>93</v>
      </c>
      <c r="D96" s="36" t="s">
        <v>398</v>
      </c>
      <c r="E96" s="36" t="s">
        <v>261</v>
      </c>
      <c r="F96" s="36"/>
      <c r="G96" s="36"/>
      <c r="H96" s="36">
        <v>90</v>
      </c>
      <c r="I96" s="36">
        <v>149.30000000000001</v>
      </c>
      <c r="J96" s="36">
        <f t="shared" si="5"/>
        <v>7821.5000000000009</v>
      </c>
      <c r="K96" s="306">
        <f t="shared" si="6"/>
        <v>1.0900000000000001</v>
      </c>
      <c r="L96" s="36"/>
      <c r="M96" s="36"/>
    </row>
    <row r="97" spans="3:13" hidden="1">
      <c r="C97" s="36">
        <f t="shared" si="4"/>
        <v>94</v>
      </c>
      <c r="D97" s="36" t="s">
        <v>521</v>
      </c>
      <c r="E97" s="36" t="s">
        <v>251</v>
      </c>
      <c r="F97" s="36" t="s">
        <v>383</v>
      </c>
      <c r="G97" s="306">
        <f t="shared" ref="G97" si="7">+(300+H97)/1000</f>
        <v>0.36299999999999999</v>
      </c>
      <c r="H97" s="36">
        <v>63</v>
      </c>
      <c r="I97" s="36">
        <v>3.4</v>
      </c>
      <c r="J97" s="36">
        <f t="shared" si="5"/>
        <v>7824.9000000000005</v>
      </c>
      <c r="K97" s="306">
        <f t="shared" si="6"/>
        <v>1.0629999999999999</v>
      </c>
      <c r="L97" s="570" t="s">
        <v>627</v>
      </c>
      <c r="M97" s="573"/>
    </row>
    <row r="98" spans="3:13">
      <c r="C98" s="36">
        <f t="shared" si="4"/>
        <v>95</v>
      </c>
      <c r="D98" s="36" t="s">
        <v>521</v>
      </c>
      <c r="E98" s="36" t="s">
        <v>251</v>
      </c>
      <c r="F98" s="36" t="s">
        <v>301</v>
      </c>
      <c r="G98" s="306">
        <v>0.46</v>
      </c>
      <c r="H98" s="36">
        <v>63</v>
      </c>
      <c r="I98" s="36">
        <v>78.8</v>
      </c>
      <c r="J98" s="36">
        <f t="shared" si="5"/>
        <v>7903.7000000000007</v>
      </c>
      <c r="K98" s="306">
        <f t="shared" si="6"/>
        <v>1.0629999999999999</v>
      </c>
      <c r="L98" s="36"/>
      <c r="M98" s="36"/>
    </row>
    <row r="99" spans="3:13">
      <c r="C99" s="36">
        <f t="shared" si="4"/>
        <v>96</v>
      </c>
      <c r="D99" s="36" t="s">
        <v>251</v>
      </c>
      <c r="E99" s="36" t="s">
        <v>414</v>
      </c>
      <c r="F99" s="36" t="s">
        <v>301</v>
      </c>
      <c r="G99" s="306">
        <v>0.46</v>
      </c>
      <c r="H99" s="36">
        <v>63</v>
      </c>
      <c r="I99" s="36">
        <v>73.099999999999994</v>
      </c>
      <c r="J99" s="36">
        <f t="shared" si="5"/>
        <v>7976.8000000000011</v>
      </c>
      <c r="K99" s="306">
        <f t="shared" si="6"/>
        <v>1.0629999999999999</v>
      </c>
      <c r="L99" s="36"/>
      <c r="M99" s="36"/>
    </row>
    <row r="100" spans="3:13" hidden="1">
      <c r="C100" s="36">
        <f t="shared" si="4"/>
        <v>97</v>
      </c>
      <c r="D100" s="36" t="s">
        <v>251</v>
      </c>
      <c r="E100" s="36" t="s">
        <v>414</v>
      </c>
      <c r="F100" s="36"/>
      <c r="G100" s="36"/>
      <c r="H100" s="36">
        <v>63</v>
      </c>
      <c r="I100" s="36">
        <v>34.1</v>
      </c>
      <c r="J100" s="36">
        <f t="shared" si="5"/>
        <v>8010.9000000000015</v>
      </c>
      <c r="K100" s="306">
        <f t="shared" si="6"/>
        <v>1.0629999999999999</v>
      </c>
      <c r="L100" s="36"/>
      <c r="M100" s="36"/>
    </row>
    <row r="101" spans="3:13">
      <c r="C101" s="36">
        <f t="shared" si="4"/>
        <v>98</v>
      </c>
      <c r="D101" s="36" t="s">
        <v>251</v>
      </c>
      <c r="E101" s="36" t="s">
        <v>267</v>
      </c>
      <c r="F101" s="36" t="s">
        <v>301</v>
      </c>
      <c r="G101" s="306">
        <v>0.46</v>
      </c>
      <c r="H101" s="36">
        <v>63</v>
      </c>
      <c r="I101" s="36">
        <v>2.2999999999999998</v>
      </c>
      <c r="J101" s="36">
        <f t="shared" si="5"/>
        <v>8013.2000000000016</v>
      </c>
      <c r="K101" s="306">
        <f t="shared" si="6"/>
        <v>1.0629999999999999</v>
      </c>
      <c r="L101" s="570" t="s">
        <v>627</v>
      </c>
      <c r="M101" s="573"/>
    </row>
    <row r="102" spans="3:13" hidden="1">
      <c r="C102" s="36">
        <f t="shared" si="4"/>
        <v>99</v>
      </c>
      <c r="D102" s="36" t="s">
        <v>251</v>
      </c>
      <c r="E102" s="36" t="s">
        <v>267</v>
      </c>
      <c r="F102" s="36"/>
      <c r="G102" s="36"/>
      <c r="H102" s="36">
        <v>63</v>
      </c>
      <c r="I102" s="36">
        <v>70.400000000000006</v>
      </c>
      <c r="J102" s="36">
        <f t="shared" si="5"/>
        <v>8083.6000000000013</v>
      </c>
      <c r="K102" s="306">
        <f t="shared" si="6"/>
        <v>1.0629999999999999</v>
      </c>
      <c r="L102" s="36"/>
      <c r="M102" s="36"/>
    </row>
    <row r="103" spans="3:13" hidden="1">
      <c r="C103" s="36">
        <f t="shared" si="4"/>
        <v>100</v>
      </c>
      <c r="D103" s="36" t="s">
        <v>267</v>
      </c>
      <c r="E103" s="36" t="s">
        <v>394</v>
      </c>
      <c r="F103" s="36"/>
      <c r="G103" s="36"/>
      <c r="H103" s="36">
        <v>63</v>
      </c>
      <c r="I103" s="36">
        <v>109.9</v>
      </c>
      <c r="J103" s="36">
        <f t="shared" si="5"/>
        <v>8193.5000000000018</v>
      </c>
      <c r="K103" s="306">
        <f t="shared" si="6"/>
        <v>1.0629999999999999</v>
      </c>
      <c r="L103" s="36"/>
      <c r="M103" s="36"/>
    </row>
    <row r="104" spans="3:13" hidden="1">
      <c r="C104" s="36">
        <f t="shared" si="4"/>
        <v>101</v>
      </c>
      <c r="D104" s="36" t="s">
        <v>394</v>
      </c>
      <c r="E104" s="36" t="s">
        <v>643</v>
      </c>
      <c r="F104" s="36"/>
      <c r="G104" s="36"/>
      <c r="H104" s="36">
        <v>63</v>
      </c>
      <c r="I104" s="36">
        <v>19.5</v>
      </c>
      <c r="J104" s="36">
        <f t="shared" si="5"/>
        <v>8213.0000000000018</v>
      </c>
      <c r="K104" s="306">
        <f t="shared" si="6"/>
        <v>1.0629999999999999</v>
      </c>
      <c r="L104" s="36"/>
      <c r="M104" s="36"/>
    </row>
    <row r="105" spans="3:13" hidden="1">
      <c r="C105" s="36">
        <f t="shared" si="4"/>
        <v>102</v>
      </c>
      <c r="D105" s="36" t="s">
        <v>412</v>
      </c>
      <c r="E105" s="36" t="s">
        <v>265</v>
      </c>
      <c r="F105" s="36"/>
      <c r="G105" s="36"/>
      <c r="H105" s="36">
        <v>63</v>
      </c>
      <c r="I105" s="36">
        <v>31.9</v>
      </c>
      <c r="J105" s="36">
        <f t="shared" si="5"/>
        <v>8244.9000000000015</v>
      </c>
      <c r="K105" s="306">
        <f t="shared" si="6"/>
        <v>1.0629999999999999</v>
      </c>
      <c r="L105" s="36"/>
      <c r="M105" s="36"/>
    </row>
    <row r="106" spans="3:13" hidden="1">
      <c r="C106" s="36">
        <f t="shared" si="4"/>
        <v>103</v>
      </c>
      <c r="D106" s="36" t="s">
        <v>416</v>
      </c>
      <c r="E106" s="36" t="s">
        <v>316</v>
      </c>
      <c r="F106" s="36"/>
      <c r="G106" s="36"/>
      <c r="H106" s="36">
        <v>63</v>
      </c>
      <c r="I106" s="36">
        <v>11.8</v>
      </c>
      <c r="J106" s="36">
        <f t="shared" si="5"/>
        <v>8256.7000000000007</v>
      </c>
      <c r="K106" s="306">
        <f t="shared" si="6"/>
        <v>1.0629999999999999</v>
      </c>
      <c r="L106" s="36"/>
      <c r="M106" s="36"/>
    </row>
    <row r="107" spans="3:13" hidden="1">
      <c r="C107" s="36">
        <f t="shared" si="4"/>
        <v>104</v>
      </c>
      <c r="D107" s="36" t="s">
        <v>416</v>
      </c>
      <c r="E107" s="36" t="s">
        <v>247</v>
      </c>
      <c r="F107" s="36"/>
      <c r="G107" s="36"/>
      <c r="H107" s="36">
        <v>63</v>
      </c>
      <c r="I107" s="36">
        <v>36.1</v>
      </c>
      <c r="J107" s="36">
        <f t="shared" si="5"/>
        <v>8292.8000000000011</v>
      </c>
      <c r="K107" s="306">
        <f t="shared" si="6"/>
        <v>1.0629999999999999</v>
      </c>
      <c r="L107" s="36"/>
      <c r="M107" s="36"/>
    </row>
    <row r="108" spans="3:13" hidden="1">
      <c r="C108" s="36">
        <f t="shared" si="4"/>
        <v>105</v>
      </c>
      <c r="D108" s="36" t="s">
        <v>266</v>
      </c>
      <c r="E108" s="36" t="s">
        <v>506</v>
      </c>
      <c r="F108" s="36"/>
      <c r="G108" s="36"/>
      <c r="H108" s="36">
        <v>75</v>
      </c>
      <c r="I108" s="36">
        <v>192.8</v>
      </c>
      <c r="J108" s="36">
        <f t="shared" si="5"/>
        <v>8485.6</v>
      </c>
      <c r="K108" s="306">
        <f t="shared" si="6"/>
        <v>1.075</v>
      </c>
      <c r="L108" s="36"/>
      <c r="M108" s="36"/>
    </row>
    <row r="109" spans="3:13" hidden="1">
      <c r="C109" s="36">
        <f t="shared" si="4"/>
        <v>106</v>
      </c>
      <c r="D109" s="36" t="s">
        <v>506</v>
      </c>
      <c r="E109" s="36" t="s">
        <v>504</v>
      </c>
      <c r="F109" s="36"/>
      <c r="G109" s="36"/>
      <c r="H109" s="36">
        <v>63</v>
      </c>
      <c r="I109" s="36">
        <v>20.100000000000001</v>
      </c>
      <c r="J109" s="36">
        <f t="shared" si="5"/>
        <v>8505.7000000000007</v>
      </c>
      <c r="K109" s="306">
        <f t="shared" si="6"/>
        <v>1.0629999999999999</v>
      </c>
      <c r="L109" s="36"/>
      <c r="M109" s="36"/>
    </row>
    <row r="110" spans="3:13" hidden="1">
      <c r="C110" s="36">
        <f t="shared" si="4"/>
        <v>107</v>
      </c>
      <c r="D110" s="36" t="s">
        <v>364</v>
      </c>
      <c r="E110" s="36" t="s">
        <v>279</v>
      </c>
      <c r="F110" s="36"/>
      <c r="G110" s="36"/>
      <c r="H110" s="36">
        <v>75</v>
      </c>
      <c r="I110" s="36">
        <v>130.5</v>
      </c>
      <c r="J110" s="36">
        <f t="shared" si="5"/>
        <v>8636.2000000000007</v>
      </c>
      <c r="K110" s="306">
        <f t="shared" si="6"/>
        <v>1.075</v>
      </c>
      <c r="L110" s="36"/>
      <c r="M110" s="36"/>
    </row>
    <row r="111" spans="3:13" hidden="1">
      <c r="C111" s="36">
        <f t="shared" si="4"/>
        <v>108</v>
      </c>
      <c r="D111" s="36" t="s">
        <v>279</v>
      </c>
      <c r="E111" s="36" t="s">
        <v>417</v>
      </c>
      <c r="F111" s="36"/>
      <c r="G111" s="36"/>
      <c r="H111" s="36">
        <v>63</v>
      </c>
      <c r="I111" s="36">
        <v>3</v>
      </c>
      <c r="J111" s="36">
        <f t="shared" si="5"/>
        <v>8639.2000000000007</v>
      </c>
      <c r="K111" s="306">
        <f t="shared" si="6"/>
        <v>1.0629999999999999</v>
      </c>
      <c r="L111" s="36"/>
      <c r="M111" s="36"/>
    </row>
    <row r="112" spans="3:13" hidden="1">
      <c r="C112" s="36">
        <f t="shared" si="4"/>
        <v>109</v>
      </c>
      <c r="D112" s="36" t="s">
        <v>279</v>
      </c>
      <c r="E112" s="36" t="s">
        <v>417</v>
      </c>
      <c r="F112" s="36" t="s">
        <v>199</v>
      </c>
      <c r="G112" s="306">
        <v>0.46</v>
      </c>
      <c r="H112" s="36">
        <v>63</v>
      </c>
      <c r="I112" s="36">
        <v>208</v>
      </c>
      <c r="J112" s="36">
        <f t="shared" si="5"/>
        <v>8847.2000000000007</v>
      </c>
      <c r="K112" s="306">
        <f t="shared" si="6"/>
        <v>1.0629999999999999</v>
      </c>
      <c r="L112" s="36"/>
      <c r="M112" s="36"/>
    </row>
    <row r="113" spans="3:13" hidden="1">
      <c r="C113" s="36">
        <f t="shared" si="4"/>
        <v>110</v>
      </c>
      <c r="D113" s="36" t="s">
        <v>279</v>
      </c>
      <c r="E113" s="36" t="s">
        <v>417</v>
      </c>
      <c r="F113" s="36"/>
      <c r="G113" s="36"/>
      <c r="H113" s="36">
        <v>63</v>
      </c>
      <c r="I113" s="36">
        <v>130.1</v>
      </c>
      <c r="J113" s="36">
        <f t="shared" si="5"/>
        <v>8977.3000000000011</v>
      </c>
      <c r="K113" s="306">
        <f t="shared" si="6"/>
        <v>1.0629999999999999</v>
      </c>
      <c r="L113" s="36"/>
      <c r="M113" s="36"/>
    </row>
    <row r="114" spans="3:13" hidden="1">
      <c r="C114" s="36">
        <f t="shared" si="4"/>
        <v>111</v>
      </c>
      <c r="D114" s="36" t="s">
        <v>406</v>
      </c>
      <c r="E114" s="36" t="s">
        <v>403</v>
      </c>
      <c r="F114" s="36"/>
      <c r="G114" s="36"/>
      <c r="H114" s="36">
        <v>63</v>
      </c>
      <c r="I114" s="36">
        <v>115.1</v>
      </c>
      <c r="J114" s="36">
        <f t="shared" si="5"/>
        <v>9092.4000000000015</v>
      </c>
      <c r="K114" s="306">
        <f t="shared" si="6"/>
        <v>1.0629999999999999</v>
      </c>
      <c r="L114" s="36"/>
      <c r="M114" s="36"/>
    </row>
    <row r="115" spans="3:13" hidden="1">
      <c r="C115" s="36">
        <f t="shared" si="4"/>
        <v>112</v>
      </c>
      <c r="D115" s="36" t="s">
        <v>403</v>
      </c>
      <c r="E115" s="36" t="s">
        <v>402</v>
      </c>
      <c r="F115" s="36"/>
      <c r="G115" s="36"/>
      <c r="H115" s="36">
        <v>63</v>
      </c>
      <c r="I115" s="36">
        <v>15.1</v>
      </c>
      <c r="J115" s="36">
        <f t="shared" si="5"/>
        <v>9107.5000000000018</v>
      </c>
      <c r="K115" s="306">
        <f t="shared" si="6"/>
        <v>1.0629999999999999</v>
      </c>
      <c r="L115" s="36"/>
      <c r="M115" s="36"/>
    </row>
    <row r="116" spans="3:13" hidden="1">
      <c r="C116" s="36">
        <f t="shared" si="4"/>
        <v>113</v>
      </c>
      <c r="D116" s="36" t="s">
        <v>402</v>
      </c>
      <c r="E116" s="36" t="s">
        <v>417</v>
      </c>
      <c r="F116" s="36"/>
      <c r="G116" s="36"/>
      <c r="H116" s="36">
        <v>63</v>
      </c>
      <c r="I116" s="36">
        <v>47.4</v>
      </c>
      <c r="J116" s="36">
        <f t="shared" si="5"/>
        <v>9154.9000000000015</v>
      </c>
      <c r="K116" s="306">
        <f t="shared" si="6"/>
        <v>1.0629999999999999</v>
      </c>
      <c r="L116" s="36"/>
      <c r="M116" s="36"/>
    </row>
    <row r="117" spans="3:13" hidden="1">
      <c r="C117" s="36">
        <f t="shared" si="4"/>
        <v>114</v>
      </c>
      <c r="D117" s="36" t="s">
        <v>279</v>
      </c>
      <c r="E117" s="36" t="s">
        <v>402</v>
      </c>
      <c r="F117" s="36"/>
      <c r="G117" s="36"/>
      <c r="H117" s="36">
        <v>63</v>
      </c>
      <c r="I117" s="36">
        <v>189.4</v>
      </c>
      <c r="J117" s="36">
        <f t="shared" si="5"/>
        <v>9344.3000000000011</v>
      </c>
      <c r="K117" s="306">
        <f t="shared" si="6"/>
        <v>1.0629999999999999</v>
      </c>
      <c r="L117" s="36"/>
      <c r="M117" s="36"/>
    </row>
    <row r="118" spans="3:13" hidden="1">
      <c r="C118" s="36">
        <f t="shared" si="4"/>
        <v>115</v>
      </c>
      <c r="D118" s="36" t="s">
        <v>266</v>
      </c>
      <c r="E118" s="36" t="s">
        <v>262</v>
      </c>
      <c r="F118" s="36"/>
      <c r="G118" s="36"/>
      <c r="H118" s="36">
        <v>75</v>
      </c>
      <c r="I118" s="36">
        <v>115.6</v>
      </c>
      <c r="J118" s="36">
        <f t="shared" si="5"/>
        <v>9459.9000000000015</v>
      </c>
      <c r="K118" s="306">
        <f t="shared" si="6"/>
        <v>1.075</v>
      </c>
      <c r="L118" s="36"/>
      <c r="M118" s="36"/>
    </row>
    <row r="119" spans="3:13" hidden="1">
      <c r="C119" s="36">
        <f t="shared" si="4"/>
        <v>116</v>
      </c>
      <c r="D119" s="36" t="s">
        <v>262</v>
      </c>
      <c r="E119" s="36" t="s">
        <v>254</v>
      </c>
      <c r="F119" s="36"/>
      <c r="G119" s="36"/>
      <c r="H119" s="36">
        <v>63</v>
      </c>
      <c r="I119" s="36">
        <v>124.9</v>
      </c>
      <c r="J119" s="36">
        <f t="shared" si="5"/>
        <v>9584.8000000000011</v>
      </c>
      <c r="K119" s="306">
        <f t="shared" si="6"/>
        <v>1.0629999999999999</v>
      </c>
      <c r="L119" s="36"/>
      <c r="M119" s="36"/>
    </row>
    <row r="120" spans="3:13" hidden="1">
      <c r="C120" s="36">
        <f t="shared" si="4"/>
        <v>117</v>
      </c>
      <c r="D120" s="36" t="s">
        <v>254</v>
      </c>
      <c r="E120" s="36" t="s">
        <v>399</v>
      </c>
      <c r="F120" s="36"/>
      <c r="G120" s="36"/>
      <c r="H120" s="36">
        <v>63</v>
      </c>
      <c r="I120" s="36">
        <v>23.5</v>
      </c>
      <c r="J120" s="36">
        <f t="shared" si="5"/>
        <v>9608.3000000000011</v>
      </c>
      <c r="K120" s="306">
        <f t="shared" si="6"/>
        <v>1.0629999999999999</v>
      </c>
      <c r="L120" s="36"/>
      <c r="M120" s="36"/>
    </row>
    <row r="121" spans="3:13" hidden="1">
      <c r="C121" s="36">
        <f t="shared" si="4"/>
        <v>118</v>
      </c>
      <c r="D121" s="36" t="s">
        <v>254</v>
      </c>
      <c r="E121" s="36" t="s">
        <v>419</v>
      </c>
      <c r="F121" s="36"/>
      <c r="G121" s="36"/>
      <c r="H121" s="36">
        <v>63</v>
      </c>
      <c r="I121" s="36">
        <v>254.9</v>
      </c>
      <c r="J121" s="36">
        <f t="shared" si="5"/>
        <v>9863.2000000000007</v>
      </c>
      <c r="K121" s="306">
        <f t="shared" si="6"/>
        <v>1.0629999999999999</v>
      </c>
      <c r="L121" s="36"/>
      <c r="M121" s="36"/>
    </row>
    <row r="122" spans="3:13" hidden="1">
      <c r="C122" s="36">
        <f t="shared" si="4"/>
        <v>119</v>
      </c>
      <c r="D122" s="36" t="s">
        <v>419</v>
      </c>
      <c r="E122" s="36" t="s">
        <v>426</v>
      </c>
      <c r="F122" s="36"/>
      <c r="G122" s="36"/>
      <c r="H122" s="36">
        <v>63</v>
      </c>
      <c r="I122" s="36">
        <v>33</v>
      </c>
      <c r="J122" s="36">
        <f t="shared" si="5"/>
        <v>9896.2000000000007</v>
      </c>
      <c r="K122" s="306">
        <f t="shared" si="6"/>
        <v>1.0629999999999999</v>
      </c>
      <c r="L122" s="36"/>
      <c r="M122" s="36"/>
    </row>
    <row r="123" spans="3:13">
      <c r="C123" s="36">
        <f t="shared" si="4"/>
        <v>120</v>
      </c>
      <c r="D123" s="36" t="s">
        <v>419</v>
      </c>
      <c r="E123" s="36" t="s">
        <v>426</v>
      </c>
      <c r="F123" s="36" t="s">
        <v>301</v>
      </c>
      <c r="G123" s="306">
        <v>0.46</v>
      </c>
      <c r="H123" s="36">
        <v>63</v>
      </c>
      <c r="I123" s="36">
        <f>173.3-33</f>
        <v>140.30000000000001</v>
      </c>
      <c r="J123" s="36">
        <f t="shared" si="5"/>
        <v>10036.5</v>
      </c>
      <c r="K123" s="306">
        <f t="shared" si="6"/>
        <v>1.0629999999999999</v>
      </c>
      <c r="L123" s="36"/>
      <c r="M123" s="36"/>
    </row>
    <row r="124" spans="3:13" hidden="1">
      <c r="C124" s="36">
        <f t="shared" si="4"/>
        <v>121</v>
      </c>
      <c r="D124" s="36" t="s">
        <v>426</v>
      </c>
      <c r="E124" s="36" t="s">
        <v>644</v>
      </c>
      <c r="F124" s="36"/>
      <c r="G124" s="36"/>
      <c r="H124" s="36">
        <v>63</v>
      </c>
      <c r="I124" s="36">
        <v>39.799999999999997</v>
      </c>
      <c r="J124" s="36">
        <f t="shared" si="5"/>
        <v>10076.299999999999</v>
      </c>
      <c r="K124" s="306">
        <f t="shared" si="6"/>
        <v>1.0629999999999999</v>
      </c>
      <c r="L124" s="36"/>
      <c r="M124" s="36"/>
    </row>
    <row r="125" spans="3:13">
      <c r="C125" s="36">
        <f t="shared" si="4"/>
        <v>122</v>
      </c>
      <c r="D125" s="36" t="s">
        <v>426</v>
      </c>
      <c r="E125" s="36" t="s">
        <v>645</v>
      </c>
      <c r="F125" s="36" t="s">
        <v>301</v>
      </c>
      <c r="G125" s="306">
        <v>0.46</v>
      </c>
      <c r="H125" s="36">
        <v>63</v>
      </c>
      <c r="I125" s="36">
        <v>212.5</v>
      </c>
      <c r="J125" s="36">
        <f t="shared" si="5"/>
        <v>10288.799999999999</v>
      </c>
      <c r="K125" s="306">
        <f t="shared" si="6"/>
        <v>1.0629999999999999</v>
      </c>
      <c r="L125" s="36"/>
      <c r="M125" s="36"/>
    </row>
    <row r="126" spans="3:13" hidden="1">
      <c r="C126" s="36">
        <f t="shared" si="4"/>
        <v>123</v>
      </c>
      <c r="D126" s="36" t="s">
        <v>419</v>
      </c>
      <c r="E126" s="36" t="s">
        <v>197</v>
      </c>
      <c r="F126" s="36"/>
      <c r="G126" s="36"/>
      <c r="H126" s="36">
        <v>63</v>
      </c>
      <c r="I126" s="36">
        <v>207.4</v>
      </c>
      <c r="J126" s="36">
        <f t="shared" si="5"/>
        <v>10496.199999999999</v>
      </c>
      <c r="K126" s="306">
        <f t="shared" si="6"/>
        <v>1.0629999999999999</v>
      </c>
      <c r="L126" s="36"/>
      <c r="M126" s="36"/>
    </row>
    <row r="127" spans="3:13" hidden="1">
      <c r="C127" s="36">
        <f t="shared" si="4"/>
        <v>124</v>
      </c>
      <c r="D127" s="36" t="s">
        <v>265</v>
      </c>
      <c r="E127" s="36" t="s">
        <v>416</v>
      </c>
      <c r="F127" s="36"/>
      <c r="G127" s="36"/>
      <c r="H127" s="36">
        <v>63</v>
      </c>
      <c r="I127" s="36">
        <v>48.5</v>
      </c>
      <c r="J127" s="36">
        <f t="shared" si="5"/>
        <v>10544.699999999999</v>
      </c>
      <c r="K127" s="306">
        <f t="shared" si="6"/>
        <v>1.0629999999999999</v>
      </c>
      <c r="L127" s="36"/>
      <c r="M127" s="36"/>
    </row>
    <row r="128" spans="3:13" hidden="1">
      <c r="C128" s="36">
        <f t="shared" si="4"/>
        <v>125</v>
      </c>
      <c r="D128" s="36" t="s">
        <v>265</v>
      </c>
      <c r="E128" s="36" t="s">
        <v>418</v>
      </c>
      <c r="F128" s="36"/>
      <c r="G128" s="36"/>
      <c r="H128" s="36">
        <v>63</v>
      </c>
      <c r="I128" s="36">
        <v>34.200000000000003</v>
      </c>
      <c r="J128" s="36">
        <f t="shared" si="5"/>
        <v>10578.9</v>
      </c>
      <c r="K128" s="306">
        <f t="shared" si="6"/>
        <v>1.0629999999999999</v>
      </c>
      <c r="L128" s="36"/>
      <c r="M128" s="36"/>
    </row>
    <row r="129" spans="3:13" hidden="1">
      <c r="C129" s="36">
        <f t="shared" si="4"/>
        <v>126</v>
      </c>
      <c r="D129" s="36" t="s">
        <v>267</v>
      </c>
      <c r="E129" s="36" t="s">
        <v>418</v>
      </c>
      <c r="F129" s="36"/>
      <c r="G129" s="36"/>
      <c r="H129" s="36">
        <v>63</v>
      </c>
      <c r="I129" s="36">
        <v>32</v>
      </c>
      <c r="J129" s="36">
        <f t="shared" si="5"/>
        <v>10610.9</v>
      </c>
      <c r="K129" s="306">
        <f t="shared" si="6"/>
        <v>1.0629999999999999</v>
      </c>
      <c r="L129" s="36"/>
      <c r="M129" s="36"/>
    </row>
    <row r="130" spans="3:13" hidden="1">
      <c r="C130" s="36">
        <f t="shared" si="4"/>
        <v>127</v>
      </c>
      <c r="D130" s="36" t="s">
        <v>418</v>
      </c>
      <c r="E130" s="36" t="s">
        <v>350</v>
      </c>
      <c r="F130" s="36"/>
      <c r="G130" s="36"/>
      <c r="H130" s="36">
        <v>63</v>
      </c>
      <c r="I130" s="36">
        <v>27.6</v>
      </c>
      <c r="J130" s="36">
        <f t="shared" si="5"/>
        <v>10638.5</v>
      </c>
      <c r="K130" s="306">
        <f t="shared" si="6"/>
        <v>1.0629999999999999</v>
      </c>
      <c r="L130" s="36"/>
      <c r="M130" s="36"/>
    </row>
    <row r="131" spans="3:13" hidden="1">
      <c r="C131" s="36">
        <f t="shared" si="4"/>
        <v>128</v>
      </c>
      <c r="D131" s="36" t="s">
        <v>350</v>
      </c>
      <c r="E131" s="36" t="s">
        <v>391</v>
      </c>
      <c r="F131" s="36"/>
      <c r="G131" s="36"/>
      <c r="H131" s="36">
        <v>63</v>
      </c>
      <c r="I131" s="36">
        <v>40.799999999999997</v>
      </c>
      <c r="J131" s="36">
        <f t="shared" si="5"/>
        <v>10679.3</v>
      </c>
      <c r="K131" s="306">
        <f t="shared" si="6"/>
        <v>1.0629999999999999</v>
      </c>
      <c r="L131" s="36"/>
      <c r="M131" s="36"/>
    </row>
    <row r="132" spans="3:13" hidden="1">
      <c r="C132" s="36">
        <f t="shared" si="4"/>
        <v>129</v>
      </c>
      <c r="D132" s="36" t="s">
        <v>350</v>
      </c>
      <c r="E132" s="36" t="s">
        <v>523</v>
      </c>
      <c r="F132" s="36"/>
      <c r="G132" s="36"/>
      <c r="H132" s="36">
        <v>63</v>
      </c>
      <c r="I132" s="36">
        <v>8.1999999999999993</v>
      </c>
      <c r="J132" s="36">
        <f t="shared" si="5"/>
        <v>10687.5</v>
      </c>
      <c r="K132" s="306">
        <f t="shared" si="6"/>
        <v>1.0629999999999999</v>
      </c>
      <c r="L132" s="36"/>
      <c r="M132" s="36"/>
    </row>
    <row r="133" spans="3:13" hidden="1">
      <c r="C133" s="36">
        <f t="shared" si="4"/>
        <v>130</v>
      </c>
      <c r="D133" s="36" t="s">
        <v>350</v>
      </c>
      <c r="E133" s="36" t="s">
        <v>523</v>
      </c>
      <c r="F133" s="36" t="s">
        <v>383</v>
      </c>
      <c r="G133" s="36">
        <v>0.36</v>
      </c>
      <c r="H133" s="36">
        <v>63</v>
      </c>
      <c r="I133" s="36">
        <v>3.5</v>
      </c>
      <c r="J133" s="36">
        <f t="shared" si="5"/>
        <v>10691</v>
      </c>
      <c r="K133" s="306">
        <f t="shared" si="6"/>
        <v>1.0629999999999999</v>
      </c>
      <c r="L133" s="570" t="s">
        <v>627</v>
      </c>
      <c r="M133" s="573"/>
    </row>
    <row r="134" spans="3:13" hidden="1">
      <c r="C134" s="36">
        <f t="shared" ref="C134:C153" si="8">+C133+1</f>
        <v>131</v>
      </c>
      <c r="D134" s="36" t="s">
        <v>350</v>
      </c>
      <c r="E134" s="36" t="s">
        <v>523</v>
      </c>
      <c r="F134" s="36"/>
      <c r="G134" s="36"/>
      <c r="H134" s="36">
        <v>63</v>
      </c>
      <c r="I134" s="36">
        <v>1.7</v>
      </c>
      <c r="J134" s="36">
        <f t="shared" ref="J134:J153" si="9">+$J133+I134</f>
        <v>10692.7</v>
      </c>
      <c r="K134" s="306">
        <f t="shared" si="6"/>
        <v>1.0629999999999999</v>
      </c>
      <c r="L134" s="36"/>
      <c r="M134" s="36"/>
    </row>
    <row r="135" spans="3:13" hidden="1">
      <c r="C135" s="36">
        <f t="shared" si="8"/>
        <v>132</v>
      </c>
      <c r="D135" s="36" t="s">
        <v>523</v>
      </c>
      <c r="E135" s="36" t="s">
        <v>646</v>
      </c>
      <c r="F135" s="36"/>
      <c r="G135" s="36"/>
      <c r="H135" s="36">
        <v>110</v>
      </c>
      <c r="I135" s="36">
        <v>29.5</v>
      </c>
      <c r="J135" s="36">
        <f t="shared" si="9"/>
        <v>10722.2</v>
      </c>
      <c r="K135" s="306">
        <f t="shared" si="6"/>
        <v>1.1100000000000001</v>
      </c>
      <c r="L135" s="36"/>
      <c r="M135" s="36"/>
    </row>
    <row r="136" spans="3:13" hidden="1">
      <c r="C136" s="36">
        <f t="shared" si="8"/>
        <v>133</v>
      </c>
      <c r="D136" s="36" t="s">
        <v>646</v>
      </c>
      <c r="E136" s="36" t="s">
        <v>647</v>
      </c>
      <c r="F136" s="36"/>
      <c r="G136" s="36"/>
      <c r="H136" s="36">
        <v>63</v>
      </c>
      <c r="I136" s="36">
        <v>29.7</v>
      </c>
      <c r="J136" s="36">
        <f t="shared" si="9"/>
        <v>10751.900000000001</v>
      </c>
      <c r="K136" s="306">
        <f t="shared" si="6"/>
        <v>1.0629999999999999</v>
      </c>
      <c r="L136" s="36"/>
      <c r="M136" s="36"/>
    </row>
    <row r="137" spans="3:13" hidden="1">
      <c r="C137" s="36">
        <f t="shared" si="8"/>
        <v>134</v>
      </c>
      <c r="D137" s="36" t="s">
        <v>646</v>
      </c>
      <c r="E137" s="36" t="s">
        <v>521</v>
      </c>
      <c r="F137" s="36"/>
      <c r="G137" s="36"/>
      <c r="H137" s="36">
        <v>110</v>
      </c>
      <c r="I137" s="36">
        <v>88.1</v>
      </c>
      <c r="J137" s="36">
        <f t="shared" si="9"/>
        <v>10840.000000000002</v>
      </c>
      <c r="K137" s="306">
        <f t="shared" si="6"/>
        <v>1.1100000000000001</v>
      </c>
      <c r="L137" s="36"/>
      <c r="M137" s="36"/>
    </row>
    <row r="138" spans="3:13" hidden="1">
      <c r="C138" s="36">
        <f t="shared" si="8"/>
        <v>135</v>
      </c>
      <c r="D138" s="36" t="s">
        <v>523</v>
      </c>
      <c r="E138" s="36" t="s">
        <v>540</v>
      </c>
      <c r="F138" s="36"/>
      <c r="G138" s="36"/>
      <c r="H138" s="36">
        <v>110</v>
      </c>
      <c r="I138" s="36">
        <v>40.6</v>
      </c>
      <c r="J138" s="36">
        <f t="shared" si="9"/>
        <v>10880.600000000002</v>
      </c>
      <c r="K138" s="306">
        <f t="shared" si="6"/>
        <v>1.1100000000000001</v>
      </c>
      <c r="L138" s="36"/>
      <c r="M138" s="36"/>
    </row>
    <row r="139" spans="3:13" hidden="1">
      <c r="C139" s="36">
        <f t="shared" si="8"/>
        <v>136</v>
      </c>
      <c r="D139" s="36" t="s">
        <v>540</v>
      </c>
      <c r="E139" s="36" t="s">
        <v>249</v>
      </c>
      <c r="F139" s="36"/>
      <c r="G139" s="36"/>
      <c r="H139" s="36">
        <v>125</v>
      </c>
      <c r="I139" s="36">
        <v>233.1</v>
      </c>
      <c r="J139" s="36">
        <f t="shared" si="9"/>
        <v>11113.700000000003</v>
      </c>
      <c r="K139" s="306">
        <f t="shared" si="6"/>
        <v>1.125</v>
      </c>
      <c r="L139" s="36"/>
      <c r="M139" s="36"/>
    </row>
    <row r="140" spans="3:13" hidden="1">
      <c r="C140" s="36">
        <f t="shared" si="8"/>
        <v>137</v>
      </c>
      <c r="D140" s="36" t="s">
        <v>249</v>
      </c>
      <c r="E140" s="36" t="s">
        <v>250</v>
      </c>
      <c r="F140" s="36" t="s">
        <v>383</v>
      </c>
      <c r="G140" s="36">
        <v>0.44</v>
      </c>
      <c r="H140" s="36">
        <v>140</v>
      </c>
      <c r="I140" s="36">
        <v>5.6</v>
      </c>
      <c r="J140" s="36">
        <f t="shared" si="9"/>
        <v>11119.300000000003</v>
      </c>
      <c r="K140" s="306">
        <f t="shared" si="6"/>
        <v>1.1399999999999999</v>
      </c>
      <c r="L140" s="570" t="s">
        <v>627</v>
      </c>
      <c r="M140" s="573"/>
    </row>
    <row r="141" spans="3:13" hidden="1">
      <c r="C141" s="36">
        <f t="shared" si="8"/>
        <v>138</v>
      </c>
      <c r="D141" s="36" t="s">
        <v>249</v>
      </c>
      <c r="E141" s="36" t="s">
        <v>250</v>
      </c>
      <c r="F141" s="36"/>
      <c r="G141" s="36"/>
      <c r="H141" s="36">
        <v>140</v>
      </c>
      <c r="I141" s="36">
        <v>175.7</v>
      </c>
      <c r="J141" s="36">
        <f t="shared" si="9"/>
        <v>11295.000000000004</v>
      </c>
      <c r="K141" s="306">
        <f t="shared" si="6"/>
        <v>1.1399999999999999</v>
      </c>
      <c r="L141" s="36"/>
      <c r="M141" s="36"/>
    </row>
    <row r="142" spans="3:13" hidden="1">
      <c r="C142" s="36">
        <f t="shared" si="8"/>
        <v>139</v>
      </c>
      <c r="D142" s="36" t="s">
        <v>249</v>
      </c>
      <c r="E142" s="36" t="s">
        <v>355</v>
      </c>
      <c r="F142" s="36"/>
      <c r="G142" s="36"/>
      <c r="H142" s="36">
        <v>140</v>
      </c>
      <c r="I142" s="36">
        <v>58.1</v>
      </c>
      <c r="J142" s="36">
        <f t="shared" si="9"/>
        <v>11353.100000000004</v>
      </c>
      <c r="K142" s="306">
        <f t="shared" si="6"/>
        <v>1.1399999999999999</v>
      </c>
      <c r="L142" s="36"/>
      <c r="M142" s="36"/>
    </row>
    <row r="143" spans="3:13" hidden="1">
      <c r="C143" s="36">
        <f t="shared" si="8"/>
        <v>140</v>
      </c>
      <c r="D143" s="36" t="s">
        <v>355</v>
      </c>
      <c r="E143" s="36" t="s">
        <v>362</v>
      </c>
      <c r="F143" s="36" t="s">
        <v>383</v>
      </c>
      <c r="G143" s="36">
        <v>0.44</v>
      </c>
      <c r="H143" s="36">
        <v>140</v>
      </c>
      <c r="I143" s="36">
        <v>3.7</v>
      </c>
      <c r="J143" s="36">
        <f t="shared" si="9"/>
        <v>11356.800000000005</v>
      </c>
      <c r="K143" s="306">
        <f t="shared" si="6"/>
        <v>1.1399999999999999</v>
      </c>
      <c r="L143" s="570" t="s">
        <v>627</v>
      </c>
      <c r="M143" s="573"/>
    </row>
    <row r="144" spans="3:13" hidden="1">
      <c r="C144" s="36">
        <f t="shared" si="8"/>
        <v>141</v>
      </c>
      <c r="D144" s="36" t="s">
        <v>355</v>
      </c>
      <c r="E144" s="36" t="s">
        <v>362</v>
      </c>
      <c r="F144" s="36"/>
      <c r="G144" s="36"/>
      <c r="H144" s="36">
        <v>140</v>
      </c>
      <c r="I144" s="36">
        <v>221</v>
      </c>
      <c r="J144" s="36">
        <f t="shared" si="9"/>
        <v>11577.800000000005</v>
      </c>
      <c r="K144" s="306">
        <f t="shared" si="6"/>
        <v>1.1399999999999999</v>
      </c>
      <c r="L144" s="36"/>
      <c r="M144" s="36"/>
    </row>
    <row r="145" spans="3:13" hidden="1">
      <c r="C145" s="36">
        <f t="shared" si="8"/>
        <v>142</v>
      </c>
      <c r="D145" s="36" t="s">
        <v>355</v>
      </c>
      <c r="E145" s="36" t="s">
        <v>362</v>
      </c>
      <c r="F145" s="36"/>
      <c r="G145" s="36"/>
      <c r="H145" s="36">
        <v>140</v>
      </c>
      <c r="I145" s="36">
        <v>14.2</v>
      </c>
      <c r="J145" s="36">
        <f t="shared" si="9"/>
        <v>11592.000000000005</v>
      </c>
      <c r="K145" s="306">
        <f t="shared" si="6"/>
        <v>1.1399999999999999</v>
      </c>
      <c r="L145" s="36"/>
      <c r="M145" s="36"/>
    </row>
    <row r="146" spans="3:13" hidden="1">
      <c r="C146" s="36">
        <f t="shared" si="8"/>
        <v>143</v>
      </c>
      <c r="D146" s="36" t="s">
        <v>355</v>
      </c>
      <c r="E146" s="36" t="s">
        <v>364</v>
      </c>
      <c r="F146" s="36"/>
      <c r="G146" s="36"/>
      <c r="H146" s="36">
        <v>90</v>
      </c>
      <c r="I146" s="36">
        <v>231.3</v>
      </c>
      <c r="J146" s="36">
        <f t="shared" si="9"/>
        <v>11823.300000000005</v>
      </c>
      <c r="K146" s="306">
        <f t="shared" si="6"/>
        <v>1.0900000000000001</v>
      </c>
      <c r="L146" s="36"/>
      <c r="M146" s="36"/>
    </row>
    <row r="147" spans="3:13" hidden="1">
      <c r="C147" s="36">
        <f t="shared" si="8"/>
        <v>144</v>
      </c>
      <c r="D147" s="36" t="s">
        <v>364</v>
      </c>
      <c r="E147" s="36" t="s">
        <v>266</v>
      </c>
      <c r="F147" s="36"/>
      <c r="G147" s="36"/>
      <c r="H147" s="36">
        <v>75</v>
      </c>
      <c r="I147" s="36">
        <v>250.1</v>
      </c>
      <c r="J147" s="36">
        <f t="shared" si="9"/>
        <v>12073.400000000005</v>
      </c>
      <c r="K147" s="306">
        <f t="shared" si="6"/>
        <v>1.075</v>
      </c>
      <c r="L147" s="36"/>
      <c r="M147" s="36"/>
    </row>
    <row r="148" spans="3:13" hidden="1">
      <c r="C148" s="36">
        <f t="shared" si="8"/>
        <v>145</v>
      </c>
      <c r="D148" s="36" t="s">
        <v>266</v>
      </c>
      <c r="E148" s="36" t="s">
        <v>283</v>
      </c>
      <c r="F148" s="36"/>
      <c r="G148" s="36"/>
      <c r="H148" s="36">
        <v>90</v>
      </c>
      <c r="I148" s="36">
        <v>80.5</v>
      </c>
      <c r="J148" s="36">
        <f t="shared" si="9"/>
        <v>12153.900000000005</v>
      </c>
      <c r="K148" s="306">
        <f t="shared" si="6"/>
        <v>1.0900000000000001</v>
      </c>
      <c r="L148" s="36"/>
      <c r="M148" s="36"/>
    </row>
    <row r="149" spans="3:13" hidden="1">
      <c r="C149" s="36">
        <f t="shared" si="8"/>
        <v>146</v>
      </c>
      <c r="D149" s="36" t="s">
        <v>283</v>
      </c>
      <c r="E149" s="36" t="s">
        <v>318</v>
      </c>
      <c r="F149" s="36"/>
      <c r="G149" s="36"/>
      <c r="H149" s="36">
        <v>63</v>
      </c>
      <c r="I149" s="36">
        <v>96</v>
      </c>
      <c r="J149" s="36">
        <f t="shared" si="9"/>
        <v>12249.900000000005</v>
      </c>
      <c r="K149" s="306">
        <f t="shared" si="6"/>
        <v>1.0629999999999999</v>
      </c>
      <c r="L149" s="36"/>
      <c r="M149" s="36"/>
    </row>
    <row r="150" spans="3:13" hidden="1">
      <c r="C150" s="36">
        <f t="shared" si="8"/>
        <v>147</v>
      </c>
      <c r="D150" s="36" t="s">
        <v>283</v>
      </c>
      <c r="E150" s="36" t="s">
        <v>628</v>
      </c>
      <c r="F150" s="36"/>
      <c r="G150" s="36"/>
      <c r="H150" s="36">
        <v>90</v>
      </c>
      <c r="I150" s="36">
        <v>100.5</v>
      </c>
      <c r="J150" s="36">
        <f t="shared" si="9"/>
        <v>12350.400000000005</v>
      </c>
      <c r="K150" s="306">
        <f t="shared" si="6"/>
        <v>1.0900000000000001</v>
      </c>
      <c r="L150" s="36"/>
      <c r="M150" s="36"/>
    </row>
    <row r="151" spans="3:13" hidden="1">
      <c r="C151" s="36">
        <f t="shared" si="8"/>
        <v>148</v>
      </c>
      <c r="D151" s="36" t="s">
        <v>628</v>
      </c>
      <c r="E151" s="36" t="s">
        <v>540</v>
      </c>
      <c r="F151" s="36"/>
      <c r="G151" s="36"/>
      <c r="H151" s="36">
        <v>110</v>
      </c>
      <c r="I151" s="36">
        <v>47.7</v>
      </c>
      <c r="J151" s="36">
        <f t="shared" si="9"/>
        <v>12398.100000000006</v>
      </c>
      <c r="K151" s="306">
        <f t="shared" si="6"/>
        <v>1.1100000000000001</v>
      </c>
      <c r="L151" s="36"/>
      <c r="M151" s="36"/>
    </row>
    <row r="152" spans="3:13">
      <c r="C152" s="36">
        <f t="shared" si="8"/>
        <v>149</v>
      </c>
      <c r="D152" s="36" t="s">
        <v>307</v>
      </c>
      <c r="E152" s="36" t="s">
        <v>245</v>
      </c>
      <c r="F152" s="36" t="s">
        <v>301</v>
      </c>
      <c r="G152" s="306">
        <v>0.46</v>
      </c>
      <c r="H152" s="36">
        <v>63</v>
      </c>
      <c r="I152" s="36">
        <v>21.6</v>
      </c>
      <c r="J152" s="36">
        <f t="shared" si="9"/>
        <v>12419.700000000006</v>
      </c>
      <c r="K152" s="306">
        <f t="shared" si="6"/>
        <v>1.0629999999999999</v>
      </c>
      <c r="L152" s="36"/>
      <c r="M152" s="36"/>
    </row>
    <row r="153" spans="3:13" hidden="1">
      <c r="C153" s="36">
        <f t="shared" si="8"/>
        <v>150</v>
      </c>
      <c r="D153" s="36" t="s">
        <v>307</v>
      </c>
      <c r="E153" s="36" t="s">
        <v>245</v>
      </c>
      <c r="F153" s="36"/>
      <c r="G153" s="36"/>
      <c r="H153" s="36">
        <v>63</v>
      </c>
      <c r="I153" s="36">
        <v>21.2</v>
      </c>
      <c r="J153" s="36">
        <f t="shared" si="9"/>
        <v>12440.900000000007</v>
      </c>
      <c r="K153" s="306">
        <f t="shared" si="6"/>
        <v>1.0629999999999999</v>
      </c>
      <c r="L153" s="36"/>
      <c r="M153" s="36"/>
    </row>
    <row r="154" spans="3:13">
      <c r="C154" s="36"/>
      <c r="D154" s="36"/>
      <c r="E154" s="36"/>
      <c r="F154" s="36"/>
      <c r="G154" s="36"/>
      <c r="H154" s="36"/>
      <c r="I154" s="36"/>
      <c r="J154" s="36"/>
      <c r="K154" s="36"/>
      <c r="L154" s="36"/>
      <c r="M154" s="36"/>
    </row>
    <row r="155" spans="3:13">
      <c r="C155" s="36"/>
      <c r="D155" s="36">
        <v>63</v>
      </c>
      <c r="E155" s="36">
        <v>75</v>
      </c>
      <c r="F155" s="36">
        <v>90</v>
      </c>
      <c r="G155" s="36">
        <v>110</v>
      </c>
      <c r="H155" s="36">
        <v>125</v>
      </c>
      <c r="I155" s="36">
        <v>140</v>
      </c>
      <c r="J155" s="36">
        <v>12440.9</v>
      </c>
      <c r="K155" s="36"/>
      <c r="L155" s="36"/>
      <c r="M155" s="36"/>
    </row>
    <row r="156" spans="3:13">
      <c r="C156" s="36"/>
      <c r="D156" s="36">
        <v>7865</v>
      </c>
      <c r="E156" s="36">
        <v>1298.7</v>
      </c>
      <c r="F156" s="36">
        <v>1315.4</v>
      </c>
      <c r="G156" s="36">
        <v>535.1</v>
      </c>
      <c r="H156" s="36">
        <v>661.4</v>
      </c>
      <c r="I156" s="36">
        <v>765.3</v>
      </c>
      <c r="J156" s="36"/>
      <c r="K156" s="36"/>
      <c r="L156" s="36"/>
      <c r="M156" s="36"/>
    </row>
    <row r="157" spans="3:13">
      <c r="C157" s="36"/>
      <c r="D157" s="36"/>
      <c r="E157" s="36"/>
      <c r="F157" s="36"/>
      <c r="G157" s="36"/>
      <c r="H157" s="36"/>
      <c r="I157" s="36"/>
      <c r="J157" s="36"/>
      <c r="K157" s="36"/>
      <c r="L157" s="36"/>
      <c r="M157" s="36"/>
    </row>
    <row r="158" spans="3:13" ht="15.75">
      <c r="C158" s="574" t="s">
        <v>365</v>
      </c>
      <c r="D158" s="575"/>
      <c r="E158" s="575"/>
      <c r="F158" s="576"/>
      <c r="G158" s="577" t="s">
        <v>366</v>
      </c>
      <c r="H158" s="578"/>
      <c r="I158" s="579"/>
      <c r="J158" s="577" t="s">
        <v>367</v>
      </c>
      <c r="K158" s="578"/>
      <c r="L158" s="578"/>
      <c r="M158" s="580"/>
    </row>
    <row r="159" spans="3:13" ht="15.75">
      <c r="C159" s="307" t="s">
        <v>368</v>
      </c>
      <c r="D159" s="38"/>
      <c r="E159" s="569"/>
      <c r="F159" s="569"/>
      <c r="G159" s="38" t="s">
        <v>368</v>
      </c>
      <c r="H159" s="569"/>
      <c r="I159" s="569"/>
      <c r="J159" s="38" t="s">
        <v>368</v>
      </c>
      <c r="K159" s="38"/>
      <c r="L159" s="570"/>
      <c r="M159" s="571"/>
    </row>
    <row r="160" spans="3:13" ht="15.75">
      <c r="C160" s="307" t="s">
        <v>369</v>
      </c>
      <c r="D160" s="569"/>
      <c r="E160" s="569"/>
      <c r="F160" s="569"/>
      <c r="G160" s="38" t="s">
        <v>369</v>
      </c>
      <c r="H160" s="569"/>
      <c r="I160" s="569"/>
      <c r="J160" s="38" t="s">
        <v>369</v>
      </c>
      <c r="K160" s="570"/>
      <c r="L160" s="572"/>
      <c r="M160" s="571"/>
    </row>
    <row r="161" spans="3:13" ht="15.75">
      <c r="C161" s="308" t="s">
        <v>370</v>
      </c>
      <c r="D161" s="309"/>
      <c r="E161" s="566"/>
      <c r="F161" s="566"/>
      <c r="G161" s="309" t="s">
        <v>370</v>
      </c>
      <c r="H161" s="566"/>
      <c r="I161" s="566"/>
      <c r="J161" s="309" t="s">
        <v>370</v>
      </c>
      <c r="K161" s="309"/>
      <c r="L161" s="567"/>
      <c r="M161" s="568"/>
    </row>
  </sheetData>
  <autoFilter ref="C3:M153">
    <filterColumn colId="3">
      <filters>
        <filter val="INTERLOCKING"/>
      </filters>
    </filterColumn>
    <filterColumn colId="5">
      <filters>
        <filter val="63"/>
      </filters>
    </filterColumn>
  </autoFilter>
  <mergeCells count="30">
    <mergeCell ref="C2:M2"/>
    <mergeCell ref="L3:M3"/>
    <mergeCell ref="L4:M4"/>
    <mergeCell ref="L7:M7"/>
    <mergeCell ref="L10:M10"/>
    <mergeCell ref="L12:M12"/>
    <mergeCell ref="L15:M15"/>
    <mergeCell ref="L25:M25"/>
    <mergeCell ref="L29:M29"/>
    <mergeCell ref="L34:M34"/>
    <mergeCell ref="L37:M37"/>
    <mergeCell ref="L53:M53"/>
    <mergeCell ref="L69:M69"/>
    <mergeCell ref="L97:M97"/>
    <mergeCell ref="L101:M101"/>
    <mergeCell ref="L133:M133"/>
    <mergeCell ref="L140:M140"/>
    <mergeCell ref="L143:M143"/>
    <mergeCell ref="C158:F158"/>
    <mergeCell ref="G158:I158"/>
    <mergeCell ref="J158:M158"/>
    <mergeCell ref="E161:F161"/>
    <mergeCell ref="H161:I161"/>
    <mergeCell ref="L161:M161"/>
    <mergeCell ref="E159:F159"/>
    <mergeCell ref="H159:I159"/>
    <mergeCell ref="L159:M159"/>
    <mergeCell ref="D160:F160"/>
    <mergeCell ref="H160:I160"/>
    <mergeCell ref="K160:M160"/>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95"/>
  <sheetViews>
    <sheetView topLeftCell="A64" workbookViewId="0">
      <selection activeCell="E18" sqref="E18"/>
    </sheetView>
  </sheetViews>
  <sheetFormatPr defaultColWidth="9.140625" defaultRowHeight="15"/>
  <cols>
    <col min="1" max="1" width="9.140625" style="35"/>
    <col min="2" max="2" width="7" style="35" customWidth="1"/>
    <col min="3" max="3" width="13.140625" style="35" customWidth="1"/>
    <col min="4" max="4" width="11.42578125" style="35" customWidth="1"/>
    <col min="5" max="5" width="16.28515625" style="35" customWidth="1"/>
    <col min="6" max="6" width="15.42578125" style="35" customWidth="1"/>
    <col min="7" max="7" width="18.85546875" style="35" customWidth="1"/>
    <col min="8" max="8" width="19.5703125" style="35" customWidth="1"/>
    <col min="9" max="9" width="19" style="35" customWidth="1"/>
    <col min="10" max="10" width="8.28515625" style="35" customWidth="1"/>
    <col min="11" max="11" width="9.140625" style="35"/>
    <col min="12" max="12" width="7.28515625" style="35" customWidth="1"/>
    <col min="13" max="16384" width="9.140625" style="35"/>
  </cols>
  <sheetData>
    <row r="3" spans="2:12" ht="18.75">
      <c r="B3" s="581" t="s">
        <v>648</v>
      </c>
      <c r="C3" s="581"/>
      <c r="D3" s="581"/>
      <c r="E3" s="581"/>
      <c r="F3" s="581"/>
      <c r="G3" s="581"/>
      <c r="H3" s="581"/>
      <c r="I3" s="581"/>
      <c r="J3" s="581"/>
      <c r="K3" s="581"/>
      <c r="L3" s="581"/>
    </row>
    <row r="4" spans="2:12" ht="37.5">
      <c r="B4" s="1" t="s">
        <v>528</v>
      </c>
      <c r="C4" s="1" t="s">
        <v>180</v>
      </c>
      <c r="D4" s="1" t="s">
        <v>13</v>
      </c>
      <c r="E4" s="1" t="s">
        <v>181</v>
      </c>
      <c r="F4" s="2" t="s">
        <v>449</v>
      </c>
      <c r="G4" s="1" t="s">
        <v>529</v>
      </c>
      <c r="H4" s="9" t="s">
        <v>184</v>
      </c>
      <c r="I4" s="3" t="s">
        <v>185</v>
      </c>
      <c r="J4" s="3" t="s">
        <v>186</v>
      </c>
      <c r="K4" s="582" t="s">
        <v>187</v>
      </c>
      <c r="L4" s="583"/>
    </row>
    <row r="5" spans="2:12">
      <c r="B5" s="36">
        <v>1</v>
      </c>
      <c r="C5" s="36" t="s">
        <v>507</v>
      </c>
      <c r="D5" s="36" t="s">
        <v>649</v>
      </c>
      <c r="E5" s="36" t="s">
        <v>199</v>
      </c>
      <c r="F5" s="36">
        <v>0.36</v>
      </c>
      <c r="G5" s="36">
        <v>63</v>
      </c>
      <c r="H5" s="36">
        <v>23.6</v>
      </c>
      <c r="I5" s="36">
        <v>23.6</v>
      </c>
      <c r="J5" s="306">
        <f t="shared" ref="J5:J68" si="0">1+G5/1000</f>
        <v>1.0629999999999999</v>
      </c>
      <c r="K5" s="570"/>
      <c r="L5" s="573"/>
    </row>
    <row r="6" spans="2:12">
      <c r="B6" s="36">
        <f>1+B5</f>
        <v>2</v>
      </c>
      <c r="C6" s="36" t="s">
        <v>507</v>
      </c>
      <c r="D6" s="36" t="s">
        <v>649</v>
      </c>
      <c r="E6" s="36" t="s">
        <v>450</v>
      </c>
      <c r="F6" s="36"/>
      <c r="G6" s="36">
        <v>63</v>
      </c>
      <c r="H6" s="36">
        <v>70.099999999999994</v>
      </c>
      <c r="I6" s="36">
        <f>+I5+H6</f>
        <v>93.699999999999989</v>
      </c>
      <c r="J6" s="306">
        <f t="shared" si="0"/>
        <v>1.0629999999999999</v>
      </c>
      <c r="K6" s="36"/>
      <c r="L6" s="36"/>
    </row>
    <row r="7" spans="2:12">
      <c r="B7" s="36">
        <f t="shared" ref="B7:B70" si="1">1+B6</f>
        <v>3</v>
      </c>
      <c r="C7" s="36" t="s">
        <v>317</v>
      </c>
      <c r="D7" s="36" t="s">
        <v>357</v>
      </c>
      <c r="E7" s="36" t="s">
        <v>450</v>
      </c>
      <c r="F7" s="36"/>
      <c r="G7" s="36">
        <v>63</v>
      </c>
      <c r="H7" s="36">
        <v>71.3</v>
      </c>
      <c r="I7" s="36">
        <f t="shared" ref="I7:I70" si="2">+I6+H7</f>
        <v>165</v>
      </c>
      <c r="J7" s="306">
        <f t="shared" si="0"/>
        <v>1.0629999999999999</v>
      </c>
      <c r="K7" s="570"/>
      <c r="L7" s="573"/>
    </row>
    <row r="8" spans="2:12">
      <c r="B8" s="36">
        <f t="shared" si="1"/>
        <v>4</v>
      </c>
      <c r="C8" s="36" t="s">
        <v>317</v>
      </c>
      <c r="D8" s="36" t="s">
        <v>357</v>
      </c>
      <c r="E8" s="36" t="s">
        <v>450</v>
      </c>
      <c r="F8" s="36"/>
      <c r="G8" s="36">
        <v>63</v>
      </c>
      <c r="H8" s="36">
        <v>43.5</v>
      </c>
      <c r="I8" s="36">
        <f t="shared" si="2"/>
        <v>208.5</v>
      </c>
      <c r="J8" s="306">
        <f t="shared" si="0"/>
        <v>1.0629999999999999</v>
      </c>
      <c r="K8" s="36"/>
      <c r="L8" s="36"/>
    </row>
    <row r="9" spans="2:12">
      <c r="B9" s="36">
        <f t="shared" si="1"/>
        <v>5</v>
      </c>
      <c r="C9" s="36" t="s">
        <v>317</v>
      </c>
      <c r="D9" s="36" t="s">
        <v>268</v>
      </c>
      <c r="E9" s="36" t="s">
        <v>450</v>
      </c>
      <c r="F9" s="36"/>
      <c r="G9" s="36">
        <v>63</v>
      </c>
      <c r="H9" s="36">
        <v>17.5</v>
      </c>
      <c r="I9" s="36">
        <f t="shared" si="2"/>
        <v>226</v>
      </c>
      <c r="J9" s="306">
        <f t="shared" si="0"/>
        <v>1.0629999999999999</v>
      </c>
      <c r="K9" s="36"/>
      <c r="L9" s="36"/>
    </row>
    <row r="10" spans="2:12">
      <c r="B10" s="36">
        <f t="shared" si="1"/>
        <v>6</v>
      </c>
      <c r="C10" s="36" t="s">
        <v>268</v>
      </c>
      <c r="D10" s="36" t="s">
        <v>398</v>
      </c>
      <c r="E10" s="36" t="s">
        <v>450</v>
      </c>
      <c r="F10" s="36"/>
      <c r="G10" s="36">
        <v>63</v>
      </c>
      <c r="H10" s="36">
        <v>17.600000000000001</v>
      </c>
      <c r="I10" s="36">
        <f t="shared" si="2"/>
        <v>243.6</v>
      </c>
      <c r="J10" s="306">
        <f t="shared" si="0"/>
        <v>1.0629999999999999</v>
      </c>
      <c r="K10" s="36"/>
      <c r="L10" s="36"/>
    </row>
    <row r="11" spans="2:12">
      <c r="B11" s="36">
        <f t="shared" si="1"/>
        <v>7</v>
      </c>
      <c r="C11" s="36" t="s">
        <v>268</v>
      </c>
      <c r="D11" s="36" t="s">
        <v>507</v>
      </c>
      <c r="E11" s="36" t="s">
        <v>450</v>
      </c>
      <c r="F11" s="36"/>
      <c r="G11" s="36">
        <v>63</v>
      </c>
      <c r="H11" s="36">
        <v>37.1</v>
      </c>
      <c r="I11" s="36">
        <f t="shared" si="2"/>
        <v>280.7</v>
      </c>
      <c r="J11" s="306">
        <f t="shared" si="0"/>
        <v>1.0629999999999999</v>
      </c>
      <c r="K11" s="36"/>
      <c r="L11" s="36"/>
    </row>
    <row r="12" spans="2:12">
      <c r="B12" s="36">
        <f t="shared" si="1"/>
        <v>8</v>
      </c>
      <c r="C12" s="36" t="s">
        <v>268</v>
      </c>
      <c r="D12" s="36" t="s">
        <v>507</v>
      </c>
      <c r="E12" s="36" t="s">
        <v>199</v>
      </c>
      <c r="F12" s="36">
        <v>0.36</v>
      </c>
      <c r="G12" s="36">
        <v>63</v>
      </c>
      <c r="H12" s="36">
        <v>101.5</v>
      </c>
      <c r="I12" s="36">
        <f t="shared" si="2"/>
        <v>382.2</v>
      </c>
      <c r="J12" s="306">
        <f t="shared" si="0"/>
        <v>1.0629999999999999</v>
      </c>
      <c r="K12" s="36"/>
      <c r="L12" s="36"/>
    </row>
    <row r="13" spans="2:12">
      <c r="B13" s="36">
        <f t="shared" si="1"/>
        <v>9</v>
      </c>
      <c r="C13" s="36" t="s">
        <v>507</v>
      </c>
      <c r="D13" s="36" t="s">
        <v>351</v>
      </c>
      <c r="E13" s="36" t="s">
        <v>199</v>
      </c>
      <c r="F13" s="36">
        <v>0.36</v>
      </c>
      <c r="G13" s="36">
        <v>63</v>
      </c>
      <c r="H13" s="36">
        <v>92.4</v>
      </c>
      <c r="I13" s="36">
        <f t="shared" si="2"/>
        <v>474.6</v>
      </c>
      <c r="J13" s="306">
        <f t="shared" si="0"/>
        <v>1.0629999999999999</v>
      </c>
      <c r="K13" s="36"/>
      <c r="L13" s="36"/>
    </row>
    <row r="14" spans="2:12">
      <c r="B14" s="36">
        <f t="shared" si="1"/>
        <v>10</v>
      </c>
      <c r="C14" s="36" t="s">
        <v>319</v>
      </c>
      <c r="D14" s="36" t="s">
        <v>273</v>
      </c>
      <c r="E14" s="36" t="s">
        <v>450</v>
      </c>
      <c r="F14" s="36"/>
      <c r="G14" s="36">
        <v>63</v>
      </c>
      <c r="H14" s="36">
        <v>65.099999999999994</v>
      </c>
      <c r="I14" s="36">
        <f t="shared" si="2"/>
        <v>539.70000000000005</v>
      </c>
      <c r="J14" s="306">
        <f t="shared" si="0"/>
        <v>1.0629999999999999</v>
      </c>
      <c r="K14" s="36"/>
      <c r="L14" s="36"/>
    </row>
    <row r="15" spans="2:12">
      <c r="B15" s="36">
        <f t="shared" si="1"/>
        <v>11</v>
      </c>
      <c r="C15" s="36" t="s">
        <v>351</v>
      </c>
      <c r="D15" s="36" t="s">
        <v>258</v>
      </c>
      <c r="E15" s="36" t="s">
        <v>199</v>
      </c>
      <c r="F15" s="36">
        <v>0.36</v>
      </c>
      <c r="G15" s="36">
        <v>63</v>
      </c>
      <c r="H15" s="36">
        <v>6.2</v>
      </c>
      <c r="I15" s="36">
        <f t="shared" si="2"/>
        <v>545.90000000000009</v>
      </c>
      <c r="J15" s="306">
        <f t="shared" si="0"/>
        <v>1.0629999999999999</v>
      </c>
      <c r="K15" s="36"/>
      <c r="L15" s="36"/>
    </row>
    <row r="16" spans="2:12">
      <c r="B16" s="36">
        <f t="shared" si="1"/>
        <v>12</v>
      </c>
      <c r="C16" s="36" t="s">
        <v>351</v>
      </c>
      <c r="D16" s="36" t="s">
        <v>258</v>
      </c>
      <c r="E16" s="36" t="s">
        <v>450</v>
      </c>
      <c r="F16" s="36"/>
      <c r="G16" s="36">
        <v>63</v>
      </c>
      <c r="H16" s="36">
        <v>85.3</v>
      </c>
      <c r="I16" s="36">
        <f t="shared" si="2"/>
        <v>631.20000000000005</v>
      </c>
      <c r="J16" s="306">
        <f t="shared" si="0"/>
        <v>1.0629999999999999</v>
      </c>
      <c r="K16" s="36"/>
      <c r="L16" s="36"/>
    </row>
    <row r="17" spans="2:12">
      <c r="B17" s="36">
        <f t="shared" si="1"/>
        <v>13</v>
      </c>
      <c r="C17" s="36" t="s">
        <v>258</v>
      </c>
      <c r="D17" s="36" t="s">
        <v>260</v>
      </c>
      <c r="E17" s="36" t="s">
        <v>383</v>
      </c>
      <c r="F17" s="36">
        <v>0.36</v>
      </c>
      <c r="G17" s="36">
        <v>63</v>
      </c>
      <c r="H17" s="36">
        <v>3.2</v>
      </c>
      <c r="I17" s="36">
        <f t="shared" si="2"/>
        <v>634.40000000000009</v>
      </c>
      <c r="J17" s="306">
        <f t="shared" si="0"/>
        <v>1.0629999999999999</v>
      </c>
      <c r="K17" s="36"/>
      <c r="L17" s="36"/>
    </row>
    <row r="18" spans="2:12">
      <c r="B18" s="36">
        <f t="shared" si="1"/>
        <v>14</v>
      </c>
      <c r="C18" s="36" t="s">
        <v>258</v>
      </c>
      <c r="D18" s="36" t="s">
        <v>254</v>
      </c>
      <c r="E18" s="36" t="s">
        <v>301</v>
      </c>
      <c r="F18" s="36">
        <v>0.46</v>
      </c>
      <c r="G18" s="36">
        <v>63</v>
      </c>
      <c r="H18" s="36">
        <v>5.2</v>
      </c>
      <c r="I18" s="36">
        <f t="shared" si="2"/>
        <v>639.60000000000014</v>
      </c>
      <c r="J18" s="306">
        <f t="shared" si="0"/>
        <v>1.0629999999999999</v>
      </c>
      <c r="K18" s="36"/>
      <c r="L18" s="36"/>
    </row>
    <row r="19" spans="2:12">
      <c r="B19" s="36">
        <f t="shared" si="1"/>
        <v>15</v>
      </c>
      <c r="C19" s="36" t="s">
        <v>258</v>
      </c>
      <c r="D19" s="36" t="s">
        <v>254</v>
      </c>
      <c r="E19" s="36" t="s">
        <v>450</v>
      </c>
      <c r="F19" s="36"/>
      <c r="G19" s="36">
        <v>63</v>
      </c>
      <c r="H19" s="36">
        <v>3.5</v>
      </c>
      <c r="I19" s="36">
        <f t="shared" si="2"/>
        <v>643.10000000000014</v>
      </c>
      <c r="J19" s="306">
        <f t="shared" si="0"/>
        <v>1.0629999999999999</v>
      </c>
      <c r="K19" s="36"/>
      <c r="L19" s="36"/>
    </row>
    <row r="20" spans="2:12">
      <c r="B20" s="36">
        <f t="shared" si="1"/>
        <v>16</v>
      </c>
      <c r="C20" s="36" t="s">
        <v>258</v>
      </c>
      <c r="D20" s="36" t="s">
        <v>254</v>
      </c>
      <c r="E20" s="36" t="s">
        <v>199</v>
      </c>
      <c r="F20" s="36">
        <v>0.36</v>
      </c>
      <c r="G20" s="36">
        <v>63</v>
      </c>
      <c r="H20" s="305">
        <v>6.2</v>
      </c>
      <c r="I20" s="36">
        <f t="shared" si="2"/>
        <v>649.30000000000018</v>
      </c>
      <c r="J20" s="306">
        <f t="shared" si="0"/>
        <v>1.0629999999999999</v>
      </c>
      <c r="K20" s="36"/>
      <c r="L20" s="36"/>
    </row>
    <row r="21" spans="2:12">
      <c r="B21" s="36">
        <f t="shared" si="1"/>
        <v>17</v>
      </c>
      <c r="C21" s="36" t="s">
        <v>258</v>
      </c>
      <c r="D21" s="36" t="s">
        <v>254</v>
      </c>
      <c r="E21" s="36" t="s">
        <v>450</v>
      </c>
      <c r="F21" s="36"/>
      <c r="G21" s="36">
        <v>63</v>
      </c>
      <c r="H21" s="36">
        <v>38.700000000000003</v>
      </c>
      <c r="I21" s="36">
        <f t="shared" si="2"/>
        <v>688.00000000000023</v>
      </c>
      <c r="J21" s="306">
        <f t="shared" si="0"/>
        <v>1.0629999999999999</v>
      </c>
      <c r="K21" s="36"/>
      <c r="L21" s="36"/>
    </row>
    <row r="22" spans="2:12">
      <c r="B22" s="36">
        <f t="shared" si="1"/>
        <v>18</v>
      </c>
      <c r="C22" s="36" t="s">
        <v>258</v>
      </c>
      <c r="D22" s="36" t="s">
        <v>260</v>
      </c>
      <c r="E22" s="36" t="s">
        <v>450</v>
      </c>
      <c r="F22" s="36"/>
      <c r="G22" s="36">
        <v>63</v>
      </c>
      <c r="H22" s="36">
        <v>57.1</v>
      </c>
      <c r="I22" s="36">
        <f t="shared" si="2"/>
        <v>745.10000000000025</v>
      </c>
      <c r="J22" s="306">
        <f t="shared" si="0"/>
        <v>1.0629999999999999</v>
      </c>
      <c r="K22" s="36"/>
      <c r="L22" s="36"/>
    </row>
    <row r="23" spans="2:12">
      <c r="B23" s="36">
        <f t="shared" si="1"/>
        <v>19</v>
      </c>
      <c r="C23" s="36" t="s">
        <v>258</v>
      </c>
      <c r="D23" s="36" t="s">
        <v>395</v>
      </c>
      <c r="E23" s="36" t="s">
        <v>450</v>
      </c>
      <c r="F23" s="36"/>
      <c r="G23" s="36">
        <v>63</v>
      </c>
      <c r="H23" s="36">
        <v>53.3</v>
      </c>
      <c r="I23" s="36">
        <f t="shared" si="2"/>
        <v>798.4000000000002</v>
      </c>
      <c r="J23" s="306">
        <f t="shared" si="0"/>
        <v>1.0629999999999999</v>
      </c>
      <c r="K23" s="36"/>
      <c r="L23" s="36"/>
    </row>
    <row r="24" spans="2:12">
      <c r="B24" s="36">
        <f t="shared" si="1"/>
        <v>20</v>
      </c>
      <c r="C24" s="36" t="s">
        <v>395</v>
      </c>
      <c r="D24" s="36" t="s">
        <v>267</v>
      </c>
      <c r="E24" s="36" t="s">
        <v>450</v>
      </c>
      <c r="F24" s="36"/>
      <c r="G24" s="36">
        <v>110</v>
      </c>
      <c r="H24" s="36">
        <v>73.400000000000006</v>
      </c>
      <c r="I24" s="36">
        <f t="shared" si="2"/>
        <v>871.80000000000018</v>
      </c>
      <c r="J24" s="306">
        <f t="shared" si="0"/>
        <v>1.1100000000000001</v>
      </c>
      <c r="K24" s="570"/>
      <c r="L24" s="573"/>
    </row>
    <row r="25" spans="2:12">
      <c r="B25" s="36">
        <f t="shared" si="1"/>
        <v>21</v>
      </c>
      <c r="C25" s="36" t="s">
        <v>395</v>
      </c>
      <c r="D25" s="36" t="s">
        <v>267</v>
      </c>
      <c r="E25" s="36" t="s">
        <v>450</v>
      </c>
      <c r="F25" s="36"/>
      <c r="G25" s="36">
        <v>110</v>
      </c>
      <c r="H25" s="36">
        <v>52.1</v>
      </c>
      <c r="I25" s="36">
        <f t="shared" si="2"/>
        <v>923.9000000000002</v>
      </c>
      <c r="J25" s="306">
        <f t="shared" si="0"/>
        <v>1.1100000000000001</v>
      </c>
      <c r="K25" s="36"/>
      <c r="L25" s="36"/>
    </row>
    <row r="26" spans="2:12">
      <c r="B26" s="36">
        <f t="shared" si="1"/>
        <v>22</v>
      </c>
      <c r="C26" s="36" t="s">
        <v>395</v>
      </c>
      <c r="D26" s="36" t="s">
        <v>267</v>
      </c>
      <c r="E26" s="36" t="s">
        <v>450</v>
      </c>
      <c r="F26" s="36"/>
      <c r="G26" s="36">
        <v>110</v>
      </c>
      <c r="H26" s="36">
        <v>5.0999999999999996</v>
      </c>
      <c r="I26" s="36">
        <f t="shared" si="2"/>
        <v>929.00000000000023</v>
      </c>
      <c r="J26" s="306">
        <f t="shared" si="0"/>
        <v>1.1100000000000001</v>
      </c>
      <c r="K26" s="36"/>
      <c r="L26" s="36"/>
    </row>
    <row r="27" spans="2:12">
      <c r="B27" s="36">
        <f t="shared" si="1"/>
        <v>23</v>
      </c>
      <c r="C27" s="36" t="s">
        <v>267</v>
      </c>
      <c r="D27" s="36" t="s">
        <v>506</v>
      </c>
      <c r="E27" s="36" t="s">
        <v>383</v>
      </c>
      <c r="F27" s="36">
        <v>0.36</v>
      </c>
      <c r="G27" s="36">
        <v>63</v>
      </c>
      <c r="H27" s="36">
        <v>100.1</v>
      </c>
      <c r="I27" s="36">
        <f t="shared" si="2"/>
        <v>1029.1000000000001</v>
      </c>
      <c r="J27" s="306">
        <f t="shared" si="0"/>
        <v>1.0629999999999999</v>
      </c>
      <c r="K27" s="36"/>
      <c r="L27" s="36"/>
    </row>
    <row r="28" spans="2:12">
      <c r="B28" s="36">
        <f t="shared" si="1"/>
        <v>24</v>
      </c>
      <c r="C28" s="36" t="s">
        <v>267</v>
      </c>
      <c r="D28" s="36" t="s">
        <v>506</v>
      </c>
      <c r="E28" s="36" t="s">
        <v>450</v>
      </c>
      <c r="F28" s="36"/>
      <c r="G28" s="36">
        <v>63</v>
      </c>
      <c r="H28" s="36">
        <v>12.1</v>
      </c>
      <c r="I28" s="36">
        <f t="shared" si="2"/>
        <v>1041.2</v>
      </c>
      <c r="J28" s="306">
        <f t="shared" si="0"/>
        <v>1.0629999999999999</v>
      </c>
      <c r="K28" s="36"/>
      <c r="L28" s="36"/>
    </row>
    <row r="29" spans="2:12">
      <c r="B29" s="36">
        <f t="shared" si="1"/>
        <v>25</v>
      </c>
      <c r="C29" s="36" t="s">
        <v>506</v>
      </c>
      <c r="D29" s="36" t="s">
        <v>505</v>
      </c>
      <c r="E29" s="36" t="s">
        <v>450</v>
      </c>
      <c r="F29" s="36"/>
      <c r="G29" s="36">
        <v>63</v>
      </c>
      <c r="H29" s="36">
        <v>25.5</v>
      </c>
      <c r="I29" s="36">
        <f t="shared" si="2"/>
        <v>1066.7</v>
      </c>
      <c r="J29" s="306">
        <f t="shared" si="0"/>
        <v>1.0629999999999999</v>
      </c>
      <c r="K29" s="36"/>
      <c r="L29" s="36"/>
    </row>
    <row r="30" spans="2:12">
      <c r="B30" s="36">
        <f t="shared" si="1"/>
        <v>26</v>
      </c>
      <c r="C30" s="36" t="s">
        <v>505</v>
      </c>
      <c r="D30" s="36" t="s">
        <v>508</v>
      </c>
      <c r="E30" s="36" t="s">
        <v>450</v>
      </c>
      <c r="F30" s="36"/>
      <c r="G30" s="36">
        <v>63</v>
      </c>
      <c r="H30" s="36">
        <v>30.5</v>
      </c>
      <c r="I30" s="36">
        <f t="shared" si="2"/>
        <v>1097.2</v>
      </c>
      <c r="J30" s="306">
        <f t="shared" si="0"/>
        <v>1.0629999999999999</v>
      </c>
      <c r="K30" s="36"/>
      <c r="L30" s="36"/>
    </row>
    <row r="31" spans="2:12">
      <c r="B31" s="36">
        <f t="shared" si="1"/>
        <v>27</v>
      </c>
      <c r="C31" s="36" t="s">
        <v>505</v>
      </c>
      <c r="D31" s="36" t="s">
        <v>650</v>
      </c>
      <c r="E31" s="36" t="s">
        <v>450</v>
      </c>
      <c r="F31" s="36"/>
      <c r="G31" s="36">
        <v>63</v>
      </c>
      <c r="H31" s="36">
        <v>39.299999999999997</v>
      </c>
      <c r="I31" s="36">
        <f t="shared" si="2"/>
        <v>1136.5</v>
      </c>
      <c r="J31" s="306">
        <f t="shared" si="0"/>
        <v>1.0629999999999999</v>
      </c>
      <c r="K31" s="36"/>
      <c r="L31" s="36"/>
    </row>
    <row r="32" spans="2:12">
      <c r="B32" s="36">
        <f t="shared" si="1"/>
        <v>28</v>
      </c>
      <c r="C32" s="36" t="s">
        <v>650</v>
      </c>
      <c r="D32" s="36" t="s">
        <v>651</v>
      </c>
      <c r="E32" s="36" t="s">
        <v>301</v>
      </c>
      <c r="F32" s="36">
        <v>0.46</v>
      </c>
      <c r="G32" s="36">
        <v>63</v>
      </c>
      <c r="H32" s="36">
        <v>5.9</v>
      </c>
      <c r="I32" s="36">
        <f t="shared" si="2"/>
        <v>1142.4000000000001</v>
      </c>
      <c r="J32" s="306">
        <f t="shared" si="0"/>
        <v>1.0629999999999999</v>
      </c>
      <c r="K32" s="36"/>
      <c r="L32" s="36"/>
    </row>
    <row r="33" spans="2:12">
      <c r="B33" s="36">
        <f t="shared" si="1"/>
        <v>29</v>
      </c>
      <c r="C33" s="36" t="s">
        <v>651</v>
      </c>
      <c r="D33" s="36" t="s">
        <v>278</v>
      </c>
      <c r="E33" s="36" t="s">
        <v>301</v>
      </c>
      <c r="F33" s="36">
        <v>0.46</v>
      </c>
      <c r="G33" s="36">
        <v>63</v>
      </c>
      <c r="H33" s="36">
        <v>14.1</v>
      </c>
      <c r="I33" s="36">
        <f t="shared" si="2"/>
        <v>1156.5</v>
      </c>
      <c r="J33" s="306">
        <f t="shared" si="0"/>
        <v>1.0629999999999999</v>
      </c>
      <c r="K33" s="570"/>
      <c r="L33" s="573"/>
    </row>
    <row r="34" spans="2:12">
      <c r="B34" s="36">
        <f t="shared" si="1"/>
        <v>30</v>
      </c>
      <c r="C34" s="36" t="s">
        <v>651</v>
      </c>
      <c r="D34" s="36" t="s">
        <v>278</v>
      </c>
      <c r="E34" s="36" t="s">
        <v>450</v>
      </c>
      <c r="F34" s="36"/>
      <c r="G34" s="36">
        <v>63</v>
      </c>
      <c r="H34" s="36">
        <v>55.9</v>
      </c>
      <c r="I34" s="36">
        <f t="shared" si="2"/>
        <v>1212.4000000000001</v>
      </c>
      <c r="J34" s="306">
        <f t="shared" si="0"/>
        <v>1.0629999999999999</v>
      </c>
      <c r="K34" s="36"/>
      <c r="L34" s="36"/>
    </row>
    <row r="35" spans="2:12">
      <c r="B35" s="36">
        <f t="shared" si="1"/>
        <v>31</v>
      </c>
      <c r="C35" s="36" t="s">
        <v>651</v>
      </c>
      <c r="D35" s="36" t="s">
        <v>652</v>
      </c>
      <c r="E35" s="36" t="s">
        <v>301</v>
      </c>
      <c r="F35" s="36">
        <v>0.46</v>
      </c>
      <c r="G35" s="36">
        <v>63</v>
      </c>
      <c r="H35" s="36">
        <v>2.8</v>
      </c>
      <c r="I35" s="36">
        <f t="shared" si="2"/>
        <v>1215.2</v>
      </c>
      <c r="J35" s="306">
        <f t="shared" si="0"/>
        <v>1.0629999999999999</v>
      </c>
      <c r="K35" s="36"/>
      <c r="L35" s="36"/>
    </row>
    <row r="36" spans="2:12">
      <c r="B36" s="36">
        <f t="shared" si="1"/>
        <v>32</v>
      </c>
      <c r="C36" s="36" t="s">
        <v>651</v>
      </c>
      <c r="D36" s="36" t="s">
        <v>652</v>
      </c>
      <c r="E36" s="36" t="s">
        <v>450</v>
      </c>
      <c r="F36" s="36"/>
      <c r="G36" s="36">
        <v>63</v>
      </c>
      <c r="H36" s="36">
        <v>57.2</v>
      </c>
      <c r="I36" s="36">
        <f t="shared" si="2"/>
        <v>1272.4000000000001</v>
      </c>
      <c r="J36" s="306">
        <f t="shared" si="0"/>
        <v>1.0629999999999999</v>
      </c>
      <c r="K36" s="36"/>
      <c r="L36" s="36"/>
    </row>
    <row r="37" spans="2:12">
      <c r="B37" s="36">
        <f t="shared" si="1"/>
        <v>33</v>
      </c>
      <c r="C37" s="36" t="s">
        <v>651</v>
      </c>
      <c r="D37" s="36" t="s">
        <v>426</v>
      </c>
      <c r="E37" s="36" t="s">
        <v>301</v>
      </c>
      <c r="F37" s="36">
        <v>0.46</v>
      </c>
      <c r="G37" s="36">
        <v>63</v>
      </c>
      <c r="H37" s="36">
        <v>115.8</v>
      </c>
      <c r="I37" s="36">
        <f t="shared" si="2"/>
        <v>1388.2</v>
      </c>
      <c r="J37" s="306">
        <f t="shared" si="0"/>
        <v>1.0629999999999999</v>
      </c>
      <c r="K37" s="36"/>
      <c r="L37" s="36"/>
    </row>
    <row r="38" spans="2:12">
      <c r="B38" s="36">
        <f t="shared" si="1"/>
        <v>34</v>
      </c>
      <c r="C38" s="36" t="s">
        <v>426</v>
      </c>
      <c r="D38" s="36" t="s">
        <v>198</v>
      </c>
      <c r="E38" s="36" t="s">
        <v>199</v>
      </c>
      <c r="F38" s="36">
        <v>0.36</v>
      </c>
      <c r="G38" s="36">
        <v>63</v>
      </c>
      <c r="H38" s="36">
        <v>42.1</v>
      </c>
      <c r="I38" s="36">
        <f t="shared" si="2"/>
        <v>1430.3</v>
      </c>
      <c r="J38" s="306">
        <f t="shared" si="0"/>
        <v>1.0629999999999999</v>
      </c>
      <c r="K38" s="570"/>
      <c r="L38" s="573"/>
    </row>
    <row r="39" spans="2:12">
      <c r="B39" s="36">
        <f t="shared" si="1"/>
        <v>35</v>
      </c>
      <c r="C39" s="36" t="s">
        <v>426</v>
      </c>
      <c r="D39" s="36" t="s">
        <v>256</v>
      </c>
      <c r="E39" s="36" t="s">
        <v>301</v>
      </c>
      <c r="F39" s="36">
        <v>0.46</v>
      </c>
      <c r="G39" s="36">
        <v>63</v>
      </c>
      <c r="H39" s="36">
        <v>220.1</v>
      </c>
      <c r="I39" s="36">
        <f t="shared" si="2"/>
        <v>1650.3999999999999</v>
      </c>
      <c r="J39" s="306">
        <f t="shared" si="0"/>
        <v>1.0629999999999999</v>
      </c>
      <c r="K39" s="36"/>
      <c r="L39" s="36"/>
    </row>
    <row r="40" spans="2:12">
      <c r="B40" s="36">
        <f t="shared" si="1"/>
        <v>36</v>
      </c>
      <c r="C40" s="36" t="s">
        <v>426</v>
      </c>
      <c r="D40" s="36" t="s">
        <v>256</v>
      </c>
      <c r="E40" s="36" t="s">
        <v>450</v>
      </c>
      <c r="F40" s="36"/>
      <c r="G40" s="36">
        <v>63</v>
      </c>
      <c r="H40" s="36">
        <v>9.3000000000000007</v>
      </c>
      <c r="I40" s="36">
        <f t="shared" si="2"/>
        <v>1659.6999999999998</v>
      </c>
      <c r="J40" s="306">
        <f t="shared" si="0"/>
        <v>1.0629999999999999</v>
      </c>
      <c r="K40" s="570"/>
      <c r="L40" s="573"/>
    </row>
    <row r="41" spans="2:12">
      <c r="B41" s="36">
        <f t="shared" si="1"/>
        <v>37</v>
      </c>
      <c r="C41" s="36" t="s">
        <v>426</v>
      </c>
      <c r="D41" s="36" t="s">
        <v>256</v>
      </c>
      <c r="E41" s="36" t="s">
        <v>383</v>
      </c>
      <c r="F41" s="36">
        <v>0.36</v>
      </c>
      <c r="G41" s="36">
        <v>63</v>
      </c>
      <c r="H41" s="36">
        <v>3.8</v>
      </c>
      <c r="I41" s="36">
        <f t="shared" si="2"/>
        <v>1663.4999999999998</v>
      </c>
      <c r="J41" s="306">
        <f t="shared" si="0"/>
        <v>1.0629999999999999</v>
      </c>
      <c r="K41" s="36"/>
      <c r="L41" s="36"/>
    </row>
    <row r="42" spans="2:12">
      <c r="B42" s="36">
        <f t="shared" si="1"/>
        <v>38</v>
      </c>
      <c r="C42" s="36" t="s">
        <v>256</v>
      </c>
      <c r="D42" s="36" t="s">
        <v>360</v>
      </c>
      <c r="E42" s="36" t="s">
        <v>383</v>
      </c>
      <c r="F42" s="36">
        <v>0.36</v>
      </c>
      <c r="G42" s="36">
        <v>75</v>
      </c>
      <c r="H42" s="36">
        <v>99.1</v>
      </c>
      <c r="I42" s="36">
        <f t="shared" si="2"/>
        <v>1762.5999999999997</v>
      </c>
      <c r="J42" s="306">
        <f t="shared" si="0"/>
        <v>1.075</v>
      </c>
      <c r="K42" s="36"/>
      <c r="L42" s="36"/>
    </row>
    <row r="43" spans="2:12">
      <c r="B43" s="36">
        <f t="shared" si="1"/>
        <v>39</v>
      </c>
      <c r="C43" s="36" t="s">
        <v>256</v>
      </c>
      <c r="D43" s="36" t="s">
        <v>413</v>
      </c>
      <c r="E43" s="36" t="s">
        <v>383</v>
      </c>
      <c r="F43" s="36">
        <v>0.36</v>
      </c>
      <c r="G43" s="36">
        <v>90</v>
      </c>
      <c r="H43" s="36">
        <v>178.5</v>
      </c>
      <c r="I43" s="36">
        <f t="shared" si="2"/>
        <v>1941.0999999999997</v>
      </c>
      <c r="J43" s="306">
        <f t="shared" si="0"/>
        <v>1.0900000000000001</v>
      </c>
      <c r="K43" s="36"/>
      <c r="L43" s="36"/>
    </row>
    <row r="44" spans="2:12">
      <c r="B44" s="36">
        <f t="shared" si="1"/>
        <v>40</v>
      </c>
      <c r="C44" s="36" t="s">
        <v>256</v>
      </c>
      <c r="D44" s="36" t="s">
        <v>413</v>
      </c>
      <c r="E44" s="36" t="s">
        <v>450</v>
      </c>
      <c r="F44" s="36"/>
      <c r="G44" s="36">
        <v>90</v>
      </c>
      <c r="H44" s="36">
        <v>8.1999999999999993</v>
      </c>
      <c r="I44" s="36">
        <f t="shared" si="2"/>
        <v>1949.2999999999997</v>
      </c>
      <c r="J44" s="306">
        <f t="shared" si="0"/>
        <v>1.0900000000000001</v>
      </c>
      <c r="K44" s="36"/>
      <c r="L44" s="36"/>
    </row>
    <row r="45" spans="2:12">
      <c r="B45" s="36">
        <f t="shared" si="1"/>
        <v>41</v>
      </c>
      <c r="C45" s="36" t="s">
        <v>413</v>
      </c>
      <c r="D45" s="36" t="s">
        <v>252</v>
      </c>
      <c r="E45" s="36" t="s">
        <v>383</v>
      </c>
      <c r="F45" s="36">
        <v>0.36</v>
      </c>
      <c r="G45" s="36">
        <v>90</v>
      </c>
      <c r="H45" s="36">
        <v>101.1</v>
      </c>
      <c r="I45" s="36">
        <f t="shared" si="2"/>
        <v>2050.3999999999996</v>
      </c>
      <c r="J45" s="306">
        <f t="shared" si="0"/>
        <v>1.0900000000000001</v>
      </c>
      <c r="K45" s="36"/>
      <c r="L45" s="36"/>
    </row>
    <row r="46" spans="2:12">
      <c r="B46" s="36">
        <f t="shared" si="1"/>
        <v>42</v>
      </c>
      <c r="C46" s="36" t="s">
        <v>413</v>
      </c>
      <c r="D46" s="36" t="s">
        <v>252</v>
      </c>
      <c r="E46" s="36" t="s">
        <v>450</v>
      </c>
      <c r="F46" s="36"/>
      <c r="G46" s="36">
        <v>90</v>
      </c>
      <c r="H46" s="36">
        <v>93.3</v>
      </c>
      <c r="I46" s="36">
        <f t="shared" si="2"/>
        <v>2143.6999999999998</v>
      </c>
      <c r="J46" s="306">
        <f t="shared" si="0"/>
        <v>1.0900000000000001</v>
      </c>
      <c r="K46" s="36"/>
      <c r="L46" s="36"/>
    </row>
    <row r="47" spans="2:12">
      <c r="B47" s="36">
        <f t="shared" si="1"/>
        <v>43</v>
      </c>
      <c r="C47" s="36" t="s">
        <v>413</v>
      </c>
      <c r="D47" s="36" t="s">
        <v>252</v>
      </c>
      <c r="E47" s="36" t="s">
        <v>383</v>
      </c>
      <c r="F47" s="36">
        <v>0.36</v>
      </c>
      <c r="G47" s="36">
        <v>90</v>
      </c>
      <c r="H47" s="36">
        <v>4</v>
      </c>
      <c r="I47" s="36">
        <f t="shared" si="2"/>
        <v>2147.6999999999998</v>
      </c>
      <c r="J47" s="306">
        <f t="shared" si="0"/>
        <v>1.0900000000000001</v>
      </c>
      <c r="K47" s="36"/>
      <c r="L47" s="36"/>
    </row>
    <row r="48" spans="2:12">
      <c r="B48" s="36">
        <f t="shared" si="1"/>
        <v>44</v>
      </c>
      <c r="C48" s="36" t="s">
        <v>252</v>
      </c>
      <c r="D48" s="36" t="s">
        <v>412</v>
      </c>
      <c r="E48" s="36" t="s">
        <v>450</v>
      </c>
      <c r="F48" s="36"/>
      <c r="G48" s="36">
        <v>110</v>
      </c>
      <c r="H48" s="36">
        <v>113.1</v>
      </c>
      <c r="I48" s="36">
        <f t="shared" si="2"/>
        <v>2260.7999999999997</v>
      </c>
      <c r="J48" s="306">
        <f t="shared" si="0"/>
        <v>1.1100000000000001</v>
      </c>
      <c r="K48" s="36"/>
      <c r="L48" s="36"/>
    </row>
    <row r="49" spans="2:12">
      <c r="B49" s="36">
        <f t="shared" si="1"/>
        <v>45</v>
      </c>
      <c r="C49" s="36" t="s">
        <v>360</v>
      </c>
      <c r="D49" s="36" t="s">
        <v>323</v>
      </c>
      <c r="E49" s="36" t="s">
        <v>383</v>
      </c>
      <c r="F49" s="36">
        <v>0.36</v>
      </c>
      <c r="G49" s="36">
        <v>63</v>
      </c>
      <c r="H49" s="36">
        <v>407.1</v>
      </c>
      <c r="I49" s="36">
        <f t="shared" si="2"/>
        <v>2667.8999999999996</v>
      </c>
      <c r="J49" s="306">
        <f t="shared" si="0"/>
        <v>1.0629999999999999</v>
      </c>
      <c r="K49" s="36"/>
      <c r="L49" s="36"/>
    </row>
    <row r="50" spans="2:12">
      <c r="B50" s="36">
        <f t="shared" si="1"/>
        <v>46</v>
      </c>
      <c r="C50" s="36" t="s">
        <v>323</v>
      </c>
      <c r="D50" s="36" t="s">
        <v>509</v>
      </c>
      <c r="E50" s="36" t="s">
        <v>383</v>
      </c>
      <c r="F50" s="36">
        <v>0.36</v>
      </c>
      <c r="G50" s="36">
        <v>63</v>
      </c>
      <c r="H50" s="36">
        <v>39.4</v>
      </c>
      <c r="I50" s="36">
        <f t="shared" si="2"/>
        <v>2707.2999999999997</v>
      </c>
      <c r="J50" s="306">
        <f t="shared" si="0"/>
        <v>1.0629999999999999</v>
      </c>
      <c r="K50" s="36"/>
      <c r="L50" s="36"/>
    </row>
    <row r="51" spans="2:12">
      <c r="B51" s="36">
        <f t="shared" si="1"/>
        <v>47</v>
      </c>
      <c r="C51" s="36" t="s">
        <v>509</v>
      </c>
      <c r="D51" s="36" t="s">
        <v>323</v>
      </c>
      <c r="E51" s="36" t="s">
        <v>199</v>
      </c>
      <c r="F51" s="36">
        <v>0.36</v>
      </c>
      <c r="G51" s="36">
        <v>63</v>
      </c>
      <c r="H51" s="36">
        <v>9.6999999999999993</v>
      </c>
      <c r="I51" s="36">
        <f t="shared" si="2"/>
        <v>2716.9999999999995</v>
      </c>
      <c r="J51" s="306">
        <f t="shared" si="0"/>
        <v>1.0629999999999999</v>
      </c>
      <c r="K51" s="36"/>
      <c r="L51" s="36"/>
    </row>
    <row r="52" spans="2:12">
      <c r="B52" s="36">
        <f t="shared" si="1"/>
        <v>48</v>
      </c>
      <c r="C52" s="36" t="s">
        <v>509</v>
      </c>
      <c r="D52" s="36" t="s">
        <v>229</v>
      </c>
      <c r="E52" s="36" t="s">
        <v>199</v>
      </c>
      <c r="F52" s="36">
        <v>0.36</v>
      </c>
      <c r="G52" s="36">
        <v>63</v>
      </c>
      <c r="H52" s="37">
        <v>60.3</v>
      </c>
      <c r="I52" s="36">
        <f t="shared" si="2"/>
        <v>2777.2999999999997</v>
      </c>
      <c r="J52" s="306">
        <f t="shared" si="0"/>
        <v>1.0629999999999999</v>
      </c>
      <c r="K52" s="36"/>
      <c r="L52" s="36"/>
    </row>
    <row r="53" spans="2:12">
      <c r="B53" s="36">
        <f t="shared" si="1"/>
        <v>49</v>
      </c>
      <c r="C53" s="36" t="s">
        <v>509</v>
      </c>
      <c r="D53" s="36" t="s">
        <v>229</v>
      </c>
      <c r="E53" s="36" t="s">
        <v>450</v>
      </c>
      <c r="F53" s="36"/>
      <c r="G53" s="36">
        <v>63</v>
      </c>
      <c r="H53" s="36">
        <v>3.6</v>
      </c>
      <c r="I53" s="36">
        <f t="shared" si="2"/>
        <v>2780.8999999999996</v>
      </c>
      <c r="J53" s="306">
        <f t="shared" si="0"/>
        <v>1.0629999999999999</v>
      </c>
      <c r="K53" s="36"/>
      <c r="L53" s="36"/>
    </row>
    <row r="54" spans="2:12">
      <c r="B54" s="36">
        <f t="shared" si="1"/>
        <v>50</v>
      </c>
      <c r="C54" s="36" t="s">
        <v>229</v>
      </c>
      <c r="D54" s="36" t="s">
        <v>358</v>
      </c>
      <c r="E54" s="36" t="s">
        <v>450</v>
      </c>
      <c r="F54" s="36"/>
      <c r="G54" s="36">
        <v>63</v>
      </c>
      <c r="H54" s="36">
        <v>21.6</v>
      </c>
      <c r="I54" s="36">
        <f t="shared" si="2"/>
        <v>2802.4999999999995</v>
      </c>
      <c r="J54" s="306">
        <f t="shared" si="0"/>
        <v>1.0629999999999999</v>
      </c>
      <c r="K54" s="36"/>
      <c r="L54" s="36"/>
    </row>
    <row r="55" spans="2:12">
      <c r="B55" s="36">
        <f t="shared" si="1"/>
        <v>51</v>
      </c>
      <c r="C55" s="36" t="s">
        <v>229</v>
      </c>
      <c r="D55" s="36" t="s">
        <v>246</v>
      </c>
      <c r="E55" s="36" t="s">
        <v>450</v>
      </c>
      <c r="F55" s="36"/>
      <c r="G55" s="36">
        <v>63</v>
      </c>
      <c r="H55" s="36">
        <v>64.2</v>
      </c>
      <c r="I55" s="36">
        <f t="shared" si="2"/>
        <v>2866.6999999999994</v>
      </c>
      <c r="J55" s="306">
        <f t="shared" si="0"/>
        <v>1.0629999999999999</v>
      </c>
      <c r="K55" s="36"/>
      <c r="L55" s="36"/>
    </row>
    <row r="56" spans="2:12">
      <c r="B56" s="36">
        <f t="shared" si="1"/>
        <v>52</v>
      </c>
      <c r="C56" s="36" t="s">
        <v>246</v>
      </c>
      <c r="D56" s="36" t="s">
        <v>346</v>
      </c>
      <c r="E56" s="36" t="s">
        <v>653</v>
      </c>
      <c r="F56" s="36">
        <v>0.36</v>
      </c>
      <c r="G56" s="36">
        <v>63</v>
      </c>
      <c r="H56" s="36">
        <v>102</v>
      </c>
      <c r="I56" s="36">
        <f t="shared" si="2"/>
        <v>2968.6999999999994</v>
      </c>
      <c r="J56" s="306">
        <f t="shared" si="0"/>
        <v>1.0629999999999999</v>
      </c>
      <c r="K56" s="36"/>
      <c r="L56" s="36"/>
    </row>
    <row r="57" spans="2:12">
      <c r="B57" s="36">
        <f t="shared" si="1"/>
        <v>53</v>
      </c>
      <c r="C57" s="36" t="s">
        <v>246</v>
      </c>
      <c r="D57" s="36" t="s">
        <v>359</v>
      </c>
      <c r="E57" s="36" t="s">
        <v>653</v>
      </c>
      <c r="F57" s="36">
        <v>0.36</v>
      </c>
      <c r="G57" s="36">
        <v>63</v>
      </c>
      <c r="H57" s="36">
        <v>34.799999999999997</v>
      </c>
      <c r="I57" s="36">
        <f t="shared" si="2"/>
        <v>3003.4999999999995</v>
      </c>
      <c r="J57" s="306">
        <f t="shared" si="0"/>
        <v>1.0629999999999999</v>
      </c>
      <c r="K57" s="36"/>
      <c r="L57" s="36"/>
    </row>
    <row r="58" spans="2:12">
      <c r="B58" s="36">
        <f t="shared" si="1"/>
        <v>54</v>
      </c>
      <c r="C58" s="36" t="s">
        <v>359</v>
      </c>
      <c r="D58" s="36" t="s">
        <v>273</v>
      </c>
      <c r="E58" s="36" t="s">
        <v>450</v>
      </c>
      <c r="F58" s="36"/>
      <c r="G58" s="36">
        <v>63</v>
      </c>
      <c r="H58" s="36">
        <v>7.9</v>
      </c>
      <c r="I58" s="36">
        <f t="shared" si="2"/>
        <v>3011.3999999999996</v>
      </c>
      <c r="J58" s="306">
        <f t="shared" si="0"/>
        <v>1.0629999999999999</v>
      </c>
      <c r="K58" s="36"/>
      <c r="L58" s="36"/>
    </row>
    <row r="59" spans="2:12">
      <c r="B59" s="36">
        <f t="shared" si="1"/>
        <v>55</v>
      </c>
      <c r="C59" s="36" t="s">
        <v>359</v>
      </c>
      <c r="D59" s="36" t="s">
        <v>273</v>
      </c>
      <c r="E59" s="36" t="s">
        <v>199</v>
      </c>
      <c r="F59" s="36">
        <v>0.36</v>
      </c>
      <c r="G59" s="36">
        <v>63</v>
      </c>
      <c r="H59" s="36">
        <v>44.5</v>
      </c>
      <c r="I59" s="36">
        <f t="shared" si="2"/>
        <v>3055.8999999999996</v>
      </c>
      <c r="J59" s="306">
        <f t="shared" si="0"/>
        <v>1.0629999999999999</v>
      </c>
      <c r="K59" s="36"/>
      <c r="L59" s="36"/>
    </row>
    <row r="60" spans="2:12">
      <c r="B60" s="36">
        <f t="shared" si="1"/>
        <v>56</v>
      </c>
      <c r="C60" s="36" t="s">
        <v>359</v>
      </c>
      <c r="D60" s="36" t="s">
        <v>509</v>
      </c>
      <c r="E60" s="36" t="s">
        <v>653</v>
      </c>
      <c r="F60" s="36">
        <v>0.36</v>
      </c>
      <c r="G60" s="36">
        <v>63</v>
      </c>
      <c r="H60" s="36">
        <v>19.600000000000001</v>
      </c>
      <c r="I60" s="36">
        <f t="shared" si="2"/>
        <v>3075.4999999999995</v>
      </c>
      <c r="J60" s="306">
        <f t="shared" si="0"/>
        <v>1.0629999999999999</v>
      </c>
      <c r="K60" s="36"/>
      <c r="L60" s="36"/>
    </row>
    <row r="61" spans="2:12">
      <c r="B61" s="36">
        <f t="shared" si="1"/>
        <v>57</v>
      </c>
      <c r="C61" s="36" t="s">
        <v>359</v>
      </c>
      <c r="D61" s="36" t="s">
        <v>509</v>
      </c>
      <c r="E61" s="36" t="s">
        <v>199</v>
      </c>
      <c r="F61" s="36">
        <v>0.36</v>
      </c>
      <c r="G61" s="36">
        <v>63</v>
      </c>
      <c r="H61" s="36">
        <v>22.3</v>
      </c>
      <c r="I61" s="36">
        <f t="shared" si="2"/>
        <v>3097.7999999999997</v>
      </c>
      <c r="J61" s="306">
        <f t="shared" si="0"/>
        <v>1.0629999999999999</v>
      </c>
      <c r="K61" s="36"/>
      <c r="L61" s="36"/>
    </row>
    <row r="62" spans="2:12">
      <c r="B62" s="36">
        <f t="shared" si="1"/>
        <v>58</v>
      </c>
      <c r="C62" s="36" t="s">
        <v>323</v>
      </c>
      <c r="D62" s="36" t="s">
        <v>537</v>
      </c>
      <c r="E62" s="36" t="s">
        <v>383</v>
      </c>
      <c r="F62" s="36">
        <v>0.36</v>
      </c>
      <c r="G62" s="36">
        <v>63</v>
      </c>
      <c r="H62" s="36">
        <v>156.5</v>
      </c>
      <c r="I62" s="36">
        <f t="shared" si="2"/>
        <v>3254.2999999999997</v>
      </c>
      <c r="J62" s="306">
        <f t="shared" si="0"/>
        <v>1.0629999999999999</v>
      </c>
      <c r="K62" s="36"/>
      <c r="L62" s="36"/>
    </row>
    <row r="63" spans="2:12">
      <c r="B63" s="36">
        <f t="shared" si="1"/>
        <v>59</v>
      </c>
      <c r="C63" s="36" t="s">
        <v>323</v>
      </c>
      <c r="D63" s="36" t="s">
        <v>537</v>
      </c>
      <c r="E63" s="36" t="s">
        <v>199</v>
      </c>
      <c r="F63" s="36">
        <v>0.36</v>
      </c>
      <c r="G63" s="36">
        <v>63</v>
      </c>
      <c r="H63" s="37">
        <v>80.2</v>
      </c>
      <c r="I63" s="36">
        <f t="shared" si="2"/>
        <v>3334.4999999999995</v>
      </c>
      <c r="J63" s="306">
        <f t="shared" si="0"/>
        <v>1.0629999999999999</v>
      </c>
      <c r="K63" s="36"/>
      <c r="L63" s="36"/>
    </row>
    <row r="64" spans="2:12">
      <c r="B64" s="36">
        <f t="shared" si="1"/>
        <v>60</v>
      </c>
      <c r="C64" s="36" t="s">
        <v>323</v>
      </c>
      <c r="D64" s="36" t="s">
        <v>537</v>
      </c>
      <c r="E64" s="36" t="s">
        <v>450</v>
      </c>
      <c r="F64" s="36"/>
      <c r="G64" s="36">
        <v>63</v>
      </c>
      <c r="H64" s="36">
        <v>7.2</v>
      </c>
      <c r="I64" s="36">
        <f t="shared" si="2"/>
        <v>3341.6999999999994</v>
      </c>
      <c r="J64" s="306">
        <f t="shared" si="0"/>
        <v>1.0629999999999999</v>
      </c>
      <c r="K64" s="36"/>
      <c r="L64" s="36"/>
    </row>
    <row r="65" spans="2:12">
      <c r="B65" s="36">
        <f t="shared" si="1"/>
        <v>61</v>
      </c>
      <c r="C65" s="36" t="s">
        <v>537</v>
      </c>
      <c r="D65" s="36" t="s">
        <v>338</v>
      </c>
      <c r="E65" s="36" t="s">
        <v>653</v>
      </c>
      <c r="F65" s="36">
        <v>0.36</v>
      </c>
      <c r="G65" s="36">
        <v>63</v>
      </c>
      <c r="H65" s="36">
        <v>92</v>
      </c>
      <c r="I65" s="36">
        <f t="shared" si="2"/>
        <v>3433.6999999999994</v>
      </c>
      <c r="J65" s="306">
        <f t="shared" si="0"/>
        <v>1.0629999999999999</v>
      </c>
      <c r="K65" s="36"/>
      <c r="L65" s="36"/>
    </row>
    <row r="66" spans="2:12">
      <c r="B66" s="36">
        <f t="shared" si="1"/>
        <v>62</v>
      </c>
      <c r="C66" s="36" t="s">
        <v>537</v>
      </c>
      <c r="D66" s="36" t="s">
        <v>338</v>
      </c>
      <c r="E66" s="36" t="s">
        <v>383</v>
      </c>
      <c r="F66" s="36">
        <v>0.36</v>
      </c>
      <c r="G66" s="36">
        <v>63</v>
      </c>
      <c r="H66" s="36">
        <v>22.8</v>
      </c>
      <c r="I66" s="36">
        <f t="shared" si="2"/>
        <v>3456.4999999999995</v>
      </c>
      <c r="J66" s="306">
        <f t="shared" si="0"/>
        <v>1.0629999999999999</v>
      </c>
      <c r="K66" s="36"/>
      <c r="L66" s="36"/>
    </row>
    <row r="67" spans="2:12">
      <c r="B67" s="36">
        <f t="shared" si="1"/>
        <v>63</v>
      </c>
      <c r="C67" s="36" t="s">
        <v>338</v>
      </c>
      <c r="D67" s="36" t="s">
        <v>333</v>
      </c>
      <c r="E67" s="36" t="s">
        <v>383</v>
      </c>
      <c r="F67" s="36">
        <v>0.36</v>
      </c>
      <c r="G67" s="36">
        <v>63</v>
      </c>
      <c r="H67" s="36">
        <v>21.1</v>
      </c>
      <c r="I67" s="36">
        <f t="shared" si="2"/>
        <v>3477.5999999999995</v>
      </c>
      <c r="J67" s="306">
        <f t="shared" si="0"/>
        <v>1.0629999999999999</v>
      </c>
      <c r="K67" s="570"/>
      <c r="L67" s="573"/>
    </row>
    <row r="68" spans="2:12">
      <c r="B68" s="36">
        <f t="shared" si="1"/>
        <v>64</v>
      </c>
      <c r="C68" s="36" t="s">
        <v>338</v>
      </c>
      <c r="D68" s="36" t="s">
        <v>333</v>
      </c>
      <c r="E68" s="36" t="s">
        <v>653</v>
      </c>
      <c r="F68" s="36">
        <v>0.36</v>
      </c>
      <c r="G68" s="36">
        <v>63</v>
      </c>
      <c r="H68" s="36">
        <v>28.1</v>
      </c>
      <c r="I68" s="36">
        <f t="shared" si="2"/>
        <v>3505.6999999999994</v>
      </c>
      <c r="J68" s="306">
        <f t="shared" si="0"/>
        <v>1.0629999999999999</v>
      </c>
      <c r="K68" s="36"/>
      <c r="L68" s="36"/>
    </row>
    <row r="69" spans="2:12">
      <c r="B69" s="36">
        <f t="shared" si="1"/>
        <v>65</v>
      </c>
      <c r="C69" s="36" t="s">
        <v>654</v>
      </c>
      <c r="D69" s="36" t="s">
        <v>655</v>
      </c>
      <c r="E69" s="36" t="s">
        <v>199</v>
      </c>
      <c r="F69" s="36">
        <v>0.36</v>
      </c>
      <c r="G69" s="36">
        <v>63</v>
      </c>
      <c r="H69" s="36">
        <v>2.6</v>
      </c>
      <c r="I69" s="36">
        <f t="shared" si="2"/>
        <v>3508.2999999999993</v>
      </c>
      <c r="J69" s="306">
        <f t="shared" ref="J69:J132" si="3">1+G69/1000</f>
        <v>1.0629999999999999</v>
      </c>
      <c r="K69" s="570" t="s">
        <v>627</v>
      </c>
      <c r="L69" s="573"/>
    </row>
    <row r="70" spans="2:12">
      <c r="B70" s="36">
        <f t="shared" si="1"/>
        <v>66</v>
      </c>
      <c r="C70" s="36" t="s">
        <v>654</v>
      </c>
      <c r="D70" s="36" t="s">
        <v>655</v>
      </c>
      <c r="E70" s="36" t="s">
        <v>450</v>
      </c>
      <c r="F70" s="36"/>
      <c r="G70" s="36">
        <v>63</v>
      </c>
      <c r="H70" s="36">
        <v>24.6</v>
      </c>
      <c r="I70" s="36">
        <f t="shared" si="2"/>
        <v>3532.8999999999992</v>
      </c>
      <c r="J70" s="306">
        <f t="shared" si="3"/>
        <v>1.0629999999999999</v>
      </c>
      <c r="K70" s="36"/>
      <c r="L70" s="36"/>
    </row>
    <row r="71" spans="2:12">
      <c r="B71" s="36">
        <f t="shared" ref="B71:B79" si="4">1+B70</f>
        <v>67</v>
      </c>
      <c r="C71" s="36" t="s">
        <v>654</v>
      </c>
      <c r="D71" s="36" t="s">
        <v>382</v>
      </c>
      <c r="E71" s="36" t="s">
        <v>199</v>
      </c>
      <c r="F71" s="36">
        <v>0.36</v>
      </c>
      <c r="G71" s="36">
        <v>125</v>
      </c>
      <c r="H71" s="36">
        <v>35.1</v>
      </c>
      <c r="I71" s="36">
        <f t="shared" ref="I71:I134" si="5">+I70+H71</f>
        <v>3567.9999999999991</v>
      </c>
      <c r="J71" s="306">
        <f t="shared" si="3"/>
        <v>1.125</v>
      </c>
      <c r="K71" s="36"/>
      <c r="L71" s="36"/>
    </row>
    <row r="72" spans="2:12">
      <c r="B72" s="36">
        <f t="shared" si="4"/>
        <v>68</v>
      </c>
      <c r="C72" s="36" t="s">
        <v>654</v>
      </c>
      <c r="D72" s="36" t="s">
        <v>382</v>
      </c>
      <c r="E72" s="36" t="s">
        <v>450</v>
      </c>
      <c r="F72" s="36"/>
      <c r="G72" s="36">
        <v>125</v>
      </c>
      <c r="H72" s="36">
        <v>4.3</v>
      </c>
      <c r="I72" s="36">
        <f t="shared" si="5"/>
        <v>3572.2999999999993</v>
      </c>
      <c r="J72" s="306">
        <f t="shared" si="3"/>
        <v>1.125</v>
      </c>
      <c r="K72" s="36"/>
      <c r="L72" s="36"/>
    </row>
    <row r="73" spans="2:12">
      <c r="B73" s="36">
        <f t="shared" si="4"/>
        <v>69</v>
      </c>
      <c r="C73" s="36" t="s">
        <v>382</v>
      </c>
      <c r="D73" s="36" t="s">
        <v>402</v>
      </c>
      <c r="E73" s="36" t="s">
        <v>450</v>
      </c>
      <c r="F73" s="36"/>
      <c r="G73" s="36">
        <v>63</v>
      </c>
      <c r="H73" s="36">
        <v>25</v>
      </c>
      <c r="I73" s="36">
        <f t="shared" si="5"/>
        <v>3597.2999999999993</v>
      </c>
      <c r="J73" s="306">
        <f t="shared" si="3"/>
        <v>1.0629999999999999</v>
      </c>
      <c r="K73" s="36"/>
      <c r="L73" s="36"/>
    </row>
    <row r="74" spans="2:12">
      <c r="B74" s="36">
        <f t="shared" si="4"/>
        <v>70</v>
      </c>
      <c r="C74" s="36" t="s">
        <v>382</v>
      </c>
      <c r="D74" s="36" t="s">
        <v>595</v>
      </c>
      <c r="E74" s="36" t="s">
        <v>450</v>
      </c>
      <c r="F74" s="36"/>
      <c r="G74" s="36">
        <v>125</v>
      </c>
      <c r="H74" s="36">
        <v>50</v>
      </c>
      <c r="I74" s="36">
        <f t="shared" si="5"/>
        <v>3647.2999999999993</v>
      </c>
      <c r="J74" s="306">
        <f t="shared" si="3"/>
        <v>1.125</v>
      </c>
      <c r="K74" s="36"/>
      <c r="L74" s="36"/>
    </row>
    <row r="75" spans="2:12">
      <c r="B75" s="36">
        <f t="shared" si="4"/>
        <v>71</v>
      </c>
      <c r="C75" s="36" t="s">
        <v>595</v>
      </c>
      <c r="D75" s="36" t="s">
        <v>402</v>
      </c>
      <c r="E75" s="36" t="s">
        <v>450</v>
      </c>
      <c r="F75" s="36"/>
      <c r="G75" s="36">
        <v>63</v>
      </c>
      <c r="H75" s="36">
        <v>32.6</v>
      </c>
      <c r="I75" s="36">
        <f t="shared" si="5"/>
        <v>3679.8999999999992</v>
      </c>
      <c r="J75" s="306">
        <f t="shared" si="3"/>
        <v>1.0629999999999999</v>
      </c>
      <c r="K75" s="36"/>
      <c r="L75" s="36"/>
    </row>
    <row r="76" spans="2:12">
      <c r="B76" s="36">
        <f t="shared" si="4"/>
        <v>72</v>
      </c>
      <c r="C76" s="36" t="s">
        <v>595</v>
      </c>
      <c r="D76" s="36" t="s">
        <v>312</v>
      </c>
      <c r="E76" s="36" t="s">
        <v>450</v>
      </c>
      <c r="F76" s="36"/>
      <c r="G76" s="36">
        <v>125</v>
      </c>
      <c r="H76" s="36">
        <v>20.6</v>
      </c>
      <c r="I76" s="36">
        <f t="shared" si="5"/>
        <v>3700.4999999999991</v>
      </c>
      <c r="J76" s="306">
        <f t="shared" si="3"/>
        <v>1.125</v>
      </c>
      <c r="K76" s="36"/>
      <c r="L76" s="36"/>
    </row>
    <row r="77" spans="2:12">
      <c r="B77" s="36">
        <f t="shared" si="4"/>
        <v>73</v>
      </c>
      <c r="C77" s="36" t="s">
        <v>312</v>
      </c>
      <c r="D77" s="36" t="s">
        <v>313</v>
      </c>
      <c r="E77" s="36" t="s">
        <v>450</v>
      </c>
      <c r="F77" s="36"/>
      <c r="G77" s="36">
        <v>63</v>
      </c>
      <c r="H77" s="36">
        <v>30</v>
      </c>
      <c r="I77" s="36">
        <f t="shared" si="5"/>
        <v>3730.4999999999991</v>
      </c>
      <c r="J77" s="306">
        <f t="shared" si="3"/>
        <v>1.0629999999999999</v>
      </c>
      <c r="K77" s="36"/>
      <c r="L77" s="36"/>
    </row>
    <row r="78" spans="2:12">
      <c r="B78" s="36">
        <f t="shared" si="4"/>
        <v>74</v>
      </c>
      <c r="C78" s="36" t="s">
        <v>312</v>
      </c>
      <c r="D78" s="36" t="s">
        <v>656</v>
      </c>
      <c r="E78" s="36" t="s">
        <v>450</v>
      </c>
      <c r="F78" s="36"/>
      <c r="G78" s="36">
        <v>125</v>
      </c>
      <c r="H78" s="36">
        <v>15.8</v>
      </c>
      <c r="I78" s="36">
        <f t="shared" si="5"/>
        <v>3746.2999999999993</v>
      </c>
      <c r="J78" s="306">
        <f t="shared" si="3"/>
        <v>1.125</v>
      </c>
      <c r="K78" s="570"/>
      <c r="L78" s="573"/>
    </row>
    <row r="79" spans="2:12">
      <c r="B79" s="36">
        <f t="shared" si="4"/>
        <v>75</v>
      </c>
      <c r="C79" s="36" t="s">
        <v>656</v>
      </c>
      <c r="D79" s="36" t="s">
        <v>657</v>
      </c>
      <c r="E79" s="36" t="s">
        <v>450</v>
      </c>
      <c r="F79" s="36"/>
      <c r="G79" s="36">
        <v>63</v>
      </c>
      <c r="H79" s="36">
        <v>47.3</v>
      </c>
      <c r="I79" s="36">
        <f t="shared" si="5"/>
        <v>3793.5999999999995</v>
      </c>
      <c r="J79" s="306">
        <f t="shared" si="3"/>
        <v>1.0629999999999999</v>
      </c>
      <c r="K79" s="36"/>
      <c r="L79" s="36"/>
    </row>
    <row r="80" spans="2:12">
      <c r="B80" s="36"/>
      <c r="C80" s="36" t="s">
        <v>249</v>
      </c>
      <c r="D80" s="36" t="s">
        <v>395</v>
      </c>
      <c r="E80" s="36" t="s">
        <v>450</v>
      </c>
      <c r="F80" s="36"/>
      <c r="G80" s="36">
        <v>110</v>
      </c>
      <c r="H80" s="36">
        <v>45.6</v>
      </c>
      <c r="I80" s="36">
        <f t="shared" si="5"/>
        <v>3839.1999999999994</v>
      </c>
      <c r="J80" s="306">
        <f t="shared" si="3"/>
        <v>1.1100000000000001</v>
      </c>
      <c r="K80" s="36"/>
      <c r="L80" s="36"/>
    </row>
    <row r="81" spans="2:12">
      <c r="B81" s="36">
        <f>1+B79</f>
        <v>76</v>
      </c>
      <c r="C81" s="36" t="s">
        <v>249</v>
      </c>
      <c r="D81" s="36" t="s">
        <v>395</v>
      </c>
      <c r="E81" s="36" t="s">
        <v>450</v>
      </c>
      <c r="F81" s="36"/>
      <c r="G81" s="36">
        <v>110</v>
      </c>
      <c r="H81" s="36">
        <v>3.3</v>
      </c>
      <c r="I81" s="36">
        <f t="shared" si="5"/>
        <v>3842.4999999999995</v>
      </c>
      <c r="J81" s="306">
        <f t="shared" si="3"/>
        <v>1.1100000000000001</v>
      </c>
      <c r="K81" s="570" t="s">
        <v>627</v>
      </c>
      <c r="L81" s="573"/>
    </row>
    <row r="82" spans="2:12">
      <c r="B82" s="36">
        <f t="shared" ref="B82:B145" si="6">1+B81</f>
        <v>77</v>
      </c>
      <c r="C82" s="36" t="s">
        <v>402</v>
      </c>
      <c r="D82" s="36" t="s">
        <v>391</v>
      </c>
      <c r="E82" s="36" t="s">
        <v>199</v>
      </c>
      <c r="F82" s="36">
        <v>0.36</v>
      </c>
      <c r="G82" s="36">
        <v>63</v>
      </c>
      <c r="H82" s="36">
        <v>66.3</v>
      </c>
      <c r="I82" s="36">
        <f t="shared" si="5"/>
        <v>3908.7999999999997</v>
      </c>
      <c r="J82" s="306">
        <f t="shared" si="3"/>
        <v>1.0629999999999999</v>
      </c>
      <c r="K82" s="36"/>
      <c r="L82" s="36"/>
    </row>
    <row r="83" spans="2:12">
      <c r="B83" s="36">
        <f t="shared" si="6"/>
        <v>78</v>
      </c>
      <c r="C83" s="36" t="s">
        <v>391</v>
      </c>
      <c r="D83" s="36" t="s">
        <v>363</v>
      </c>
      <c r="E83" s="36" t="s">
        <v>383</v>
      </c>
      <c r="F83" s="36">
        <v>0.36</v>
      </c>
      <c r="G83" s="36">
        <v>63</v>
      </c>
      <c r="H83" s="36">
        <v>83.8</v>
      </c>
      <c r="I83" s="36">
        <f t="shared" si="5"/>
        <v>3992.6</v>
      </c>
      <c r="J83" s="306">
        <f t="shared" si="3"/>
        <v>1.0629999999999999</v>
      </c>
      <c r="K83" s="36"/>
      <c r="L83" s="36"/>
    </row>
    <row r="84" spans="2:12">
      <c r="B84" s="36">
        <f t="shared" si="6"/>
        <v>79</v>
      </c>
      <c r="C84" s="36" t="s">
        <v>391</v>
      </c>
      <c r="D84" s="36" t="s">
        <v>658</v>
      </c>
      <c r="E84" s="36" t="s">
        <v>383</v>
      </c>
      <c r="F84" s="36">
        <v>0.36</v>
      </c>
      <c r="G84" s="36">
        <v>63</v>
      </c>
      <c r="H84" s="36">
        <v>12.3</v>
      </c>
      <c r="I84" s="36">
        <f t="shared" si="5"/>
        <v>4004.9</v>
      </c>
      <c r="J84" s="306">
        <f t="shared" si="3"/>
        <v>1.0629999999999999</v>
      </c>
      <c r="K84" s="36"/>
      <c r="L84" s="36"/>
    </row>
    <row r="85" spans="2:12">
      <c r="B85" s="36">
        <f t="shared" si="6"/>
        <v>80</v>
      </c>
      <c r="C85" s="36" t="s">
        <v>283</v>
      </c>
      <c r="D85" s="36" t="s">
        <v>392</v>
      </c>
      <c r="E85" s="36" t="s">
        <v>383</v>
      </c>
      <c r="F85" s="36">
        <v>0.36</v>
      </c>
      <c r="G85" s="36">
        <v>63</v>
      </c>
      <c r="H85" s="36">
        <v>103.9</v>
      </c>
      <c r="I85" s="36">
        <f t="shared" si="5"/>
        <v>4108.8</v>
      </c>
      <c r="J85" s="306">
        <f t="shared" si="3"/>
        <v>1.0629999999999999</v>
      </c>
      <c r="K85" s="36"/>
      <c r="L85" s="36"/>
    </row>
    <row r="86" spans="2:12">
      <c r="B86" s="36">
        <f t="shared" si="6"/>
        <v>81</v>
      </c>
      <c r="C86" s="36" t="s">
        <v>283</v>
      </c>
      <c r="D86" s="36" t="s">
        <v>400</v>
      </c>
      <c r="E86" s="36" t="s">
        <v>383</v>
      </c>
      <c r="F86" s="36">
        <v>0.36</v>
      </c>
      <c r="G86" s="36">
        <v>63</v>
      </c>
      <c r="H86" s="36">
        <v>33.5</v>
      </c>
      <c r="I86" s="36">
        <f t="shared" si="5"/>
        <v>4142.3</v>
      </c>
      <c r="J86" s="306">
        <f t="shared" si="3"/>
        <v>1.0629999999999999</v>
      </c>
      <c r="K86" s="36"/>
      <c r="L86" s="36"/>
    </row>
    <row r="87" spans="2:12">
      <c r="B87" s="36">
        <f t="shared" si="6"/>
        <v>82</v>
      </c>
      <c r="C87" s="36" t="s">
        <v>400</v>
      </c>
      <c r="D87" s="36" t="s">
        <v>659</v>
      </c>
      <c r="E87" s="36" t="s">
        <v>199</v>
      </c>
      <c r="F87" s="36">
        <v>0.36</v>
      </c>
      <c r="G87" s="36">
        <v>63</v>
      </c>
      <c r="H87" s="36">
        <v>22.3</v>
      </c>
      <c r="I87" s="36">
        <f t="shared" si="5"/>
        <v>4164.6000000000004</v>
      </c>
      <c r="J87" s="306">
        <f t="shared" si="3"/>
        <v>1.0629999999999999</v>
      </c>
      <c r="K87" s="36"/>
      <c r="L87" s="36"/>
    </row>
    <row r="88" spans="2:12">
      <c r="B88" s="36">
        <f t="shared" si="6"/>
        <v>83</v>
      </c>
      <c r="C88" s="36" t="s">
        <v>659</v>
      </c>
      <c r="D88" s="36" t="s">
        <v>660</v>
      </c>
      <c r="E88" s="36" t="s">
        <v>450</v>
      </c>
      <c r="F88" s="36"/>
      <c r="G88" s="36">
        <v>63</v>
      </c>
      <c r="H88" s="36">
        <v>24.3</v>
      </c>
      <c r="I88" s="36">
        <f t="shared" si="5"/>
        <v>4188.9000000000005</v>
      </c>
      <c r="J88" s="306">
        <f t="shared" si="3"/>
        <v>1.0629999999999999</v>
      </c>
      <c r="K88" s="36"/>
      <c r="L88" s="36"/>
    </row>
    <row r="89" spans="2:12">
      <c r="B89" s="36">
        <f t="shared" si="6"/>
        <v>84</v>
      </c>
      <c r="C89" s="36" t="s">
        <v>659</v>
      </c>
      <c r="D89" s="36" t="s">
        <v>239</v>
      </c>
      <c r="E89" s="36" t="s">
        <v>450</v>
      </c>
      <c r="F89" s="36"/>
      <c r="G89" s="36">
        <v>63</v>
      </c>
      <c r="H89" s="36">
        <v>27.1</v>
      </c>
      <c r="I89" s="36">
        <f t="shared" si="5"/>
        <v>4216.0000000000009</v>
      </c>
      <c r="J89" s="306">
        <f t="shared" si="3"/>
        <v>1.0629999999999999</v>
      </c>
      <c r="K89" s="36"/>
      <c r="L89" s="36"/>
    </row>
    <row r="90" spans="2:12">
      <c r="B90" s="36">
        <f t="shared" si="6"/>
        <v>85</v>
      </c>
      <c r="C90" s="36" t="s">
        <v>659</v>
      </c>
      <c r="D90" s="36" t="s">
        <v>239</v>
      </c>
      <c r="E90" s="36" t="s">
        <v>199</v>
      </c>
      <c r="F90" s="36">
        <v>0.36</v>
      </c>
      <c r="G90" s="36">
        <v>63</v>
      </c>
      <c r="H90" s="36">
        <v>7.5</v>
      </c>
      <c r="I90" s="36">
        <f t="shared" si="5"/>
        <v>4223.5000000000009</v>
      </c>
      <c r="J90" s="306">
        <f t="shared" si="3"/>
        <v>1.0629999999999999</v>
      </c>
      <c r="K90" s="36"/>
      <c r="L90" s="36"/>
    </row>
    <row r="91" spans="2:12">
      <c r="B91" s="36">
        <f t="shared" si="6"/>
        <v>86</v>
      </c>
      <c r="C91" s="36" t="s">
        <v>400</v>
      </c>
      <c r="D91" s="36" t="s">
        <v>261</v>
      </c>
      <c r="E91" s="36" t="s">
        <v>383</v>
      </c>
      <c r="F91" s="36">
        <v>0.36</v>
      </c>
      <c r="G91" s="36">
        <v>63</v>
      </c>
      <c r="H91" s="36">
        <v>55.6</v>
      </c>
      <c r="I91" s="36">
        <f t="shared" si="5"/>
        <v>4279.1000000000013</v>
      </c>
      <c r="J91" s="306">
        <f t="shared" si="3"/>
        <v>1.0629999999999999</v>
      </c>
      <c r="K91" s="36"/>
      <c r="L91" s="36"/>
    </row>
    <row r="92" spans="2:12">
      <c r="B92" s="36">
        <f t="shared" si="6"/>
        <v>87</v>
      </c>
      <c r="C92" s="36" t="s">
        <v>261</v>
      </c>
      <c r="D92" s="36" t="s">
        <v>540</v>
      </c>
      <c r="E92" s="36" t="s">
        <v>450</v>
      </c>
      <c r="F92" s="36"/>
      <c r="G92" s="36">
        <v>63</v>
      </c>
      <c r="H92" s="36">
        <v>56.3</v>
      </c>
      <c r="I92" s="36">
        <f t="shared" si="5"/>
        <v>4335.4000000000015</v>
      </c>
      <c r="J92" s="306">
        <f t="shared" si="3"/>
        <v>1.0629999999999999</v>
      </c>
      <c r="K92" s="36"/>
      <c r="L92" s="36"/>
    </row>
    <row r="93" spans="2:12">
      <c r="B93" s="36">
        <f t="shared" si="6"/>
        <v>88</v>
      </c>
      <c r="C93" s="36" t="s">
        <v>540</v>
      </c>
      <c r="D93" s="36" t="s">
        <v>661</v>
      </c>
      <c r="E93" s="36" t="s">
        <v>450</v>
      </c>
      <c r="F93" s="36"/>
      <c r="G93" s="36">
        <v>63</v>
      </c>
      <c r="H93" s="36">
        <v>54.1</v>
      </c>
      <c r="I93" s="36">
        <f t="shared" si="5"/>
        <v>4389.5000000000018</v>
      </c>
      <c r="J93" s="306">
        <f t="shared" si="3"/>
        <v>1.0629999999999999</v>
      </c>
      <c r="K93" s="36"/>
      <c r="L93" s="36"/>
    </row>
    <row r="94" spans="2:12">
      <c r="B94" s="36">
        <f t="shared" si="6"/>
        <v>89</v>
      </c>
      <c r="C94" s="36" t="s">
        <v>364</v>
      </c>
      <c r="D94" s="36" t="s">
        <v>252</v>
      </c>
      <c r="E94" s="36" t="s">
        <v>450</v>
      </c>
      <c r="F94" s="36"/>
      <c r="G94" s="36">
        <v>63</v>
      </c>
      <c r="H94" s="36">
        <v>169</v>
      </c>
      <c r="I94" s="36">
        <f t="shared" si="5"/>
        <v>4558.5000000000018</v>
      </c>
      <c r="J94" s="306">
        <f t="shared" si="3"/>
        <v>1.0629999999999999</v>
      </c>
      <c r="K94" s="36"/>
      <c r="L94" s="36"/>
    </row>
    <row r="95" spans="2:12">
      <c r="B95" s="36">
        <f t="shared" si="6"/>
        <v>90</v>
      </c>
      <c r="C95" s="36" t="s">
        <v>364</v>
      </c>
      <c r="D95" s="36" t="s">
        <v>252</v>
      </c>
      <c r="E95" s="36" t="s">
        <v>199</v>
      </c>
      <c r="F95" s="36">
        <v>0.36</v>
      </c>
      <c r="G95" s="36">
        <v>63</v>
      </c>
      <c r="H95" s="36">
        <v>26.1</v>
      </c>
      <c r="I95" s="36">
        <f t="shared" si="5"/>
        <v>4584.6000000000022</v>
      </c>
      <c r="J95" s="306">
        <f t="shared" si="3"/>
        <v>1.0629999999999999</v>
      </c>
      <c r="K95" s="36"/>
      <c r="L95" s="36"/>
    </row>
    <row r="96" spans="2:12">
      <c r="B96" s="36">
        <f t="shared" si="6"/>
        <v>91</v>
      </c>
      <c r="C96" s="36" t="s">
        <v>278</v>
      </c>
      <c r="D96" s="36" t="s">
        <v>525</v>
      </c>
      <c r="E96" s="36" t="s">
        <v>450</v>
      </c>
      <c r="F96" s="36"/>
      <c r="G96" s="36">
        <v>63</v>
      </c>
      <c r="H96" s="36">
        <v>122.3</v>
      </c>
      <c r="I96" s="36">
        <f t="shared" si="5"/>
        <v>4706.9000000000024</v>
      </c>
      <c r="J96" s="306">
        <f t="shared" si="3"/>
        <v>1.0629999999999999</v>
      </c>
      <c r="K96" s="36"/>
      <c r="L96" s="36"/>
    </row>
    <row r="97" spans="2:12">
      <c r="B97" s="36">
        <f t="shared" si="6"/>
        <v>92</v>
      </c>
      <c r="C97" s="36" t="s">
        <v>360</v>
      </c>
      <c r="D97" s="36" t="s">
        <v>238</v>
      </c>
      <c r="E97" s="36" t="s">
        <v>383</v>
      </c>
      <c r="F97" s="36">
        <v>0.36</v>
      </c>
      <c r="G97" s="36">
        <v>75</v>
      </c>
      <c r="H97" s="36">
        <v>135.69999999999999</v>
      </c>
      <c r="I97" s="36">
        <f t="shared" si="5"/>
        <v>4842.6000000000022</v>
      </c>
      <c r="J97" s="306">
        <f t="shared" si="3"/>
        <v>1.075</v>
      </c>
      <c r="K97" s="36"/>
      <c r="L97" s="36"/>
    </row>
    <row r="98" spans="2:12">
      <c r="B98" s="36">
        <f t="shared" si="6"/>
        <v>93</v>
      </c>
      <c r="C98" s="36" t="s">
        <v>238</v>
      </c>
      <c r="D98" s="36" t="s">
        <v>347</v>
      </c>
      <c r="E98" s="36" t="s">
        <v>301</v>
      </c>
      <c r="F98" s="36">
        <v>0.46</v>
      </c>
      <c r="G98" s="36">
        <v>63</v>
      </c>
      <c r="H98" s="36">
        <v>158.30000000000001</v>
      </c>
      <c r="I98" s="36">
        <f t="shared" si="5"/>
        <v>5000.9000000000024</v>
      </c>
      <c r="J98" s="306">
        <f t="shared" si="3"/>
        <v>1.0629999999999999</v>
      </c>
      <c r="K98" s="36"/>
      <c r="L98" s="36"/>
    </row>
    <row r="99" spans="2:12">
      <c r="B99" s="36">
        <f t="shared" si="6"/>
        <v>94</v>
      </c>
      <c r="C99" s="36" t="s">
        <v>238</v>
      </c>
      <c r="D99" s="36" t="s">
        <v>236</v>
      </c>
      <c r="E99" s="36" t="s">
        <v>383</v>
      </c>
      <c r="F99" s="36">
        <v>0.36</v>
      </c>
      <c r="G99" s="36">
        <v>63</v>
      </c>
      <c r="H99" s="36">
        <v>96.6</v>
      </c>
      <c r="I99" s="36">
        <f t="shared" si="5"/>
        <v>5097.5000000000027</v>
      </c>
      <c r="J99" s="306">
        <f t="shared" si="3"/>
        <v>1.0629999999999999</v>
      </c>
      <c r="K99" s="36"/>
      <c r="L99" s="36"/>
    </row>
    <row r="100" spans="2:12">
      <c r="B100" s="36">
        <f t="shared" si="6"/>
        <v>95</v>
      </c>
      <c r="C100" s="36" t="s">
        <v>236</v>
      </c>
      <c r="D100" s="36" t="s">
        <v>325</v>
      </c>
      <c r="E100" s="36" t="s">
        <v>383</v>
      </c>
      <c r="F100" s="36">
        <v>0.36</v>
      </c>
      <c r="G100" s="36">
        <v>63</v>
      </c>
      <c r="H100" s="36">
        <v>4.8</v>
      </c>
      <c r="I100" s="36">
        <f t="shared" si="5"/>
        <v>5102.3000000000029</v>
      </c>
      <c r="J100" s="306">
        <f t="shared" si="3"/>
        <v>1.0629999999999999</v>
      </c>
      <c r="K100" s="570" t="s">
        <v>627</v>
      </c>
      <c r="L100" s="573"/>
    </row>
    <row r="101" spans="2:12">
      <c r="B101" s="36">
        <f t="shared" si="6"/>
        <v>96</v>
      </c>
      <c r="C101" s="36" t="s">
        <v>236</v>
      </c>
      <c r="D101" s="36" t="s">
        <v>325</v>
      </c>
      <c r="E101" s="36" t="s">
        <v>199</v>
      </c>
      <c r="F101" s="36">
        <v>0.36</v>
      </c>
      <c r="G101" s="36">
        <v>63</v>
      </c>
      <c r="H101" s="36">
        <v>180.1</v>
      </c>
      <c r="I101" s="36">
        <f t="shared" si="5"/>
        <v>5282.4000000000033</v>
      </c>
      <c r="J101" s="306">
        <f t="shared" si="3"/>
        <v>1.0629999999999999</v>
      </c>
      <c r="K101" s="36"/>
      <c r="L101" s="36"/>
    </row>
    <row r="102" spans="2:12">
      <c r="B102" s="36">
        <f t="shared" si="6"/>
        <v>97</v>
      </c>
      <c r="C102" s="36" t="s">
        <v>236</v>
      </c>
      <c r="D102" s="36" t="s">
        <v>338</v>
      </c>
      <c r="E102" s="36" t="s">
        <v>383</v>
      </c>
      <c r="F102" s="36">
        <v>0.36</v>
      </c>
      <c r="G102" s="36">
        <v>63</v>
      </c>
      <c r="H102" s="36">
        <v>56.1</v>
      </c>
      <c r="I102" s="36">
        <f t="shared" si="5"/>
        <v>5338.5000000000036</v>
      </c>
      <c r="J102" s="306">
        <f t="shared" si="3"/>
        <v>1.0629999999999999</v>
      </c>
      <c r="K102" s="36"/>
      <c r="L102" s="36"/>
    </row>
    <row r="103" spans="2:12">
      <c r="B103" s="36">
        <f t="shared" si="6"/>
        <v>98</v>
      </c>
      <c r="C103" s="36" t="s">
        <v>252</v>
      </c>
      <c r="D103" s="36" t="s">
        <v>276</v>
      </c>
      <c r="E103" s="36" t="s">
        <v>450</v>
      </c>
      <c r="F103" s="36"/>
      <c r="G103" s="36">
        <v>90</v>
      </c>
      <c r="H103" s="36">
        <v>390.1</v>
      </c>
      <c r="I103" s="36">
        <f t="shared" si="5"/>
        <v>5728.600000000004</v>
      </c>
      <c r="J103" s="306">
        <f t="shared" si="3"/>
        <v>1.0900000000000001</v>
      </c>
      <c r="K103" s="36"/>
      <c r="L103" s="36"/>
    </row>
    <row r="104" spans="2:12">
      <c r="B104" s="36">
        <f t="shared" si="6"/>
        <v>99</v>
      </c>
      <c r="C104" s="36" t="s">
        <v>252</v>
      </c>
      <c r="D104" s="36" t="s">
        <v>276</v>
      </c>
      <c r="E104" s="36" t="s">
        <v>301</v>
      </c>
      <c r="F104" s="36">
        <v>0.46</v>
      </c>
      <c r="G104" s="36">
        <v>90</v>
      </c>
      <c r="H104" s="36">
        <v>4.5999999999999996</v>
      </c>
      <c r="I104" s="36">
        <f t="shared" si="5"/>
        <v>5733.2000000000044</v>
      </c>
      <c r="J104" s="306">
        <f t="shared" si="3"/>
        <v>1.0900000000000001</v>
      </c>
      <c r="K104" s="36"/>
      <c r="L104" s="36"/>
    </row>
    <row r="105" spans="2:12">
      <c r="B105" s="36">
        <f t="shared" si="6"/>
        <v>100</v>
      </c>
      <c r="C105" s="36" t="s">
        <v>276</v>
      </c>
      <c r="D105" s="36" t="s">
        <v>662</v>
      </c>
      <c r="E105" s="36" t="s">
        <v>450</v>
      </c>
      <c r="F105" s="36"/>
      <c r="G105" s="36">
        <v>90</v>
      </c>
      <c r="H105" s="36">
        <v>120.1</v>
      </c>
      <c r="I105" s="36">
        <f t="shared" si="5"/>
        <v>5853.3000000000047</v>
      </c>
      <c r="J105" s="306">
        <f t="shared" si="3"/>
        <v>1.0900000000000001</v>
      </c>
      <c r="K105" s="570"/>
      <c r="L105" s="573"/>
    </row>
    <row r="106" spans="2:12">
      <c r="B106" s="36">
        <f t="shared" si="6"/>
        <v>101</v>
      </c>
      <c r="C106" s="36" t="s">
        <v>276</v>
      </c>
      <c r="D106" s="36" t="s">
        <v>662</v>
      </c>
      <c r="E106" s="36" t="s">
        <v>450</v>
      </c>
      <c r="F106" s="36"/>
      <c r="G106" s="36">
        <v>90</v>
      </c>
      <c r="H106" s="36">
        <v>9.3000000000000007</v>
      </c>
      <c r="I106" s="36">
        <f t="shared" si="5"/>
        <v>5862.6000000000049</v>
      </c>
      <c r="J106" s="306">
        <f t="shared" si="3"/>
        <v>1.0900000000000001</v>
      </c>
      <c r="L106" s="36"/>
    </row>
    <row r="107" spans="2:12">
      <c r="B107" s="36">
        <f t="shared" si="6"/>
        <v>102</v>
      </c>
      <c r="C107" s="36" t="s">
        <v>276</v>
      </c>
      <c r="D107" s="36" t="s">
        <v>662</v>
      </c>
      <c r="E107" s="36"/>
      <c r="F107" s="36"/>
      <c r="G107" s="36">
        <v>90</v>
      </c>
      <c r="H107" s="36">
        <v>10.5</v>
      </c>
      <c r="I107" s="36">
        <f t="shared" si="5"/>
        <v>5873.1000000000049</v>
      </c>
      <c r="J107" s="306">
        <f t="shared" si="3"/>
        <v>1.0900000000000001</v>
      </c>
      <c r="K107" s="570" t="s">
        <v>304</v>
      </c>
      <c r="L107" s="573"/>
    </row>
    <row r="108" spans="2:12">
      <c r="B108" s="36">
        <f t="shared" si="6"/>
        <v>103</v>
      </c>
      <c r="C108" s="36" t="s">
        <v>276</v>
      </c>
      <c r="D108" s="36" t="s">
        <v>662</v>
      </c>
      <c r="E108" s="36" t="s">
        <v>383</v>
      </c>
      <c r="F108" s="36">
        <v>0.36</v>
      </c>
      <c r="G108" s="36">
        <v>90</v>
      </c>
      <c r="H108" s="36">
        <v>5.8</v>
      </c>
      <c r="I108" s="36">
        <f t="shared" si="5"/>
        <v>5878.9000000000051</v>
      </c>
      <c r="J108" s="306">
        <f t="shared" si="3"/>
        <v>1.0900000000000001</v>
      </c>
      <c r="K108" s="570" t="s">
        <v>627</v>
      </c>
      <c r="L108" s="573"/>
    </row>
    <row r="109" spans="2:12">
      <c r="B109" s="36">
        <f t="shared" si="6"/>
        <v>104</v>
      </c>
      <c r="C109" s="36" t="s">
        <v>662</v>
      </c>
      <c r="D109" s="36" t="s">
        <v>344</v>
      </c>
      <c r="E109" s="36" t="s">
        <v>450</v>
      </c>
      <c r="F109" s="36"/>
      <c r="G109" s="36">
        <v>63</v>
      </c>
      <c r="H109" s="36">
        <v>124.7</v>
      </c>
      <c r="I109" s="36">
        <f t="shared" si="5"/>
        <v>6003.6000000000049</v>
      </c>
      <c r="J109" s="306">
        <f t="shared" si="3"/>
        <v>1.0629999999999999</v>
      </c>
      <c r="K109" s="36"/>
      <c r="L109" s="36"/>
    </row>
    <row r="110" spans="2:12">
      <c r="B110" s="36">
        <f t="shared" si="6"/>
        <v>105</v>
      </c>
      <c r="C110" s="36" t="s">
        <v>344</v>
      </c>
      <c r="D110" s="36" t="s">
        <v>343</v>
      </c>
      <c r="E110" s="36" t="s">
        <v>450</v>
      </c>
      <c r="F110" s="36"/>
      <c r="G110" s="36">
        <v>63</v>
      </c>
      <c r="H110" s="36">
        <v>56.6</v>
      </c>
      <c r="I110" s="36">
        <f t="shared" si="5"/>
        <v>6060.2000000000053</v>
      </c>
      <c r="J110" s="306">
        <f t="shared" si="3"/>
        <v>1.0629999999999999</v>
      </c>
      <c r="K110" s="570"/>
      <c r="L110" s="573"/>
    </row>
    <row r="111" spans="2:12">
      <c r="B111" s="36">
        <f t="shared" si="6"/>
        <v>106</v>
      </c>
      <c r="C111" s="36" t="s">
        <v>311</v>
      </c>
      <c r="D111" s="36" t="s">
        <v>310</v>
      </c>
      <c r="E111" s="36" t="s">
        <v>450</v>
      </c>
      <c r="F111" s="36"/>
      <c r="G111" s="36">
        <v>63</v>
      </c>
      <c r="H111" s="36">
        <v>13.1</v>
      </c>
      <c r="I111" s="36">
        <f t="shared" si="5"/>
        <v>6073.3000000000056</v>
      </c>
      <c r="J111" s="306">
        <f t="shared" si="3"/>
        <v>1.0629999999999999</v>
      </c>
      <c r="K111" s="570"/>
      <c r="L111" s="573"/>
    </row>
    <row r="112" spans="2:12">
      <c r="B112" s="36">
        <f t="shared" si="6"/>
        <v>107</v>
      </c>
      <c r="C112" s="36" t="s">
        <v>311</v>
      </c>
      <c r="D112" s="36" t="s">
        <v>310</v>
      </c>
      <c r="E112" s="36" t="s">
        <v>199</v>
      </c>
      <c r="F112" s="36">
        <v>0.36</v>
      </c>
      <c r="G112" s="36">
        <v>63</v>
      </c>
      <c r="H112" s="36">
        <v>10.1</v>
      </c>
      <c r="I112" s="36">
        <f t="shared" si="5"/>
        <v>6083.400000000006</v>
      </c>
      <c r="J112" s="306">
        <f t="shared" si="3"/>
        <v>1.0629999999999999</v>
      </c>
      <c r="K112" s="36"/>
      <c r="L112" s="36"/>
    </row>
    <row r="113" spans="2:12">
      <c r="B113" s="36">
        <f t="shared" si="6"/>
        <v>108</v>
      </c>
      <c r="C113" s="36" t="s">
        <v>311</v>
      </c>
      <c r="D113" s="36" t="s">
        <v>310</v>
      </c>
      <c r="E113" s="36" t="s">
        <v>450</v>
      </c>
      <c r="F113" s="36"/>
      <c r="G113" s="36">
        <v>63</v>
      </c>
      <c r="H113" s="36">
        <v>23.1</v>
      </c>
      <c r="I113" s="36">
        <f t="shared" si="5"/>
        <v>6106.5000000000064</v>
      </c>
      <c r="J113" s="306">
        <f t="shared" si="3"/>
        <v>1.0629999999999999</v>
      </c>
      <c r="K113" s="36"/>
      <c r="L113" s="36"/>
    </row>
    <row r="114" spans="2:12">
      <c r="B114" s="36">
        <f t="shared" si="6"/>
        <v>109</v>
      </c>
      <c r="C114" s="36" t="s">
        <v>311</v>
      </c>
      <c r="D114" s="36" t="s">
        <v>310</v>
      </c>
      <c r="E114" s="36" t="s">
        <v>199</v>
      </c>
      <c r="F114" s="36">
        <v>0.36</v>
      </c>
      <c r="G114" s="36">
        <v>63</v>
      </c>
      <c r="H114" s="36">
        <v>17.600000000000001</v>
      </c>
      <c r="I114" s="36">
        <f t="shared" si="5"/>
        <v>6124.1000000000067</v>
      </c>
      <c r="J114" s="306">
        <f t="shared" si="3"/>
        <v>1.0629999999999999</v>
      </c>
      <c r="K114" s="36"/>
      <c r="L114" s="36"/>
    </row>
    <row r="115" spans="2:12">
      <c r="B115" s="36">
        <f t="shared" si="6"/>
        <v>110</v>
      </c>
      <c r="C115" s="36" t="s">
        <v>310</v>
      </c>
      <c r="D115" s="36" t="s">
        <v>240</v>
      </c>
      <c r="E115" s="36" t="s">
        <v>199</v>
      </c>
      <c r="F115" s="36">
        <v>0.36</v>
      </c>
      <c r="G115" s="36">
        <v>63</v>
      </c>
      <c r="H115" s="36">
        <v>4.0999999999999996</v>
      </c>
      <c r="I115" s="36">
        <f t="shared" si="5"/>
        <v>6128.2000000000071</v>
      </c>
      <c r="J115" s="306">
        <f t="shared" si="3"/>
        <v>1.0629999999999999</v>
      </c>
      <c r="K115" s="36"/>
      <c r="L115" s="36"/>
    </row>
    <row r="116" spans="2:12">
      <c r="B116" s="36">
        <f t="shared" si="6"/>
        <v>111</v>
      </c>
      <c r="C116" s="36" t="s">
        <v>310</v>
      </c>
      <c r="D116" s="36" t="s">
        <v>240</v>
      </c>
      <c r="E116" s="36" t="s">
        <v>450</v>
      </c>
      <c r="F116" s="36"/>
      <c r="G116" s="36">
        <v>63</v>
      </c>
      <c r="H116" s="36">
        <v>17.899999999999999</v>
      </c>
      <c r="I116" s="36">
        <f t="shared" si="5"/>
        <v>6146.1000000000067</v>
      </c>
      <c r="J116" s="306">
        <f t="shared" si="3"/>
        <v>1.0629999999999999</v>
      </c>
      <c r="K116" s="36"/>
      <c r="L116" s="36"/>
    </row>
    <row r="117" spans="2:12">
      <c r="B117" s="36">
        <f t="shared" si="6"/>
        <v>112</v>
      </c>
      <c r="C117" s="36" t="s">
        <v>310</v>
      </c>
      <c r="D117" s="36" t="s">
        <v>240</v>
      </c>
      <c r="E117" s="36" t="s">
        <v>199</v>
      </c>
      <c r="F117" s="36">
        <v>0.36</v>
      </c>
      <c r="G117" s="36">
        <v>63</v>
      </c>
      <c r="H117" s="36">
        <v>2.7</v>
      </c>
      <c r="I117" s="36">
        <f t="shared" si="5"/>
        <v>6148.8000000000065</v>
      </c>
      <c r="J117" s="306">
        <f t="shared" si="3"/>
        <v>1.0629999999999999</v>
      </c>
      <c r="K117" s="570" t="s">
        <v>627</v>
      </c>
      <c r="L117" s="573"/>
    </row>
    <row r="118" spans="2:12">
      <c r="B118" s="36">
        <f t="shared" si="6"/>
        <v>113</v>
      </c>
      <c r="C118" s="36" t="s">
        <v>310</v>
      </c>
      <c r="D118" s="36" t="s">
        <v>436</v>
      </c>
      <c r="E118" s="36" t="s">
        <v>199</v>
      </c>
      <c r="F118" s="36">
        <v>0.36</v>
      </c>
      <c r="G118" s="36">
        <v>63</v>
      </c>
      <c r="H118" s="36">
        <v>20.8</v>
      </c>
      <c r="I118" s="36">
        <f t="shared" si="5"/>
        <v>6169.6000000000067</v>
      </c>
      <c r="J118" s="306">
        <f t="shared" si="3"/>
        <v>1.0629999999999999</v>
      </c>
      <c r="K118" s="36"/>
      <c r="L118" s="36"/>
    </row>
    <row r="119" spans="2:12">
      <c r="B119" s="36">
        <f t="shared" si="6"/>
        <v>114</v>
      </c>
      <c r="C119" s="36" t="s">
        <v>436</v>
      </c>
      <c r="D119" s="36" t="s">
        <v>337</v>
      </c>
      <c r="E119" s="36" t="s">
        <v>450</v>
      </c>
      <c r="F119" s="36"/>
      <c r="G119" s="36">
        <v>63</v>
      </c>
      <c r="H119" s="36">
        <v>32.1</v>
      </c>
      <c r="I119" s="36">
        <f t="shared" si="5"/>
        <v>6201.7000000000071</v>
      </c>
      <c r="J119" s="306">
        <f t="shared" si="3"/>
        <v>1.0629999999999999</v>
      </c>
      <c r="K119" s="36"/>
      <c r="L119" s="36"/>
    </row>
    <row r="120" spans="2:12">
      <c r="B120" s="36">
        <f t="shared" si="6"/>
        <v>115</v>
      </c>
      <c r="C120" s="36" t="s">
        <v>436</v>
      </c>
      <c r="D120" s="36" t="s">
        <v>337</v>
      </c>
      <c r="E120" s="36" t="s">
        <v>199</v>
      </c>
      <c r="F120" s="36">
        <v>0.36</v>
      </c>
      <c r="G120" s="36">
        <v>63</v>
      </c>
      <c r="H120" s="36">
        <v>2.8</v>
      </c>
      <c r="I120" s="36">
        <f t="shared" si="5"/>
        <v>6204.5000000000073</v>
      </c>
      <c r="J120" s="306">
        <f t="shared" si="3"/>
        <v>1.0629999999999999</v>
      </c>
      <c r="K120" s="570" t="s">
        <v>627</v>
      </c>
      <c r="L120" s="573"/>
    </row>
    <row r="121" spans="2:12">
      <c r="B121" s="36">
        <f t="shared" si="6"/>
        <v>116</v>
      </c>
      <c r="C121" s="36" t="s">
        <v>436</v>
      </c>
      <c r="D121" s="36" t="s">
        <v>335</v>
      </c>
      <c r="E121" s="36" t="s">
        <v>301</v>
      </c>
      <c r="F121" s="36">
        <v>0.46</v>
      </c>
      <c r="G121" s="36">
        <v>63</v>
      </c>
      <c r="H121" s="36">
        <v>213.1</v>
      </c>
      <c r="I121" s="36">
        <f t="shared" si="5"/>
        <v>6417.6000000000076</v>
      </c>
      <c r="J121" s="306">
        <f t="shared" si="3"/>
        <v>1.0629999999999999</v>
      </c>
      <c r="K121" s="570" t="s">
        <v>663</v>
      </c>
      <c r="L121" s="573"/>
    </row>
    <row r="122" spans="2:12">
      <c r="B122" s="36">
        <f t="shared" si="6"/>
        <v>117</v>
      </c>
      <c r="C122" s="36" t="s">
        <v>413</v>
      </c>
      <c r="D122" s="36" t="s">
        <v>419</v>
      </c>
      <c r="E122" s="36" t="s">
        <v>450</v>
      </c>
      <c r="F122" s="36"/>
      <c r="G122" s="36">
        <v>63</v>
      </c>
      <c r="H122" s="36">
        <v>150</v>
      </c>
      <c r="I122" s="36">
        <f t="shared" si="5"/>
        <v>6567.6000000000076</v>
      </c>
      <c r="J122" s="306">
        <f t="shared" si="3"/>
        <v>1.0629999999999999</v>
      </c>
      <c r="K122" s="36"/>
      <c r="L122" s="36"/>
    </row>
    <row r="123" spans="2:12">
      <c r="B123" s="36">
        <f t="shared" si="6"/>
        <v>118</v>
      </c>
      <c r="C123" s="36" t="s">
        <v>335</v>
      </c>
      <c r="D123" s="36" t="s">
        <v>664</v>
      </c>
      <c r="E123" s="36" t="s">
        <v>450</v>
      </c>
      <c r="F123" s="36"/>
      <c r="G123" s="36">
        <v>63</v>
      </c>
      <c r="H123" s="36">
        <v>7.1</v>
      </c>
      <c r="I123" s="36">
        <f t="shared" si="5"/>
        <v>6574.700000000008</v>
      </c>
      <c r="J123" s="306">
        <f t="shared" si="3"/>
        <v>1.0629999999999999</v>
      </c>
      <c r="K123" s="36"/>
      <c r="L123" s="36"/>
    </row>
    <row r="124" spans="2:12">
      <c r="B124" s="36">
        <f t="shared" si="6"/>
        <v>119</v>
      </c>
      <c r="C124" s="36" t="s">
        <v>335</v>
      </c>
      <c r="D124" s="36" t="s">
        <v>344</v>
      </c>
      <c r="E124" s="36" t="s">
        <v>199</v>
      </c>
      <c r="F124" s="36">
        <v>0.36</v>
      </c>
      <c r="G124" s="36">
        <v>63</v>
      </c>
      <c r="H124" s="36">
        <v>5.6</v>
      </c>
      <c r="I124" s="36">
        <f t="shared" si="5"/>
        <v>6580.3000000000084</v>
      </c>
      <c r="J124" s="306">
        <f t="shared" si="3"/>
        <v>1.0629999999999999</v>
      </c>
      <c r="K124" s="36"/>
      <c r="L124" s="36"/>
    </row>
    <row r="125" spans="2:12">
      <c r="B125" s="36">
        <f t="shared" si="6"/>
        <v>120</v>
      </c>
      <c r="C125" s="36" t="s">
        <v>335</v>
      </c>
      <c r="D125" s="36" t="s">
        <v>344</v>
      </c>
      <c r="E125" s="36" t="s">
        <v>450</v>
      </c>
      <c r="F125" s="36"/>
      <c r="G125" s="36">
        <v>63</v>
      </c>
      <c r="H125" s="36">
        <v>422.1</v>
      </c>
      <c r="I125" s="36">
        <f t="shared" si="5"/>
        <v>7002.4000000000087</v>
      </c>
      <c r="J125" s="306">
        <f t="shared" si="3"/>
        <v>1.0629999999999999</v>
      </c>
      <c r="K125" s="36"/>
      <c r="L125" s="36"/>
    </row>
    <row r="126" spans="2:12">
      <c r="B126" s="36">
        <f t="shared" si="6"/>
        <v>121</v>
      </c>
      <c r="C126" s="36" t="s">
        <v>662</v>
      </c>
      <c r="D126" s="36" t="s">
        <v>665</v>
      </c>
      <c r="E126" s="36" t="s">
        <v>450</v>
      </c>
      <c r="F126" s="36"/>
      <c r="G126" s="36">
        <v>63</v>
      </c>
      <c r="H126" s="36">
        <v>429.7</v>
      </c>
      <c r="I126" s="36">
        <f t="shared" si="5"/>
        <v>7432.1000000000085</v>
      </c>
      <c r="J126" s="306">
        <f t="shared" si="3"/>
        <v>1.0629999999999999</v>
      </c>
      <c r="K126" s="36"/>
      <c r="L126" s="36"/>
    </row>
    <row r="127" spans="2:12">
      <c r="B127" s="36">
        <f t="shared" si="6"/>
        <v>122</v>
      </c>
      <c r="C127" s="36" t="s">
        <v>276</v>
      </c>
      <c r="D127" s="36" t="s">
        <v>666</v>
      </c>
      <c r="E127" s="36" t="s">
        <v>301</v>
      </c>
      <c r="F127" s="36">
        <v>0.46</v>
      </c>
      <c r="G127" s="36">
        <v>63</v>
      </c>
      <c r="H127" s="36">
        <v>59.2</v>
      </c>
      <c r="I127" s="36">
        <f t="shared" si="5"/>
        <v>7491.3000000000084</v>
      </c>
      <c r="J127" s="306">
        <f t="shared" si="3"/>
        <v>1.0629999999999999</v>
      </c>
      <c r="K127" s="570"/>
      <c r="L127" s="573"/>
    </row>
    <row r="128" spans="2:12">
      <c r="B128" s="36">
        <f t="shared" si="6"/>
        <v>123</v>
      </c>
      <c r="C128" s="36" t="s">
        <v>666</v>
      </c>
      <c r="D128" s="36" t="s">
        <v>667</v>
      </c>
      <c r="E128" s="36" t="s">
        <v>301</v>
      </c>
      <c r="F128" s="36">
        <v>0.46</v>
      </c>
      <c r="G128" s="36">
        <v>63</v>
      </c>
      <c r="H128" s="36">
        <v>2.8</v>
      </c>
      <c r="I128" s="36">
        <f t="shared" si="5"/>
        <v>7494.1000000000085</v>
      </c>
      <c r="J128" s="306">
        <f t="shared" si="3"/>
        <v>1.0629999999999999</v>
      </c>
      <c r="K128" s="570" t="s">
        <v>627</v>
      </c>
      <c r="L128" s="573"/>
    </row>
    <row r="129" spans="2:12">
      <c r="B129" s="36">
        <f t="shared" si="6"/>
        <v>124</v>
      </c>
      <c r="C129" s="36" t="s">
        <v>666</v>
      </c>
      <c r="D129" s="36" t="s">
        <v>667</v>
      </c>
      <c r="E129" s="36" t="s">
        <v>450</v>
      </c>
      <c r="F129" s="36"/>
      <c r="G129" s="36">
        <v>63</v>
      </c>
      <c r="H129" s="36">
        <v>14.1</v>
      </c>
      <c r="I129" s="36">
        <f t="shared" si="5"/>
        <v>7508.2000000000089</v>
      </c>
      <c r="J129" s="306">
        <f t="shared" si="3"/>
        <v>1.0629999999999999</v>
      </c>
      <c r="K129" s="36"/>
      <c r="L129" s="36"/>
    </row>
    <row r="130" spans="2:12">
      <c r="B130" s="36">
        <f t="shared" si="6"/>
        <v>125</v>
      </c>
      <c r="C130" s="36" t="s">
        <v>667</v>
      </c>
      <c r="D130" s="36" t="s">
        <v>668</v>
      </c>
      <c r="E130" s="36" t="s">
        <v>450</v>
      </c>
      <c r="F130" s="36"/>
      <c r="G130" s="36">
        <v>63</v>
      </c>
      <c r="H130" s="36">
        <v>11.2</v>
      </c>
      <c r="I130" s="36">
        <f t="shared" si="5"/>
        <v>7519.4000000000087</v>
      </c>
      <c r="J130" s="306">
        <f t="shared" si="3"/>
        <v>1.0629999999999999</v>
      </c>
      <c r="K130" s="36"/>
      <c r="L130" s="36"/>
    </row>
    <row r="131" spans="2:12">
      <c r="B131" s="36">
        <f t="shared" si="6"/>
        <v>126</v>
      </c>
      <c r="C131" s="36" t="s">
        <v>667</v>
      </c>
      <c r="D131" s="36" t="s">
        <v>669</v>
      </c>
      <c r="E131" s="36" t="s">
        <v>450</v>
      </c>
      <c r="F131" s="36"/>
      <c r="G131" s="36">
        <v>63</v>
      </c>
      <c r="H131" s="36">
        <v>28.5</v>
      </c>
      <c r="I131" s="36">
        <f t="shared" si="5"/>
        <v>7547.9000000000087</v>
      </c>
      <c r="J131" s="306">
        <f t="shared" si="3"/>
        <v>1.0629999999999999</v>
      </c>
      <c r="K131" s="36"/>
      <c r="L131" s="36"/>
    </row>
    <row r="132" spans="2:12">
      <c r="B132" s="36">
        <f t="shared" si="6"/>
        <v>127</v>
      </c>
      <c r="C132" s="36" t="s">
        <v>666</v>
      </c>
      <c r="D132" s="36" t="s">
        <v>277</v>
      </c>
      <c r="E132" s="36" t="s">
        <v>301</v>
      </c>
      <c r="F132" s="36">
        <v>0.46</v>
      </c>
      <c r="G132" s="36">
        <v>63</v>
      </c>
      <c r="H132" s="36">
        <v>134.4</v>
      </c>
      <c r="I132" s="36">
        <f t="shared" si="5"/>
        <v>7682.3000000000084</v>
      </c>
      <c r="J132" s="306">
        <f t="shared" si="3"/>
        <v>1.0629999999999999</v>
      </c>
      <c r="K132" s="36"/>
      <c r="L132" s="36"/>
    </row>
    <row r="133" spans="2:12">
      <c r="B133" s="36">
        <f t="shared" si="6"/>
        <v>128</v>
      </c>
      <c r="C133" s="36" t="s">
        <v>277</v>
      </c>
      <c r="D133" s="36" t="s">
        <v>281</v>
      </c>
      <c r="E133" s="36" t="s">
        <v>199</v>
      </c>
      <c r="F133" s="36">
        <v>0.36</v>
      </c>
      <c r="G133" s="36">
        <v>63</v>
      </c>
      <c r="H133" s="36">
        <v>53.1</v>
      </c>
      <c r="I133" s="36">
        <f t="shared" si="5"/>
        <v>7735.4000000000087</v>
      </c>
      <c r="J133" s="306">
        <f t="shared" ref="J133:J183" si="7">1+G133/1000</f>
        <v>1.0629999999999999</v>
      </c>
      <c r="K133" s="36"/>
      <c r="L133" s="36"/>
    </row>
    <row r="134" spans="2:12">
      <c r="B134" s="36">
        <f t="shared" si="6"/>
        <v>129</v>
      </c>
      <c r="C134" s="36" t="s">
        <v>277</v>
      </c>
      <c r="D134" s="36" t="s">
        <v>350</v>
      </c>
      <c r="E134" s="36" t="s">
        <v>199</v>
      </c>
      <c r="F134" s="36">
        <v>0.36</v>
      </c>
      <c r="G134" s="36">
        <v>63</v>
      </c>
      <c r="H134" s="36">
        <v>46.1</v>
      </c>
      <c r="I134" s="36">
        <f t="shared" si="5"/>
        <v>7781.5000000000091</v>
      </c>
      <c r="J134" s="306">
        <f t="shared" si="7"/>
        <v>1.0629999999999999</v>
      </c>
      <c r="K134" s="36"/>
      <c r="L134" s="36"/>
    </row>
    <row r="135" spans="2:12">
      <c r="B135" s="36">
        <f t="shared" si="6"/>
        <v>130</v>
      </c>
      <c r="C135" s="36" t="s">
        <v>277</v>
      </c>
      <c r="D135" s="36" t="s">
        <v>350</v>
      </c>
      <c r="E135" s="36" t="s">
        <v>450</v>
      </c>
      <c r="F135" s="36"/>
      <c r="G135" s="36">
        <v>63</v>
      </c>
      <c r="H135" s="36">
        <v>31.2</v>
      </c>
      <c r="I135" s="36">
        <f t="shared" ref="I135:I183" si="8">+I134+H135</f>
        <v>7812.7000000000089</v>
      </c>
      <c r="J135" s="306">
        <f t="shared" si="7"/>
        <v>1.0629999999999999</v>
      </c>
      <c r="K135" s="36"/>
      <c r="L135" s="36"/>
    </row>
    <row r="136" spans="2:12">
      <c r="B136" s="36">
        <f t="shared" si="6"/>
        <v>131</v>
      </c>
      <c r="C136" s="36" t="s">
        <v>670</v>
      </c>
      <c r="D136" s="36" t="s">
        <v>671</v>
      </c>
      <c r="E136" s="36" t="s">
        <v>450</v>
      </c>
      <c r="F136" s="36"/>
      <c r="G136" s="36">
        <v>63</v>
      </c>
      <c r="H136" s="36">
        <v>24.8</v>
      </c>
      <c r="I136" s="36">
        <f t="shared" si="8"/>
        <v>7837.5000000000091</v>
      </c>
      <c r="J136" s="306">
        <f t="shared" si="7"/>
        <v>1.0629999999999999</v>
      </c>
      <c r="K136" s="36"/>
      <c r="L136" s="36"/>
    </row>
    <row r="137" spans="2:12">
      <c r="B137" s="36">
        <f t="shared" si="6"/>
        <v>132</v>
      </c>
      <c r="C137" s="36" t="s">
        <v>277</v>
      </c>
      <c r="D137" s="36" t="s">
        <v>504</v>
      </c>
      <c r="E137" s="36" t="s">
        <v>301</v>
      </c>
      <c r="F137" s="36">
        <v>0.46</v>
      </c>
      <c r="G137" s="36">
        <v>63</v>
      </c>
      <c r="H137" s="36">
        <v>16.100000000000001</v>
      </c>
      <c r="I137" s="36">
        <f t="shared" si="8"/>
        <v>7853.6000000000095</v>
      </c>
      <c r="J137" s="306">
        <f t="shared" si="7"/>
        <v>1.0629999999999999</v>
      </c>
      <c r="K137" s="36"/>
      <c r="L137" s="36"/>
    </row>
    <row r="138" spans="2:12">
      <c r="B138" s="36">
        <f t="shared" si="6"/>
        <v>133</v>
      </c>
      <c r="C138" s="36" t="s">
        <v>504</v>
      </c>
      <c r="D138" s="36" t="s">
        <v>264</v>
      </c>
      <c r="E138" s="36" t="s">
        <v>199</v>
      </c>
      <c r="F138" s="36">
        <v>0.36</v>
      </c>
      <c r="G138" s="36">
        <v>63</v>
      </c>
      <c r="H138" s="36">
        <v>40</v>
      </c>
      <c r="I138" s="36">
        <f t="shared" si="8"/>
        <v>7893.6000000000095</v>
      </c>
      <c r="J138" s="306">
        <f t="shared" si="7"/>
        <v>1.0629999999999999</v>
      </c>
      <c r="K138" s="36"/>
      <c r="L138" s="36"/>
    </row>
    <row r="139" spans="2:12">
      <c r="B139" s="36">
        <f t="shared" si="6"/>
        <v>134</v>
      </c>
      <c r="C139" s="36" t="s">
        <v>264</v>
      </c>
      <c r="D139" s="36" t="s">
        <v>248</v>
      </c>
      <c r="E139" s="36" t="s">
        <v>450</v>
      </c>
      <c r="F139" s="36"/>
      <c r="G139" s="36">
        <v>63</v>
      </c>
      <c r="H139" s="36">
        <v>69</v>
      </c>
      <c r="I139" s="36">
        <f t="shared" si="8"/>
        <v>7962.6000000000095</v>
      </c>
      <c r="J139" s="306">
        <f t="shared" si="7"/>
        <v>1.0629999999999999</v>
      </c>
      <c r="K139" s="36"/>
      <c r="L139" s="36"/>
    </row>
    <row r="140" spans="2:12">
      <c r="B140" s="36">
        <f t="shared" si="6"/>
        <v>135</v>
      </c>
      <c r="C140" s="36" t="s">
        <v>264</v>
      </c>
      <c r="D140" s="36" t="s">
        <v>625</v>
      </c>
      <c r="E140" s="36" t="s">
        <v>450</v>
      </c>
      <c r="F140" s="36"/>
      <c r="G140" s="36">
        <v>63</v>
      </c>
      <c r="H140" s="36">
        <v>29.8</v>
      </c>
      <c r="I140" s="36">
        <f t="shared" si="8"/>
        <v>7992.4000000000096</v>
      </c>
      <c r="J140" s="306">
        <f t="shared" si="7"/>
        <v>1.0629999999999999</v>
      </c>
      <c r="K140" s="36"/>
      <c r="L140" s="36"/>
    </row>
    <row r="141" spans="2:12">
      <c r="B141" s="36">
        <f t="shared" si="6"/>
        <v>136</v>
      </c>
      <c r="C141" s="36" t="s">
        <v>504</v>
      </c>
      <c r="D141" s="36" t="s">
        <v>406</v>
      </c>
      <c r="E141" s="36" t="s">
        <v>301</v>
      </c>
      <c r="F141" s="36">
        <v>0.46</v>
      </c>
      <c r="G141" s="36">
        <v>63</v>
      </c>
      <c r="H141" s="36">
        <v>25.6</v>
      </c>
      <c r="I141" s="36">
        <f t="shared" si="8"/>
        <v>8018.00000000001</v>
      </c>
      <c r="J141" s="306">
        <f t="shared" si="7"/>
        <v>1.0629999999999999</v>
      </c>
      <c r="K141" s="36"/>
      <c r="L141" s="36"/>
    </row>
    <row r="142" spans="2:12">
      <c r="B142" s="36">
        <f t="shared" si="6"/>
        <v>137</v>
      </c>
      <c r="C142" s="36" t="s">
        <v>406</v>
      </c>
      <c r="D142" s="36" t="s">
        <v>625</v>
      </c>
      <c r="E142" s="36" t="s">
        <v>199</v>
      </c>
      <c r="F142" s="36">
        <v>0.36</v>
      </c>
      <c r="G142" s="36">
        <v>63</v>
      </c>
      <c r="H142" s="36">
        <v>41.4</v>
      </c>
      <c r="I142" s="36">
        <f t="shared" si="8"/>
        <v>8059.4000000000096</v>
      </c>
      <c r="J142" s="306">
        <f t="shared" si="7"/>
        <v>1.0629999999999999</v>
      </c>
      <c r="K142" s="36"/>
      <c r="L142" s="36"/>
    </row>
    <row r="143" spans="2:12">
      <c r="B143" s="36">
        <f t="shared" si="6"/>
        <v>138</v>
      </c>
      <c r="C143" s="36" t="s">
        <v>406</v>
      </c>
      <c r="D143" s="36" t="s">
        <v>247</v>
      </c>
      <c r="E143" s="36" t="s">
        <v>301</v>
      </c>
      <c r="F143" s="36">
        <v>0.46</v>
      </c>
      <c r="G143" s="36">
        <v>63</v>
      </c>
      <c r="H143" s="36">
        <v>43.3</v>
      </c>
      <c r="I143" s="36">
        <f t="shared" si="8"/>
        <v>8102.7000000000098</v>
      </c>
      <c r="J143" s="306">
        <f t="shared" si="7"/>
        <v>1.0629999999999999</v>
      </c>
      <c r="K143" s="36"/>
      <c r="L143" s="36"/>
    </row>
    <row r="144" spans="2:12">
      <c r="B144" s="36">
        <f t="shared" si="6"/>
        <v>139</v>
      </c>
      <c r="C144" s="36" t="s">
        <v>247</v>
      </c>
      <c r="D144" s="36" t="s">
        <v>279</v>
      </c>
      <c r="E144" s="36" t="s">
        <v>450</v>
      </c>
      <c r="F144" s="36"/>
      <c r="G144" s="36">
        <v>63</v>
      </c>
      <c r="H144" s="36">
        <v>35.5</v>
      </c>
      <c r="I144" s="36">
        <f t="shared" si="8"/>
        <v>8138.2000000000098</v>
      </c>
      <c r="J144" s="306">
        <f t="shared" si="7"/>
        <v>1.0629999999999999</v>
      </c>
      <c r="K144" s="36"/>
      <c r="L144" s="36"/>
    </row>
    <row r="145" spans="2:12">
      <c r="B145" s="36">
        <f t="shared" si="6"/>
        <v>140</v>
      </c>
      <c r="C145" s="36" t="s">
        <v>247</v>
      </c>
      <c r="D145" s="36" t="s">
        <v>414</v>
      </c>
      <c r="E145" s="36" t="s">
        <v>301</v>
      </c>
      <c r="F145" s="36">
        <v>0.46</v>
      </c>
      <c r="G145" s="36">
        <v>63</v>
      </c>
      <c r="H145" s="36">
        <v>19.100000000000001</v>
      </c>
      <c r="I145" s="36">
        <f t="shared" si="8"/>
        <v>8157.3000000000102</v>
      </c>
      <c r="J145" s="306">
        <f t="shared" si="7"/>
        <v>1.0629999999999999</v>
      </c>
      <c r="K145" s="36"/>
      <c r="L145" s="36"/>
    </row>
    <row r="146" spans="2:12">
      <c r="B146" s="36">
        <f t="shared" ref="B146:B183" si="9">1+B145</f>
        <v>141</v>
      </c>
      <c r="C146" s="36" t="s">
        <v>247</v>
      </c>
      <c r="D146" s="36" t="s">
        <v>414</v>
      </c>
      <c r="E146" s="36" t="s">
        <v>450</v>
      </c>
      <c r="F146" s="36"/>
      <c r="G146" s="36">
        <v>63</v>
      </c>
      <c r="H146" s="36">
        <v>4.0999999999999996</v>
      </c>
      <c r="I146" s="36">
        <f t="shared" si="8"/>
        <v>8161.4000000000106</v>
      </c>
      <c r="J146" s="306">
        <f t="shared" si="7"/>
        <v>1.0629999999999999</v>
      </c>
      <c r="K146" s="36"/>
      <c r="L146" s="36"/>
    </row>
    <row r="147" spans="2:12">
      <c r="B147" s="36">
        <f t="shared" si="9"/>
        <v>142</v>
      </c>
      <c r="C147" s="36" t="s">
        <v>414</v>
      </c>
      <c r="D147" s="36" t="s">
        <v>265</v>
      </c>
      <c r="E147" s="36" t="s">
        <v>450</v>
      </c>
      <c r="F147" s="36"/>
      <c r="G147" s="36">
        <v>63</v>
      </c>
      <c r="H147" s="36">
        <v>3.8</v>
      </c>
      <c r="I147" s="36">
        <f t="shared" si="8"/>
        <v>8165.2000000000107</v>
      </c>
      <c r="J147" s="306">
        <f t="shared" si="7"/>
        <v>1.0629999999999999</v>
      </c>
      <c r="K147" s="36"/>
      <c r="L147" s="36"/>
    </row>
    <row r="148" spans="2:12">
      <c r="B148" s="36">
        <f t="shared" si="9"/>
        <v>143</v>
      </c>
      <c r="C148" s="36" t="s">
        <v>414</v>
      </c>
      <c r="D148" s="36" t="s">
        <v>265</v>
      </c>
      <c r="E148" s="36" t="s">
        <v>301</v>
      </c>
      <c r="F148" s="36">
        <v>0.46</v>
      </c>
      <c r="G148" s="36">
        <v>75</v>
      </c>
      <c r="H148" s="36">
        <v>31.9</v>
      </c>
      <c r="I148" s="36">
        <f t="shared" si="8"/>
        <v>8197.1000000000113</v>
      </c>
      <c r="J148" s="306">
        <f t="shared" si="7"/>
        <v>1.075</v>
      </c>
      <c r="K148" s="36"/>
      <c r="L148" s="36"/>
    </row>
    <row r="149" spans="2:12">
      <c r="B149" s="36">
        <f t="shared" si="9"/>
        <v>144</v>
      </c>
      <c r="C149" s="36" t="s">
        <v>265</v>
      </c>
      <c r="D149" s="36" t="s">
        <v>257</v>
      </c>
      <c r="E149" s="36" t="s">
        <v>301</v>
      </c>
      <c r="F149" s="36">
        <v>0.46</v>
      </c>
      <c r="G149" s="36">
        <v>90</v>
      </c>
      <c r="H149" s="36">
        <v>10.1</v>
      </c>
      <c r="I149" s="36">
        <f t="shared" si="8"/>
        <v>8207.2000000000116</v>
      </c>
      <c r="J149" s="306">
        <f t="shared" si="7"/>
        <v>1.0900000000000001</v>
      </c>
      <c r="K149" s="36"/>
      <c r="L149" s="36"/>
    </row>
    <row r="150" spans="2:12">
      <c r="B150" s="36">
        <f t="shared" si="9"/>
        <v>145</v>
      </c>
      <c r="C150" s="36" t="s">
        <v>265</v>
      </c>
      <c r="D150" s="36" t="s">
        <v>257</v>
      </c>
      <c r="E150" s="36" t="s">
        <v>199</v>
      </c>
      <c r="F150" s="36">
        <v>0.36</v>
      </c>
      <c r="G150" s="36">
        <v>90</v>
      </c>
      <c r="H150" s="36">
        <v>8.4</v>
      </c>
      <c r="I150" s="36">
        <f t="shared" si="8"/>
        <v>8215.6000000000113</v>
      </c>
      <c r="J150" s="306">
        <f t="shared" si="7"/>
        <v>1.0900000000000001</v>
      </c>
      <c r="K150" s="36"/>
      <c r="L150" s="36"/>
    </row>
    <row r="151" spans="2:12">
      <c r="B151" s="36">
        <f t="shared" si="9"/>
        <v>146</v>
      </c>
      <c r="C151" s="36" t="s">
        <v>398</v>
      </c>
      <c r="D151" s="36" t="s">
        <v>268</v>
      </c>
      <c r="E151" s="36" t="s">
        <v>450</v>
      </c>
      <c r="F151" s="36"/>
      <c r="G151" s="36">
        <v>63</v>
      </c>
      <c r="H151" s="36">
        <v>121.5</v>
      </c>
      <c r="I151" s="36">
        <f t="shared" si="8"/>
        <v>8337.1000000000113</v>
      </c>
      <c r="J151" s="306">
        <f t="shared" si="7"/>
        <v>1.0629999999999999</v>
      </c>
      <c r="K151" s="36"/>
      <c r="L151" s="36"/>
    </row>
    <row r="152" spans="2:12">
      <c r="B152" s="36">
        <f t="shared" si="9"/>
        <v>147</v>
      </c>
      <c r="C152" s="36" t="s">
        <v>265</v>
      </c>
      <c r="D152" s="36" t="s">
        <v>257</v>
      </c>
      <c r="E152" s="36" t="s">
        <v>450</v>
      </c>
      <c r="F152" s="36"/>
      <c r="G152" s="36">
        <v>90</v>
      </c>
      <c r="H152" s="36">
        <v>18</v>
      </c>
      <c r="I152" s="36">
        <f t="shared" si="8"/>
        <v>8355.1000000000113</v>
      </c>
      <c r="J152" s="306">
        <f t="shared" si="7"/>
        <v>1.0900000000000001</v>
      </c>
      <c r="K152" s="36"/>
      <c r="L152" s="36"/>
    </row>
    <row r="153" spans="2:12">
      <c r="B153" s="36">
        <f t="shared" si="9"/>
        <v>148</v>
      </c>
      <c r="C153" s="36" t="s">
        <v>265</v>
      </c>
      <c r="D153" s="36" t="s">
        <v>257</v>
      </c>
      <c r="E153" s="36" t="s">
        <v>450</v>
      </c>
      <c r="F153" s="36">
        <v>0.36</v>
      </c>
      <c r="G153" s="36">
        <v>90</v>
      </c>
      <c r="H153" s="36">
        <v>24.9</v>
      </c>
      <c r="I153" s="36">
        <f t="shared" si="8"/>
        <v>8380.0000000000109</v>
      </c>
      <c r="J153" s="306">
        <f t="shared" si="7"/>
        <v>1.0900000000000001</v>
      </c>
      <c r="K153" s="36"/>
      <c r="L153" s="36"/>
    </row>
    <row r="154" spans="2:12">
      <c r="B154" s="36">
        <f t="shared" si="9"/>
        <v>149</v>
      </c>
      <c r="C154" s="36" t="s">
        <v>265</v>
      </c>
      <c r="D154" s="36" t="s">
        <v>257</v>
      </c>
      <c r="E154" s="36" t="s">
        <v>450</v>
      </c>
      <c r="F154" s="36"/>
      <c r="G154" s="36">
        <v>90</v>
      </c>
      <c r="H154" s="36">
        <v>15.3</v>
      </c>
      <c r="I154" s="36">
        <f t="shared" si="8"/>
        <v>8395.3000000000102</v>
      </c>
      <c r="J154" s="306">
        <f t="shared" si="7"/>
        <v>1.0900000000000001</v>
      </c>
      <c r="K154" s="36"/>
      <c r="L154" s="36"/>
    </row>
    <row r="155" spans="2:12">
      <c r="B155" s="36">
        <f t="shared" si="9"/>
        <v>150</v>
      </c>
      <c r="C155" s="36" t="s">
        <v>265</v>
      </c>
      <c r="D155" s="36" t="s">
        <v>257</v>
      </c>
      <c r="E155" s="36" t="s">
        <v>450</v>
      </c>
      <c r="F155" s="36">
        <v>0.36</v>
      </c>
      <c r="G155" s="36">
        <v>90</v>
      </c>
      <c r="H155" s="36">
        <v>7.1</v>
      </c>
      <c r="I155" s="36">
        <f t="shared" si="8"/>
        <v>8402.4000000000106</v>
      </c>
      <c r="J155" s="306">
        <f t="shared" si="7"/>
        <v>1.0900000000000001</v>
      </c>
      <c r="K155" s="36"/>
      <c r="L155" s="36"/>
    </row>
    <row r="156" spans="2:12">
      <c r="B156" s="36">
        <f t="shared" si="9"/>
        <v>151</v>
      </c>
      <c r="C156" s="36" t="s">
        <v>257</v>
      </c>
      <c r="D156" s="36" t="s">
        <v>522</v>
      </c>
      <c r="E156" s="36" t="s">
        <v>383</v>
      </c>
      <c r="F156" s="36">
        <v>0.36</v>
      </c>
      <c r="G156" s="36">
        <v>140</v>
      </c>
      <c r="H156" s="36">
        <v>3.3</v>
      </c>
      <c r="I156" s="36">
        <f t="shared" si="8"/>
        <v>8405.7000000000098</v>
      </c>
      <c r="J156" s="306">
        <f t="shared" si="7"/>
        <v>1.1400000000000001</v>
      </c>
      <c r="K156" s="570" t="s">
        <v>627</v>
      </c>
      <c r="L156" s="573"/>
    </row>
    <row r="157" spans="2:12">
      <c r="B157" s="36">
        <f t="shared" si="9"/>
        <v>152</v>
      </c>
      <c r="C157" s="36" t="s">
        <v>257</v>
      </c>
      <c r="D157" s="36" t="s">
        <v>522</v>
      </c>
      <c r="E157" s="36" t="s">
        <v>450</v>
      </c>
      <c r="F157" s="36"/>
      <c r="G157" s="36">
        <v>140</v>
      </c>
      <c r="H157" s="36">
        <v>73.8</v>
      </c>
      <c r="I157" s="36">
        <f t="shared" si="8"/>
        <v>8479.5000000000091</v>
      </c>
      <c r="J157" s="306">
        <f t="shared" si="7"/>
        <v>1.1400000000000001</v>
      </c>
      <c r="K157" s="36"/>
      <c r="L157" s="36"/>
    </row>
    <row r="158" spans="2:12">
      <c r="B158" s="36">
        <f t="shared" si="9"/>
        <v>153</v>
      </c>
      <c r="C158" s="36" t="s">
        <v>522</v>
      </c>
      <c r="D158" s="36" t="s">
        <v>500</v>
      </c>
      <c r="E158" s="36" t="s">
        <v>450</v>
      </c>
      <c r="F158" s="36"/>
      <c r="G158" s="36">
        <v>63</v>
      </c>
      <c r="H158" s="36">
        <v>24.1</v>
      </c>
      <c r="I158" s="36">
        <f t="shared" si="8"/>
        <v>8503.6000000000095</v>
      </c>
      <c r="J158" s="306">
        <f t="shared" si="7"/>
        <v>1.0629999999999999</v>
      </c>
      <c r="K158" s="36"/>
      <c r="L158" s="36"/>
    </row>
    <row r="159" spans="2:12">
      <c r="B159" s="36">
        <f t="shared" si="9"/>
        <v>154</v>
      </c>
      <c r="C159" s="36" t="s">
        <v>522</v>
      </c>
      <c r="D159" s="36" t="s">
        <v>672</v>
      </c>
      <c r="E159" s="36" t="s">
        <v>450</v>
      </c>
      <c r="F159" s="36"/>
      <c r="G159" s="36">
        <v>140</v>
      </c>
      <c r="H159" s="36">
        <v>5.5</v>
      </c>
      <c r="I159" s="36">
        <f t="shared" si="8"/>
        <v>8509.1000000000095</v>
      </c>
      <c r="J159" s="306">
        <f t="shared" si="7"/>
        <v>1.1400000000000001</v>
      </c>
      <c r="K159" s="570"/>
      <c r="L159" s="573"/>
    </row>
    <row r="160" spans="2:12">
      <c r="B160" s="36">
        <f t="shared" si="9"/>
        <v>155</v>
      </c>
      <c r="C160" s="36" t="s">
        <v>672</v>
      </c>
      <c r="D160" s="36" t="s">
        <v>673</v>
      </c>
      <c r="E160" s="36" t="s">
        <v>450</v>
      </c>
      <c r="F160" s="36"/>
      <c r="G160" s="36">
        <v>63</v>
      </c>
      <c r="H160" s="36">
        <v>7.6</v>
      </c>
      <c r="I160" s="36">
        <f t="shared" si="8"/>
        <v>8516.7000000000098</v>
      </c>
      <c r="J160" s="306">
        <f t="shared" si="7"/>
        <v>1.0629999999999999</v>
      </c>
      <c r="K160" s="36"/>
      <c r="L160" s="36"/>
    </row>
    <row r="161" spans="2:12">
      <c r="B161" s="36">
        <f t="shared" si="9"/>
        <v>156</v>
      </c>
      <c r="C161" s="36" t="s">
        <v>672</v>
      </c>
      <c r="D161" s="36" t="s">
        <v>673</v>
      </c>
      <c r="E161" s="36" t="s">
        <v>199</v>
      </c>
      <c r="F161" s="36">
        <v>0.36</v>
      </c>
      <c r="G161" s="36">
        <v>63</v>
      </c>
      <c r="H161" s="36">
        <v>20.100000000000001</v>
      </c>
      <c r="I161" s="36">
        <f t="shared" si="8"/>
        <v>8536.8000000000102</v>
      </c>
      <c r="J161" s="306">
        <f t="shared" si="7"/>
        <v>1.0629999999999999</v>
      </c>
      <c r="K161" s="36"/>
      <c r="L161" s="36"/>
    </row>
    <row r="162" spans="2:12">
      <c r="B162" s="36">
        <f t="shared" si="9"/>
        <v>157</v>
      </c>
      <c r="C162" s="36" t="s">
        <v>673</v>
      </c>
      <c r="D162" s="36" t="s">
        <v>286</v>
      </c>
      <c r="E162" s="36" t="s">
        <v>199</v>
      </c>
      <c r="F162" s="36">
        <v>0.36</v>
      </c>
      <c r="G162" s="36">
        <v>125</v>
      </c>
      <c r="H162" s="36">
        <v>24.2</v>
      </c>
      <c r="I162" s="36">
        <f t="shared" si="8"/>
        <v>8561.0000000000109</v>
      </c>
      <c r="J162" s="306">
        <f t="shared" si="7"/>
        <v>1.125</v>
      </c>
      <c r="K162" s="36"/>
      <c r="L162" s="36"/>
    </row>
    <row r="163" spans="2:12">
      <c r="B163" s="36">
        <f t="shared" si="9"/>
        <v>158</v>
      </c>
      <c r="C163" s="36" t="s">
        <v>286</v>
      </c>
      <c r="D163" s="36" t="s">
        <v>672</v>
      </c>
      <c r="E163" s="36" t="s">
        <v>450</v>
      </c>
      <c r="F163" s="36"/>
      <c r="G163" s="36">
        <v>140</v>
      </c>
      <c r="H163" s="36">
        <v>19.8</v>
      </c>
      <c r="I163" s="36">
        <f t="shared" si="8"/>
        <v>8580.8000000000102</v>
      </c>
      <c r="J163" s="306">
        <f t="shared" si="7"/>
        <v>1.1400000000000001</v>
      </c>
      <c r="K163" s="36"/>
      <c r="L163" s="36"/>
    </row>
    <row r="164" spans="2:12">
      <c r="B164" s="36">
        <f t="shared" si="9"/>
        <v>159</v>
      </c>
      <c r="C164" s="36" t="s">
        <v>286</v>
      </c>
      <c r="D164" s="36" t="s">
        <v>314</v>
      </c>
      <c r="E164" s="36" t="s">
        <v>199</v>
      </c>
      <c r="F164" s="36">
        <v>0.36</v>
      </c>
      <c r="G164" s="36">
        <v>140</v>
      </c>
      <c r="H164" s="36">
        <v>38.1</v>
      </c>
      <c r="I164" s="36">
        <f t="shared" si="8"/>
        <v>8618.9000000000106</v>
      </c>
      <c r="J164" s="306">
        <f t="shared" si="7"/>
        <v>1.1400000000000001</v>
      </c>
      <c r="K164" s="36"/>
      <c r="L164" s="36"/>
    </row>
    <row r="165" spans="2:12">
      <c r="B165" s="36">
        <f t="shared" si="9"/>
        <v>160</v>
      </c>
      <c r="C165" s="36" t="s">
        <v>314</v>
      </c>
      <c r="D165" s="36" t="s">
        <v>356</v>
      </c>
      <c r="E165" s="36" t="s">
        <v>199</v>
      </c>
      <c r="F165" s="36">
        <v>0.36</v>
      </c>
      <c r="G165" s="36">
        <v>63</v>
      </c>
      <c r="H165" s="36">
        <v>18</v>
      </c>
      <c r="I165" s="36">
        <f t="shared" si="8"/>
        <v>8636.9000000000106</v>
      </c>
      <c r="J165" s="306">
        <f t="shared" si="7"/>
        <v>1.0629999999999999</v>
      </c>
      <c r="K165" s="36"/>
      <c r="L165" s="36"/>
    </row>
    <row r="166" spans="2:12">
      <c r="B166" s="36">
        <f t="shared" si="9"/>
        <v>161</v>
      </c>
      <c r="C166" s="36" t="s">
        <v>314</v>
      </c>
      <c r="D166" s="36" t="s">
        <v>356</v>
      </c>
      <c r="E166" s="36" t="s">
        <v>450</v>
      </c>
      <c r="F166" s="36"/>
      <c r="G166" s="36">
        <v>63</v>
      </c>
      <c r="H166" s="36">
        <v>13.1</v>
      </c>
      <c r="I166" s="36">
        <f t="shared" si="8"/>
        <v>8650.0000000000109</v>
      </c>
      <c r="J166" s="306">
        <f t="shared" si="7"/>
        <v>1.0629999999999999</v>
      </c>
      <c r="K166" s="36"/>
      <c r="L166" s="36"/>
    </row>
    <row r="167" spans="2:12">
      <c r="B167" s="36">
        <f t="shared" si="9"/>
        <v>162</v>
      </c>
      <c r="C167" s="36" t="s">
        <v>314</v>
      </c>
      <c r="D167" s="36" t="s">
        <v>602</v>
      </c>
      <c r="E167" s="36" t="s">
        <v>199</v>
      </c>
      <c r="F167" s="36">
        <v>0.36</v>
      </c>
      <c r="G167" s="36">
        <v>140</v>
      </c>
      <c r="H167" s="36">
        <v>24.6</v>
      </c>
      <c r="I167" s="36">
        <f t="shared" si="8"/>
        <v>8674.6000000000113</v>
      </c>
      <c r="J167" s="306">
        <f t="shared" si="7"/>
        <v>1.1400000000000001</v>
      </c>
      <c r="K167" s="36"/>
      <c r="L167" s="36"/>
    </row>
    <row r="168" spans="2:12">
      <c r="B168" s="36">
        <f t="shared" si="9"/>
        <v>163</v>
      </c>
      <c r="C168" s="36" t="s">
        <v>602</v>
      </c>
      <c r="D168" s="36" t="s">
        <v>674</v>
      </c>
      <c r="E168" s="36" t="s">
        <v>199</v>
      </c>
      <c r="F168" s="36">
        <v>0.36</v>
      </c>
      <c r="G168" s="36">
        <v>63</v>
      </c>
      <c r="H168" s="36">
        <v>2.1</v>
      </c>
      <c r="I168" s="36">
        <f t="shared" si="8"/>
        <v>8676.7000000000116</v>
      </c>
      <c r="J168" s="306">
        <f t="shared" si="7"/>
        <v>1.0629999999999999</v>
      </c>
      <c r="K168" s="570" t="s">
        <v>627</v>
      </c>
      <c r="L168" s="573"/>
    </row>
    <row r="169" spans="2:12">
      <c r="B169" s="36">
        <f t="shared" si="9"/>
        <v>164</v>
      </c>
      <c r="C169" s="36" t="s">
        <v>602</v>
      </c>
      <c r="D169" s="36" t="s">
        <v>674</v>
      </c>
      <c r="E169" s="36" t="s">
        <v>450</v>
      </c>
      <c r="F169" s="36"/>
      <c r="G169" s="36">
        <v>63</v>
      </c>
      <c r="H169" s="36">
        <v>13.2</v>
      </c>
      <c r="I169" s="36">
        <f t="shared" si="8"/>
        <v>8689.9000000000124</v>
      </c>
      <c r="J169" s="306">
        <f t="shared" si="7"/>
        <v>1.0629999999999999</v>
      </c>
      <c r="K169" s="36"/>
      <c r="L169" s="36"/>
    </row>
    <row r="170" spans="2:12">
      <c r="B170" s="36">
        <f t="shared" si="9"/>
        <v>165</v>
      </c>
      <c r="C170" s="36" t="s">
        <v>602</v>
      </c>
      <c r="D170" s="36" t="s">
        <v>355</v>
      </c>
      <c r="E170" s="36" t="s">
        <v>199</v>
      </c>
      <c r="F170" s="36">
        <v>0.36</v>
      </c>
      <c r="G170" s="36">
        <v>140</v>
      </c>
      <c r="H170" s="36">
        <v>10</v>
      </c>
      <c r="I170" s="36">
        <f t="shared" si="8"/>
        <v>8699.9000000000124</v>
      </c>
      <c r="J170" s="306">
        <f t="shared" si="7"/>
        <v>1.1400000000000001</v>
      </c>
      <c r="K170" s="36"/>
      <c r="L170" s="36"/>
    </row>
    <row r="171" spans="2:12">
      <c r="B171" s="36">
        <f t="shared" si="9"/>
        <v>166</v>
      </c>
      <c r="C171" s="36" t="s">
        <v>602</v>
      </c>
      <c r="D171" s="36" t="s">
        <v>355</v>
      </c>
      <c r="E171" s="36" t="s">
        <v>450</v>
      </c>
      <c r="F171" s="36"/>
      <c r="G171" s="36">
        <v>140</v>
      </c>
      <c r="H171" s="36">
        <v>25.3</v>
      </c>
      <c r="I171" s="36">
        <f t="shared" si="8"/>
        <v>8725.2000000000116</v>
      </c>
      <c r="J171" s="306">
        <f t="shared" si="7"/>
        <v>1.1400000000000001</v>
      </c>
      <c r="K171" s="36"/>
      <c r="L171" s="36"/>
    </row>
    <row r="172" spans="2:12">
      <c r="B172" s="36">
        <f t="shared" si="9"/>
        <v>167</v>
      </c>
      <c r="C172" s="36" t="s">
        <v>675</v>
      </c>
      <c r="D172" s="36" t="s">
        <v>362</v>
      </c>
      <c r="E172" s="36" t="s">
        <v>450</v>
      </c>
      <c r="F172" s="36"/>
      <c r="G172" s="36">
        <v>63</v>
      </c>
      <c r="H172" s="36">
        <v>12</v>
      </c>
      <c r="I172" s="36">
        <f t="shared" si="8"/>
        <v>8737.2000000000116</v>
      </c>
      <c r="J172" s="306">
        <f t="shared" si="7"/>
        <v>1.0629999999999999</v>
      </c>
      <c r="K172" s="36"/>
      <c r="L172" s="36"/>
    </row>
    <row r="173" spans="2:12">
      <c r="B173" s="36">
        <f t="shared" si="9"/>
        <v>168</v>
      </c>
      <c r="C173" s="36" t="s">
        <v>675</v>
      </c>
      <c r="D173" s="36" t="s">
        <v>676</v>
      </c>
      <c r="E173" s="36" t="s">
        <v>450</v>
      </c>
      <c r="F173" s="36"/>
      <c r="G173" s="36">
        <v>140</v>
      </c>
      <c r="H173" s="36">
        <v>19.5</v>
      </c>
      <c r="I173" s="36">
        <f t="shared" si="8"/>
        <v>8756.7000000000116</v>
      </c>
      <c r="J173" s="306">
        <f t="shared" si="7"/>
        <v>1.1400000000000001</v>
      </c>
      <c r="K173" s="36"/>
      <c r="L173" s="36"/>
    </row>
    <row r="174" spans="2:12">
      <c r="B174" s="36">
        <f t="shared" si="9"/>
        <v>169</v>
      </c>
      <c r="C174" s="36" t="s">
        <v>675</v>
      </c>
      <c r="D174" s="36" t="s">
        <v>676</v>
      </c>
      <c r="E174" s="36" t="s">
        <v>450</v>
      </c>
      <c r="F174" s="36"/>
      <c r="G174" s="36">
        <v>140</v>
      </c>
      <c r="H174" s="36">
        <v>7.5</v>
      </c>
      <c r="I174" s="36">
        <f t="shared" si="8"/>
        <v>8764.2000000000116</v>
      </c>
      <c r="J174" s="306">
        <f t="shared" si="7"/>
        <v>1.1400000000000001</v>
      </c>
      <c r="K174" s="36"/>
      <c r="L174" s="36"/>
    </row>
    <row r="175" spans="2:12">
      <c r="B175" s="36">
        <f t="shared" si="9"/>
        <v>170</v>
      </c>
      <c r="C175" s="36" t="s">
        <v>673</v>
      </c>
      <c r="D175" s="36" t="s">
        <v>677</v>
      </c>
      <c r="E175" s="36" t="s">
        <v>199</v>
      </c>
      <c r="F175" s="36">
        <v>0.36</v>
      </c>
      <c r="G175" s="36">
        <v>125</v>
      </c>
      <c r="H175" s="36">
        <v>13.8</v>
      </c>
      <c r="I175" s="36">
        <f t="shared" si="8"/>
        <v>8778.0000000000109</v>
      </c>
      <c r="J175" s="306">
        <f t="shared" si="7"/>
        <v>1.125</v>
      </c>
      <c r="K175" s="36"/>
      <c r="L175" s="36"/>
    </row>
    <row r="176" spans="2:12">
      <c r="B176" s="36">
        <f t="shared" si="9"/>
        <v>171</v>
      </c>
      <c r="C176" s="36" t="s">
        <v>677</v>
      </c>
      <c r="D176" s="36" t="s">
        <v>270</v>
      </c>
      <c r="E176" s="36" t="s">
        <v>199</v>
      </c>
      <c r="F176" s="36">
        <v>0.36</v>
      </c>
      <c r="G176" s="36">
        <v>63</v>
      </c>
      <c r="H176" s="36">
        <v>1.5</v>
      </c>
      <c r="I176" s="36">
        <f t="shared" si="8"/>
        <v>8779.5000000000109</v>
      </c>
      <c r="J176" s="306">
        <f t="shared" si="7"/>
        <v>1.0629999999999999</v>
      </c>
      <c r="K176" s="36"/>
      <c r="L176" s="36"/>
    </row>
    <row r="177" spans="2:15">
      <c r="B177" s="36">
        <f t="shared" si="9"/>
        <v>172</v>
      </c>
      <c r="C177" s="36" t="s">
        <v>255</v>
      </c>
      <c r="D177" s="36" t="s">
        <v>270</v>
      </c>
      <c r="E177" s="36" t="s">
        <v>450</v>
      </c>
      <c r="F177" s="36"/>
      <c r="G177" s="36">
        <v>63</v>
      </c>
      <c r="H177" s="36">
        <v>60.1</v>
      </c>
      <c r="I177" s="36">
        <f t="shared" si="8"/>
        <v>8839.6000000000113</v>
      </c>
      <c r="J177" s="306">
        <f t="shared" si="7"/>
        <v>1.0629999999999999</v>
      </c>
      <c r="K177" s="36"/>
      <c r="L177" s="36"/>
    </row>
    <row r="178" spans="2:15">
      <c r="B178" s="36">
        <f t="shared" si="9"/>
        <v>173</v>
      </c>
      <c r="C178" s="36" t="s">
        <v>255</v>
      </c>
      <c r="D178" s="36" t="s">
        <v>654</v>
      </c>
      <c r="E178" s="36" t="s">
        <v>199</v>
      </c>
      <c r="F178" s="36">
        <v>0.36</v>
      </c>
      <c r="G178" s="36">
        <v>125</v>
      </c>
      <c r="H178" s="36">
        <v>9.8000000000000007</v>
      </c>
      <c r="I178" s="36">
        <f t="shared" si="8"/>
        <v>8849.4000000000106</v>
      </c>
      <c r="J178" s="306">
        <f t="shared" si="7"/>
        <v>1.125</v>
      </c>
      <c r="K178" s="36"/>
      <c r="L178" s="36"/>
    </row>
    <row r="179" spans="2:15">
      <c r="B179" s="36">
        <f t="shared" si="9"/>
        <v>174</v>
      </c>
      <c r="C179" s="36" t="s">
        <v>318</v>
      </c>
      <c r="D179" s="36" t="s">
        <v>507</v>
      </c>
      <c r="E179" s="36" t="s">
        <v>450</v>
      </c>
      <c r="F179" s="36"/>
      <c r="G179" s="36">
        <v>63</v>
      </c>
      <c r="H179" s="36">
        <v>141.30000000000001</v>
      </c>
      <c r="I179" s="36">
        <f t="shared" si="8"/>
        <v>8990.7000000000098</v>
      </c>
      <c r="J179" s="306">
        <f t="shared" si="7"/>
        <v>1.0629999999999999</v>
      </c>
      <c r="K179" s="36"/>
      <c r="L179" s="36"/>
    </row>
    <row r="180" spans="2:15">
      <c r="B180" s="36">
        <f t="shared" si="9"/>
        <v>175</v>
      </c>
      <c r="C180" s="36" t="s">
        <v>262</v>
      </c>
      <c r="D180" s="36" t="s">
        <v>278</v>
      </c>
      <c r="E180" s="36" t="s">
        <v>450</v>
      </c>
      <c r="F180" s="36"/>
      <c r="G180" s="36">
        <v>63</v>
      </c>
      <c r="H180" s="36">
        <v>102.3</v>
      </c>
      <c r="I180" s="36">
        <f t="shared" si="8"/>
        <v>9093.0000000000091</v>
      </c>
      <c r="J180" s="306">
        <f t="shared" si="7"/>
        <v>1.0629999999999999</v>
      </c>
      <c r="K180" s="36"/>
      <c r="L180" s="36"/>
    </row>
    <row r="181" spans="2:15">
      <c r="B181" s="36">
        <f t="shared" si="9"/>
        <v>176</v>
      </c>
      <c r="C181" s="36" t="s">
        <v>262</v>
      </c>
      <c r="D181" s="36" t="s">
        <v>649</v>
      </c>
      <c r="E181" s="36" t="s">
        <v>383</v>
      </c>
      <c r="F181" s="36">
        <v>0.36</v>
      </c>
      <c r="G181" s="36">
        <v>63</v>
      </c>
      <c r="H181" s="36">
        <v>151.19999999999999</v>
      </c>
      <c r="I181" s="36">
        <f t="shared" si="8"/>
        <v>9244.2000000000098</v>
      </c>
      <c r="J181" s="306">
        <f t="shared" si="7"/>
        <v>1.0629999999999999</v>
      </c>
      <c r="K181" s="36"/>
      <c r="L181" s="36"/>
    </row>
    <row r="182" spans="2:15">
      <c r="B182" s="36">
        <f t="shared" si="9"/>
        <v>177</v>
      </c>
      <c r="C182" s="36" t="s">
        <v>413</v>
      </c>
      <c r="D182" s="36" t="s">
        <v>540</v>
      </c>
      <c r="E182" s="36" t="s">
        <v>450</v>
      </c>
      <c r="F182" s="36"/>
      <c r="G182" s="36">
        <v>63</v>
      </c>
      <c r="H182" s="36">
        <v>68.099999999999994</v>
      </c>
      <c r="I182" s="36">
        <f t="shared" si="8"/>
        <v>9312.3000000000102</v>
      </c>
      <c r="J182" s="306">
        <f t="shared" si="7"/>
        <v>1.0629999999999999</v>
      </c>
      <c r="K182" s="36"/>
      <c r="L182" s="36"/>
    </row>
    <row r="183" spans="2:15">
      <c r="B183" s="36">
        <f t="shared" si="9"/>
        <v>178</v>
      </c>
      <c r="C183" s="36" t="s">
        <v>257</v>
      </c>
      <c r="D183" s="36" t="s">
        <v>261</v>
      </c>
      <c r="E183" s="36" t="s">
        <v>383</v>
      </c>
      <c r="F183" s="36">
        <v>0.36</v>
      </c>
      <c r="G183" s="36">
        <v>63</v>
      </c>
      <c r="H183" s="36">
        <v>52</v>
      </c>
      <c r="I183" s="36">
        <f t="shared" si="8"/>
        <v>9364.3000000000102</v>
      </c>
      <c r="J183" s="306">
        <f t="shared" si="7"/>
        <v>1.0629999999999999</v>
      </c>
      <c r="K183" s="36"/>
      <c r="L183" s="36"/>
    </row>
    <row r="184" spans="2:15">
      <c r="B184" s="36"/>
      <c r="C184" s="36"/>
      <c r="D184" s="36"/>
      <c r="E184" s="36"/>
      <c r="F184" s="36"/>
      <c r="G184" s="36"/>
      <c r="H184" s="36"/>
      <c r="I184" s="36"/>
      <c r="J184" s="306"/>
      <c r="K184" s="36"/>
      <c r="L184" s="36"/>
    </row>
    <row r="185" spans="2:15">
      <c r="B185" s="36"/>
      <c r="C185" s="36"/>
      <c r="D185" s="36"/>
      <c r="E185" s="36"/>
      <c r="F185" s="36"/>
      <c r="G185" s="36"/>
      <c r="H185" s="36"/>
      <c r="I185" s="36"/>
      <c r="J185" s="306"/>
      <c r="K185" s="36"/>
      <c r="L185" s="36"/>
    </row>
    <row r="186" spans="2:15">
      <c r="B186" s="36"/>
      <c r="C186" s="36"/>
      <c r="D186" s="36"/>
      <c r="E186" s="36"/>
      <c r="F186" s="36"/>
      <c r="G186" s="36"/>
      <c r="H186" s="36"/>
      <c r="I186" s="36"/>
      <c r="J186" s="306"/>
      <c r="K186" s="36"/>
      <c r="L186" s="36"/>
    </row>
    <row r="187" spans="2:15">
      <c r="B187" s="36"/>
      <c r="C187" s="36"/>
      <c r="D187" s="36"/>
      <c r="E187" s="36"/>
      <c r="F187" s="36"/>
      <c r="G187" s="36"/>
      <c r="H187" s="36"/>
      <c r="I187" s="36"/>
      <c r="J187" s="306"/>
      <c r="K187" s="36"/>
      <c r="L187" s="36"/>
    </row>
    <row r="188" spans="2:15">
      <c r="B188" s="36"/>
      <c r="C188" s="36"/>
      <c r="D188" s="36"/>
      <c r="E188" s="36"/>
      <c r="F188" s="36"/>
      <c r="G188" s="36"/>
      <c r="H188" s="36"/>
      <c r="I188" s="36"/>
      <c r="J188" s="306"/>
      <c r="K188" s="38"/>
      <c r="L188" s="38"/>
    </row>
    <row r="189" spans="2:15">
      <c r="B189" s="36"/>
      <c r="C189" s="36">
        <f>+SUMIF($G$5:$G$183,C191,$H$5:$H$183)</f>
        <v>7394.7000000000098</v>
      </c>
      <c r="D189" s="36">
        <f t="shared" ref="D189:H189" si="10">+SUMIF($G$5:$G$183,D191,$H$5:$H$183)</f>
        <v>266.7</v>
      </c>
      <c r="E189" s="36">
        <f t="shared" si="10"/>
        <v>1009.3</v>
      </c>
      <c r="F189" s="36">
        <f t="shared" si="10"/>
        <v>292.60000000000002</v>
      </c>
      <c r="G189" s="36">
        <f t="shared" si="10"/>
        <v>173.60000000000002</v>
      </c>
      <c r="H189" s="36">
        <f t="shared" si="10"/>
        <v>227.4</v>
      </c>
      <c r="I189" s="36">
        <f>+SUM(C189:H189)</f>
        <v>9364.3000000000102</v>
      </c>
      <c r="J189" s="306"/>
      <c r="K189" s="38"/>
      <c r="L189" s="38"/>
    </row>
    <row r="190" spans="2:15">
      <c r="B190" s="36"/>
      <c r="C190" s="40">
        <v>9797</v>
      </c>
      <c r="D190" s="40">
        <v>267</v>
      </c>
      <c r="E190" s="40">
        <v>1010</v>
      </c>
      <c r="F190" s="40">
        <v>293</v>
      </c>
      <c r="G190" s="40">
        <v>174</v>
      </c>
      <c r="H190" s="40">
        <v>228</v>
      </c>
      <c r="I190" s="40">
        <v>11769</v>
      </c>
      <c r="J190" s="306"/>
      <c r="K190" s="38"/>
      <c r="L190" s="38"/>
      <c r="N190" s="35">
        <f>1065.2-1009.3</f>
        <v>55.900000000000091</v>
      </c>
    </row>
    <row r="191" spans="2:15">
      <c r="B191" s="36"/>
      <c r="C191" s="40">
        <v>63</v>
      </c>
      <c r="D191" s="40">
        <v>75</v>
      </c>
      <c r="E191" s="40">
        <v>90</v>
      </c>
      <c r="F191" s="40">
        <v>110</v>
      </c>
      <c r="G191" s="40">
        <v>125</v>
      </c>
      <c r="H191" s="40">
        <v>140</v>
      </c>
      <c r="I191" s="40"/>
      <c r="J191" s="306"/>
      <c r="K191" s="38"/>
      <c r="L191" s="38"/>
    </row>
    <row r="192" spans="2:15" ht="15.75">
      <c r="B192" s="584" t="s">
        <v>365</v>
      </c>
      <c r="C192" s="585"/>
      <c r="D192" s="585"/>
      <c r="E192" s="586"/>
      <c r="F192" s="587" t="s">
        <v>366</v>
      </c>
      <c r="G192" s="588"/>
      <c r="H192" s="589"/>
      <c r="I192" s="587" t="s">
        <v>367</v>
      </c>
      <c r="J192" s="588"/>
      <c r="K192" s="588"/>
      <c r="L192" s="590"/>
      <c r="O192" s="35">
        <f>7388.7-7333.7</f>
        <v>55</v>
      </c>
    </row>
    <row r="193" spans="2:12" ht="15.75">
      <c r="B193" s="307" t="s">
        <v>368</v>
      </c>
      <c r="C193" s="38"/>
      <c r="D193" s="569"/>
      <c r="E193" s="569"/>
      <c r="F193" s="38" t="s">
        <v>368</v>
      </c>
      <c r="G193" s="569"/>
      <c r="H193" s="569"/>
      <c r="I193" s="38" t="s">
        <v>368</v>
      </c>
      <c r="J193" s="38"/>
      <c r="K193" s="570"/>
      <c r="L193" s="571"/>
    </row>
    <row r="194" spans="2:12" ht="15.75">
      <c r="B194" s="307" t="s">
        <v>369</v>
      </c>
      <c r="C194" s="569"/>
      <c r="D194" s="569"/>
      <c r="E194" s="569"/>
      <c r="F194" s="38" t="s">
        <v>369</v>
      </c>
      <c r="G194" s="569"/>
      <c r="H194" s="569"/>
      <c r="I194" s="38" t="s">
        <v>369</v>
      </c>
      <c r="J194" s="570"/>
      <c r="K194" s="572"/>
      <c r="L194" s="571"/>
    </row>
    <row r="195" spans="2:12" ht="15.75">
      <c r="B195" s="308" t="s">
        <v>370</v>
      </c>
      <c r="C195" s="309"/>
      <c r="D195" s="566"/>
      <c r="E195" s="566"/>
      <c r="F195" s="309" t="s">
        <v>370</v>
      </c>
      <c r="G195" s="566"/>
      <c r="H195" s="566"/>
      <c r="I195" s="309" t="s">
        <v>370</v>
      </c>
      <c r="J195" s="309"/>
      <c r="K195" s="567"/>
      <c r="L195" s="568"/>
    </row>
  </sheetData>
  <autoFilter ref="C4:H183"/>
  <mergeCells count="38">
    <mergeCell ref="B3:L3"/>
    <mergeCell ref="K4:L4"/>
    <mergeCell ref="K5:L5"/>
    <mergeCell ref="K7:L7"/>
    <mergeCell ref="K24:L24"/>
    <mergeCell ref="K33:L33"/>
    <mergeCell ref="K38:L38"/>
    <mergeCell ref="K40:L40"/>
    <mergeCell ref="K67:L67"/>
    <mergeCell ref="K69:L69"/>
    <mergeCell ref="K78:L78"/>
    <mergeCell ref="K81:L81"/>
    <mergeCell ref="K100:L100"/>
    <mergeCell ref="K105:L105"/>
    <mergeCell ref="K107:L107"/>
    <mergeCell ref="K108:L108"/>
    <mergeCell ref="K110:L110"/>
    <mergeCell ref="K111:L111"/>
    <mergeCell ref="K117:L117"/>
    <mergeCell ref="K120:L120"/>
    <mergeCell ref="K121:L121"/>
    <mergeCell ref="K127:L127"/>
    <mergeCell ref="K128:L128"/>
    <mergeCell ref="K156:L156"/>
    <mergeCell ref="K159:L159"/>
    <mergeCell ref="K168:L168"/>
    <mergeCell ref="B192:E192"/>
    <mergeCell ref="F192:H192"/>
    <mergeCell ref="I192:L192"/>
    <mergeCell ref="D193:E193"/>
    <mergeCell ref="G193:H193"/>
    <mergeCell ref="K193:L193"/>
    <mergeCell ref="C194:E194"/>
    <mergeCell ref="G194:H194"/>
    <mergeCell ref="J194:L194"/>
    <mergeCell ref="D195:E195"/>
    <mergeCell ref="G195:H195"/>
    <mergeCell ref="K195:L19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4:W145"/>
  <sheetViews>
    <sheetView zoomScale="70" zoomScaleNormal="70" zoomScaleSheetLayoutView="70" workbookViewId="0">
      <selection activeCell="U26" sqref="U26"/>
    </sheetView>
  </sheetViews>
  <sheetFormatPr defaultColWidth="9" defaultRowHeight="15"/>
  <cols>
    <col min="1" max="4" width="9" style="35"/>
    <col min="5" max="5" width="13.7109375" style="35" customWidth="1"/>
    <col min="6" max="6" width="12.140625" style="35" customWidth="1"/>
    <col min="7" max="7" width="16" style="35" customWidth="1"/>
    <col min="8" max="8" width="9.85546875" style="35" customWidth="1"/>
    <col min="9" max="9" width="20.28515625" style="35" customWidth="1"/>
    <col min="10" max="10" width="19.7109375" style="35" customWidth="1"/>
    <col min="11" max="11" width="23.42578125" style="295" customWidth="1"/>
    <col min="12" max="12" width="14.5703125" style="35" hidden="1" customWidth="1"/>
    <col min="13" max="16384" width="9" style="35"/>
  </cols>
  <sheetData>
    <row r="4" spans="4:15" ht="18.75">
      <c r="D4" s="600" t="s">
        <v>678</v>
      </c>
      <c r="E4" s="601"/>
      <c r="F4" s="601"/>
      <c r="G4" s="601"/>
      <c r="H4" s="601"/>
      <c r="I4" s="601"/>
      <c r="J4" s="601"/>
      <c r="K4" s="601"/>
      <c r="L4" s="601"/>
      <c r="M4" s="601"/>
      <c r="N4" s="601"/>
      <c r="O4" s="602"/>
    </row>
    <row r="5" spans="4:15" ht="63">
      <c r="D5" s="296" t="s">
        <v>448</v>
      </c>
      <c r="E5" s="1" t="s">
        <v>180</v>
      </c>
      <c r="F5" s="1" t="s">
        <v>13</v>
      </c>
      <c r="G5" s="1" t="s">
        <v>181</v>
      </c>
      <c r="H5" s="2" t="s">
        <v>449</v>
      </c>
      <c r="I5" s="1" t="s">
        <v>183</v>
      </c>
      <c r="J5" s="297" t="s">
        <v>184</v>
      </c>
      <c r="K5" s="298" t="s">
        <v>185</v>
      </c>
      <c r="L5" s="3" t="s">
        <v>187</v>
      </c>
      <c r="M5" s="3" t="s">
        <v>186</v>
      </c>
      <c r="N5" s="603" t="s">
        <v>679</v>
      </c>
      <c r="O5" s="603"/>
    </row>
    <row r="6" spans="4:15">
      <c r="D6" s="36">
        <v>1</v>
      </c>
      <c r="E6" s="36" t="s">
        <v>464</v>
      </c>
      <c r="F6" s="36" t="s">
        <v>584</v>
      </c>
      <c r="G6" s="36" t="s">
        <v>199</v>
      </c>
      <c r="H6" s="36">
        <v>0.36</v>
      </c>
      <c r="I6" s="36">
        <v>63</v>
      </c>
      <c r="J6" s="37">
        <v>113.7</v>
      </c>
      <c r="K6" s="299">
        <f>+J6</f>
        <v>113.7</v>
      </c>
      <c r="L6" s="36"/>
      <c r="M6" s="36">
        <v>1.04</v>
      </c>
      <c r="N6" s="569"/>
      <c r="O6" s="569"/>
    </row>
    <row r="7" spans="4:15">
      <c r="D7" s="36">
        <v>2</v>
      </c>
      <c r="E7" s="36" t="s">
        <v>584</v>
      </c>
      <c r="F7" s="36" t="s">
        <v>609</v>
      </c>
      <c r="G7" s="36"/>
      <c r="H7" s="36"/>
      <c r="I7" s="36">
        <v>63</v>
      </c>
      <c r="J7" s="37">
        <v>43.3</v>
      </c>
      <c r="K7" s="299">
        <f>+K6+J7</f>
        <v>157</v>
      </c>
      <c r="L7" s="36"/>
      <c r="M7" s="36">
        <v>1.03</v>
      </c>
      <c r="N7" s="569"/>
      <c r="O7" s="569"/>
    </row>
    <row r="8" spans="4:15">
      <c r="D8" s="36">
        <f>+D7+1</f>
        <v>3</v>
      </c>
      <c r="E8" s="36" t="s">
        <v>584</v>
      </c>
      <c r="F8" s="36" t="s">
        <v>578</v>
      </c>
      <c r="G8" s="36"/>
      <c r="H8" s="36"/>
      <c r="I8" s="36">
        <v>63</v>
      </c>
      <c r="J8" s="37">
        <v>6.9</v>
      </c>
      <c r="K8" s="299">
        <f t="shared" ref="K8:K71" si="0">+K7+J8</f>
        <v>163.9</v>
      </c>
      <c r="L8" s="36"/>
      <c r="M8" s="36">
        <v>1.03</v>
      </c>
      <c r="N8" s="569"/>
      <c r="O8" s="569"/>
    </row>
    <row r="9" spans="4:15">
      <c r="D9" s="36">
        <f t="shared" ref="D9:D72" si="1">+D8+1</f>
        <v>4</v>
      </c>
      <c r="E9" s="36" t="s">
        <v>578</v>
      </c>
      <c r="F9" s="36" t="s">
        <v>680</v>
      </c>
      <c r="G9" s="36"/>
      <c r="H9" s="36"/>
      <c r="I9" s="36">
        <v>63</v>
      </c>
      <c r="J9" s="37">
        <v>53.2</v>
      </c>
      <c r="K9" s="299">
        <f t="shared" si="0"/>
        <v>217.10000000000002</v>
      </c>
      <c r="L9" s="36"/>
      <c r="M9" s="36">
        <v>1.03</v>
      </c>
      <c r="N9" s="569"/>
      <c r="O9" s="569"/>
    </row>
    <row r="10" spans="4:15">
      <c r="D10" s="36">
        <f t="shared" si="1"/>
        <v>5</v>
      </c>
      <c r="E10" s="36" t="s">
        <v>578</v>
      </c>
      <c r="F10" s="36" t="s">
        <v>681</v>
      </c>
      <c r="G10" s="36"/>
      <c r="H10" s="36"/>
      <c r="I10" s="36">
        <v>63</v>
      </c>
      <c r="J10" s="37">
        <v>24.1</v>
      </c>
      <c r="K10" s="299">
        <f t="shared" si="0"/>
        <v>241.20000000000002</v>
      </c>
      <c r="L10" s="36"/>
      <c r="M10" s="36">
        <v>1.03</v>
      </c>
      <c r="N10" s="569"/>
      <c r="O10" s="569"/>
    </row>
    <row r="11" spans="4:15">
      <c r="D11" s="36">
        <f t="shared" si="1"/>
        <v>6</v>
      </c>
      <c r="E11" s="36" t="s">
        <v>681</v>
      </c>
      <c r="F11" s="36" t="s">
        <v>682</v>
      </c>
      <c r="G11" s="36"/>
      <c r="H11" s="36"/>
      <c r="I11" s="36">
        <v>63</v>
      </c>
      <c r="J11" s="37">
        <v>59</v>
      </c>
      <c r="K11" s="299">
        <f t="shared" si="0"/>
        <v>300.20000000000005</v>
      </c>
      <c r="L11" s="36"/>
      <c r="M11" s="36">
        <v>1.03</v>
      </c>
      <c r="N11" s="569"/>
      <c r="O11" s="569"/>
    </row>
    <row r="12" spans="4:15">
      <c r="D12" s="36">
        <f t="shared" si="1"/>
        <v>7</v>
      </c>
      <c r="E12" s="36" t="s">
        <v>681</v>
      </c>
      <c r="F12" s="36" t="s">
        <v>683</v>
      </c>
      <c r="G12" s="36"/>
      <c r="H12" s="36"/>
      <c r="I12" s="36">
        <v>63</v>
      </c>
      <c r="J12" s="37">
        <v>22.8</v>
      </c>
      <c r="K12" s="299">
        <f t="shared" si="0"/>
        <v>323.00000000000006</v>
      </c>
      <c r="L12" s="36"/>
      <c r="M12" s="36">
        <v>1.03</v>
      </c>
      <c r="N12" s="569"/>
      <c r="O12" s="569"/>
    </row>
    <row r="13" spans="4:15">
      <c r="D13" s="36">
        <f t="shared" si="1"/>
        <v>8</v>
      </c>
      <c r="E13" s="36" t="s">
        <v>684</v>
      </c>
      <c r="F13" s="36" t="s">
        <v>685</v>
      </c>
      <c r="G13" s="36"/>
      <c r="H13" s="36"/>
      <c r="I13" s="36">
        <v>63</v>
      </c>
      <c r="J13" s="37">
        <v>33.6</v>
      </c>
      <c r="K13" s="299">
        <f t="shared" si="0"/>
        <v>356.60000000000008</v>
      </c>
      <c r="L13" s="36"/>
      <c r="M13" s="36">
        <v>1.03</v>
      </c>
      <c r="N13" s="569"/>
      <c r="O13" s="569"/>
    </row>
    <row r="14" spans="4:15">
      <c r="D14" s="36">
        <f t="shared" si="1"/>
        <v>9</v>
      </c>
      <c r="E14" s="36" t="s">
        <v>686</v>
      </c>
      <c r="F14" s="36" t="s">
        <v>687</v>
      </c>
      <c r="G14" s="36"/>
      <c r="H14" s="36"/>
      <c r="I14" s="36">
        <v>63</v>
      </c>
      <c r="J14" s="37">
        <v>52.5</v>
      </c>
      <c r="K14" s="299">
        <f t="shared" si="0"/>
        <v>409.10000000000008</v>
      </c>
      <c r="L14" s="36"/>
      <c r="M14" s="36">
        <v>1.03</v>
      </c>
      <c r="N14" s="569"/>
      <c r="O14" s="569"/>
    </row>
    <row r="15" spans="4:15">
      <c r="D15" s="36">
        <f t="shared" si="1"/>
        <v>10</v>
      </c>
      <c r="E15" s="36" t="s">
        <v>686</v>
      </c>
      <c r="F15" s="36" t="s">
        <v>458</v>
      </c>
      <c r="G15" s="36"/>
      <c r="H15" s="36"/>
      <c r="I15" s="36">
        <v>63</v>
      </c>
      <c r="J15" s="300">
        <v>371.5</v>
      </c>
      <c r="K15" s="299">
        <f t="shared" si="0"/>
        <v>780.60000000000014</v>
      </c>
      <c r="L15" s="36"/>
      <c r="M15" s="36">
        <v>1.05</v>
      </c>
      <c r="N15" s="569"/>
      <c r="O15" s="569"/>
    </row>
    <row r="16" spans="4:15">
      <c r="D16" s="36">
        <f t="shared" si="1"/>
        <v>11</v>
      </c>
      <c r="E16" s="36" t="s">
        <v>686</v>
      </c>
      <c r="F16" s="36" t="s">
        <v>458</v>
      </c>
      <c r="G16" s="36" t="s">
        <v>688</v>
      </c>
      <c r="H16" s="36">
        <v>0.36</v>
      </c>
      <c r="I16" s="36">
        <v>63</v>
      </c>
      <c r="J16" s="37">
        <v>3.6</v>
      </c>
      <c r="K16" s="299">
        <f t="shared" si="0"/>
        <v>784.20000000000016</v>
      </c>
      <c r="L16" s="36"/>
      <c r="M16" s="36">
        <v>1.03</v>
      </c>
      <c r="N16" s="569" t="s">
        <v>689</v>
      </c>
      <c r="O16" s="569"/>
    </row>
    <row r="17" spans="4:15">
      <c r="D17" s="36">
        <f t="shared" si="1"/>
        <v>12</v>
      </c>
      <c r="E17" s="36" t="s">
        <v>460</v>
      </c>
      <c r="F17" s="36" t="s">
        <v>585</v>
      </c>
      <c r="G17" s="36"/>
      <c r="H17" s="36"/>
      <c r="I17" s="36">
        <v>63</v>
      </c>
      <c r="J17" s="300">
        <v>50.9</v>
      </c>
      <c r="K17" s="299">
        <f t="shared" si="0"/>
        <v>835.10000000000014</v>
      </c>
      <c r="L17" s="36"/>
      <c r="M17" s="36">
        <v>1.03</v>
      </c>
      <c r="N17" s="569"/>
      <c r="O17" s="569"/>
    </row>
    <row r="18" spans="4:15">
      <c r="D18" s="36">
        <f t="shared" si="1"/>
        <v>13</v>
      </c>
      <c r="E18" s="36" t="s">
        <v>458</v>
      </c>
      <c r="F18" s="36" t="s">
        <v>615</v>
      </c>
      <c r="G18" s="36"/>
      <c r="H18" s="36"/>
      <c r="I18" s="36">
        <v>63</v>
      </c>
      <c r="J18" s="37">
        <v>189.7</v>
      </c>
      <c r="K18" s="299">
        <f t="shared" si="0"/>
        <v>1024.8000000000002</v>
      </c>
      <c r="L18" s="36"/>
      <c r="M18" s="36">
        <v>1.05</v>
      </c>
      <c r="N18" s="569"/>
      <c r="O18" s="569"/>
    </row>
    <row r="19" spans="4:15">
      <c r="D19" s="36">
        <f t="shared" si="1"/>
        <v>14</v>
      </c>
      <c r="E19" s="36" t="s">
        <v>615</v>
      </c>
      <c r="F19" s="36" t="s">
        <v>690</v>
      </c>
      <c r="G19" s="36"/>
      <c r="H19" s="36"/>
      <c r="I19" s="36">
        <v>63</v>
      </c>
      <c r="J19" s="37">
        <v>56.3</v>
      </c>
      <c r="K19" s="299">
        <f t="shared" si="0"/>
        <v>1081.1000000000001</v>
      </c>
      <c r="L19" s="36"/>
      <c r="M19" s="36">
        <v>1.03</v>
      </c>
      <c r="N19" s="569"/>
      <c r="O19" s="569"/>
    </row>
    <row r="20" spans="4:15">
      <c r="D20" s="36">
        <f t="shared" si="1"/>
        <v>15</v>
      </c>
      <c r="E20" s="36" t="s">
        <v>615</v>
      </c>
      <c r="F20" s="36" t="s">
        <v>691</v>
      </c>
      <c r="G20" s="36"/>
      <c r="H20" s="36"/>
      <c r="I20" s="36">
        <v>63</v>
      </c>
      <c r="J20" s="300">
        <v>83.8</v>
      </c>
      <c r="K20" s="299">
        <f t="shared" si="0"/>
        <v>1164.9000000000001</v>
      </c>
      <c r="L20" s="36"/>
      <c r="M20" s="36">
        <v>1.03</v>
      </c>
      <c r="N20" s="569"/>
      <c r="O20" s="569"/>
    </row>
    <row r="21" spans="4:15">
      <c r="D21" s="36">
        <f t="shared" si="1"/>
        <v>16</v>
      </c>
      <c r="E21" s="36" t="s">
        <v>691</v>
      </c>
      <c r="F21" s="36" t="s">
        <v>559</v>
      </c>
      <c r="G21" s="36"/>
      <c r="H21" s="36"/>
      <c r="I21" s="36">
        <v>63</v>
      </c>
      <c r="J21" s="37">
        <v>43.2</v>
      </c>
      <c r="K21" s="299">
        <f t="shared" si="0"/>
        <v>1208.1000000000001</v>
      </c>
      <c r="L21" s="36"/>
      <c r="M21" s="36">
        <v>1.06</v>
      </c>
      <c r="N21" s="569"/>
      <c r="O21" s="569"/>
    </row>
    <row r="22" spans="4:15">
      <c r="D22" s="36">
        <f t="shared" si="1"/>
        <v>17</v>
      </c>
      <c r="E22" s="36" t="s">
        <v>691</v>
      </c>
      <c r="F22" s="36" t="s">
        <v>692</v>
      </c>
      <c r="G22" s="36"/>
      <c r="H22" s="36"/>
      <c r="I22" s="36">
        <v>63</v>
      </c>
      <c r="J22" s="37">
        <v>31.4</v>
      </c>
      <c r="K22" s="299">
        <f t="shared" si="0"/>
        <v>1239.5000000000002</v>
      </c>
      <c r="L22" s="36"/>
      <c r="M22" s="36">
        <v>1.05</v>
      </c>
      <c r="N22" s="569"/>
      <c r="O22" s="569"/>
    </row>
    <row r="23" spans="4:15">
      <c r="D23" s="36">
        <f t="shared" si="1"/>
        <v>18</v>
      </c>
      <c r="E23" s="36" t="s">
        <v>692</v>
      </c>
      <c r="F23" s="36" t="s">
        <v>693</v>
      </c>
      <c r="G23" s="36" t="s">
        <v>688</v>
      </c>
      <c r="H23" s="36">
        <v>0.36</v>
      </c>
      <c r="I23" s="36">
        <v>63</v>
      </c>
      <c r="J23" s="37">
        <v>4.2</v>
      </c>
      <c r="K23" s="299">
        <f t="shared" si="0"/>
        <v>1243.7000000000003</v>
      </c>
      <c r="L23" s="36"/>
      <c r="M23" s="36">
        <v>1.03</v>
      </c>
      <c r="N23" s="569" t="s">
        <v>689</v>
      </c>
      <c r="O23" s="569"/>
    </row>
    <row r="24" spans="4:15">
      <c r="D24" s="36">
        <f t="shared" si="1"/>
        <v>19</v>
      </c>
      <c r="E24" s="36" t="s">
        <v>692</v>
      </c>
      <c r="F24" s="36" t="s">
        <v>693</v>
      </c>
      <c r="G24" s="36"/>
      <c r="H24" s="36"/>
      <c r="I24" s="36">
        <v>63</v>
      </c>
      <c r="J24" s="37">
        <v>59.3</v>
      </c>
      <c r="K24" s="299">
        <f t="shared" si="0"/>
        <v>1303.0000000000002</v>
      </c>
      <c r="L24" s="36"/>
      <c r="M24" s="36">
        <v>1.06</v>
      </c>
      <c r="N24" s="569"/>
      <c r="O24" s="569"/>
    </row>
    <row r="25" spans="4:15">
      <c r="D25" s="36">
        <f t="shared" si="1"/>
        <v>20</v>
      </c>
      <c r="E25" s="36" t="s">
        <v>692</v>
      </c>
      <c r="F25" s="36" t="s">
        <v>586</v>
      </c>
      <c r="G25" s="36"/>
      <c r="H25" s="36"/>
      <c r="I25" s="36">
        <v>63</v>
      </c>
      <c r="J25" s="37">
        <v>8.6999999999999993</v>
      </c>
      <c r="K25" s="299">
        <f t="shared" si="0"/>
        <v>1311.7000000000003</v>
      </c>
      <c r="L25" s="36"/>
      <c r="M25" s="39">
        <v>1.06</v>
      </c>
      <c r="N25" s="569"/>
      <c r="O25" s="569"/>
    </row>
    <row r="26" spans="4:15">
      <c r="D26" s="36">
        <f t="shared" si="1"/>
        <v>21</v>
      </c>
      <c r="E26" s="36" t="s">
        <v>586</v>
      </c>
      <c r="F26" s="36" t="s">
        <v>694</v>
      </c>
      <c r="G26" s="36"/>
      <c r="H26" s="36"/>
      <c r="I26" s="36">
        <v>63</v>
      </c>
      <c r="J26" s="37">
        <v>71.2</v>
      </c>
      <c r="K26" s="299">
        <f t="shared" si="0"/>
        <v>1382.9000000000003</v>
      </c>
      <c r="L26" s="36"/>
      <c r="M26" s="36">
        <v>1.06</v>
      </c>
      <c r="N26" s="569"/>
      <c r="O26" s="569"/>
    </row>
    <row r="27" spans="4:15">
      <c r="D27" s="36">
        <f t="shared" si="1"/>
        <v>22</v>
      </c>
      <c r="E27" s="36" t="s">
        <v>586</v>
      </c>
      <c r="F27" s="36" t="s">
        <v>695</v>
      </c>
      <c r="G27" s="36"/>
      <c r="H27" s="36"/>
      <c r="I27" s="36">
        <v>63</v>
      </c>
      <c r="J27" s="37">
        <v>17.899999999999999</v>
      </c>
      <c r="K27" s="299">
        <f t="shared" si="0"/>
        <v>1400.8000000000004</v>
      </c>
      <c r="L27" s="36"/>
      <c r="M27" s="39">
        <v>1.05</v>
      </c>
      <c r="N27" s="569"/>
      <c r="O27" s="569"/>
    </row>
    <row r="28" spans="4:15">
      <c r="D28" s="36">
        <f t="shared" si="1"/>
        <v>23</v>
      </c>
      <c r="E28" s="36" t="s">
        <v>695</v>
      </c>
      <c r="F28" s="36" t="s">
        <v>582</v>
      </c>
      <c r="G28" s="36"/>
      <c r="H28" s="36"/>
      <c r="I28" s="36">
        <v>63</v>
      </c>
      <c r="J28" s="37">
        <v>70.2</v>
      </c>
      <c r="K28" s="299">
        <f t="shared" si="0"/>
        <v>1471.0000000000005</v>
      </c>
      <c r="L28" s="36"/>
      <c r="M28" s="36">
        <v>1.05</v>
      </c>
      <c r="N28" s="569"/>
      <c r="O28" s="569"/>
    </row>
    <row r="29" spans="4:15">
      <c r="D29" s="36">
        <f t="shared" si="1"/>
        <v>24</v>
      </c>
      <c r="E29" s="36" t="s">
        <v>695</v>
      </c>
      <c r="F29" s="36" t="s">
        <v>618</v>
      </c>
      <c r="G29" s="36"/>
      <c r="H29" s="36"/>
      <c r="I29" s="36">
        <v>63</v>
      </c>
      <c r="J29" s="37">
        <v>42.7</v>
      </c>
      <c r="K29" s="299">
        <f t="shared" si="0"/>
        <v>1513.7000000000005</v>
      </c>
      <c r="L29" s="36"/>
      <c r="M29" s="36">
        <v>1.06</v>
      </c>
      <c r="N29" s="569"/>
      <c r="O29" s="569"/>
    </row>
    <row r="30" spans="4:15">
      <c r="D30" s="36">
        <f t="shared" si="1"/>
        <v>25</v>
      </c>
      <c r="E30" s="36" t="s">
        <v>554</v>
      </c>
      <c r="F30" s="36" t="s">
        <v>547</v>
      </c>
      <c r="G30" s="36"/>
      <c r="H30" s="36"/>
      <c r="I30" s="36">
        <v>63</v>
      </c>
      <c r="J30" s="300">
        <v>187.3</v>
      </c>
      <c r="K30" s="299">
        <f t="shared" si="0"/>
        <v>1701.0000000000005</v>
      </c>
      <c r="L30" s="36"/>
      <c r="M30" s="39">
        <v>1.05</v>
      </c>
      <c r="N30" s="36"/>
      <c r="O30" s="36"/>
    </row>
    <row r="31" spans="4:15">
      <c r="D31" s="36">
        <f t="shared" si="1"/>
        <v>26</v>
      </c>
      <c r="E31" s="36" t="s">
        <v>618</v>
      </c>
      <c r="F31" s="36" t="s">
        <v>696</v>
      </c>
      <c r="G31" s="36"/>
      <c r="H31" s="36"/>
      <c r="I31" s="36">
        <v>63</v>
      </c>
      <c r="J31" s="300">
        <v>46.8</v>
      </c>
      <c r="K31" s="299">
        <f t="shared" si="0"/>
        <v>1747.8000000000004</v>
      </c>
      <c r="L31" s="36"/>
      <c r="M31" s="39">
        <v>1.06</v>
      </c>
      <c r="N31" s="569"/>
      <c r="O31" s="569"/>
    </row>
    <row r="32" spans="4:15">
      <c r="D32" s="36">
        <f t="shared" si="1"/>
        <v>27</v>
      </c>
      <c r="E32" s="36" t="s">
        <v>618</v>
      </c>
      <c r="F32" s="36" t="s">
        <v>697</v>
      </c>
      <c r="G32" s="36"/>
      <c r="H32" s="36"/>
      <c r="I32" s="36">
        <v>63</v>
      </c>
      <c r="J32" s="300">
        <v>34.700000000000003</v>
      </c>
      <c r="K32" s="299">
        <f t="shared" si="0"/>
        <v>1782.5000000000005</v>
      </c>
      <c r="L32" s="36"/>
      <c r="M32" s="39">
        <v>1.06</v>
      </c>
      <c r="N32" s="569"/>
      <c r="O32" s="569"/>
    </row>
    <row r="33" spans="4:18">
      <c r="D33" s="36">
        <f t="shared" si="1"/>
        <v>28</v>
      </c>
      <c r="E33" s="36" t="s">
        <v>628</v>
      </c>
      <c r="F33" s="36" t="s">
        <v>283</v>
      </c>
      <c r="G33" s="36"/>
      <c r="H33" s="36"/>
      <c r="I33" s="36">
        <v>63</v>
      </c>
      <c r="J33" s="300">
        <v>117.1</v>
      </c>
      <c r="K33" s="299">
        <f t="shared" si="0"/>
        <v>1899.6000000000004</v>
      </c>
      <c r="L33" s="36"/>
      <c r="M33" s="39">
        <v>1.06</v>
      </c>
      <c r="N33" s="569"/>
      <c r="O33" s="569"/>
    </row>
    <row r="34" spans="4:18">
      <c r="D34" s="36">
        <f t="shared" si="1"/>
        <v>29</v>
      </c>
      <c r="E34" s="36" t="s">
        <v>628</v>
      </c>
      <c r="F34" s="36" t="s">
        <v>283</v>
      </c>
      <c r="G34" s="36" t="s">
        <v>688</v>
      </c>
      <c r="H34" s="36">
        <v>0.36</v>
      </c>
      <c r="I34" s="36">
        <v>63</v>
      </c>
      <c r="J34" s="300">
        <v>5.7</v>
      </c>
      <c r="K34" s="299">
        <f t="shared" si="0"/>
        <v>1905.3000000000004</v>
      </c>
      <c r="L34" s="36"/>
      <c r="M34" s="39">
        <v>1.06</v>
      </c>
      <c r="N34" s="569" t="s">
        <v>689</v>
      </c>
      <c r="O34" s="569"/>
    </row>
    <row r="35" spans="4:18">
      <c r="D35" s="36">
        <f t="shared" si="1"/>
        <v>30</v>
      </c>
      <c r="E35" s="36" t="s">
        <v>283</v>
      </c>
      <c r="F35" s="36" t="s">
        <v>416</v>
      </c>
      <c r="G35" s="36"/>
      <c r="H35" s="36"/>
      <c r="I35" s="36">
        <v>63</v>
      </c>
      <c r="J35" s="300">
        <v>109.1</v>
      </c>
      <c r="K35" s="299">
        <f t="shared" si="0"/>
        <v>2014.4000000000003</v>
      </c>
      <c r="L35" s="36"/>
      <c r="M35" s="36">
        <v>1.02</v>
      </c>
      <c r="N35" s="569"/>
      <c r="O35" s="569"/>
    </row>
    <row r="36" spans="4:18">
      <c r="D36" s="36">
        <f t="shared" si="1"/>
        <v>31</v>
      </c>
      <c r="E36" s="36" t="s">
        <v>416</v>
      </c>
      <c r="F36" s="36" t="s">
        <v>316</v>
      </c>
      <c r="G36" s="36" t="s">
        <v>688</v>
      </c>
      <c r="H36" s="36">
        <v>0.36</v>
      </c>
      <c r="I36" s="36">
        <v>63</v>
      </c>
      <c r="J36" s="300">
        <v>3.7</v>
      </c>
      <c r="K36" s="299">
        <f t="shared" si="0"/>
        <v>2018.1000000000004</v>
      </c>
      <c r="L36" s="36"/>
      <c r="M36" s="36">
        <v>1.02</v>
      </c>
      <c r="N36" s="569" t="s">
        <v>689</v>
      </c>
      <c r="O36" s="569"/>
    </row>
    <row r="37" spans="4:18">
      <c r="D37" s="36">
        <f t="shared" si="1"/>
        <v>32</v>
      </c>
      <c r="E37" s="36" t="s">
        <v>416</v>
      </c>
      <c r="F37" s="36" t="s">
        <v>406</v>
      </c>
      <c r="G37" s="36"/>
      <c r="H37" s="36"/>
      <c r="I37" s="36">
        <v>63</v>
      </c>
      <c r="J37" s="300">
        <v>45.3</v>
      </c>
      <c r="K37" s="299">
        <f t="shared" si="0"/>
        <v>2063.4000000000005</v>
      </c>
      <c r="L37" s="36"/>
      <c r="M37" s="36">
        <v>1.02</v>
      </c>
      <c r="N37" s="569"/>
      <c r="O37" s="569"/>
    </row>
    <row r="38" spans="4:18">
      <c r="D38" s="36">
        <f t="shared" si="1"/>
        <v>33</v>
      </c>
      <c r="E38" s="36" t="s">
        <v>416</v>
      </c>
      <c r="F38" s="36" t="s">
        <v>404</v>
      </c>
      <c r="G38" s="36"/>
      <c r="H38" s="36"/>
      <c r="I38" s="36">
        <v>63</v>
      </c>
      <c r="J38" s="37">
        <v>432.1</v>
      </c>
      <c r="K38" s="299">
        <f t="shared" si="0"/>
        <v>2495.5000000000005</v>
      </c>
      <c r="L38" s="36"/>
      <c r="M38" s="36">
        <v>1.02</v>
      </c>
      <c r="N38" s="569"/>
      <c r="O38" s="569"/>
    </row>
    <row r="39" spans="4:18">
      <c r="D39" s="36">
        <f t="shared" si="1"/>
        <v>34</v>
      </c>
      <c r="E39" s="36" t="s">
        <v>404</v>
      </c>
      <c r="F39" s="36" t="s">
        <v>319</v>
      </c>
      <c r="G39" s="36"/>
      <c r="H39" s="36"/>
      <c r="I39" s="36">
        <v>63</v>
      </c>
      <c r="J39" s="300">
        <v>32.200000000000003</v>
      </c>
      <c r="K39" s="299">
        <f t="shared" si="0"/>
        <v>2527.7000000000003</v>
      </c>
      <c r="L39" s="36"/>
      <c r="M39" s="36">
        <v>1.04</v>
      </c>
      <c r="N39" s="569"/>
      <c r="O39" s="569"/>
    </row>
    <row r="40" spans="4:18">
      <c r="D40" s="36">
        <f t="shared" si="1"/>
        <v>35</v>
      </c>
      <c r="E40" s="36" t="s">
        <v>404</v>
      </c>
      <c r="F40" s="36" t="s">
        <v>319</v>
      </c>
      <c r="G40" s="36"/>
      <c r="H40" s="36"/>
      <c r="I40" s="36">
        <v>63</v>
      </c>
      <c r="J40" s="37">
        <v>2.8</v>
      </c>
      <c r="K40" s="299">
        <f t="shared" si="0"/>
        <v>2530.5000000000005</v>
      </c>
      <c r="L40" s="36"/>
      <c r="M40" s="36">
        <v>1.06</v>
      </c>
      <c r="N40" s="569" t="s">
        <v>304</v>
      </c>
      <c r="O40" s="569"/>
    </row>
    <row r="41" spans="4:18">
      <c r="D41" s="36">
        <f t="shared" si="1"/>
        <v>36</v>
      </c>
      <c r="E41" s="36" t="s">
        <v>404</v>
      </c>
      <c r="F41" s="36" t="s">
        <v>405</v>
      </c>
      <c r="G41" s="36"/>
      <c r="H41" s="36"/>
      <c r="I41" s="36">
        <v>63</v>
      </c>
      <c r="J41" s="37">
        <v>61.6</v>
      </c>
      <c r="K41" s="299">
        <f t="shared" si="0"/>
        <v>2592.1000000000004</v>
      </c>
      <c r="L41" s="36"/>
      <c r="M41" s="36">
        <v>1.04</v>
      </c>
      <c r="N41" s="569"/>
      <c r="O41" s="569"/>
    </row>
    <row r="42" spans="4:18">
      <c r="D42" s="36">
        <f t="shared" si="1"/>
        <v>37</v>
      </c>
      <c r="E42" s="36" t="s">
        <v>628</v>
      </c>
      <c r="F42" s="36" t="s">
        <v>400</v>
      </c>
      <c r="G42" s="36" t="s">
        <v>688</v>
      </c>
      <c r="H42" s="36">
        <v>0.36</v>
      </c>
      <c r="I42" s="36">
        <v>63</v>
      </c>
      <c r="J42" s="37">
        <v>3.5</v>
      </c>
      <c r="K42" s="299">
        <f t="shared" si="0"/>
        <v>2595.6000000000004</v>
      </c>
      <c r="L42" s="36"/>
      <c r="M42" s="36">
        <v>1.04</v>
      </c>
      <c r="N42" s="569" t="s">
        <v>689</v>
      </c>
      <c r="O42" s="569"/>
    </row>
    <row r="43" spans="4:18">
      <c r="D43" s="36">
        <f t="shared" si="1"/>
        <v>38</v>
      </c>
      <c r="E43" s="36" t="s">
        <v>628</v>
      </c>
      <c r="F43" s="36" t="s">
        <v>400</v>
      </c>
      <c r="G43" s="36"/>
      <c r="H43" s="36"/>
      <c r="I43" s="36">
        <v>63</v>
      </c>
      <c r="J43" s="37">
        <v>85</v>
      </c>
      <c r="K43" s="299">
        <f t="shared" si="0"/>
        <v>2680.6000000000004</v>
      </c>
      <c r="L43" s="36"/>
      <c r="M43" s="39">
        <v>1.04</v>
      </c>
      <c r="N43" s="569"/>
      <c r="O43" s="569"/>
      <c r="R43" s="35">
        <f>126+187</f>
        <v>313</v>
      </c>
    </row>
    <row r="44" spans="4:18">
      <c r="D44" s="36">
        <f t="shared" si="1"/>
        <v>39</v>
      </c>
      <c r="E44" s="36" t="s">
        <v>554</v>
      </c>
      <c r="F44" s="36" t="s">
        <v>553</v>
      </c>
      <c r="G44" s="36"/>
      <c r="H44" s="36"/>
      <c r="I44" s="36">
        <v>63</v>
      </c>
      <c r="J44" s="37">
        <v>354.5</v>
      </c>
      <c r="K44" s="299">
        <f t="shared" si="0"/>
        <v>3035.1000000000004</v>
      </c>
      <c r="L44" s="36"/>
      <c r="M44" s="39">
        <v>1.06</v>
      </c>
      <c r="N44" s="569"/>
      <c r="O44" s="569"/>
    </row>
    <row r="45" spans="4:18">
      <c r="D45" s="36">
        <f t="shared" si="1"/>
        <v>40</v>
      </c>
      <c r="E45" s="36" t="s">
        <v>698</v>
      </c>
      <c r="F45" s="36" t="s">
        <v>699</v>
      </c>
      <c r="G45" s="36"/>
      <c r="H45" s="36"/>
      <c r="I45" s="36">
        <v>63</v>
      </c>
      <c r="J45" s="37">
        <v>90.2</v>
      </c>
      <c r="K45" s="299">
        <f t="shared" si="0"/>
        <v>3125.3</v>
      </c>
      <c r="L45" s="36"/>
      <c r="M45" s="39">
        <v>1.06</v>
      </c>
      <c r="N45" s="36"/>
      <c r="O45" s="36"/>
    </row>
    <row r="46" spans="4:18">
      <c r="D46" s="36">
        <f t="shared" si="1"/>
        <v>41</v>
      </c>
      <c r="E46" s="36" t="s">
        <v>253</v>
      </c>
      <c r="F46" s="36" t="s">
        <v>399</v>
      </c>
      <c r="G46" s="36"/>
      <c r="H46" s="36"/>
      <c r="I46" s="36">
        <v>63</v>
      </c>
      <c r="J46" s="37">
        <v>39.4</v>
      </c>
      <c r="K46" s="299">
        <f t="shared" si="0"/>
        <v>3164.7000000000003</v>
      </c>
      <c r="L46" s="36"/>
      <c r="M46" s="39">
        <v>1.06</v>
      </c>
      <c r="N46" s="569"/>
      <c r="O46" s="569"/>
    </row>
    <row r="47" spans="4:18">
      <c r="D47" s="36">
        <f t="shared" si="1"/>
        <v>42</v>
      </c>
      <c r="E47" s="36" t="s">
        <v>253</v>
      </c>
      <c r="F47" s="36" t="s">
        <v>254</v>
      </c>
      <c r="G47" s="36"/>
      <c r="H47" s="36"/>
      <c r="I47" s="36">
        <v>63</v>
      </c>
      <c r="J47" s="300">
        <v>27.2</v>
      </c>
      <c r="K47" s="299">
        <f t="shared" si="0"/>
        <v>3191.9</v>
      </c>
      <c r="L47" s="36"/>
      <c r="M47" s="39">
        <v>1.06</v>
      </c>
      <c r="N47" s="569"/>
      <c r="O47" s="569"/>
    </row>
    <row r="48" spans="4:18">
      <c r="D48" s="36">
        <f t="shared" si="1"/>
        <v>43</v>
      </c>
      <c r="E48" s="36" t="s">
        <v>276</v>
      </c>
      <c r="F48" s="36" t="s">
        <v>700</v>
      </c>
      <c r="G48" s="36"/>
      <c r="H48" s="36"/>
      <c r="I48" s="36">
        <v>63</v>
      </c>
      <c r="J48" s="37">
        <v>988.3</v>
      </c>
      <c r="K48" s="299">
        <f t="shared" si="0"/>
        <v>4180.2</v>
      </c>
      <c r="L48" s="36"/>
      <c r="M48" s="39">
        <v>1.06</v>
      </c>
      <c r="N48" s="569"/>
      <c r="O48" s="569"/>
    </row>
    <row r="49" spans="4:15">
      <c r="D49" s="36">
        <f t="shared" si="1"/>
        <v>44</v>
      </c>
      <c r="E49" s="36" t="s">
        <v>700</v>
      </c>
      <c r="F49" s="36" t="s">
        <v>701</v>
      </c>
      <c r="G49" s="36"/>
      <c r="H49" s="36"/>
      <c r="I49" s="36">
        <v>63</v>
      </c>
      <c r="J49" s="37">
        <v>236.1</v>
      </c>
      <c r="K49" s="299">
        <f t="shared" si="0"/>
        <v>4416.3</v>
      </c>
      <c r="L49" s="36"/>
      <c r="M49" s="39">
        <v>1.04</v>
      </c>
      <c r="N49" s="569"/>
      <c r="O49" s="569"/>
    </row>
    <row r="50" spans="4:15">
      <c r="D50" s="36">
        <f t="shared" si="1"/>
        <v>45</v>
      </c>
      <c r="E50" s="36" t="s">
        <v>700</v>
      </c>
      <c r="F50" s="36" t="s">
        <v>702</v>
      </c>
      <c r="G50" s="36"/>
      <c r="H50" s="36"/>
      <c r="I50" s="36">
        <v>63</v>
      </c>
      <c r="J50" s="37">
        <v>527.1</v>
      </c>
      <c r="K50" s="299">
        <f t="shared" si="0"/>
        <v>4943.4000000000005</v>
      </c>
      <c r="L50" s="36"/>
      <c r="M50" s="39">
        <v>1.04</v>
      </c>
      <c r="N50" s="569"/>
      <c r="O50" s="569"/>
    </row>
    <row r="51" spans="4:15">
      <c r="D51" s="36">
        <f t="shared" si="1"/>
        <v>46</v>
      </c>
      <c r="E51" s="36" t="s">
        <v>702</v>
      </c>
      <c r="F51" s="36" t="s">
        <v>703</v>
      </c>
      <c r="G51" s="36" t="s">
        <v>688</v>
      </c>
      <c r="H51" s="36">
        <v>0.36</v>
      </c>
      <c r="I51" s="36">
        <v>63</v>
      </c>
      <c r="J51" s="37">
        <v>5</v>
      </c>
      <c r="K51" s="299">
        <f t="shared" si="0"/>
        <v>4948.4000000000005</v>
      </c>
      <c r="L51" s="36"/>
      <c r="M51" s="39">
        <v>1.06</v>
      </c>
      <c r="N51" s="569" t="s">
        <v>689</v>
      </c>
      <c r="O51" s="569"/>
    </row>
    <row r="52" spans="4:15">
      <c r="D52" s="36">
        <f t="shared" si="1"/>
        <v>47</v>
      </c>
      <c r="E52" s="36" t="s">
        <v>702</v>
      </c>
      <c r="F52" s="36" t="s">
        <v>703</v>
      </c>
      <c r="G52" s="36"/>
      <c r="H52" s="36"/>
      <c r="I52" s="36">
        <v>63</v>
      </c>
      <c r="J52" s="37">
        <v>222.6</v>
      </c>
      <c r="K52" s="299">
        <f t="shared" si="0"/>
        <v>5171.0000000000009</v>
      </c>
      <c r="L52" s="36"/>
      <c r="M52" s="39">
        <v>1.04</v>
      </c>
      <c r="N52" s="569"/>
      <c r="O52" s="569"/>
    </row>
    <row r="53" spans="4:15">
      <c r="D53" s="36">
        <f t="shared" si="1"/>
        <v>48</v>
      </c>
      <c r="E53" s="36" t="s">
        <v>703</v>
      </c>
      <c r="F53" s="36" t="s">
        <v>704</v>
      </c>
      <c r="G53" s="36"/>
      <c r="H53" s="36"/>
      <c r="I53" s="36">
        <v>63</v>
      </c>
      <c r="J53" s="37">
        <v>122.7</v>
      </c>
      <c r="K53" s="299">
        <f t="shared" si="0"/>
        <v>5293.7000000000007</v>
      </c>
      <c r="L53" s="36"/>
      <c r="M53" s="39">
        <v>1.06</v>
      </c>
      <c r="N53" s="569"/>
      <c r="O53" s="569"/>
    </row>
    <row r="54" spans="4:15">
      <c r="D54" s="36">
        <f t="shared" si="1"/>
        <v>49</v>
      </c>
      <c r="E54" s="36" t="s">
        <v>580</v>
      </c>
      <c r="F54" s="36" t="s">
        <v>463</v>
      </c>
      <c r="G54" s="36" t="s">
        <v>688</v>
      </c>
      <c r="H54" s="36">
        <v>0.36</v>
      </c>
      <c r="I54" s="36">
        <v>63</v>
      </c>
      <c r="J54" s="37">
        <v>3.8</v>
      </c>
      <c r="K54" s="299">
        <f t="shared" si="0"/>
        <v>5297.5000000000009</v>
      </c>
      <c r="L54" s="36"/>
      <c r="M54" s="39">
        <v>1.06</v>
      </c>
      <c r="N54" s="569" t="s">
        <v>689</v>
      </c>
      <c r="O54" s="569"/>
    </row>
    <row r="55" spans="4:15">
      <c r="D55" s="36">
        <f t="shared" si="1"/>
        <v>50</v>
      </c>
      <c r="E55" s="36" t="s">
        <v>580</v>
      </c>
      <c r="F55" s="36" t="s">
        <v>463</v>
      </c>
      <c r="G55" s="36"/>
      <c r="H55" s="36"/>
      <c r="I55" s="36">
        <v>63</v>
      </c>
      <c r="J55" s="37">
        <v>112.2</v>
      </c>
      <c r="K55" s="299">
        <f t="shared" si="0"/>
        <v>5409.7000000000007</v>
      </c>
      <c r="L55" s="36"/>
      <c r="M55" s="39">
        <v>1.06</v>
      </c>
      <c r="N55" s="569"/>
      <c r="O55" s="569"/>
    </row>
    <row r="56" spans="4:15">
      <c r="D56" s="36">
        <f t="shared" si="1"/>
        <v>51</v>
      </c>
      <c r="E56" s="36" t="s">
        <v>590</v>
      </c>
      <c r="F56" s="36" t="s">
        <v>705</v>
      </c>
      <c r="G56" s="36"/>
      <c r="H56" s="36"/>
      <c r="I56" s="36">
        <v>63</v>
      </c>
      <c r="J56" s="37">
        <v>34.6</v>
      </c>
      <c r="K56" s="299">
        <f t="shared" si="0"/>
        <v>5444.3000000000011</v>
      </c>
      <c r="L56" s="36"/>
      <c r="M56" s="36">
        <v>1.04</v>
      </c>
      <c r="N56" s="569"/>
      <c r="O56" s="569"/>
    </row>
    <row r="57" spans="4:15">
      <c r="D57" s="36">
        <f t="shared" si="1"/>
        <v>52</v>
      </c>
      <c r="E57" s="36" t="s">
        <v>590</v>
      </c>
      <c r="F57" s="36" t="s">
        <v>203</v>
      </c>
      <c r="G57" s="36"/>
      <c r="H57" s="36"/>
      <c r="I57" s="36">
        <v>63</v>
      </c>
      <c r="J57" s="37">
        <v>20</v>
      </c>
      <c r="K57" s="299">
        <f t="shared" si="0"/>
        <v>5464.3000000000011</v>
      </c>
      <c r="L57" s="36"/>
      <c r="M57" s="36">
        <v>1.03</v>
      </c>
      <c r="N57" s="569"/>
      <c r="O57" s="569"/>
    </row>
    <row r="58" spans="4:15">
      <c r="D58" s="36">
        <f t="shared" si="1"/>
        <v>53</v>
      </c>
      <c r="E58" s="36" t="s">
        <v>590</v>
      </c>
      <c r="F58" s="36" t="s">
        <v>706</v>
      </c>
      <c r="G58" s="36" t="s">
        <v>688</v>
      </c>
      <c r="H58" s="36">
        <v>0.36</v>
      </c>
      <c r="I58" s="36">
        <v>63</v>
      </c>
      <c r="J58" s="37">
        <v>4</v>
      </c>
      <c r="K58" s="299">
        <f t="shared" si="0"/>
        <v>5468.3000000000011</v>
      </c>
      <c r="L58" s="36"/>
      <c r="M58" s="36">
        <v>1.03</v>
      </c>
      <c r="N58" s="569" t="s">
        <v>689</v>
      </c>
      <c r="O58" s="569"/>
    </row>
    <row r="59" spans="4:15">
      <c r="D59" s="36">
        <f t="shared" si="1"/>
        <v>54</v>
      </c>
      <c r="E59" s="36" t="s">
        <v>590</v>
      </c>
      <c r="F59" s="36" t="s">
        <v>706</v>
      </c>
      <c r="G59" s="36"/>
      <c r="H59" s="36"/>
      <c r="I59" s="36">
        <v>63</v>
      </c>
      <c r="J59" s="37">
        <v>261.10000000000002</v>
      </c>
      <c r="K59" s="299">
        <f t="shared" si="0"/>
        <v>5729.4000000000015</v>
      </c>
      <c r="L59" s="36"/>
      <c r="M59" s="36">
        <v>1.03</v>
      </c>
      <c r="N59" s="569"/>
      <c r="O59" s="569"/>
    </row>
    <row r="60" spans="4:15">
      <c r="D60" s="36">
        <f t="shared" si="1"/>
        <v>55</v>
      </c>
      <c r="E60" s="36" t="s">
        <v>706</v>
      </c>
      <c r="F60" s="36" t="s">
        <v>707</v>
      </c>
      <c r="G60" s="36"/>
      <c r="H60" s="36"/>
      <c r="I60" s="36">
        <v>63</v>
      </c>
      <c r="J60" s="37">
        <v>28.7</v>
      </c>
      <c r="K60" s="299">
        <f t="shared" si="0"/>
        <v>5758.1000000000013</v>
      </c>
      <c r="L60" s="36"/>
      <c r="M60" s="36">
        <v>1.03</v>
      </c>
      <c r="N60" s="569"/>
      <c r="O60" s="569"/>
    </row>
    <row r="61" spans="4:15">
      <c r="D61" s="36">
        <f t="shared" si="1"/>
        <v>56</v>
      </c>
      <c r="E61" s="36" t="s">
        <v>583</v>
      </c>
      <c r="F61" s="36" t="s">
        <v>706</v>
      </c>
      <c r="G61" s="36"/>
      <c r="H61" s="36"/>
      <c r="I61" s="36">
        <v>63</v>
      </c>
      <c r="J61" s="37">
        <v>112.7</v>
      </c>
      <c r="K61" s="299">
        <f t="shared" si="0"/>
        <v>5870.8000000000011</v>
      </c>
      <c r="L61" s="36"/>
      <c r="M61" s="36">
        <v>1.03</v>
      </c>
      <c r="N61" s="569"/>
      <c r="O61" s="569"/>
    </row>
    <row r="62" spans="4:15">
      <c r="D62" s="36">
        <f t="shared" si="1"/>
        <v>57</v>
      </c>
      <c r="E62" s="36" t="s">
        <v>583</v>
      </c>
      <c r="F62" s="36" t="s">
        <v>708</v>
      </c>
      <c r="G62" s="36"/>
      <c r="H62" s="36"/>
      <c r="I62" s="36">
        <v>63</v>
      </c>
      <c r="J62" s="37">
        <v>104.2</v>
      </c>
      <c r="K62" s="299">
        <f t="shared" si="0"/>
        <v>5975.0000000000009</v>
      </c>
      <c r="L62" s="36"/>
      <c r="M62" s="36">
        <v>1.03</v>
      </c>
      <c r="N62" s="569"/>
      <c r="O62" s="569"/>
    </row>
    <row r="63" spans="4:15">
      <c r="D63" s="36">
        <f t="shared" si="1"/>
        <v>58</v>
      </c>
      <c r="E63" s="36" t="s">
        <v>583</v>
      </c>
      <c r="F63" s="36" t="s">
        <v>462</v>
      </c>
      <c r="G63" s="36"/>
      <c r="H63" s="36"/>
      <c r="I63" s="36">
        <v>63</v>
      </c>
      <c r="J63" s="37">
        <v>172.8</v>
      </c>
      <c r="K63" s="299">
        <f t="shared" si="0"/>
        <v>6147.8000000000011</v>
      </c>
      <c r="L63" s="36"/>
      <c r="M63" s="36">
        <v>1.03</v>
      </c>
      <c r="N63" s="569"/>
      <c r="O63" s="569"/>
    </row>
    <row r="64" spans="4:15">
      <c r="D64" s="36">
        <f t="shared" si="1"/>
        <v>59</v>
      </c>
      <c r="E64" s="36" t="s">
        <v>705</v>
      </c>
      <c r="F64" s="36" t="s">
        <v>709</v>
      </c>
      <c r="G64" s="36"/>
      <c r="H64" s="36"/>
      <c r="I64" s="36">
        <v>63</v>
      </c>
      <c r="J64" s="37">
        <v>52.1</v>
      </c>
      <c r="K64" s="299">
        <f t="shared" si="0"/>
        <v>6199.9000000000015</v>
      </c>
      <c r="L64" s="36"/>
      <c r="M64" s="36">
        <v>1.03</v>
      </c>
      <c r="N64" s="569"/>
      <c r="O64" s="569"/>
    </row>
    <row r="65" spans="4:23">
      <c r="D65" s="36">
        <f t="shared" si="1"/>
        <v>60</v>
      </c>
      <c r="E65" s="36" t="s">
        <v>709</v>
      </c>
      <c r="F65" s="36" t="s">
        <v>710</v>
      </c>
      <c r="G65" s="36" t="s">
        <v>199</v>
      </c>
      <c r="H65" s="36">
        <v>0.36</v>
      </c>
      <c r="I65" s="36">
        <v>63</v>
      </c>
      <c r="J65" s="37">
        <v>9.3000000000000007</v>
      </c>
      <c r="K65" s="299">
        <f t="shared" si="0"/>
        <v>6209.2000000000016</v>
      </c>
      <c r="L65" s="36"/>
      <c r="M65" s="36">
        <v>1.05</v>
      </c>
      <c r="N65" s="569"/>
      <c r="O65" s="569"/>
    </row>
    <row r="66" spans="4:23">
      <c r="D66" s="36">
        <f t="shared" si="1"/>
        <v>61</v>
      </c>
      <c r="E66" s="36" t="s">
        <v>709</v>
      </c>
      <c r="F66" s="36" t="s">
        <v>581</v>
      </c>
      <c r="G66" s="36"/>
      <c r="H66" s="36"/>
      <c r="I66" s="36">
        <v>63</v>
      </c>
      <c r="J66" s="37">
        <v>50</v>
      </c>
      <c r="K66" s="299">
        <f t="shared" si="0"/>
        <v>6259.2000000000016</v>
      </c>
      <c r="L66" s="36"/>
      <c r="M66" s="36">
        <v>1.03</v>
      </c>
      <c r="N66" s="569"/>
      <c r="O66" s="569"/>
    </row>
    <row r="67" spans="4:23">
      <c r="D67" s="36">
        <f t="shared" si="1"/>
        <v>62</v>
      </c>
      <c r="E67" s="36" t="s">
        <v>711</v>
      </c>
      <c r="F67" s="36" t="s">
        <v>570</v>
      </c>
      <c r="G67" s="36"/>
      <c r="H67" s="36"/>
      <c r="I67" s="36">
        <v>63</v>
      </c>
      <c r="J67" s="37">
        <v>90.1</v>
      </c>
      <c r="K67" s="299">
        <f t="shared" si="0"/>
        <v>6349.300000000002</v>
      </c>
      <c r="L67" s="36"/>
      <c r="M67" s="36">
        <v>1.03</v>
      </c>
      <c r="N67" s="36"/>
      <c r="O67" s="36"/>
    </row>
    <row r="68" spans="4:23">
      <c r="D68" s="36">
        <f t="shared" si="1"/>
        <v>63</v>
      </c>
      <c r="E68" s="36" t="s">
        <v>230</v>
      </c>
      <c r="F68" s="36" t="s">
        <v>217</v>
      </c>
      <c r="G68" s="36"/>
      <c r="H68" s="36"/>
      <c r="I68" s="36">
        <v>63</v>
      </c>
      <c r="J68" s="37">
        <v>96.8</v>
      </c>
      <c r="K68" s="299">
        <f t="shared" si="0"/>
        <v>6446.1000000000022</v>
      </c>
      <c r="L68" s="36"/>
      <c r="M68" s="36">
        <v>1.05</v>
      </c>
      <c r="N68" s="569"/>
      <c r="O68" s="569"/>
    </row>
    <row r="69" spans="4:23">
      <c r="D69" s="36">
        <f t="shared" si="1"/>
        <v>64</v>
      </c>
      <c r="E69" s="36" t="s">
        <v>191</v>
      </c>
      <c r="F69" s="36" t="s">
        <v>213</v>
      </c>
      <c r="G69" s="36"/>
      <c r="H69" s="36"/>
      <c r="I69" s="36">
        <v>63</v>
      </c>
      <c r="J69" s="37">
        <v>206.1</v>
      </c>
      <c r="K69" s="299">
        <f t="shared" si="0"/>
        <v>6652.2000000000025</v>
      </c>
      <c r="L69" s="36"/>
      <c r="M69" s="36">
        <v>1.03</v>
      </c>
      <c r="N69" s="569"/>
      <c r="O69" s="569"/>
    </row>
    <row r="70" spans="4:23">
      <c r="D70" s="36">
        <f t="shared" si="1"/>
        <v>65</v>
      </c>
      <c r="E70" s="36" t="s">
        <v>218</v>
      </c>
      <c r="F70" s="36" t="s">
        <v>215</v>
      </c>
      <c r="G70" s="36" t="s">
        <v>199</v>
      </c>
      <c r="H70" s="36">
        <v>0.36</v>
      </c>
      <c r="I70" s="36">
        <v>63</v>
      </c>
      <c r="J70" s="37">
        <v>162.6</v>
      </c>
      <c r="K70" s="299">
        <f t="shared" si="0"/>
        <v>6814.8000000000029</v>
      </c>
      <c r="L70" s="36"/>
      <c r="M70" s="36">
        <v>1.03</v>
      </c>
      <c r="N70" s="569"/>
      <c r="O70" s="569"/>
    </row>
    <row r="71" spans="4:23">
      <c r="D71" s="36">
        <f t="shared" si="1"/>
        <v>66</v>
      </c>
      <c r="E71" s="36" t="s">
        <v>218</v>
      </c>
      <c r="F71" s="36" t="s">
        <v>215</v>
      </c>
      <c r="G71" s="36"/>
      <c r="H71" s="36"/>
      <c r="I71" s="36">
        <v>63</v>
      </c>
      <c r="J71" s="37">
        <v>18</v>
      </c>
      <c r="K71" s="299">
        <f t="shared" si="0"/>
        <v>6832.8000000000029</v>
      </c>
      <c r="L71" s="36"/>
      <c r="M71" s="36">
        <v>1.06</v>
      </c>
      <c r="N71" s="569"/>
      <c r="O71" s="569"/>
    </row>
    <row r="72" spans="4:23">
      <c r="D72" s="36">
        <f t="shared" si="1"/>
        <v>67</v>
      </c>
      <c r="E72" s="36" t="s">
        <v>704</v>
      </c>
      <c r="F72" s="36" t="s">
        <v>712</v>
      </c>
      <c r="G72" s="36" t="s">
        <v>199</v>
      </c>
      <c r="H72" s="36">
        <v>0.36</v>
      </c>
      <c r="I72" s="36">
        <v>63</v>
      </c>
      <c r="J72" s="37">
        <v>92.9</v>
      </c>
      <c r="K72" s="299">
        <f t="shared" ref="K72:K111" si="2">+K71+J72</f>
        <v>6925.7000000000025</v>
      </c>
      <c r="L72" s="36"/>
      <c r="M72" s="36">
        <v>1.05</v>
      </c>
      <c r="N72" s="569"/>
      <c r="O72" s="569"/>
      <c r="Q72" s="36">
        <f t="shared" ref="Q72" si="3">+Q71+1</f>
        <v>1</v>
      </c>
      <c r="R72" s="36" t="s">
        <v>554</v>
      </c>
      <c r="S72" s="36" t="s">
        <v>553</v>
      </c>
      <c r="T72" s="36"/>
      <c r="U72" s="36"/>
      <c r="V72" s="36">
        <v>63</v>
      </c>
      <c r="W72" s="37">
        <v>354.5</v>
      </c>
    </row>
    <row r="73" spans="4:23">
      <c r="D73" s="36">
        <f t="shared" ref="D73:D111" si="4">+D72+1</f>
        <v>68</v>
      </c>
      <c r="E73" s="36" t="s">
        <v>712</v>
      </c>
      <c r="F73" s="36" t="s">
        <v>713</v>
      </c>
      <c r="G73" s="36"/>
      <c r="H73" s="36"/>
      <c r="I73" s="36">
        <v>63</v>
      </c>
      <c r="J73" s="37">
        <v>28.6</v>
      </c>
      <c r="K73" s="299">
        <f t="shared" si="2"/>
        <v>6954.3000000000029</v>
      </c>
      <c r="L73" s="36"/>
      <c r="M73" s="36">
        <v>1.03</v>
      </c>
      <c r="N73" s="569"/>
      <c r="O73" s="569"/>
    </row>
    <row r="74" spans="4:23">
      <c r="D74" s="36">
        <f t="shared" si="4"/>
        <v>69</v>
      </c>
      <c r="E74" s="36" t="s">
        <v>713</v>
      </c>
      <c r="F74" s="36" t="s">
        <v>566</v>
      </c>
      <c r="G74" s="36"/>
      <c r="H74" s="36"/>
      <c r="I74" s="36">
        <v>63</v>
      </c>
      <c r="J74" s="37">
        <v>20.9</v>
      </c>
      <c r="K74" s="299">
        <f t="shared" si="2"/>
        <v>6975.2000000000025</v>
      </c>
      <c r="L74" s="36"/>
      <c r="M74" s="36">
        <v>1.06</v>
      </c>
      <c r="N74" s="569"/>
      <c r="O74" s="569"/>
    </row>
    <row r="75" spans="4:23">
      <c r="D75" s="36">
        <f t="shared" si="4"/>
        <v>70</v>
      </c>
      <c r="E75" s="36" t="s">
        <v>713</v>
      </c>
      <c r="F75" s="36" t="s">
        <v>714</v>
      </c>
      <c r="G75" s="36"/>
      <c r="H75" s="36"/>
      <c r="I75" s="36">
        <v>63</v>
      </c>
      <c r="J75" s="37">
        <v>40.700000000000003</v>
      </c>
      <c r="K75" s="299">
        <f t="shared" si="2"/>
        <v>7015.9000000000024</v>
      </c>
      <c r="L75" s="36"/>
      <c r="M75" s="39">
        <v>1.06</v>
      </c>
      <c r="N75" s="569"/>
      <c r="O75" s="569"/>
    </row>
    <row r="76" spans="4:23">
      <c r="D76" s="36">
        <f t="shared" si="4"/>
        <v>71</v>
      </c>
      <c r="E76" s="36" t="s">
        <v>712</v>
      </c>
      <c r="F76" s="36" t="s">
        <v>703</v>
      </c>
      <c r="G76" s="36" t="s">
        <v>199</v>
      </c>
      <c r="H76" s="36">
        <v>0.36</v>
      </c>
      <c r="I76" s="36">
        <v>63</v>
      </c>
      <c r="J76" s="37">
        <v>93.1</v>
      </c>
      <c r="K76" s="299">
        <f t="shared" si="2"/>
        <v>7109.0000000000027</v>
      </c>
      <c r="L76" s="36"/>
      <c r="M76" s="36">
        <v>1.04</v>
      </c>
      <c r="N76" s="569"/>
      <c r="O76" s="569"/>
      <c r="R76" s="35">
        <f>187+90+90+11787.3</f>
        <v>12154.3</v>
      </c>
    </row>
    <row r="77" spans="4:23">
      <c r="D77" s="36">
        <f t="shared" si="4"/>
        <v>72</v>
      </c>
      <c r="E77" s="36" t="s">
        <v>712</v>
      </c>
      <c r="F77" s="36" t="s">
        <v>703</v>
      </c>
      <c r="G77" s="36"/>
      <c r="H77" s="36"/>
      <c r="I77" s="36">
        <v>63</v>
      </c>
      <c r="J77" s="37">
        <v>178.7</v>
      </c>
      <c r="K77" s="299">
        <f t="shared" si="2"/>
        <v>7287.7000000000025</v>
      </c>
      <c r="L77" s="36"/>
      <c r="M77" s="36">
        <v>1.03</v>
      </c>
      <c r="N77" s="569"/>
      <c r="O77" s="569"/>
    </row>
    <row r="78" spans="4:23">
      <c r="D78" s="36">
        <f t="shared" si="4"/>
        <v>73</v>
      </c>
      <c r="E78" s="36" t="s">
        <v>712</v>
      </c>
      <c r="F78" s="36" t="s">
        <v>703</v>
      </c>
      <c r="G78" s="36" t="s">
        <v>199</v>
      </c>
      <c r="H78" s="36">
        <v>0.36</v>
      </c>
      <c r="I78" s="36">
        <v>63</v>
      </c>
      <c r="J78" s="37">
        <v>95.4</v>
      </c>
      <c r="K78" s="299">
        <f t="shared" si="2"/>
        <v>7383.1000000000022</v>
      </c>
      <c r="L78" s="36"/>
      <c r="M78" s="36">
        <v>1.03</v>
      </c>
      <c r="N78" s="569"/>
      <c r="O78" s="569"/>
    </row>
    <row r="79" spans="4:23">
      <c r="D79" s="36">
        <f t="shared" si="4"/>
        <v>74</v>
      </c>
      <c r="E79" s="36" t="s">
        <v>712</v>
      </c>
      <c r="F79" s="36" t="s">
        <v>703</v>
      </c>
      <c r="G79" s="36"/>
      <c r="H79" s="36"/>
      <c r="I79" s="36">
        <v>63</v>
      </c>
      <c r="J79" s="37">
        <v>5.4</v>
      </c>
      <c r="K79" s="299">
        <f t="shared" si="2"/>
        <v>7388.5000000000018</v>
      </c>
      <c r="L79" s="36"/>
      <c r="M79" s="36">
        <v>1.03</v>
      </c>
      <c r="N79" s="569"/>
      <c r="O79" s="569"/>
    </row>
    <row r="80" spans="4:23">
      <c r="D80" s="36">
        <f t="shared" si="4"/>
        <v>75</v>
      </c>
      <c r="E80" s="36" t="s">
        <v>702</v>
      </c>
      <c r="F80" s="36" t="s">
        <v>554</v>
      </c>
      <c r="G80" s="36"/>
      <c r="H80" s="36"/>
      <c r="I80" s="36">
        <v>63</v>
      </c>
      <c r="J80" s="37">
        <v>151.4</v>
      </c>
      <c r="K80" s="299">
        <f t="shared" si="2"/>
        <v>7539.9000000000015</v>
      </c>
      <c r="L80" s="36"/>
      <c r="M80" s="36">
        <v>1.03</v>
      </c>
      <c r="N80" s="569"/>
      <c r="O80" s="569"/>
    </row>
    <row r="81" spans="4:15">
      <c r="D81" s="36">
        <f t="shared" si="4"/>
        <v>76</v>
      </c>
      <c r="E81" s="36" t="s">
        <v>687</v>
      </c>
      <c r="F81" s="36" t="s">
        <v>547</v>
      </c>
      <c r="G81" s="45"/>
      <c r="H81" s="36"/>
      <c r="I81" s="36">
        <v>63</v>
      </c>
      <c r="J81" s="37">
        <v>185.6</v>
      </c>
      <c r="K81" s="299">
        <f t="shared" si="2"/>
        <v>7725.5000000000018</v>
      </c>
      <c r="L81" s="36"/>
      <c r="M81" s="36">
        <v>1.03</v>
      </c>
      <c r="N81" s="569"/>
      <c r="O81" s="569"/>
    </row>
    <row r="82" spans="4:15">
      <c r="D82" s="36">
        <f t="shared" si="4"/>
        <v>77</v>
      </c>
      <c r="E82" s="36" t="s">
        <v>554</v>
      </c>
      <c r="F82" s="36" t="s">
        <v>553</v>
      </c>
      <c r="G82" s="36" t="s">
        <v>688</v>
      </c>
      <c r="H82" s="36">
        <v>0.36</v>
      </c>
      <c r="I82" s="36">
        <v>63</v>
      </c>
      <c r="J82" s="37">
        <v>3.3</v>
      </c>
      <c r="K82" s="299">
        <f t="shared" si="2"/>
        <v>7728.800000000002</v>
      </c>
      <c r="L82" s="36"/>
      <c r="M82" s="36">
        <v>1.03</v>
      </c>
      <c r="N82" s="569" t="s">
        <v>689</v>
      </c>
      <c r="O82" s="569"/>
    </row>
    <row r="83" spans="4:15">
      <c r="D83" s="36">
        <f t="shared" si="4"/>
        <v>78</v>
      </c>
      <c r="E83" s="36" t="s">
        <v>375</v>
      </c>
      <c r="F83" s="36" t="s">
        <v>349</v>
      </c>
      <c r="G83" s="36"/>
      <c r="H83" s="36"/>
      <c r="I83" s="36">
        <v>75</v>
      </c>
      <c r="J83" s="37">
        <v>42.5</v>
      </c>
      <c r="K83" s="299">
        <f t="shared" si="2"/>
        <v>7771.300000000002</v>
      </c>
      <c r="L83" s="36"/>
      <c r="M83" s="36">
        <v>1.03</v>
      </c>
      <c r="N83" s="569"/>
      <c r="O83" s="569"/>
    </row>
    <row r="84" spans="4:15">
      <c r="D84" s="36">
        <f t="shared" si="4"/>
        <v>79</v>
      </c>
      <c r="E84" s="36" t="s">
        <v>683</v>
      </c>
      <c r="F84" s="36" t="s">
        <v>684</v>
      </c>
      <c r="G84" s="36" t="s">
        <v>199</v>
      </c>
      <c r="H84" s="36">
        <v>0.38</v>
      </c>
      <c r="I84" s="36">
        <v>75</v>
      </c>
      <c r="J84" s="300">
        <v>58.4</v>
      </c>
      <c r="K84" s="299">
        <f t="shared" si="2"/>
        <v>7829.7000000000016</v>
      </c>
      <c r="L84" s="36"/>
      <c r="M84" s="36">
        <v>1.03</v>
      </c>
      <c r="N84" s="569"/>
      <c r="O84" s="569"/>
    </row>
    <row r="85" spans="4:15">
      <c r="D85" s="36">
        <f t="shared" si="4"/>
        <v>80</v>
      </c>
      <c r="E85" s="36" t="s">
        <v>684</v>
      </c>
      <c r="F85" s="36" t="s">
        <v>686</v>
      </c>
      <c r="G85" s="36"/>
      <c r="H85" s="36"/>
      <c r="I85" s="36">
        <v>75</v>
      </c>
      <c r="J85" s="300">
        <v>93.5</v>
      </c>
      <c r="K85" s="299">
        <f t="shared" si="2"/>
        <v>7923.2000000000016</v>
      </c>
      <c r="L85" s="36"/>
      <c r="M85" s="36">
        <v>1.05</v>
      </c>
      <c r="N85" s="569"/>
      <c r="O85" s="569"/>
    </row>
    <row r="86" spans="4:15">
      <c r="D86" s="36">
        <f t="shared" si="4"/>
        <v>81</v>
      </c>
      <c r="E86" s="36" t="s">
        <v>458</v>
      </c>
      <c r="F86" s="36" t="s">
        <v>460</v>
      </c>
      <c r="G86" s="36"/>
      <c r="H86" s="36"/>
      <c r="I86" s="36">
        <v>75</v>
      </c>
      <c r="J86" s="37">
        <v>23.2</v>
      </c>
      <c r="K86" s="299">
        <f t="shared" si="2"/>
        <v>7946.4000000000015</v>
      </c>
      <c r="L86" s="36"/>
      <c r="M86" s="36">
        <v>1.03</v>
      </c>
      <c r="N86" s="569"/>
      <c r="O86" s="569"/>
    </row>
    <row r="87" spans="4:15">
      <c r="D87" s="36">
        <f t="shared" si="4"/>
        <v>82</v>
      </c>
      <c r="E87" s="36" t="s">
        <v>683</v>
      </c>
      <c r="F87" s="36" t="s">
        <v>686</v>
      </c>
      <c r="G87" s="36" t="s">
        <v>688</v>
      </c>
      <c r="H87" s="36">
        <v>0.38</v>
      </c>
      <c r="I87" s="36">
        <v>75</v>
      </c>
      <c r="J87" s="37">
        <v>3.4</v>
      </c>
      <c r="K87" s="299">
        <f t="shared" si="2"/>
        <v>7949.8000000000011</v>
      </c>
      <c r="L87" s="36"/>
      <c r="M87" s="36">
        <v>1.03</v>
      </c>
      <c r="N87" s="569" t="s">
        <v>689</v>
      </c>
      <c r="O87" s="569"/>
    </row>
    <row r="88" spans="4:15">
      <c r="D88" s="36">
        <f t="shared" si="4"/>
        <v>83</v>
      </c>
      <c r="E88" s="36" t="s">
        <v>375</v>
      </c>
      <c r="F88" s="36" t="s">
        <v>628</v>
      </c>
      <c r="G88" s="36"/>
      <c r="H88" s="36"/>
      <c r="I88" s="36">
        <v>75</v>
      </c>
      <c r="J88" s="37">
        <v>68.2</v>
      </c>
      <c r="K88" s="299">
        <f t="shared" si="2"/>
        <v>8018.0000000000009</v>
      </c>
      <c r="L88" s="36"/>
      <c r="M88" s="36">
        <v>1.05</v>
      </c>
      <c r="N88" s="569"/>
      <c r="O88" s="569"/>
    </row>
    <row r="89" spans="4:15">
      <c r="D89" s="36">
        <f t="shared" si="4"/>
        <v>84</v>
      </c>
      <c r="E89" s="36" t="s">
        <v>375</v>
      </c>
      <c r="F89" s="36" t="s">
        <v>349</v>
      </c>
      <c r="G89" s="36" t="s">
        <v>688</v>
      </c>
      <c r="H89" s="36">
        <v>0.38</v>
      </c>
      <c r="I89" s="36">
        <v>75</v>
      </c>
      <c r="J89" s="37">
        <v>3.3</v>
      </c>
      <c r="K89" s="299">
        <f t="shared" si="2"/>
        <v>8021.3000000000011</v>
      </c>
      <c r="L89" s="36"/>
      <c r="M89" s="36">
        <v>1.03</v>
      </c>
      <c r="N89" s="569" t="s">
        <v>689</v>
      </c>
      <c r="O89" s="569"/>
    </row>
    <row r="90" spans="4:15">
      <c r="D90" s="36">
        <f t="shared" si="4"/>
        <v>85</v>
      </c>
      <c r="E90" s="36" t="s">
        <v>375</v>
      </c>
      <c r="F90" s="36" t="s">
        <v>349</v>
      </c>
      <c r="G90" s="36"/>
      <c r="H90" s="36"/>
      <c r="I90" s="36">
        <v>75</v>
      </c>
      <c r="J90" s="37">
        <v>100</v>
      </c>
      <c r="K90" s="299">
        <f t="shared" si="2"/>
        <v>8121.3000000000011</v>
      </c>
      <c r="L90" s="36"/>
      <c r="M90" s="36">
        <v>1.03</v>
      </c>
      <c r="N90" s="569"/>
      <c r="O90" s="569"/>
    </row>
    <row r="91" spans="4:15">
      <c r="D91" s="36">
        <f t="shared" si="4"/>
        <v>86</v>
      </c>
      <c r="E91" s="36" t="s">
        <v>230</v>
      </c>
      <c r="F91" s="36" t="s">
        <v>590</v>
      </c>
      <c r="G91" s="36"/>
      <c r="H91" s="36"/>
      <c r="I91" s="36">
        <v>75</v>
      </c>
      <c r="J91" s="37">
        <v>168.7</v>
      </c>
      <c r="K91" s="299">
        <f t="shared" si="2"/>
        <v>8290.0000000000018</v>
      </c>
      <c r="L91" s="36"/>
      <c r="M91" s="36">
        <v>1.06</v>
      </c>
      <c r="N91" s="569"/>
      <c r="O91" s="569"/>
    </row>
    <row r="92" spans="4:15">
      <c r="D92" s="36">
        <f t="shared" si="4"/>
        <v>87</v>
      </c>
      <c r="E92" s="36" t="s">
        <v>230</v>
      </c>
      <c r="F92" s="36" t="s">
        <v>217</v>
      </c>
      <c r="G92" s="36" t="s">
        <v>688</v>
      </c>
      <c r="H92" s="36">
        <v>0.38</v>
      </c>
      <c r="I92" s="36">
        <v>75</v>
      </c>
      <c r="J92" s="37">
        <v>4.5</v>
      </c>
      <c r="K92" s="299">
        <f t="shared" si="2"/>
        <v>8294.5000000000018</v>
      </c>
      <c r="L92" s="36"/>
      <c r="M92" s="36">
        <v>1.05</v>
      </c>
      <c r="N92" s="569" t="s">
        <v>689</v>
      </c>
      <c r="O92" s="569"/>
    </row>
    <row r="93" spans="4:15">
      <c r="D93" s="36">
        <f t="shared" si="4"/>
        <v>88</v>
      </c>
      <c r="E93" s="36" t="s">
        <v>715</v>
      </c>
      <c r="F93" s="36" t="s">
        <v>460</v>
      </c>
      <c r="G93" s="36"/>
      <c r="H93" s="36"/>
      <c r="I93" s="36">
        <v>75</v>
      </c>
      <c r="J93" s="37">
        <v>386.3</v>
      </c>
      <c r="K93" s="299">
        <f t="shared" si="2"/>
        <v>8680.8000000000011</v>
      </c>
      <c r="L93" s="36"/>
      <c r="M93" s="36">
        <v>1.03</v>
      </c>
      <c r="N93" s="569"/>
      <c r="O93" s="569"/>
    </row>
    <row r="94" spans="4:15">
      <c r="D94" s="36">
        <f t="shared" si="4"/>
        <v>89</v>
      </c>
      <c r="E94" s="36" t="s">
        <v>314</v>
      </c>
      <c r="F94" s="36" t="s">
        <v>375</v>
      </c>
      <c r="G94" s="36"/>
      <c r="H94" s="36"/>
      <c r="I94" s="36">
        <v>90</v>
      </c>
      <c r="J94" s="37">
        <v>118.4</v>
      </c>
      <c r="K94" s="299">
        <f t="shared" si="2"/>
        <v>8799.2000000000007</v>
      </c>
      <c r="L94" s="36"/>
      <c r="M94" s="36">
        <v>1.06</v>
      </c>
      <c r="N94" s="569"/>
      <c r="O94" s="569"/>
    </row>
    <row r="95" spans="4:15">
      <c r="D95" s="36">
        <f t="shared" si="4"/>
        <v>90</v>
      </c>
      <c r="E95" s="36" t="s">
        <v>314</v>
      </c>
      <c r="F95" s="36" t="s">
        <v>355</v>
      </c>
      <c r="G95" s="36"/>
      <c r="H95" s="36"/>
      <c r="I95" s="36">
        <v>90</v>
      </c>
      <c r="J95" s="37">
        <v>113.2</v>
      </c>
      <c r="K95" s="299">
        <f t="shared" si="2"/>
        <v>8912.4000000000015</v>
      </c>
      <c r="L95" s="36"/>
      <c r="M95" s="39">
        <v>1.06</v>
      </c>
      <c r="N95" s="569"/>
      <c r="O95" s="569"/>
    </row>
    <row r="96" spans="4:15">
      <c r="D96" s="36">
        <f t="shared" si="4"/>
        <v>91</v>
      </c>
      <c r="E96" s="36" t="s">
        <v>686</v>
      </c>
      <c r="F96" s="36" t="s">
        <v>716</v>
      </c>
      <c r="G96" s="36" t="s">
        <v>199</v>
      </c>
      <c r="H96" s="36">
        <v>0.39</v>
      </c>
      <c r="I96" s="36">
        <v>90</v>
      </c>
      <c r="J96" s="37">
        <v>37.6</v>
      </c>
      <c r="K96" s="299">
        <f t="shared" si="2"/>
        <v>8950.0000000000018</v>
      </c>
      <c r="L96" s="36"/>
      <c r="M96" s="36">
        <v>1.03</v>
      </c>
      <c r="N96" s="569"/>
      <c r="O96" s="569"/>
    </row>
    <row r="97" spans="4:15">
      <c r="D97" s="36">
        <f t="shared" si="4"/>
        <v>92</v>
      </c>
      <c r="E97" s="36" t="s">
        <v>686</v>
      </c>
      <c r="F97" s="36" t="s">
        <v>206</v>
      </c>
      <c r="G97" s="36"/>
      <c r="H97" s="36"/>
      <c r="I97" s="36">
        <v>90</v>
      </c>
      <c r="J97" s="37">
        <v>43.4</v>
      </c>
      <c r="K97" s="299">
        <f t="shared" si="2"/>
        <v>8993.4000000000015</v>
      </c>
      <c r="L97" s="36"/>
      <c r="M97" s="36">
        <v>1.03</v>
      </c>
      <c r="N97" s="569"/>
      <c r="O97" s="569"/>
    </row>
    <row r="98" spans="4:15">
      <c r="D98" s="36">
        <f t="shared" si="4"/>
        <v>93</v>
      </c>
      <c r="E98" s="36" t="s">
        <v>704</v>
      </c>
      <c r="F98" s="36" t="s">
        <v>715</v>
      </c>
      <c r="G98" s="36"/>
      <c r="H98" s="36"/>
      <c r="I98" s="36">
        <v>110</v>
      </c>
      <c r="J98" s="37">
        <v>207.1</v>
      </c>
      <c r="K98" s="299">
        <f t="shared" si="2"/>
        <v>9200.5000000000018</v>
      </c>
      <c r="L98" s="36"/>
      <c r="M98" s="36">
        <v>1.03</v>
      </c>
      <c r="N98" s="569"/>
      <c r="O98" s="569"/>
    </row>
    <row r="99" spans="4:15">
      <c r="D99" s="36">
        <f t="shared" si="4"/>
        <v>94</v>
      </c>
      <c r="E99" s="36" t="s">
        <v>715</v>
      </c>
      <c r="F99" s="36" t="s">
        <v>580</v>
      </c>
      <c r="G99" s="36" t="s">
        <v>688</v>
      </c>
      <c r="H99" s="36">
        <v>0.42</v>
      </c>
      <c r="I99" s="36">
        <v>125</v>
      </c>
      <c r="J99" s="37">
        <v>5.5</v>
      </c>
      <c r="K99" s="299">
        <f t="shared" si="2"/>
        <v>9206.0000000000018</v>
      </c>
      <c r="L99" s="36"/>
      <c r="M99" s="36">
        <v>1.03</v>
      </c>
      <c r="N99" s="569" t="s">
        <v>689</v>
      </c>
      <c r="O99" s="569"/>
    </row>
    <row r="100" spans="4:15">
      <c r="D100" s="36">
        <f t="shared" si="4"/>
        <v>95</v>
      </c>
      <c r="E100" s="36" t="s">
        <v>715</v>
      </c>
      <c r="F100" s="36" t="s">
        <v>580</v>
      </c>
      <c r="G100" s="36"/>
      <c r="H100" s="36"/>
      <c r="I100" s="36">
        <v>125</v>
      </c>
      <c r="J100" s="37">
        <v>12</v>
      </c>
      <c r="K100" s="299">
        <f t="shared" si="2"/>
        <v>9218.0000000000018</v>
      </c>
      <c r="L100" s="36"/>
      <c r="M100" s="36">
        <v>1.03</v>
      </c>
      <c r="N100" s="569"/>
      <c r="O100" s="569"/>
    </row>
    <row r="101" spans="4:15">
      <c r="D101" s="36">
        <f t="shared" si="4"/>
        <v>96</v>
      </c>
      <c r="E101" s="36" t="s">
        <v>580</v>
      </c>
      <c r="F101" s="36" t="s">
        <v>218</v>
      </c>
      <c r="G101" s="36"/>
      <c r="H101" s="36"/>
      <c r="I101" s="36">
        <v>125</v>
      </c>
      <c r="J101" s="37">
        <v>195.1</v>
      </c>
      <c r="K101" s="299">
        <f t="shared" si="2"/>
        <v>9413.1000000000022</v>
      </c>
      <c r="L101" s="36"/>
      <c r="M101" s="36">
        <v>1.03</v>
      </c>
      <c r="N101" s="569"/>
      <c r="O101" s="569"/>
    </row>
    <row r="102" spans="4:15">
      <c r="D102" s="36">
        <f t="shared" si="4"/>
        <v>97</v>
      </c>
      <c r="E102" s="36" t="s">
        <v>218</v>
      </c>
      <c r="F102" s="36" t="s">
        <v>717</v>
      </c>
      <c r="G102" s="36"/>
      <c r="H102" s="36"/>
      <c r="I102" s="36">
        <v>140</v>
      </c>
      <c r="J102" s="37">
        <v>121.5</v>
      </c>
      <c r="K102" s="299">
        <f t="shared" si="2"/>
        <v>9534.6000000000022</v>
      </c>
      <c r="L102" s="36"/>
      <c r="M102" s="36">
        <v>1.03</v>
      </c>
      <c r="N102" s="569"/>
      <c r="O102" s="569"/>
    </row>
    <row r="103" spans="4:15">
      <c r="D103" s="36">
        <f t="shared" si="4"/>
        <v>98</v>
      </c>
      <c r="E103" s="36" t="s">
        <v>717</v>
      </c>
      <c r="F103" s="36" t="s">
        <v>191</v>
      </c>
      <c r="G103" s="36"/>
      <c r="H103" s="36"/>
      <c r="I103" s="36">
        <v>140</v>
      </c>
      <c r="J103" s="37">
        <v>43.7</v>
      </c>
      <c r="K103" s="299">
        <f t="shared" si="2"/>
        <v>9578.3000000000029</v>
      </c>
      <c r="L103" s="36"/>
      <c r="M103" s="36">
        <v>1.03</v>
      </c>
      <c r="N103" s="569"/>
      <c r="O103" s="569"/>
    </row>
    <row r="104" spans="4:15">
      <c r="D104" s="36">
        <f t="shared" si="4"/>
        <v>99</v>
      </c>
      <c r="E104" s="36" t="s">
        <v>191</v>
      </c>
      <c r="F104" s="36" t="s">
        <v>230</v>
      </c>
      <c r="G104" s="36"/>
      <c r="H104" s="36"/>
      <c r="I104" s="36">
        <v>140</v>
      </c>
      <c r="J104" s="37">
        <v>132</v>
      </c>
      <c r="K104" s="299">
        <f t="shared" si="2"/>
        <v>9710.3000000000029</v>
      </c>
      <c r="L104" s="36"/>
      <c r="M104" s="36">
        <v>1.05</v>
      </c>
      <c r="N104" s="569"/>
      <c r="O104" s="569"/>
    </row>
    <row r="105" spans="4:15">
      <c r="D105" s="36">
        <f t="shared" si="4"/>
        <v>100</v>
      </c>
      <c r="E105" s="36" t="s">
        <v>198</v>
      </c>
      <c r="F105" s="36" t="s">
        <v>717</v>
      </c>
      <c r="G105" s="36"/>
      <c r="H105" s="36"/>
      <c r="I105" s="36">
        <v>140</v>
      </c>
      <c r="J105" s="37">
        <v>1374.1</v>
      </c>
      <c r="K105" s="299">
        <f t="shared" si="2"/>
        <v>11084.400000000003</v>
      </c>
      <c r="L105" s="36"/>
      <c r="M105" s="36">
        <v>1.03</v>
      </c>
      <c r="N105" s="569"/>
      <c r="O105" s="569"/>
    </row>
    <row r="106" spans="4:15">
      <c r="D106" s="36">
        <f t="shared" si="4"/>
        <v>101</v>
      </c>
      <c r="E106" s="36" t="s">
        <v>198</v>
      </c>
      <c r="F106" s="36" t="s">
        <v>717</v>
      </c>
      <c r="G106" s="36" t="s">
        <v>688</v>
      </c>
      <c r="H106" s="36">
        <v>0.44</v>
      </c>
      <c r="I106" s="36">
        <v>140</v>
      </c>
      <c r="J106" s="37">
        <v>4.3</v>
      </c>
      <c r="K106" s="299">
        <f t="shared" si="2"/>
        <v>11088.700000000003</v>
      </c>
      <c r="L106" s="36"/>
      <c r="M106" s="36">
        <v>1.03</v>
      </c>
      <c r="N106" s="569" t="s">
        <v>689</v>
      </c>
      <c r="O106" s="569"/>
    </row>
    <row r="107" spans="4:15">
      <c r="D107" s="36">
        <f t="shared" si="4"/>
        <v>102</v>
      </c>
      <c r="E107" s="36" t="s">
        <v>355</v>
      </c>
      <c r="F107" s="36" t="s">
        <v>262</v>
      </c>
      <c r="G107" s="36"/>
      <c r="H107" s="36"/>
      <c r="I107" s="36">
        <v>160</v>
      </c>
      <c r="J107" s="37">
        <v>486</v>
      </c>
      <c r="K107" s="299">
        <f t="shared" si="2"/>
        <v>11574.700000000003</v>
      </c>
      <c r="L107" s="36"/>
      <c r="M107" s="36">
        <v>1.05</v>
      </c>
      <c r="N107" s="569"/>
      <c r="O107" s="569"/>
    </row>
    <row r="108" spans="4:15">
      <c r="D108" s="36">
        <f t="shared" si="4"/>
        <v>103</v>
      </c>
      <c r="E108" s="36" t="s">
        <v>262</v>
      </c>
      <c r="F108" s="36" t="s">
        <v>253</v>
      </c>
      <c r="G108" s="36" t="s">
        <v>688</v>
      </c>
      <c r="H108" s="36">
        <v>0.46</v>
      </c>
      <c r="I108" s="36">
        <v>160</v>
      </c>
      <c r="J108" s="37">
        <v>7.3</v>
      </c>
      <c r="K108" s="299">
        <f t="shared" si="2"/>
        <v>11582.000000000002</v>
      </c>
      <c r="L108" s="36"/>
      <c r="M108" s="36">
        <v>1.04</v>
      </c>
      <c r="N108" s="569" t="s">
        <v>689</v>
      </c>
      <c r="O108" s="569"/>
    </row>
    <row r="109" spans="4:15">
      <c r="D109" s="36">
        <f t="shared" si="4"/>
        <v>104</v>
      </c>
      <c r="E109" s="36" t="s">
        <v>262</v>
      </c>
      <c r="F109" s="36" t="s">
        <v>253</v>
      </c>
      <c r="G109" s="36"/>
      <c r="H109" s="36"/>
      <c r="I109" s="36">
        <v>160</v>
      </c>
      <c r="J109" s="37">
        <v>129.30000000000001</v>
      </c>
      <c r="K109" s="299">
        <f t="shared" si="2"/>
        <v>11711.300000000001</v>
      </c>
      <c r="L109" s="36"/>
      <c r="M109" s="36">
        <v>1.03</v>
      </c>
      <c r="N109" s="569"/>
      <c r="O109" s="569"/>
    </row>
    <row r="110" spans="4:15">
      <c r="D110" s="36">
        <f t="shared" si="4"/>
        <v>105</v>
      </c>
      <c r="E110" s="36" t="s">
        <v>253</v>
      </c>
      <c r="F110" s="36" t="s">
        <v>198</v>
      </c>
      <c r="G110" s="36" t="s">
        <v>688</v>
      </c>
      <c r="H110" s="36">
        <v>0.46</v>
      </c>
      <c r="I110" s="36">
        <v>160</v>
      </c>
      <c r="J110" s="37">
        <v>5.4</v>
      </c>
      <c r="K110" s="299">
        <f t="shared" si="2"/>
        <v>11716.7</v>
      </c>
      <c r="L110" s="36"/>
      <c r="M110" s="36">
        <v>1.03</v>
      </c>
      <c r="N110" s="569" t="s">
        <v>689</v>
      </c>
      <c r="O110" s="569"/>
    </row>
    <row r="111" spans="4:15">
      <c r="D111" s="36">
        <f t="shared" si="4"/>
        <v>106</v>
      </c>
      <c r="E111" s="36" t="s">
        <v>253</v>
      </c>
      <c r="F111" s="36" t="s">
        <v>198</v>
      </c>
      <c r="G111" s="36"/>
      <c r="H111" s="36"/>
      <c r="I111" s="36">
        <v>160</v>
      </c>
      <c r="J111" s="37">
        <v>438.2</v>
      </c>
      <c r="K111" s="299">
        <f t="shared" si="2"/>
        <v>12154.900000000001</v>
      </c>
      <c r="L111" s="36"/>
      <c r="M111" s="36">
        <v>1.03</v>
      </c>
      <c r="N111" s="569"/>
      <c r="O111" s="569"/>
    </row>
    <row r="112" spans="4:15">
      <c r="D112" s="36"/>
      <c r="E112" s="36"/>
      <c r="F112" s="36"/>
      <c r="G112" s="36"/>
      <c r="H112" s="36"/>
      <c r="I112" s="36"/>
      <c r="J112" s="37"/>
      <c r="K112" s="299"/>
      <c r="L112" s="36"/>
      <c r="M112" s="36"/>
      <c r="N112" s="570"/>
      <c r="O112" s="573"/>
    </row>
    <row r="113" spans="4:16">
      <c r="D113" s="36">
        <v>63</v>
      </c>
      <c r="E113" s="36">
        <v>75</v>
      </c>
      <c r="F113" s="36">
        <v>90</v>
      </c>
      <c r="G113" s="36">
        <v>110</v>
      </c>
      <c r="H113" s="36">
        <v>125</v>
      </c>
      <c r="I113" s="36">
        <v>140</v>
      </c>
      <c r="J113" s="36">
        <v>160</v>
      </c>
      <c r="K113" s="299"/>
      <c r="L113" s="36"/>
      <c r="M113" s="36"/>
      <c r="N113" s="569"/>
      <c r="O113" s="569"/>
    </row>
    <row r="114" spans="4:16">
      <c r="D114" s="36">
        <f>7403.7-42.5</f>
        <v>7361.2</v>
      </c>
      <c r="E114" s="36">
        <f>909.5+42.5</f>
        <v>952</v>
      </c>
      <c r="F114" s="36">
        <v>312.60000000000002</v>
      </c>
      <c r="G114" s="36">
        <v>207.1</v>
      </c>
      <c r="H114" s="36">
        <v>212.6</v>
      </c>
      <c r="I114" s="36">
        <v>1675.6</v>
      </c>
      <c r="J114" s="36">
        <v>1066.2</v>
      </c>
      <c r="K114" s="299">
        <v>12154.9</v>
      </c>
      <c r="L114" s="36"/>
      <c r="M114" s="36"/>
      <c r="N114" s="569"/>
      <c r="O114" s="569"/>
    </row>
    <row r="115" spans="4:16" ht="18.75">
      <c r="D115" s="301">
        <v>16122</v>
      </c>
      <c r="E115" s="301">
        <v>571</v>
      </c>
      <c r="F115" s="302">
        <v>1238</v>
      </c>
      <c r="G115" s="302">
        <v>1614</v>
      </c>
      <c r="H115" s="302"/>
      <c r="I115" s="302"/>
      <c r="J115" s="302"/>
      <c r="K115" s="303">
        <v>19854</v>
      </c>
      <c r="L115" s="302"/>
      <c r="M115" s="36"/>
      <c r="N115" s="569"/>
      <c r="O115" s="569"/>
    </row>
    <row r="116" spans="4:16" ht="15.75">
      <c r="D116" s="41" t="s">
        <v>365</v>
      </c>
      <c r="E116" s="38"/>
      <c r="F116" s="38"/>
      <c r="G116" s="38"/>
      <c r="H116" s="38" t="s">
        <v>366</v>
      </c>
      <c r="I116" s="38"/>
      <c r="J116" s="38"/>
      <c r="K116" s="304" t="s">
        <v>367</v>
      </c>
      <c r="L116" s="38"/>
      <c r="M116" s="36"/>
      <c r="N116" s="38"/>
      <c r="O116" s="38"/>
      <c r="P116" s="38"/>
    </row>
    <row r="117" spans="4:16" ht="15.75">
      <c r="D117" s="41" t="s">
        <v>368</v>
      </c>
      <c r="E117" s="38"/>
      <c r="F117" s="569"/>
      <c r="G117" s="569"/>
      <c r="H117" s="38" t="s">
        <v>368</v>
      </c>
      <c r="I117" s="569"/>
      <c r="J117" s="569"/>
      <c r="K117" s="304" t="s">
        <v>368</v>
      </c>
      <c r="L117" s="38"/>
      <c r="M117" s="591"/>
      <c r="N117" s="592"/>
      <c r="O117" s="592"/>
      <c r="P117" s="593"/>
    </row>
    <row r="118" spans="4:16" ht="15.75">
      <c r="D118" s="41" t="s">
        <v>369</v>
      </c>
      <c r="E118" s="569"/>
      <c r="F118" s="569"/>
      <c r="G118" s="569"/>
      <c r="H118" s="38" t="s">
        <v>369</v>
      </c>
      <c r="I118" s="569"/>
      <c r="J118" s="569"/>
      <c r="K118" s="304" t="s">
        <v>369</v>
      </c>
      <c r="L118" s="38"/>
      <c r="M118" s="594"/>
      <c r="N118" s="595"/>
      <c r="O118" s="595"/>
      <c r="P118" s="596"/>
    </row>
    <row r="119" spans="4:16" ht="15.75">
      <c r="D119" s="41" t="s">
        <v>370</v>
      </c>
      <c r="E119" s="38"/>
      <c r="F119" s="569"/>
      <c r="G119" s="569"/>
      <c r="H119" s="38" t="s">
        <v>370</v>
      </c>
      <c r="I119" s="569"/>
      <c r="J119" s="569"/>
      <c r="K119" s="304" t="s">
        <v>370</v>
      </c>
      <c r="L119" s="38"/>
      <c r="M119" s="597"/>
      <c r="N119" s="598"/>
      <c r="O119" s="598"/>
      <c r="P119" s="599"/>
    </row>
    <row r="120" spans="4:16">
      <c r="M120" s="36"/>
    </row>
    <row r="121" spans="4:16">
      <c r="M121" s="36"/>
    </row>
    <row r="122" spans="4:16">
      <c r="D122" s="35">
        <f>+SUMIF($I$6:$I$111,D113,$J$6:$J$111)</f>
        <v>7728.800000000002</v>
      </c>
      <c r="E122" s="35">
        <f t="shared" ref="E122:J122" si="5">+SUMIF($I$6:$I$111,E113,$J$6:$J$111)</f>
        <v>952</v>
      </c>
      <c r="F122" s="35">
        <f t="shared" si="5"/>
        <v>312.60000000000002</v>
      </c>
      <c r="G122" s="35">
        <f t="shared" si="5"/>
        <v>207.1</v>
      </c>
      <c r="H122" s="35">
        <f t="shared" si="5"/>
        <v>212.6</v>
      </c>
      <c r="I122" s="35">
        <f t="shared" si="5"/>
        <v>1675.6</v>
      </c>
      <c r="J122" s="35">
        <f t="shared" si="5"/>
        <v>1066.2</v>
      </c>
      <c r="M122" s="36"/>
    </row>
    <row r="123" spans="4:16">
      <c r="M123" s="36"/>
    </row>
    <row r="124" spans="4:16">
      <c r="M124" s="36"/>
    </row>
    <row r="125" spans="4:16">
      <c r="M125" s="36"/>
    </row>
    <row r="126" spans="4:16">
      <c r="M126" s="36"/>
    </row>
    <row r="127" spans="4:16">
      <c r="M127" s="36"/>
    </row>
    <row r="128" spans="4:16">
      <c r="M128" s="36"/>
    </row>
    <row r="129" spans="13:13">
      <c r="M129" s="36"/>
    </row>
    <row r="130" spans="13:13">
      <c r="M130" s="36"/>
    </row>
    <row r="131" spans="13:13">
      <c r="M131" s="36"/>
    </row>
    <row r="132" spans="13:13">
      <c r="M132" s="36"/>
    </row>
    <row r="133" spans="13:13">
      <c r="M133" s="36"/>
    </row>
    <row r="134" spans="13:13">
      <c r="M134" s="36"/>
    </row>
    <row r="135" spans="13:13">
      <c r="M135" s="36"/>
    </row>
    <row r="136" spans="13:13">
      <c r="M136" s="36"/>
    </row>
    <row r="137" spans="13:13">
      <c r="M137" s="36"/>
    </row>
    <row r="138" spans="13:13">
      <c r="M138" s="36"/>
    </row>
    <row r="139" spans="13:13">
      <c r="M139" s="36"/>
    </row>
    <row r="140" spans="13:13">
      <c r="M140" s="36"/>
    </row>
    <row r="141" spans="13:13">
      <c r="M141" s="36"/>
    </row>
    <row r="142" spans="13:13">
      <c r="M142" s="36"/>
    </row>
    <row r="143" spans="13:13">
      <c r="M143" s="36"/>
    </row>
    <row r="144" spans="13:13">
      <c r="M144" s="36"/>
    </row>
    <row r="145" spans="13:13">
      <c r="M145" s="36"/>
    </row>
  </sheetData>
  <autoFilter ref="D5:W111">
    <filterColumn colId="10" showButton="0"/>
  </autoFilter>
  <mergeCells count="116">
    <mergeCell ref="D4:O4"/>
    <mergeCell ref="N5:O5"/>
    <mergeCell ref="N6:O6"/>
    <mergeCell ref="N7:O7"/>
    <mergeCell ref="N8:O8"/>
    <mergeCell ref="N9:O9"/>
    <mergeCell ref="N10:O10"/>
    <mergeCell ref="N11:O11"/>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N61:O61"/>
    <mergeCell ref="N62:O62"/>
    <mergeCell ref="N63:O63"/>
    <mergeCell ref="N64:O64"/>
    <mergeCell ref="N65:O65"/>
    <mergeCell ref="N66:O66"/>
    <mergeCell ref="N68:O68"/>
    <mergeCell ref="N69:O69"/>
    <mergeCell ref="N70:O70"/>
    <mergeCell ref="N71:O71"/>
    <mergeCell ref="N72:O72"/>
    <mergeCell ref="N73:O73"/>
    <mergeCell ref="N74:O74"/>
    <mergeCell ref="N75:O75"/>
    <mergeCell ref="N76:O76"/>
    <mergeCell ref="N77:O77"/>
    <mergeCell ref="N78:O78"/>
    <mergeCell ref="N79:O79"/>
    <mergeCell ref="N80:O80"/>
    <mergeCell ref="N81:O81"/>
    <mergeCell ref="N82:O82"/>
    <mergeCell ref="N83:O83"/>
    <mergeCell ref="N84:O84"/>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15:O115"/>
    <mergeCell ref="F117:G117"/>
    <mergeCell ref="I117:J117"/>
    <mergeCell ref="E118:G118"/>
    <mergeCell ref="I118:J118"/>
    <mergeCell ref="F119:G119"/>
    <mergeCell ref="I119:J119"/>
    <mergeCell ref="M117:P119"/>
    <mergeCell ref="N106:O106"/>
    <mergeCell ref="N107:O107"/>
    <mergeCell ref="N108:O108"/>
    <mergeCell ref="N109:O109"/>
    <mergeCell ref="N110:O110"/>
    <mergeCell ref="N111:O111"/>
    <mergeCell ref="N112:O112"/>
    <mergeCell ref="N113:O113"/>
    <mergeCell ref="N114:O114"/>
  </mergeCells>
  <pageMargins left="0.25" right="0.25" top="0.75" bottom="0.75" header="0.3" footer="0.3"/>
  <pageSetup paperSize="9" scale="94"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94"/>
  <sheetViews>
    <sheetView zoomScale="106" zoomScaleNormal="106" workbookViewId="0">
      <selection activeCell="F14" sqref="F14:F181"/>
    </sheetView>
  </sheetViews>
  <sheetFormatPr defaultRowHeight="15"/>
  <cols>
    <col min="1" max="4" width="9.140625" style="455"/>
    <col min="5" max="5" width="14.5703125" style="455" hidden="1" customWidth="1"/>
    <col min="6" max="6" width="15.140625" style="455" customWidth="1"/>
    <col min="7" max="7" width="6.42578125" style="455" customWidth="1"/>
    <col min="8" max="16384" width="9.140625" style="455"/>
  </cols>
  <sheetData>
    <row r="1" spans="1:18" ht="21">
      <c r="A1" s="494" t="s">
        <v>0</v>
      </c>
      <c r="B1" s="494"/>
      <c r="C1" s="494"/>
      <c r="D1" s="494"/>
      <c r="E1" s="494"/>
      <c r="F1" s="494"/>
      <c r="G1" s="494"/>
      <c r="H1" s="494"/>
      <c r="I1" s="494"/>
      <c r="J1" s="494"/>
      <c r="K1" s="494"/>
      <c r="L1" s="494"/>
      <c r="M1" s="494"/>
      <c r="N1" s="494"/>
      <c r="O1" s="494"/>
      <c r="P1" s="494"/>
      <c r="Q1" s="494"/>
      <c r="R1" s="494"/>
    </row>
    <row r="2" spans="1:18" ht="21">
      <c r="A2" s="494" t="s">
        <v>1</v>
      </c>
      <c r="B2" s="494"/>
      <c r="C2" s="494"/>
      <c r="D2" s="494"/>
      <c r="E2" s="494"/>
      <c r="F2" s="494"/>
      <c r="G2" s="494"/>
      <c r="H2" s="494"/>
      <c r="I2" s="494"/>
      <c r="J2" s="494"/>
      <c r="K2" s="494"/>
      <c r="L2" s="494"/>
      <c r="M2" s="494"/>
      <c r="N2" s="494"/>
      <c r="O2" s="494"/>
      <c r="P2" s="494"/>
      <c r="Q2" s="494"/>
      <c r="R2" s="494"/>
    </row>
    <row r="3" spans="1:18" ht="21">
      <c r="A3" s="494" t="s">
        <v>2</v>
      </c>
      <c r="B3" s="494"/>
      <c r="C3" s="494"/>
      <c r="D3" s="494"/>
      <c r="E3" s="494"/>
      <c r="F3" s="494"/>
      <c r="G3" s="494"/>
      <c r="H3" s="494"/>
      <c r="I3" s="494"/>
      <c r="J3" s="494"/>
      <c r="K3" s="494"/>
      <c r="L3" s="494"/>
      <c r="M3" s="494"/>
      <c r="N3" s="494"/>
      <c r="O3" s="494"/>
      <c r="P3" s="494"/>
      <c r="Q3" s="494"/>
      <c r="R3" s="494"/>
    </row>
    <row r="4" spans="1:18" ht="18.75">
      <c r="A4" s="495" t="s">
        <v>3</v>
      </c>
      <c r="B4" s="495"/>
      <c r="C4" s="495"/>
      <c r="D4" s="495"/>
      <c r="E4" s="495"/>
      <c r="F4" s="495"/>
      <c r="G4" s="495"/>
      <c r="H4" s="495"/>
      <c r="I4" s="495"/>
      <c r="J4" s="495"/>
      <c r="K4" s="495"/>
      <c r="L4" s="495"/>
      <c r="M4" s="495"/>
      <c r="N4" s="495"/>
      <c r="O4" s="495"/>
      <c r="P4" s="495"/>
      <c r="Q4" s="495"/>
      <c r="R4" s="495"/>
    </row>
    <row r="5" spans="1:18" ht="21">
      <c r="A5" s="496" t="s">
        <v>4</v>
      </c>
      <c r="B5" s="496"/>
      <c r="C5" s="496"/>
      <c r="D5" s="496"/>
      <c r="E5" s="496"/>
      <c r="F5" s="496"/>
      <c r="G5" s="496"/>
      <c r="H5" s="496"/>
      <c r="I5" s="496"/>
      <c r="J5" s="496"/>
      <c r="K5" s="496"/>
      <c r="L5" s="496"/>
      <c r="M5" s="496"/>
      <c r="N5" s="496"/>
      <c r="O5" s="496"/>
      <c r="P5" s="456"/>
      <c r="Q5" s="456"/>
      <c r="R5" s="456"/>
    </row>
    <row r="6" spans="1:18" ht="21">
      <c r="A6" s="491" t="s">
        <v>5</v>
      </c>
      <c r="B6" s="491"/>
      <c r="C6" s="492" t="s">
        <v>1931</v>
      </c>
      <c r="D6" s="492"/>
      <c r="E6" s="492"/>
      <c r="F6" s="492"/>
      <c r="G6" s="457"/>
      <c r="H6" s="457"/>
      <c r="I6" s="457"/>
      <c r="J6" s="457"/>
      <c r="K6" s="457"/>
      <c r="L6" s="457"/>
      <c r="M6" s="457"/>
      <c r="N6" s="457"/>
      <c r="O6" s="457"/>
      <c r="P6" s="457"/>
      <c r="Q6" s="457"/>
      <c r="R6" s="457"/>
    </row>
    <row r="7" spans="1:18" ht="21">
      <c r="A7" s="491" t="s">
        <v>6</v>
      </c>
      <c r="B7" s="491"/>
      <c r="C7" s="492" t="s">
        <v>372</v>
      </c>
      <c r="D7" s="492"/>
      <c r="E7" s="492"/>
      <c r="F7" s="492"/>
      <c r="G7" s="457"/>
      <c r="H7" s="457"/>
      <c r="I7" s="457"/>
      <c r="J7" s="457"/>
      <c r="K7" s="457"/>
      <c r="L7" s="457"/>
      <c r="M7" s="457"/>
      <c r="N7" s="457"/>
      <c r="O7" s="457"/>
      <c r="P7" s="457"/>
      <c r="Q7" s="457"/>
      <c r="R7" s="457"/>
    </row>
    <row r="8" spans="1:18" ht="21">
      <c r="A8" s="491" t="s">
        <v>7</v>
      </c>
      <c r="B8" s="491"/>
      <c r="C8" s="492" t="s">
        <v>8</v>
      </c>
      <c r="D8" s="492"/>
      <c r="E8" s="492"/>
      <c r="F8" s="492"/>
      <c r="G8" s="457"/>
      <c r="H8" s="457"/>
      <c r="I8" s="457"/>
      <c r="J8" s="457"/>
      <c r="K8" s="457"/>
      <c r="L8" s="457"/>
      <c r="M8" s="457"/>
      <c r="N8" s="457"/>
      <c r="O8" s="457"/>
      <c r="P8" s="457"/>
      <c r="Q8" s="457"/>
      <c r="R8" s="457"/>
    </row>
    <row r="9" spans="1:18" ht="21">
      <c r="A9" s="491" t="s">
        <v>9</v>
      </c>
      <c r="B9" s="491"/>
      <c r="C9" s="492" t="s">
        <v>1928</v>
      </c>
      <c r="D9" s="492"/>
      <c r="E9" s="492"/>
      <c r="F9" s="492"/>
      <c r="G9" s="457"/>
      <c r="H9" s="457"/>
      <c r="I9" s="457"/>
      <c r="J9" s="457"/>
      <c r="K9" s="457"/>
      <c r="L9" s="457"/>
      <c r="M9" s="457"/>
      <c r="N9" s="457"/>
      <c r="O9" s="457"/>
      <c r="P9" s="457"/>
      <c r="Q9" s="457"/>
      <c r="R9" s="457"/>
    </row>
    <row r="10" spans="1:18" ht="21">
      <c r="A10" s="491" t="s">
        <v>10</v>
      </c>
      <c r="B10" s="491"/>
      <c r="C10" s="492" t="s">
        <v>8</v>
      </c>
      <c r="D10" s="492"/>
      <c r="E10" s="492"/>
      <c r="F10" s="492"/>
      <c r="G10" s="457"/>
      <c r="H10" s="457"/>
      <c r="I10" s="457"/>
      <c r="J10" s="457"/>
      <c r="K10" s="457"/>
      <c r="L10" s="457"/>
      <c r="M10" s="457"/>
      <c r="N10" s="457"/>
      <c r="O10" s="457"/>
      <c r="P10" s="457"/>
      <c r="Q10" s="457"/>
      <c r="R10" s="457"/>
    </row>
    <row r="11" spans="1:18" ht="63">
      <c r="A11" s="458" t="s">
        <v>11</v>
      </c>
      <c r="B11" s="458" t="s">
        <v>12</v>
      </c>
      <c r="C11" s="458" t="s">
        <v>13</v>
      </c>
      <c r="D11" s="458" t="s">
        <v>14</v>
      </c>
      <c r="E11" s="458" t="s">
        <v>15</v>
      </c>
      <c r="F11" s="458" t="s">
        <v>16</v>
      </c>
      <c r="G11" s="458" t="s">
        <v>374</v>
      </c>
      <c r="H11" s="458" t="s">
        <v>18</v>
      </c>
      <c r="I11" s="458" t="s">
        <v>19</v>
      </c>
      <c r="J11" s="458" t="s">
        <v>20</v>
      </c>
      <c r="K11" s="458" t="s">
        <v>21</v>
      </c>
      <c r="L11" s="458" t="s">
        <v>22</v>
      </c>
      <c r="M11" s="458" t="s">
        <v>23</v>
      </c>
      <c r="N11" s="458" t="s">
        <v>24</v>
      </c>
      <c r="O11" s="458" t="s">
        <v>25</v>
      </c>
      <c r="P11" s="458" t="s">
        <v>26</v>
      </c>
      <c r="Q11" s="458" t="s">
        <v>27</v>
      </c>
      <c r="R11" s="459" t="s">
        <v>28</v>
      </c>
    </row>
    <row r="12" spans="1:18" hidden="1">
      <c r="A12" s="460">
        <v>1</v>
      </c>
      <c r="B12" s="460" t="s">
        <v>1330</v>
      </c>
      <c r="C12" s="460" t="s">
        <v>1932</v>
      </c>
      <c r="D12" s="460">
        <v>110</v>
      </c>
      <c r="E12" s="460">
        <v>29</v>
      </c>
      <c r="F12" s="460">
        <v>33</v>
      </c>
      <c r="G12" s="460">
        <f>(300+D12)/1000</f>
        <v>0.41</v>
      </c>
      <c r="H12" s="460">
        <f>+(1000+D12)/1000</f>
        <v>1.1100000000000001</v>
      </c>
      <c r="I12" s="460"/>
      <c r="J12" s="460"/>
      <c r="K12" s="460"/>
      <c r="L12" s="460"/>
      <c r="M12" s="460"/>
      <c r="N12" s="460"/>
      <c r="O12" s="460"/>
      <c r="P12" s="460"/>
      <c r="Q12" s="460"/>
      <c r="R12" s="460"/>
    </row>
    <row r="13" spans="1:18" hidden="1">
      <c r="A13" s="460">
        <f>1+A12</f>
        <v>2</v>
      </c>
      <c r="B13" s="460" t="s">
        <v>1933</v>
      </c>
      <c r="C13" s="460" t="s">
        <v>1824</v>
      </c>
      <c r="D13" s="460">
        <v>110</v>
      </c>
      <c r="E13" s="460">
        <v>58</v>
      </c>
      <c r="F13" s="460">
        <v>63.9</v>
      </c>
      <c r="G13" s="460">
        <f t="shared" ref="G13:G76" si="0">(300+D13)/1000</f>
        <v>0.41</v>
      </c>
      <c r="H13" s="460">
        <f t="shared" ref="H13:H76" si="1">+(1000+D13)/1000</f>
        <v>1.1100000000000001</v>
      </c>
      <c r="I13" s="460"/>
      <c r="J13" s="460"/>
      <c r="K13" s="460"/>
      <c r="L13" s="460"/>
      <c r="M13" s="460"/>
      <c r="N13" s="460"/>
      <c r="O13" s="460"/>
      <c r="P13" s="460"/>
      <c r="Q13" s="460"/>
      <c r="R13" s="460"/>
    </row>
    <row r="14" spans="1:18" hidden="1">
      <c r="A14" s="460">
        <f t="shared" ref="A14:A77" si="2">1+A13</f>
        <v>3</v>
      </c>
      <c r="B14" s="460" t="s">
        <v>1933</v>
      </c>
      <c r="C14" s="460" t="s">
        <v>1824</v>
      </c>
      <c r="D14" s="460">
        <v>110</v>
      </c>
      <c r="E14" s="460"/>
      <c r="F14" s="460">
        <v>4.5</v>
      </c>
      <c r="G14" s="460">
        <f t="shared" si="0"/>
        <v>0.41</v>
      </c>
      <c r="H14" s="460">
        <f t="shared" si="1"/>
        <v>1.1100000000000001</v>
      </c>
      <c r="I14" s="460"/>
      <c r="J14" s="460" t="s">
        <v>1934</v>
      </c>
      <c r="K14" s="460">
        <f>+F14</f>
        <v>4.5</v>
      </c>
      <c r="L14" s="460">
        <f>+G14</f>
        <v>0.41</v>
      </c>
      <c r="M14" s="460">
        <f>+K14*L14</f>
        <v>1.845</v>
      </c>
      <c r="N14" s="460">
        <v>4.5</v>
      </c>
      <c r="O14" s="460">
        <v>0.41</v>
      </c>
      <c r="P14" s="460">
        <v>1.845</v>
      </c>
      <c r="Q14" s="460"/>
      <c r="R14" s="460"/>
    </row>
    <row r="15" spans="1:18" hidden="1">
      <c r="A15" s="460">
        <f t="shared" si="2"/>
        <v>4</v>
      </c>
      <c r="B15" s="460" t="s">
        <v>1933</v>
      </c>
      <c r="C15" s="460" t="s">
        <v>1824</v>
      </c>
      <c r="D15" s="460">
        <v>110</v>
      </c>
      <c r="E15" s="460"/>
      <c r="F15" s="460">
        <v>4.5</v>
      </c>
      <c r="G15" s="460">
        <f t="shared" si="0"/>
        <v>0.41</v>
      </c>
      <c r="H15" s="460">
        <f t="shared" si="1"/>
        <v>1.1100000000000001</v>
      </c>
      <c r="I15" s="460"/>
      <c r="J15" s="460" t="s">
        <v>1935</v>
      </c>
      <c r="K15" s="460">
        <f>+F15</f>
        <v>4.5</v>
      </c>
      <c r="L15" s="460">
        <f>+G15</f>
        <v>0.41</v>
      </c>
      <c r="M15" s="460">
        <f>+K15*L15</f>
        <v>1.845</v>
      </c>
      <c r="N15" s="460">
        <v>4.5</v>
      </c>
      <c r="O15" s="460">
        <v>0.41</v>
      </c>
      <c r="P15" s="460">
        <v>1.845</v>
      </c>
      <c r="Q15" s="460"/>
      <c r="R15" s="460"/>
    </row>
    <row r="16" spans="1:18" hidden="1">
      <c r="A16" s="460">
        <f t="shared" si="2"/>
        <v>5</v>
      </c>
      <c r="B16" s="460" t="s">
        <v>1824</v>
      </c>
      <c r="C16" s="460" t="s">
        <v>1751</v>
      </c>
      <c r="D16" s="460">
        <v>110</v>
      </c>
      <c r="E16" s="460">
        <v>125</v>
      </c>
      <c r="F16" s="460">
        <v>141.5</v>
      </c>
      <c r="G16" s="460">
        <f t="shared" si="0"/>
        <v>0.41</v>
      </c>
      <c r="H16" s="460">
        <f t="shared" si="1"/>
        <v>1.1100000000000001</v>
      </c>
      <c r="I16" s="460"/>
      <c r="J16" s="460"/>
      <c r="K16" s="460"/>
      <c r="L16" s="460"/>
      <c r="M16" s="460"/>
      <c r="N16" s="460"/>
      <c r="O16" s="460"/>
      <c r="P16" s="460"/>
      <c r="Q16" s="460"/>
      <c r="R16" s="460"/>
    </row>
    <row r="17" spans="1:18" hidden="1">
      <c r="A17" s="460">
        <f t="shared" si="2"/>
        <v>6</v>
      </c>
      <c r="B17" s="460" t="s">
        <v>1751</v>
      </c>
      <c r="C17" s="460" t="s">
        <v>1744</v>
      </c>
      <c r="D17" s="460">
        <v>110</v>
      </c>
      <c r="E17" s="460"/>
      <c r="F17" s="460">
        <v>17</v>
      </c>
      <c r="G17" s="460">
        <f t="shared" si="0"/>
        <v>0.41</v>
      </c>
      <c r="H17" s="460">
        <f t="shared" si="1"/>
        <v>1.1100000000000001</v>
      </c>
      <c r="I17" s="460"/>
      <c r="J17" s="460"/>
      <c r="K17" s="460"/>
      <c r="L17" s="460"/>
      <c r="M17" s="460"/>
      <c r="N17" s="460"/>
      <c r="O17" s="460"/>
      <c r="P17" s="460"/>
      <c r="Q17" s="460"/>
      <c r="R17" s="460"/>
    </row>
    <row r="18" spans="1:18" hidden="1">
      <c r="A18" s="460">
        <f t="shared" si="2"/>
        <v>7</v>
      </c>
      <c r="B18" s="460" t="s">
        <v>1744</v>
      </c>
      <c r="C18" s="460" t="s">
        <v>1757</v>
      </c>
      <c r="D18" s="460">
        <v>75</v>
      </c>
      <c r="E18" s="460">
        <v>132</v>
      </c>
      <c r="F18" s="460">
        <v>64</v>
      </c>
      <c r="G18" s="460">
        <f t="shared" si="0"/>
        <v>0.375</v>
      </c>
      <c r="H18" s="460">
        <f t="shared" si="1"/>
        <v>1.075</v>
      </c>
      <c r="I18" s="460"/>
      <c r="J18" s="460"/>
      <c r="K18" s="460"/>
      <c r="L18" s="460"/>
      <c r="M18" s="460"/>
      <c r="N18" s="460"/>
      <c r="O18" s="460"/>
      <c r="P18" s="460"/>
      <c r="Q18" s="460"/>
      <c r="R18" s="460"/>
    </row>
    <row r="19" spans="1:18" hidden="1">
      <c r="A19" s="460">
        <f t="shared" si="2"/>
        <v>8</v>
      </c>
      <c r="B19" s="460" t="s">
        <v>1744</v>
      </c>
      <c r="C19" s="460" t="s">
        <v>1757</v>
      </c>
      <c r="D19" s="460">
        <v>75</v>
      </c>
      <c r="E19" s="460"/>
      <c r="F19" s="460">
        <v>64</v>
      </c>
      <c r="G19" s="460">
        <f t="shared" si="0"/>
        <v>0.375</v>
      </c>
      <c r="H19" s="460">
        <f t="shared" si="1"/>
        <v>1.075</v>
      </c>
      <c r="I19" s="460"/>
      <c r="J19" s="460" t="s">
        <v>451</v>
      </c>
      <c r="K19" s="460">
        <f>+F19</f>
        <v>64</v>
      </c>
      <c r="L19" s="460">
        <f>+G19</f>
        <v>0.375</v>
      </c>
      <c r="M19" s="460">
        <f>+K19*L19</f>
        <v>24</v>
      </c>
      <c r="N19" s="460">
        <v>64</v>
      </c>
      <c r="O19" s="460">
        <v>0.375</v>
      </c>
      <c r="P19" s="460">
        <v>24</v>
      </c>
      <c r="Q19" s="460"/>
      <c r="R19" s="460"/>
    </row>
    <row r="20" spans="1:18" hidden="1">
      <c r="A20" s="460">
        <f t="shared" si="2"/>
        <v>9</v>
      </c>
      <c r="B20" s="460" t="s">
        <v>1757</v>
      </c>
      <c r="C20" s="460" t="s">
        <v>1908</v>
      </c>
      <c r="D20" s="460">
        <v>63</v>
      </c>
      <c r="E20" s="460">
        <v>31</v>
      </c>
      <c r="F20" s="460">
        <v>31.6</v>
      </c>
      <c r="G20" s="460">
        <f t="shared" si="0"/>
        <v>0.36299999999999999</v>
      </c>
      <c r="H20" s="460">
        <f t="shared" si="1"/>
        <v>1.0629999999999999</v>
      </c>
      <c r="I20" s="460"/>
      <c r="J20" s="460"/>
      <c r="K20" s="460"/>
      <c r="L20" s="460"/>
      <c r="M20" s="460"/>
      <c r="N20" s="460"/>
      <c r="O20" s="460"/>
      <c r="P20" s="460"/>
      <c r="Q20" s="460"/>
      <c r="R20" s="460"/>
    </row>
    <row r="21" spans="1:18" hidden="1">
      <c r="A21" s="460">
        <f t="shared" si="2"/>
        <v>10</v>
      </c>
      <c r="B21" s="460" t="s">
        <v>1908</v>
      </c>
      <c r="C21" s="460" t="s">
        <v>1742</v>
      </c>
      <c r="D21" s="460">
        <v>63</v>
      </c>
      <c r="E21" s="460">
        <v>166</v>
      </c>
      <c r="F21" s="460">
        <v>165</v>
      </c>
      <c r="G21" s="460">
        <f t="shared" si="0"/>
        <v>0.36299999999999999</v>
      </c>
      <c r="H21" s="460">
        <f t="shared" si="1"/>
        <v>1.0629999999999999</v>
      </c>
      <c r="I21" s="460"/>
      <c r="J21" s="460"/>
      <c r="K21" s="460"/>
      <c r="L21" s="460"/>
      <c r="M21" s="460"/>
      <c r="N21" s="460"/>
      <c r="O21" s="460"/>
      <c r="P21" s="460"/>
      <c r="Q21" s="460"/>
      <c r="R21" s="460"/>
    </row>
    <row r="22" spans="1:18" hidden="1">
      <c r="A22" s="460">
        <f t="shared" si="2"/>
        <v>11</v>
      </c>
      <c r="B22" s="460" t="s">
        <v>1742</v>
      </c>
      <c r="C22" s="460" t="s">
        <v>1741</v>
      </c>
      <c r="D22" s="460">
        <v>63</v>
      </c>
      <c r="E22" s="460">
        <v>133</v>
      </c>
      <c r="F22" s="460">
        <v>133</v>
      </c>
      <c r="G22" s="460">
        <f t="shared" si="0"/>
        <v>0.36299999999999999</v>
      </c>
      <c r="H22" s="460">
        <f t="shared" si="1"/>
        <v>1.0629999999999999</v>
      </c>
      <c r="I22" s="460"/>
      <c r="J22" s="460"/>
      <c r="K22" s="460"/>
      <c r="L22" s="460"/>
      <c r="M22" s="460"/>
      <c r="N22" s="460"/>
      <c r="O22" s="460"/>
      <c r="P22" s="460"/>
      <c r="Q22" s="460"/>
      <c r="R22" s="460"/>
    </row>
    <row r="23" spans="1:18" hidden="1">
      <c r="A23" s="460">
        <f t="shared" si="2"/>
        <v>12</v>
      </c>
      <c r="B23" s="460" t="s">
        <v>1744</v>
      </c>
      <c r="C23" s="460" t="s">
        <v>1763</v>
      </c>
      <c r="D23" s="460">
        <v>63</v>
      </c>
      <c r="E23" s="460">
        <v>40</v>
      </c>
      <c r="F23" s="460">
        <v>41.6</v>
      </c>
      <c r="G23" s="460">
        <f t="shared" si="0"/>
        <v>0.36299999999999999</v>
      </c>
      <c r="H23" s="460">
        <f t="shared" si="1"/>
        <v>1.0629999999999999</v>
      </c>
      <c r="I23" s="460"/>
      <c r="J23" s="460" t="s">
        <v>451</v>
      </c>
      <c r="K23" s="460">
        <f>+F23</f>
        <v>41.6</v>
      </c>
      <c r="L23" s="460">
        <f>+G23</f>
        <v>0.36299999999999999</v>
      </c>
      <c r="M23" s="460">
        <f>+K23*L23</f>
        <v>15.1008</v>
      </c>
      <c r="N23" s="460">
        <v>41.6</v>
      </c>
      <c r="O23" s="460">
        <v>0.36299999999999999</v>
      </c>
      <c r="P23" s="460">
        <v>15.1008</v>
      </c>
      <c r="Q23" s="460"/>
      <c r="R23" s="460"/>
    </row>
    <row r="24" spans="1:18" hidden="1">
      <c r="A24" s="460">
        <f t="shared" si="2"/>
        <v>13</v>
      </c>
      <c r="B24" s="460" t="s">
        <v>1763</v>
      </c>
      <c r="C24" s="460" t="s">
        <v>1737</v>
      </c>
      <c r="D24" s="460">
        <v>63</v>
      </c>
      <c r="E24" s="460">
        <v>252</v>
      </c>
      <c r="F24" s="460">
        <v>150</v>
      </c>
      <c r="G24" s="460">
        <f t="shared" si="0"/>
        <v>0.36299999999999999</v>
      </c>
      <c r="H24" s="460">
        <f t="shared" si="1"/>
        <v>1.0629999999999999</v>
      </c>
      <c r="I24" s="460"/>
      <c r="J24" s="460"/>
      <c r="K24" s="460"/>
      <c r="L24" s="460"/>
      <c r="M24" s="460"/>
      <c r="N24" s="460"/>
      <c r="O24" s="460"/>
      <c r="P24" s="460"/>
      <c r="Q24" s="460"/>
      <c r="R24" s="460"/>
    </row>
    <row r="25" spans="1:18" hidden="1">
      <c r="A25" s="460">
        <f t="shared" si="2"/>
        <v>14</v>
      </c>
      <c r="B25" s="460" t="s">
        <v>1824</v>
      </c>
      <c r="C25" s="460" t="s">
        <v>1303</v>
      </c>
      <c r="D25" s="460">
        <v>110</v>
      </c>
      <c r="E25" s="460">
        <v>50</v>
      </c>
      <c r="F25" s="460">
        <v>53</v>
      </c>
      <c r="G25" s="460">
        <f t="shared" si="0"/>
        <v>0.41</v>
      </c>
      <c r="H25" s="460">
        <f t="shared" si="1"/>
        <v>1.1100000000000001</v>
      </c>
      <c r="I25" s="460"/>
      <c r="J25" s="460"/>
      <c r="K25" s="460"/>
      <c r="L25" s="460"/>
      <c r="M25" s="460"/>
      <c r="N25" s="460"/>
      <c r="O25" s="460"/>
      <c r="P25" s="460"/>
      <c r="Q25" s="460"/>
      <c r="R25" s="460"/>
    </row>
    <row r="26" spans="1:18" hidden="1">
      <c r="A26" s="460">
        <f t="shared" si="2"/>
        <v>15</v>
      </c>
      <c r="B26" s="460" t="s">
        <v>1303</v>
      </c>
      <c r="C26" s="460" t="s">
        <v>1303</v>
      </c>
      <c r="D26" s="460">
        <v>63</v>
      </c>
      <c r="E26" s="460"/>
      <c r="F26" s="460">
        <v>4</v>
      </c>
      <c r="G26" s="460">
        <f t="shared" si="0"/>
        <v>0.36299999999999999</v>
      </c>
      <c r="H26" s="460">
        <f t="shared" si="1"/>
        <v>1.0629999999999999</v>
      </c>
      <c r="I26" s="460"/>
      <c r="J26" s="460" t="s">
        <v>1935</v>
      </c>
      <c r="K26" s="460">
        <f>+F26</f>
        <v>4</v>
      </c>
      <c r="L26" s="460">
        <f>+G26</f>
        <v>0.36299999999999999</v>
      </c>
      <c r="M26" s="460">
        <f>+K26*L26</f>
        <v>1.452</v>
      </c>
      <c r="N26" s="460">
        <v>4</v>
      </c>
      <c r="O26" s="460">
        <v>0.36299999999999999</v>
      </c>
      <c r="P26" s="460">
        <v>1.452</v>
      </c>
      <c r="Q26" s="460"/>
      <c r="R26" s="460"/>
    </row>
    <row r="27" spans="1:18" hidden="1">
      <c r="A27" s="460">
        <f t="shared" si="2"/>
        <v>16</v>
      </c>
      <c r="B27" s="460" t="s">
        <v>1303</v>
      </c>
      <c r="C27" s="460" t="s">
        <v>1239</v>
      </c>
      <c r="D27" s="460">
        <v>63</v>
      </c>
      <c r="E27" s="460"/>
      <c r="F27" s="460">
        <v>110.2</v>
      </c>
      <c r="G27" s="460">
        <f t="shared" si="0"/>
        <v>0.36299999999999999</v>
      </c>
      <c r="H27" s="460">
        <f t="shared" si="1"/>
        <v>1.0629999999999999</v>
      </c>
      <c r="I27" s="460"/>
      <c r="J27" s="460"/>
      <c r="K27" s="460"/>
      <c r="L27" s="460"/>
      <c r="M27" s="460"/>
      <c r="N27" s="460"/>
      <c r="O27" s="460"/>
      <c r="P27" s="460"/>
      <c r="Q27" s="460"/>
      <c r="R27" s="460"/>
    </row>
    <row r="28" spans="1:18" hidden="1">
      <c r="A28" s="460">
        <f t="shared" si="2"/>
        <v>17</v>
      </c>
      <c r="B28" s="460" t="s">
        <v>1239</v>
      </c>
      <c r="C28" s="460" t="s">
        <v>895</v>
      </c>
      <c r="D28" s="460">
        <v>63</v>
      </c>
      <c r="E28" s="460">
        <v>147</v>
      </c>
      <c r="F28" s="460">
        <v>154.1</v>
      </c>
      <c r="G28" s="460">
        <f t="shared" si="0"/>
        <v>0.36299999999999999</v>
      </c>
      <c r="H28" s="460">
        <f t="shared" si="1"/>
        <v>1.0629999999999999</v>
      </c>
      <c r="I28" s="460"/>
      <c r="J28" s="460"/>
      <c r="K28" s="460"/>
      <c r="L28" s="460"/>
      <c r="M28" s="460"/>
      <c r="N28" s="460"/>
      <c r="O28" s="460"/>
      <c r="P28" s="460"/>
      <c r="Q28" s="460"/>
      <c r="R28" s="460"/>
    </row>
    <row r="29" spans="1:18" hidden="1">
      <c r="A29" s="460">
        <f t="shared" si="2"/>
        <v>18</v>
      </c>
      <c r="B29" s="460" t="s">
        <v>895</v>
      </c>
      <c r="C29" s="460" t="s">
        <v>1936</v>
      </c>
      <c r="D29" s="460">
        <v>110</v>
      </c>
      <c r="E29" s="460">
        <v>148</v>
      </c>
      <c r="F29" s="460">
        <v>154</v>
      </c>
      <c r="G29" s="460">
        <f t="shared" si="0"/>
        <v>0.41</v>
      </c>
      <c r="H29" s="460">
        <f t="shared" si="1"/>
        <v>1.1100000000000001</v>
      </c>
      <c r="I29" s="460"/>
      <c r="J29" s="460"/>
      <c r="K29" s="460"/>
      <c r="L29" s="460"/>
      <c r="M29" s="460"/>
      <c r="N29" s="460"/>
      <c r="O29" s="460"/>
      <c r="P29" s="460"/>
      <c r="Q29" s="460"/>
      <c r="R29" s="460"/>
    </row>
    <row r="30" spans="1:18" hidden="1">
      <c r="A30" s="460">
        <f t="shared" si="2"/>
        <v>19</v>
      </c>
      <c r="B30" s="460" t="s">
        <v>1303</v>
      </c>
      <c r="C30" s="460" t="s">
        <v>1315</v>
      </c>
      <c r="D30" s="460">
        <v>110</v>
      </c>
      <c r="E30" s="460"/>
      <c r="F30" s="460">
        <v>125.6</v>
      </c>
      <c r="G30" s="460">
        <f t="shared" si="0"/>
        <v>0.41</v>
      </c>
      <c r="H30" s="460">
        <f t="shared" si="1"/>
        <v>1.1100000000000001</v>
      </c>
      <c r="I30" s="460"/>
      <c r="J30" s="460"/>
      <c r="K30" s="460"/>
      <c r="L30" s="460"/>
      <c r="M30" s="460"/>
      <c r="N30" s="460"/>
      <c r="O30" s="460"/>
      <c r="P30" s="460"/>
      <c r="Q30" s="460"/>
      <c r="R30" s="460"/>
    </row>
    <row r="31" spans="1:18" hidden="1">
      <c r="A31" s="460">
        <f t="shared" si="2"/>
        <v>20</v>
      </c>
      <c r="B31" s="460" t="s">
        <v>1315</v>
      </c>
      <c r="C31" s="460" t="s">
        <v>1382</v>
      </c>
      <c r="D31" s="460">
        <v>140</v>
      </c>
      <c r="E31" s="460"/>
      <c r="F31" s="460">
        <v>16.5</v>
      </c>
      <c r="G31" s="460">
        <f t="shared" si="0"/>
        <v>0.44</v>
      </c>
      <c r="H31" s="460">
        <f t="shared" si="1"/>
        <v>1.1399999999999999</v>
      </c>
      <c r="I31" s="460"/>
      <c r="J31" s="460"/>
      <c r="K31" s="460"/>
      <c r="L31" s="460"/>
      <c r="M31" s="460"/>
      <c r="N31" s="460"/>
      <c r="O31" s="460"/>
      <c r="P31" s="460"/>
      <c r="Q31" s="460"/>
      <c r="R31" s="460"/>
    </row>
    <row r="32" spans="1:18" hidden="1">
      <c r="A32" s="460">
        <f t="shared" si="2"/>
        <v>21</v>
      </c>
      <c r="B32" s="460" t="s">
        <v>1382</v>
      </c>
      <c r="C32" s="460" t="s">
        <v>1765</v>
      </c>
      <c r="D32" s="460">
        <v>63</v>
      </c>
      <c r="E32" s="460"/>
      <c r="F32" s="460">
        <v>85</v>
      </c>
      <c r="G32" s="460">
        <f t="shared" si="0"/>
        <v>0.36299999999999999</v>
      </c>
      <c r="H32" s="460">
        <f t="shared" si="1"/>
        <v>1.0629999999999999</v>
      </c>
      <c r="I32" s="460"/>
      <c r="J32" s="460"/>
      <c r="K32" s="460"/>
      <c r="L32" s="460"/>
      <c r="M32" s="460"/>
      <c r="N32" s="460"/>
      <c r="O32" s="460"/>
      <c r="P32" s="460"/>
      <c r="Q32" s="460"/>
      <c r="R32" s="460"/>
    </row>
    <row r="33" spans="1:18" hidden="1">
      <c r="A33" s="460">
        <f t="shared" si="2"/>
        <v>22</v>
      </c>
      <c r="B33" s="460" t="s">
        <v>1765</v>
      </c>
      <c r="C33" s="460" t="s">
        <v>1308</v>
      </c>
      <c r="D33" s="460">
        <v>63</v>
      </c>
      <c r="E33" s="460"/>
      <c r="F33" s="460">
        <v>160</v>
      </c>
      <c r="G33" s="460">
        <f t="shared" si="0"/>
        <v>0.36299999999999999</v>
      </c>
      <c r="H33" s="460">
        <f t="shared" si="1"/>
        <v>1.0629999999999999</v>
      </c>
      <c r="I33" s="460"/>
      <c r="J33" s="460"/>
      <c r="K33" s="460"/>
      <c r="L33" s="460"/>
      <c r="M33" s="460"/>
      <c r="N33" s="460"/>
      <c r="O33" s="460"/>
      <c r="P33" s="460"/>
      <c r="Q33" s="460"/>
      <c r="R33" s="460"/>
    </row>
    <row r="34" spans="1:18" hidden="1">
      <c r="A34" s="460">
        <f t="shared" si="2"/>
        <v>23</v>
      </c>
      <c r="B34" s="460" t="s">
        <v>1765</v>
      </c>
      <c r="C34" s="460" t="s">
        <v>1752</v>
      </c>
      <c r="D34" s="460">
        <v>63</v>
      </c>
      <c r="E34" s="460"/>
      <c r="F34" s="460">
        <v>60</v>
      </c>
      <c r="G34" s="460">
        <f t="shared" si="0"/>
        <v>0.36299999999999999</v>
      </c>
      <c r="H34" s="460">
        <f t="shared" si="1"/>
        <v>1.0629999999999999</v>
      </c>
      <c r="I34" s="460"/>
      <c r="J34" s="460"/>
      <c r="K34" s="460"/>
      <c r="L34" s="460"/>
      <c r="M34" s="460"/>
      <c r="N34" s="460"/>
      <c r="O34" s="460"/>
      <c r="P34" s="460"/>
      <c r="Q34" s="460"/>
      <c r="R34" s="460"/>
    </row>
    <row r="35" spans="1:18" hidden="1">
      <c r="A35" s="460">
        <f t="shared" si="2"/>
        <v>24</v>
      </c>
      <c r="B35" s="460" t="s">
        <v>1752</v>
      </c>
      <c r="C35" s="460" t="s">
        <v>1753</v>
      </c>
      <c r="D35" s="460">
        <v>63</v>
      </c>
      <c r="E35" s="460"/>
      <c r="F35" s="460">
        <v>55</v>
      </c>
      <c r="G35" s="460">
        <f t="shared" si="0"/>
        <v>0.36299999999999999</v>
      </c>
      <c r="H35" s="460">
        <f t="shared" si="1"/>
        <v>1.0629999999999999</v>
      </c>
      <c r="I35" s="460"/>
      <c r="J35" s="460"/>
      <c r="K35" s="460"/>
      <c r="L35" s="460"/>
      <c r="M35" s="460"/>
      <c r="N35" s="460"/>
      <c r="O35" s="460"/>
      <c r="P35" s="460"/>
      <c r="Q35" s="460"/>
      <c r="R35" s="460"/>
    </row>
    <row r="36" spans="1:18" hidden="1">
      <c r="A36" s="460">
        <f t="shared" si="2"/>
        <v>25</v>
      </c>
      <c r="B36" s="460" t="s">
        <v>1827</v>
      </c>
      <c r="C36" s="460" t="s">
        <v>1937</v>
      </c>
      <c r="D36" s="460">
        <v>63</v>
      </c>
      <c r="E36" s="460">
        <v>120</v>
      </c>
      <c r="F36" s="460">
        <v>105</v>
      </c>
      <c r="G36" s="460">
        <f t="shared" si="0"/>
        <v>0.36299999999999999</v>
      </c>
      <c r="H36" s="460">
        <f t="shared" si="1"/>
        <v>1.0629999999999999</v>
      </c>
      <c r="I36" s="460"/>
      <c r="J36" s="460"/>
      <c r="K36" s="460"/>
      <c r="L36" s="460"/>
      <c r="M36" s="460"/>
      <c r="N36" s="460"/>
      <c r="O36" s="460"/>
      <c r="P36" s="460"/>
      <c r="Q36" s="460"/>
      <c r="R36" s="460"/>
    </row>
    <row r="37" spans="1:18" hidden="1">
      <c r="A37" s="460">
        <f t="shared" si="2"/>
        <v>26</v>
      </c>
      <c r="B37" s="460" t="s">
        <v>1938</v>
      </c>
      <c r="C37" s="460" t="s">
        <v>1939</v>
      </c>
      <c r="D37" s="460">
        <v>63</v>
      </c>
      <c r="E37" s="460">
        <v>89</v>
      </c>
      <c r="F37" s="460">
        <v>100</v>
      </c>
      <c r="G37" s="460">
        <f t="shared" si="0"/>
        <v>0.36299999999999999</v>
      </c>
      <c r="H37" s="460">
        <f t="shared" si="1"/>
        <v>1.0629999999999999</v>
      </c>
      <c r="I37" s="460"/>
      <c r="J37" s="460"/>
      <c r="K37" s="460"/>
      <c r="L37" s="460"/>
      <c r="M37" s="460"/>
      <c r="N37" s="460"/>
      <c r="O37" s="460"/>
      <c r="P37" s="460"/>
      <c r="Q37" s="460"/>
      <c r="R37" s="460"/>
    </row>
    <row r="38" spans="1:18" hidden="1">
      <c r="A38" s="460">
        <f t="shared" si="2"/>
        <v>27</v>
      </c>
      <c r="B38" s="460" t="s">
        <v>1938</v>
      </c>
      <c r="C38" s="460" t="s">
        <v>1940</v>
      </c>
      <c r="D38" s="460">
        <v>63</v>
      </c>
      <c r="E38" s="460">
        <v>18</v>
      </c>
      <c r="F38" s="460">
        <v>17</v>
      </c>
      <c r="G38" s="460">
        <f t="shared" si="0"/>
        <v>0.36299999999999999</v>
      </c>
      <c r="H38" s="460">
        <f t="shared" si="1"/>
        <v>1.0629999999999999</v>
      </c>
      <c r="I38" s="460"/>
      <c r="J38" s="460"/>
      <c r="K38" s="460"/>
      <c r="L38" s="460"/>
      <c r="M38" s="460"/>
      <c r="N38" s="460"/>
      <c r="O38" s="460"/>
      <c r="P38" s="460"/>
      <c r="Q38" s="460"/>
      <c r="R38" s="460"/>
    </row>
    <row r="39" spans="1:18" hidden="1">
      <c r="A39" s="460">
        <f t="shared" si="2"/>
        <v>28</v>
      </c>
      <c r="B39" s="460" t="s">
        <v>1940</v>
      </c>
      <c r="C39" s="460" t="s">
        <v>1941</v>
      </c>
      <c r="D39" s="460">
        <v>63</v>
      </c>
      <c r="E39" s="460">
        <v>17</v>
      </c>
      <c r="F39" s="460">
        <v>17</v>
      </c>
      <c r="G39" s="460">
        <f t="shared" si="0"/>
        <v>0.36299999999999999</v>
      </c>
      <c r="H39" s="460">
        <f t="shared" si="1"/>
        <v>1.0629999999999999</v>
      </c>
      <c r="I39" s="460"/>
      <c r="J39" s="460"/>
      <c r="K39" s="460"/>
      <c r="L39" s="460"/>
      <c r="M39" s="460"/>
      <c r="N39" s="460"/>
      <c r="O39" s="460"/>
      <c r="P39" s="460"/>
      <c r="Q39" s="460"/>
      <c r="R39" s="460"/>
    </row>
    <row r="40" spans="1:18" hidden="1">
      <c r="A40" s="460">
        <f t="shared" si="2"/>
        <v>29</v>
      </c>
      <c r="B40" s="460" t="s">
        <v>1941</v>
      </c>
      <c r="C40" s="460" t="s">
        <v>1714</v>
      </c>
      <c r="D40" s="460">
        <v>63</v>
      </c>
      <c r="E40" s="460">
        <v>274</v>
      </c>
      <c r="F40" s="460">
        <v>240</v>
      </c>
      <c r="G40" s="460">
        <f t="shared" si="0"/>
        <v>0.36299999999999999</v>
      </c>
      <c r="H40" s="460">
        <f t="shared" si="1"/>
        <v>1.0629999999999999</v>
      </c>
      <c r="I40" s="460"/>
      <c r="J40" s="460"/>
      <c r="K40" s="460"/>
      <c r="L40" s="460"/>
      <c r="M40" s="460"/>
      <c r="N40" s="460"/>
      <c r="O40" s="460"/>
      <c r="P40" s="460"/>
      <c r="Q40" s="460"/>
      <c r="R40" s="460"/>
    </row>
    <row r="41" spans="1:18" hidden="1">
      <c r="A41" s="460">
        <f t="shared" si="2"/>
        <v>30</v>
      </c>
      <c r="B41" s="460" t="s">
        <v>1938</v>
      </c>
      <c r="C41" s="460" t="s">
        <v>1903</v>
      </c>
      <c r="D41" s="460">
        <v>63</v>
      </c>
      <c r="E41" s="460">
        <v>57</v>
      </c>
      <c r="F41" s="460">
        <v>60</v>
      </c>
      <c r="G41" s="460">
        <f t="shared" si="0"/>
        <v>0.36299999999999999</v>
      </c>
      <c r="H41" s="460">
        <f t="shared" si="1"/>
        <v>1.0629999999999999</v>
      </c>
      <c r="I41" s="460"/>
      <c r="J41" s="460"/>
      <c r="K41" s="460"/>
      <c r="L41" s="460"/>
      <c r="M41" s="460"/>
      <c r="N41" s="460"/>
      <c r="O41" s="460"/>
      <c r="P41" s="460"/>
      <c r="Q41" s="460"/>
      <c r="R41" s="460"/>
    </row>
    <row r="42" spans="1:18" hidden="1">
      <c r="A42" s="460">
        <f t="shared" si="2"/>
        <v>31</v>
      </c>
      <c r="B42" s="460" t="s">
        <v>1903</v>
      </c>
      <c r="C42" s="460" t="s">
        <v>1827</v>
      </c>
      <c r="D42" s="460">
        <v>63</v>
      </c>
      <c r="E42" s="460">
        <v>50</v>
      </c>
      <c r="F42" s="460">
        <v>103</v>
      </c>
      <c r="G42" s="460">
        <f t="shared" si="0"/>
        <v>0.36299999999999999</v>
      </c>
      <c r="H42" s="460">
        <f t="shared" si="1"/>
        <v>1.0629999999999999</v>
      </c>
      <c r="I42" s="460"/>
      <c r="J42" s="460"/>
      <c r="K42" s="460"/>
      <c r="L42" s="460"/>
      <c r="M42" s="460"/>
      <c r="N42" s="460"/>
      <c r="O42" s="460"/>
      <c r="P42" s="460"/>
      <c r="Q42" s="460"/>
      <c r="R42" s="460"/>
    </row>
    <row r="43" spans="1:18" hidden="1">
      <c r="A43" s="460">
        <f t="shared" si="2"/>
        <v>32</v>
      </c>
      <c r="B43" s="460" t="s">
        <v>1827</v>
      </c>
      <c r="C43" s="460" t="s">
        <v>1721</v>
      </c>
      <c r="D43" s="460">
        <v>63</v>
      </c>
      <c r="E43" s="460">
        <v>94</v>
      </c>
      <c r="F43" s="460">
        <v>71.400000000000006</v>
      </c>
      <c r="G43" s="460">
        <f t="shared" si="0"/>
        <v>0.36299999999999999</v>
      </c>
      <c r="H43" s="460">
        <f t="shared" si="1"/>
        <v>1.0629999999999999</v>
      </c>
      <c r="I43" s="460"/>
      <c r="J43" s="460"/>
      <c r="K43" s="460"/>
      <c r="L43" s="460"/>
      <c r="M43" s="460"/>
      <c r="N43" s="460"/>
      <c r="O43" s="460"/>
      <c r="P43" s="460"/>
      <c r="Q43" s="460"/>
      <c r="R43" s="460"/>
    </row>
    <row r="44" spans="1:18" hidden="1">
      <c r="A44" s="460">
        <f t="shared" si="2"/>
        <v>33</v>
      </c>
      <c r="B44" s="460" t="s">
        <v>1827</v>
      </c>
      <c r="C44" s="460" t="s">
        <v>1721</v>
      </c>
      <c r="D44" s="460">
        <v>63</v>
      </c>
      <c r="E44" s="460"/>
      <c r="F44" s="460">
        <v>7</v>
      </c>
      <c r="G44" s="460">
        <f t="shared" si="0"/>
        <v>0.36299999999999999</v>
      </c>
      <c r="H44" s="460">
        <f t="shared" si="1"/>
        <v>1.0629999999999999</v>
      </c>
      <c r="I44" s="460"/>
      <c r="J44" s="460" t="s">
        <v>1942</v>
      </c>
      <c r="K44" s="460">
        <f>+F44</f>
        <v>7</v>
      </c>
      <c r="L44" s="460">
        <f>+G44</f>
        <v>0.36299999999999999</v>
      </c>
      <c r="M44" s="460">
        <f>+K44*L44</f>
        <v>2.5409999999999999</v>
      </c>
      <c r="N44" s="460">
        <v>7</v>
      </c>
      <c r="O44" s="460">
        <v>0.36299999999999999</v>
      </c>
      <c r="P44" s="460">
        <v>2.5409999999999999</v>
      </c>
      <c r="Q44" s="460"/>
      <c r="R44" s="460"/>
    </row>
    <row r="45" spans="1:18" hidden="1">
      <c r="A45" s="460">
        <f t="shared" si="2"/>
        <v>34</v>
      </c>
      <c r="B45" s="460" t="s">
        <v>1920</v>
      </c>
      <c r="C45" s="460" t="s">
        <v>1711</v>
      </c>
      <c r="D45" s="460">
        <v>63</v>
      </c>
      <c r="E45" s="460">
        <v>387</v>
      </c>
      <c r="F45" s="460">
        <v>240</v>
      </c>
      <c r="G45" s="460">
        <f t="shared" si="0"/>
        <v>0.36299999999999999</v>
      </c>
      <c r="H45" s="460">
        <f t="shared" si="1"/>
        <v>1.0629999999999999</v>
      </c>
      <c r="I45" s="460"/>
      <c r="J45" s="460"/>
      <c r="K45" s="460"/>
      <c r="L45" s="460"/>
      <c r="M45" s="460"/>
      <c r="N45" s="460"/>
      <c r="O45" s="460"/>
      <c r="P45" s="460"/>
      <c r="Q45" s="460"/>
      <c r="R45" s="460"/>
    </row>
    <row r="46" spans="1:18" hidden="1">
      <c r="A46" s="460">
        <f t="shared" si="2"/>
        <v>35</v>
      </c>
      <c r="B46" s="460" t="s">
        <v>1920</v>
      </c>
      <c r="C46" s="460" t="s">
        <v>1711</v>
      </c>
      <c r="D46" s="460">
        <v>63</v>
      </c>
      <c r="E46" s="460"/>
      <c r="F46" s="460">
        <v>6.9</v>
      </c>
      <c r="G46" s="460">
        <f t="shared" si="0"/>
        <v>0.36299999999999999</v>
      </c>
      <c r="H46" s="460">
        <f t="shared" si="1"/>
        <v>1.0629999999999999</v>
      </c>
      <c r="I46" s="460"/>
      <c r="J46" s="460" t="s">
        <v>1943</v>
      </c>
      <c r="K46" s="460">
        <f>+F46</f>
        <v>6.9</v>
      </c>
      <c r="L46" s="460">
        <f>+G46</f>
        <v>0.36299999999999999</v>
      </c>
      <c r="M46" s="460">
        <f>+K46*L46</f>
        <v>2.5047000000000001</v>
      </c>
      <c r="N46" s="460">
        <v>6.9</v>
      </c>
      <c r="O46" s="460">
        <v>0.36299999999999999</v>
      </c>
      <c r="P46" s="460">
        <v>2.5047000000000001</v>
      </c>
      <c r="Q46" s="460"/>
      <c r="R46" s="460"/>
    </row>
    <row r="47" spans="1:18" hidden="1">
      <c r="A47" s="460">
        <f t="shared" si="2"/>
        <v>36</v>
      </c>
      <c r="B47" s="460" t="s">
        <v>1722</v>
      </c>
      <c r="C47" s="460" t="s">
        <v>1737</v>
      </c>
      <c r="D47" s="460">
        <v>63</v>
      </c>
      <c r="E47" s="460">
        <v>456</v>
      </c>
      <c r="F47" s="460">
        <v>200</v>
      </c>
      <c r="G47" s="460">
        <f t="shared" si="0"/>
        <v>0.36299999999999999</v>
      </c>
      <c r="H47" s="460">
        <f t="shared" si="1"/>
        <v>1.0629999999999999</v>
      </c>
      <c r="I47" s="460"/>
      <c r="J47" s="460"/>
      <c r="K47" s="460"/>
      <c r="L47" s="460"/>
      <c r="M47" s="460"/>
      <c r="N47" s="460"/>
      <c r="O47" s="460"/>
      <c r="P47" s="460"/>
      <c r="Q47" s="460"/>
      <c r="R47" s="460"/>
    </row>
    <row r="48" spans="1:18" hidden="1">
      <c r="A48" s="460">
        <f t="shared" si="2"/>
        <v>37</v>
      </c>
      <c r="B48" s="460" t="s">
        <v>1817</v>
      </c>
      <c r="C48" s="460" t="s">
        <v>1185</v>
      </c>
      <c r="D48" s="460">
        <v>63</v>
      </c>
      <c r="E48" s="460">
        <v>228</v>
      </c>
      <c r="F48" s="460">
        <v>120</v>
      </c>
      <c r="G48" s="460">
        <f t="shared" si="0"/>
        <v>0.36299999999999999</v>
      </c>
      <c r="H48" s="460">
        <f t="shared" si="1"/>
        <v>1.0629999999999999</v>
      </c>
      <c r="I48" s="460"/>
      <c r="J48" s="460" t="s">
        <v>451</v>
      </c>
      <c r="K48" s="460">
        <f>+F48</f>
        <v>120</v>
      </c>
      <c r="L48" s="460">
        <f>+G48</f>
        <v>0.36299999999999999</v>
      </c>
      <c r="M48" s="460">
        <f>+K48*L48</f>
        <v>43.56</v>
      </c>
      <c r="N48" s="460">
        <v>120</v>
      </c>
      <c r="O48" s="460">
        <v>0.36299999999999999</v>
      </c>
      <c r="P48" s="460">
        <v>43.56</v>
      </c>
      <c r="Q48" s="460"/>
      <c r="R48" s="460"/>
    </row>
    <row r="49" spans="1:18" hidden="1">
      <c r="A49" s="460">
        <f t="shared" si="2"/>
        <v>38</v>
      </c>
      <c r="B49" s="460" t="s">
        <v>1817</v>
      </c>
      <c r="C49" s="460" t="s">
        <v>1185</v>
      </c>
      <c r="D49" s="460">
        <v>63</v>
      </c>
      <c r="E49" s="460">
        <v>228</v>
      </c>
      <c r="F49" s="460">
        <v>195</v>
      </c>
      <c r="G49" s="460">
        <f t="shared" si="0"/>
        <v>0.36299999999999999</v>
      </c>
      <c r="H49" s="460">
        <f t="shared" si="1"/>
        <v>1.0629999999999999</v>
      </c>
      <c r="I49" s="460"/>
      <c r="J49" s="460"/>
      <c r="K49" s="460"/>
      <c r="L49" s="460"/>
      <c r="M49" s="460"/>
      <c r="N49" s="460"/>
      <c r="O49" s="460"/>
      <c r="P49" s="460"/>
      <c r="Q49" s="460"/>
      <c r="R49" s="460"/>
    </row>
    <row r="50" spans="1:18" hidden="1">
      <c r="A50" s="460">
        <f t="shared" si="2"/>
        <v>39</v>
      </c>
      <c r="B50" s="460" t="s">
        <v>1185</v>
      </c>
      <c r="C50" s="460" t="s">
        <v>1185</v>
      </c>
      <c r="D50" s="460">
        <v>63</v>
      </c>
      <c r="E50" s="460"/>
      <c r="F50" s="460">
        <v>3</v>
      </c>
      <c r="G50" s="460">
        <f t="shared" si="0"/>
        <v>0.36299999999999999</v>
      </c>
      <c r="H50" s="460">
        <f t="shared" si="1"/>
        <v>1.0629999999999999</v>
      </c>
      <c r="I50" s="460"/>
      <c r="J50" s="460" t="s">
        <v>1942</v>
      </c>
      <c r="K50" s="460">
        <f>+F50</f>
        <v>3</v>
      </c>
      <c r="L50" s="460">
        <f>+G50</f>
        <v>0.36299999999999999</v>
      </c>
      <c r="M50" s="460">
        <f>+K50*L50</f>
        <v>1.089</v>
      </c>
      <c r="N50" s="460">
        <v>3</v>
      </c>
      <c r="O50" s="460">
        <v>0.36299999999999999</v>
      </c>
      <c r="P50" s="460">
        <v>1.089</v>
      </c>
      <c r="Q50" s="460"/>
      <c r="R50" s="460"/>
    </row>
    <row r="51" spans="1:18" hidden="1">
      <c r="A51" s="460">
        <f t="shared" si="2"/>
        <v>40</v>
      </c>
      <c r="B51" s="460" t="s">
        <v>1725</v>
      </c>
      <c r="C51" s="460" t="s">
        <v>1309</v>
      </c>
      <c r="D51" s="460">
        <v>63</v>
      </c>
      <c r="E51" s="460">
        <v>181</v>
      </c>
      <c r="F51" s="460">
        <v>208</v>
      </c>
      <c r="G51" s="460">
        <f t="shared" si="0"/>
        <v>0.36299999999999999</v>
      </c>
      <c r="H51" s="460">
        <f t="shared" si="1"/>
        <v>1.0629999999999999</v>
      </c>
      <c r="I51" s="460"/>
      <c r="J51" s="460"/>
      <c r="K51" s="460"/>
      <c r="L51" s="460"/>
      <c r="M51" s="460"/>
      <c r="N51" s="460"/>
      <c r="O51" s="460"/>
      <c r="P51" s="460"/>
      <c r="Q51" s="460"/>
      <c r="R51" s="460"/>
    </row>
    <row r="52" spans="1:18" hidden="1">
      <c r="A52" s="460">
        <f t="shared" si="2"/>
        <v>41</v>
      </c>
      <c r="B52" s="460" t="s">
        <v>1309</v>
      </c>
      <c r="C52" s="460" t="s">
        <v>1156</v>
      </c>
      <c r="D52" s="460">
        <v>75</v>
      </c>
      <c r="E52" s="460">
        <v>35</v>
      </c>
      <c r="F52" s="460">
        <v>35</v>
      </c>
      <c r="G52" s="460">
        <f t="shared" si="0"/>
        <v>0.375</v>
      </c>
      <c r="H52" s="460">
        <f t="shared" si="1"/>
        <v>1.075</v>
      </c>
      <c r="I52" s="460"/>
      <c r="J52" s="460"/>
      <c r="K52" s="460"/>
      <c r="L52" s="460"/>
      <c r="M52" s="460"/>
      <c r="N52" s="460"/>
      <c r="O52" s="460"/>
      <c r="P52" s="460"/>
      <c r="Q52" s="460"/>
      <c r="R52" s="460"/>
    </row>
    <row r="53" spans="1:18" hidden="1">
      <c r="A53" s="460">
        <f t="shared" si="2"/>
        <v>42</v>
      </c>
      <c r="B53" s="460" t="s">
        <v>1392</v>
      </c>
      <c r="C53" s="460" t="s">
        <v>1745</v>
      </c>
      <c r="D53" s="460">
        <v>75</v>
      </c>
      <c r="E53" s="460"/>
      <c r="F53" s="460">
        <v>33</v>
      </c>
      <c r="G53" s="460">
        <f t="shared" si="0"/>
        <v>0.375</v>
      </c>
      <c r="H53" s="460">
        <f t="shared" si="1"/>
        <v>1.075</v>
      </c>
      <c r="I53" s="460"/>
      <c r="J53" s="460"/>
      <c r="K53" s="460"/>
      <c r="L53" s="460"/>
      <c r="M53" s="460"/>
      <c r="N53" s="460"/>
      <c r="O53" s="460"/>
      <c r="P53" s="460"/>
      <c r="Q53" s="460"/>
      <c r="R53" s="460"/>
    </row>
    <row r="54" spans="1:18" hidden="1">
      <c r="A54" s="460">
        <f t="shared" si="2"/>
        <v>43</v>
      </c>
      <c r="B54" s="460" t="s">
        <v>1745</v>
      </c>
      <c r="C54" s="460" t="s">
        <v>1330</v>
      </c>
      <c r="D54" s="460">
        <v>75</v>
      </c>
      <c r="E54" s="460">
        <v>16</v>
      </c>
      <c r="F54" s="460">
        <v>18</v>
      </c>
      <c r="G54" s="460">
        <f t="shared" si="0"/>
        <v>0.375</v>
      </c>
      <c r="H54" s="460">
        <f t="shared" si="1"/>
        <v>1.075</v>
      </c>
      <c r="I54" s="460"/>
      <c r="J54" s="460"/>
      <c r="K54" s="460"/>
      <c r="L54" s="460"/>
      <c r="M54" s="460"/>
      <c r="N54" s="460"/>
      <c r="O54" s="460"/>
      <c r="P54" s="460"/>
      <c r="Q54" s="460"/>
      <c r="R54" s="460"/>
    </row>
    <row r="55" spans="1:18" hidden="1">
      <c r="A55" s="460">
        <f t="shared" si="2"/>
        <v>44</v>
      </c>
      <c r="B55" s="460" t="s">
        <v>1315</v>
      </c>
      <c r="C55" s="460" t="s">
        <v>883</v>
      </c>
      <c r="D55" s="460">
        <v>63</v>
      </c>
      <c r="E55" s="460">
        <v>19</v>
      </c>
      <c r="F55" s="460">
        <v>16.600000000000001</v>
      </c>
      <c r="G55" s="460">
        <f t="shared" si="0"/>
        <v>0.36299999999999999</v>
      </c>
      <c r="H55" s="460">
        <f t="shared" si="1"/>
        <v>1.0629999999999999</v>
      </c>
      <c r="I55" s="460"/>
      <c r="J55" s="460"/>
      <c r="K55" s="460"/>
      <c r="L55" s="460"/>
      <c r="M55" s="460"/>
      <c r="N55" s="460"/>
      <c r="O55" s="460"/>
      <c r="P55" s="460"/>
      <c r="Q55" s="460"/>
      <c r="R55" s="460"/>
    </row>
    <row r="56" spans="1:18" hidden="1">
      <c r="A56" s="460">
        <f t="shared" si="2"/>
        <v>45</v>
      </c>
      <c r="B56" s="460" t="s">
        <v>1315</v>
      </c>
      <c r="C56" s="460" t="s">
        <v>1315</v>
      </c>
      <c r="D56" s="460">
        <v>63</v>
      </c>
      <c r="E56" s="460"/>
      <c r="F56" s="460">
        <v>5</v>
      </c>
      <c r="G56" s="460">
        <f t="shared" si="0"/>
        <v>0.36299999999999999</v>
      </c>
      <c r="H56" s="460">
        <f t="shared" si="1"/>
        <v>1.0629999999999999</v>
      </c>
      <c r="I56" s="460"/>
      <c r="J56" s="460" t="s">
        <v>1935</v>
      </c>
      <c r="K56" s="460">
        <f>+F56</f>
        <v>5</v>
      </c>
      <c r="L56" s="460">
        <f>+G56</f>
        <v>0.36299999999999999</v>
      </c>
      <c r="M56" s="460">
        <f>+K56*L56</f>
        <v>1.8149999999999999</v>
      </c>
      <c r="N56" s="460">
        <v>5</v>
      </c>
      <c r="O56" s="460">
        <v>0.36299999999999999</v>
      </c>
      <c r="P56" s="460">
        <v>1.8149999999999999</v>
      </c>
      <c r="Q56" s="460"/>
      <c r="R56" s="460"/>
    </row>
    <row r="57" spans="1:18" hidden="1">
      <c r="A57" s="460">
        <f t="shared" si="2"/>
        <v>46</v>
      </c>
      <c r="B57" s="460" t="s">
        <v>883</v>
      </c>
      <c r="C57" s="460" t="s">
        <v>1383</v>
      </c>
      <c r="D57" s="460">
        <v>63</v>
      </c>
      <c r="E57" s="460">
        <v>32</v>
      </c>
      <c r="F57" s="460">
        <v>29.4</v>
      </c>
      <c r="G57" s="460">
        <f t="shared" si="0"/>
        <v>0.36299999999999999</v>
      </c>
      <c r="H57" s="460">
        <f t="shared" si="1"/>
        <v>1.0629999999999999</v>
      </c>
      <c r="I57" s="460"/>
      <c r="J57" s="460"/>
      <c r="K57" s="460"/>
      <c r="L57" s="460"/>
      <c r="M57" s="460"/>
      <c r="N57" s="460"/>
      <c r="O57" s="460"/>
      <c r="P57" s="460"/>
      <c r="Q57" s="460"/>
      <c r="R57" s="460"/>
    </row>
    <row r="58" spans="1:18" hidden="1">
      <c r="A58" s="460">
        <f t="shared" si="2"/>
        <v>47</v>
      </c>
      <c r="B58" s="460" t="s">
        <v>1383</v>
      </c>
      <c r="C58" s="460" t="s">
        <v>1314</v>
      </c>
      <c r="D58" s="460">
        <v>63</v>
      </c>
      <c r="E58" s="460">
        <v>62</v>
      </c>
      <c r="F58" s="460">
        <v>40</v>
      </c>
      <c r="G58" s="460">
        <f t="shared" si="0"/>
        <v>0.36299999999999999</v>
      </c>
      <c r="H58" s="460">
        <f t="shared" si="1"/>
        <v>1.0629999999999999</v>
      </c>
      <c r="I58" s="460"/>
      <c r="J58" s="460" t="s">
        <v>451</v>
      </c>
      <c r="K58" s="460">
        <f>+F58</f>
        <v>40</v>
      </c>
      <c r="L58" s="460">
        <f>+G58</f>
        <v>0.36299999999999999</v>
      </c>
      <c r="M58" s="460">
        <f>+K58*L58</f>
        <v>14.52</v>
      </c>
      <c r="N58" s="460">
        <v>40</v>
      </c>
      <c r="O58" s="460">
        <v>0.36299999999999999</v>
      </c>
      <c r="P58" s="460">
        <v>14.52</v>
      </c>
      <c r="Q58" s="460"/>
      <c r="R58" s="460"/>
    </row>
    <row r="59" spans="1:18" hidden="1">
      <c r="A59" s="460">
        <f t="shared" si="2"/>
        <v>48</v>
      </c>
      <c r="B59" s="460" t="s">
        <v>1383</v>
      </c>
      <c r="C59" s="460" t="s">
        <v>1131</v>
      </c>
      <c r="D59" s="460">
        <v>63</v>
      </c>
      <c r="E59" s="460">
        <v>59</v>
      </c>
      <c r="F59" s="460">
        <v>62</v>
      </c>
      <c r="G59" s="460">
        <f t="shared" si="0"/>
        <v>0.36299999999999999</v>
      </c>
      <c r="H59" s="460">
        <f t="shared" si="1"/>
        <v>1.0629999999999999</v>
      </c>
      <c r="I59" s="460"/>
      <c r="J59" s="460"/>
      <c r="K59" s="460"/>
      <c r="L59" s="460"/>
      <c r="M59" s="460"/>
      <c r="N59" s="460"/>
      <c r="O59" s="460"/>
      <c r="P59" s="460"/>
      <c r="Q59" s="460"/>
      <c r="R59" s="460"/>
    </row>
    <row r="60" spans="1:18" hidden="1">
      <c r="A60" s="460">
        <f t="shared" si="2"/>
        <v>49</v>
      </c>
      <c r="B60" s="460" t="s">
        <v>1383</v>
      </c>
      <c r="C60" s="460" t="s">
        <v>1383</v>
      </c>
      <c r="D60" s="460">
        <v>63</v>
      </c>
      <c r="E60" s="460"/>
      <c r="F60" s="460">
        <v>3</v>
      </c>
      <c r="G60" s="460">
        <f t="shared" si="0"/>
        <v>0.36299999999999999</v>
      </c>
      <c r="H60" s="460">
        <f t="shared" si="1"/>
        <v>1.0629999999999999</v>
      </c>
      <c r="I60" s="460"/>
      <c r="J60" s="460" t="s">
        <v>1935</v>
      </c>
      <c r="K60" s="460">
        <f>+F60</f>
        <v>3</v>
      </c>
      <c r="L60" s="460">
        <f>+G60</f>
        <v>0.36299999999999999</v>
      </c>
      <c r="M60" s="460">
        <f>+K60*L60</f>
        <v>1.089</v>
      </c>
      <c r="N60" s="460">
        <v>3</v>
      </c>
      <c r="O60" s="460">
        <v>0.36299999999999999</v>
      </c>
      <c r="P60" s="460">
        <v>1.089</v>
      </c>
      <c r="Q60" s="460"/>
      <c r="R60" s="460"/>
    </row>
    <row r="61" spans="1:18" hidden="1">
      <c r="A61" s="460">
        <f t="shared" si="2"/>
        <v>50</v>
      </c>
      <c r="B61" s="460" t="s">
        <v>1734</v>
      </c>
      <c r="C61" s="460" t="s">
        <v>901</v>
      </c>
      <c r="D61" s="460">
        <v>63</v>
      </c>
      <c r="E61" s="460">
        <v>79</v>
      </c>
      <c r="F61" s="460">
        <v>52.1</v>
      </c>
      <c r="G61" s="460">
        <f t="shared" si="0"/>
        <v>0.36299999999999999</v>
      </c>
      <c r="H61" s="460">
        <f t="shared" si="1"/>
        <v>1.0629999999999999</v>
      </c>
      <c r="I61" s="460"/>
      <c r="J61" s="460" t="s">
        <v>451</v>
      </c>
      <c r="K61" s="460">
        <f>+F61</f>
        <v>52.1</v>
      </c>
      <c r="L61" s="460">
        <f>+G61</f>
        <v>0.36299999999999999</v>
      </c>
      <c r="M61" s="460">
        <f>+K61*L61</f>
        <v>18.912299999999998</v>
      </c>
      <c r="N61" s="460">
        <v>52.1</v>
      </c>
      <c r="O61" s="460">
        <v>0.36299999999999999</v>
      </c>
      <c r="P61" s="460">
        <v>18.912299999999998</v>
      </c>
      <c r="Q61" s="460"/>
      <c r="R61" s="460"/>
    </row>
    <row r="62" spans="1:18" hidden="1">
      <c r="A62" s="460">
        <f t="shared" si="2"/>
        <v>51</v>
      </c>
      <c r="B62" s="460" t="s">
        <v>1734</v>
      </c>
      <c r="C62" s="460" t="s">
        <v>901</v>
      </c>
      <c r="D62" s="460">
        <v>63</v>
      </c>
      <c r="E62" s="460"/>
      <c r="F62" s="460">
        <v>30.2</v>
      </c>
      <c r="G62" s="460">
        <f t="shared" si="0"/>
        <v>0.36299999999999999</v>
      </c>
      <c r="H62" s="460">
        <f t="shared" si="1"/>
        <v>1.0629999999999999</v>
      </c>
      <c r="I62" s="460"/>
      <c r="J62" s="460"/>
      <c r="K62" s="460"/>
      <c r="L62" s="460"/>
      <c r="M62" s="460"/>
      <c r="N62" s="460"/>
      <c r="O62" s="460"/>
      <c r="P62" s="460"/>
      <c r="Q62" s="460"/>
      <c r="R62" s="460"/>
    </row>
    <row r="63" spans="1:18" hidden="1">
      <c r="A63" s="460">
        <f t="shared" si="2"/>
        <v>52</v>
      </c>
      <c r="B63" s="460" t="s">
        <v>901</v>
      </c>
      <c r="C63" s="460" t="s">
        <v>1729</v>
      </c>
      <c r="D63" s="460">
        <v>63</v>
      </c>
      <c r="E63" s="460">
        <v>15</v>
      </c>
      <c r="F63" s="460">
        <v>13.3</v>
      </c>
      <c r="G63" s="460">
        <f t="shared" si="0"/>
        <v>0.36299999999999999</v>
      </c>
      <c r="H63" s="460">
        <f t="shared" si="1"/>
        <v>1.0629999999999999</v>
      </c>
      <c r="I63" s="460"/>
      <c r="J63" s="460"/>
      <c r="K63" s="460"/>
      <c r="L63" s="460"/>
      <c r="M63" s="460"/>
      <c r="N63" s="460"/>
      <c r="O63" s="460"/>
      <c r="P63" s="460"/>
      <c r="Q63" s="460"/>
      <c r="R63" s="460"/>
    </row>
    <row r="64" spans="1:18" hidden="1">
      <c r="A64" s="460">
        <f t="shared" si="2"/>
        <v>53</v>
      </c>
      <c r="B64" s="460" t="s">
        <v>1733</v>
      </c>
      <c r="C64" s="460" t="s">
        <v>1764</v>
      </c>
      <c r="D64" s="460">
        <v>63</v>
      </c>
      <c r="E64" s="460"/>
      <c r="F64" s="460">
        <v>32.200000000000003</v>
      </c>
      <c r="G64" s="460">
        <f t="shared" si="0"/>
        <v>0.36299999999999999</v>
      </c>
      <c r="H64" s="460">
        <f t="shared" si="1"/>
        <v>1.0629999999999999</v>
      </c>
      <c r="I64" s="460"/>
      <c r="J64" s="460"/>
      <c r="K64" s="460"/>
      <c r="L64" s="460"/>
      <c r="M64" s="460"/>
      <c r="N64" s="460"/>
      <c r="O64" s="460"/>
      <c r="P64" s="460"/>
      <c r="Q64" s="460"/>
      <c r="R64" s="460"/>
    </row>
    <row r="65" spans="1:18" hidden="1">
      <c r="A65" s="460">
        <f t="shared" si="2"/>
        <v>54</v>
      </c>
      <c r="B65" s="460" t="s">
        <v>1764</v>
      </c>
      <c r="C65" s="460" t="s">
        <v>1825</v>
      </c>
      <c r="D65" s="460">
        <v>63</v>
      </c>
      <c r="E65" s="460"/>
      <c r="F65" s="460">
        <v>60.5</v>
      </c>
      <c r="G65" s="460">
        <f t="shared" si="0"/>
        <v>0.36299999999999999</v>
      </c>
      <c r="H65" s="460">
        <f t="shared" si="1"/>
        <v>1.0629999999999999</v>
      </c>
      <c r="I65" s="460"/>
      <c r="J65" s="460"/>
      <c r="K65" s="460"/>
      <c r="L65" s="460"/>
      <c r="M65" s="460"/>
      <c r="N65" s="460"/>
      <c r="O65" s="460"/>
      <c r="P65" s="460"/>
      <c r="Q65" s="460"/>
      <c r="R65" s="460"/>
    </row>
    <row r="66" spans="1:18" hidden="1">
      <c r="A66" s="460">
        <f t="shared" si="2"/>
        <v>55</v>
      </c>
      <c r="B66" s="460" t="s">
        <v>1764</v>
      </c>
      <c r="C66" s="460" t="s">
        <v>1741</v>
      </c>
      <c r="D66" s="460">
        <v>63</v>
      </c>
      <c r="E66" s="460"/>
      <c r="F66" s="460">
        <v>20</v>
      </c>
      <c r="G66" s="460">
        <f t="shared" si="0"/>
        <v>0.36299999999999999</v>
      </c>
      <c r="H66" s="460">
        <f t="shared" si="1"/>
        <v>1.0629999999999999</v>
      </c>
      <c r="I66" s="460"/>
      <c r="J66" s="460"/>
      <c r="K66" s="460"/>
      <c r="L66" s="460"/>
      <c r="M66" s="460"/>
      <c r="N66" s="460"/>
      <c r="O66" s="460"/>
      <c r="P66" s="460"/>
      <c r="Q66" s="460"/>
      <c r="R66" s="460"/>
    </row>
    <row r="67" spans="1:18" hidden="1">
      <c r="A67" s="460">
        <f t="shared" si="2"/>
        <v>56</v>
      </c>
      <c r="B67" s="460" t="s">
        <v>1723</v>
      </c>
      <c r="C67" s="460" t="s">
        <v>1335</v>
      </c>
      <c r="D67" s="460">
        <v>90</v>
      </c>
      <c r="E67" s="460"/>
      <c r="F67" s="460">
        <v>27</v>
      </c>
      <c r="G67" s="460">
        <f t="shared" si="0"/>
        <v>0.39</v>
      </c>
      <c r="H67" s="460">
        <f t="shared" si="1"/>
        <v>1.0900000000000001</v>
      </c>
      <c r="I67" s="460"/>
      <c r="J67" s="460" t="s">
        <v>451</v>
      </c>
      <c r="K67" s="460">
        <f t="shared" ref="K67:L71" si="3">+F67</f>
        <v>27</v>
      </c>
      <c r="L67" s="460">
        <f t="shared" si="3"/>
        <v>0.39</v>
      </c>
      <c r="M67" s="460">
        <f>+K67*L67</f>
        <v>10.530000000000001</v>
      </c>
      <c r="N67" s="460">
        <v>27</v>
      </c>
      <c r="O67" s="460">
        <v>0.39</v>
      </c>
      <c r="P67" s="460">
        <v>10.530000000000001</v>
      </c>
      <c r="Q67" s="460"/>
      <c r="R67" s="460"/>
    </row>
    <row r="68" spans="1:18" hidden="1">
      <c r="A68" s="460">
        <f t="shared" si="2"/>
        <v>57</v>
      </c>
      <c r="B68" s="460" t="s">
        <v>1335</v>
      </c>
      <c r="C68" s="460" t="s">
        <v>1218</v>
      </c>
      <c r="D68" s="460">
        <v>110</v>
      </c>
      <c r="E68" s="460"/>
      <c r="F68" s="460">
        <v>19.399999999999999</v>
      </c>
      <c r="G68" s="460">
        <f t="shared" si="0"/>
        <v>0.41</v>
      </c>
      <c r="H68" s="460">
        <f t="shared" si="1"/>
        <v>1.1100000000000001</v>
      </c>
      <c r="I68" s="460"/>
      <c r="J68" s="460" t="s">
        <v>451</v>
      </c>
      <c r="K68" s="460">
        <f t="shared" si="3"/>
        <v>19.399999999999999</v>
      </c>
      <c r="L68" s="460">
        <f t="shared" si="3"/>
        <v>0.41</v>
      </c>
      <c r="M68" s="460">
        <f>+K68*L68</f>
        <v>7.9539999999999988</v>
      </c>
      <c r="N68" s="460">
        <v>19.399999999999999</v>
      </c>
      <c r="O68" s="460">
        <v>0.41</v>
      </c>
      <c r="P68" s="460">
        <v>7.9539999999999988</v>
      </c>
      <c r="Q68" s="460"/>
      <c r="R68" s="460"/>
    </row>
    <row r="69" spans="1:18" hidden="1">
      <c r="A69" s="460">
        <f t="shared" si="2"/>
        <v>58</v>
      </c>
      <c r="B69" s="460" t="s">
        <v>1218</v>
      </c>
      <c r="C69" s="460" t="s">
        <v>1731</v>
      </c>
      <c r="D69" s="460">
        <v>110</v>
      </c>
      <c r="E69" s="460"/>
      <c r="F69" s="460">
        <v>33</v>
      </c>
      <c r="G69" s="460">
        <f t="shared" si="0"/>
        <v>0.41</v>
      </c>
      <c r="H69" s="460">
        <f t="shared" si="1"/>
        <v>1.1100000000000001</v>
      </c>
      <c r="I69" s="460"/>
      <c r="J69" s="460" t="s">
        <v>451</v>
      </c>
      <c r="K69" s="460">
        <f t="shared" si="3"/>
        <v>33</v>
      </c>
      <c r="L69" s="460">
        <f t="shared" si="3"/>
        <v>0.41</v>
      </c>
      <c r="M69" s="460">
        <f>+K69*L69</f>
        <v>13.53</v>
      </c>
      <c r="N69" s="460">
        <v>33</v>
      </c>
      <c r="O69" s="460">
        <v>0.41</v>
      </c>
      <c r="P69" s="460">
        <v>13.53</v>
      </c>
      <c r="Q69" s="460"/>
      <c r="R69" s="460"/>
    </row>
    <row r="70" spans="1:18" hidden="1">
      <c r="A70" s="460">
        <f t="shared" si="2"/>
        <v>59</v>
      </c>
      <c r="B70" s="460" t="s">
        <v>1328</v>
      </c>
      <c r="C70" s="460" t="s">
        <v>1150</v>
      </c>
      <c r="D70" s="460">
        <v>63</v>
      </c>
      <c r="E70" s="460">
        <v>19</v>
      </c>
      <c r="F70" s="460">
        <v>17.8</v>
      </c>
      <c r="G70" s="460">
        <f t="shared" si="0"/>
        <v>0.36299999999999999</v>
      </c>
      <c r="H70" s="460">
        <f t="shared" si="1"/>
        <v>1.0629999999999999</v>
      </c>
      <c r="I70" s="460"/>
      <c r="J70" s="460" t="s">
        <v>451</v>
      </c>
      <c r="K70" s="460">
        <f t="shared" si="3"/>
        <v>17.8</v>
      </c>
      <c r="L70" s="460">
        <f t="shared" si="3"/>
        <v>0.36299999999999999</v>
      </c>
      <c r="M70" s="460">
        <f>+K70*L70</f>
        <v>6.4614000000000003</v>
      </c>
      <c r="N70" s="460">
        <v>17.8</v>
      </c>
      <c r="O70" s="460">
        <v>0.36299999999999999</v>
      </c>
      <c r="P70" s="460">
        <v>6.4614000000000003</v>
      </c>
      <c r="Q70" s="460"/>
      <c r="R70" s="460"/>
    </row>
    <row r="71" spans="1:18" hidden="1">
      <c r="A71" s="460">
        <f t="shared" si="2"/>
        <v>60</v>
      </c>
      <c r="B71" s="460" t="s">
        <v>1921</v>
      </c>
      <c r="C71" s="460" t="s">
        <v>1581</v>
      </c>
      <c r="D71" s="460">
        <v>63</v>
      </c>
      <c r="E71" s="460"/>
      <c r="F71" s="460">
        <v>33</v>
      </c>
      <c r="G71" s="460">
        <f t="shared" si="0"/>
        <v>0.36299999999999999</v>
      </c>
      <c r="H71" s="460">
        <f t="shared" si="1"/>
        <v>1.0629999999999999</v>
      </c>
      <c r="I71" s="460"/>
      <c r="J71" s="460" t="s">
        <v>451</v>
      </c>
      <c r="K71" s="460">
        <f t="shared" si="3"/>
        <v>33</v>
      </c>
      <c r="L71" s="460">
        <f t="shared" si="3"/>
        <v>0.36299999999999999</v>
      </c>
      <c r="M71" s="460">
        <f>+K71*L71</f>
        <v>11.978999999999999</v>
      </c>
      <c r="N71" s="460">
        <v>33</v>
      </c>
      <c r="O71" s="460">
        <v>0.36299999999999999</v>
      </c>
      <c r="P71" s="460">
        <v>11.978999999999999</v>
      </c>
      <c r="Q71" s="460"/>
      <c r="R71" s="460"/>
    </row>
    <row r="72" spans="1:18" hidden="1">
      <c r="A72" s="460">
        <f t="shared" si="2"/>
        <v>61</v>
      </c>
      <c r="B72" s="460" t="s">
        <v>1921</v>
      </c>
      <c r="C72" s="460" t="s">
        <v>1581</v>
      </c>
      <c r="D72" s="460">
        <v>63</v>
      </c>
      <c r="E72" s="460"/>
      <c r="F72" s="460">
        <v>27</v>
      </c>
      <c r="G72" s="460">
        <f t="shared" si="0"/>
        <v>0.36299999999999999</v>
      </c>
      <c r="H72" s="460">
        <f t="shared" si="1"/>
        <v>1.0629999999999999</v>
      </c>
      <c r="I72" s="460"/>
      <c r="J72" s="460"/>
      <c r="K72" s="460"/>
      <c r="L72" s="460"/>
      <c r="M72" s="460"/>
      <c r="N72" s="460"/>
      <c r="O72" s="460"/>
      <c r="P72" s="460"/>
      <c r="Q72" s="460"/>
      <c r="R72" s="460"/>
    </row>
    <row r="73" spans="1:18" hidden="1">
      <c r="A73" s="460">
        <f t="shared" si="2"/>
        <v>62</v>
      </c>
      <c r="B73" s="460" t="s">
        <v>501</v>
      </c>
      <c r="C73" s="460" t="s">
        <v>141</v>
      </c>
      <c r="D73" s="460">
        <v>75</v>
      </c>
      <c r="E73" s="460">
        <v>302</v>
      </c>
      <c r="F73" s="460">
        <v>319.2</v>
      </c>
      <c r="G73" s="460">
        <f t="shared" si="0"/>
        <v>0.375</v>
      </c>
      <c r="H73" s="460">
        <f t="shared" si="1"/>
        <v>1.075</v>
      </c>
      <c r="I73" s="460"/>
      <c r="J73" s="460"/>
      <c r="K73" s="460"/>
      <c r="L73" s="460"/>
      <c r="M73" s="460"/>
      <c r="N73" s="460"/>
      <c r="O73" s="460"/>
      <c r="P73" s="460"/>
      <c r="Q73" s="460"/>
      <c r="R73" s="460"/>
    </row>
    <row r="74" spans="1:18" hidden="1">
      <c r="A74" s="460">
        <f t="shared" si="2"/>
        <v>63</v>
      </c>
      <c r="B74" s="460" t="s">
        <v>148</v>
      </c>
      <c r="C74" s="460" t="s">
        <v>30</v>
      </c>
      <c r="D74" s="460">
        <v>63</v>
      </c>
      <c r="E74" s="460">
        <v>46</v>
      </c>
      <c r="F74" s="460">
        <v>46</v>
      </c>
      <c r="G74" s="460">
        <f t="shared" si="0"/>
        <v>0.36299999999999999</v>
      </c>
      <c r="H74" s="460">
        <f t="shared" si="1"/>
        <v>1.0629999999999999</v>
      </c>
      <c r="I74" s="460"/>
      <c r="J74" s="460"/>
      <c r="K74" s="460"/>
      <c r="L74" s="460"/>
      <c r="M74" s="460"/>
      <c r="N74" s="460"/>
      <c r="O74" s="460"/>
      <c r="P74" s="460"/>
      <c r="Q74" s="460"/>
      <c r="R74" s="460"/>
    </row>
    <row r="75" spans="1:18" hidden="1">
      <c r="A75" s="460">
        <f t="shared" si="2"/>
        <v>64</v>
      </c>
      <c r="B75" s="460" t="s">
        <v>30</v>
      </c>
      <c r="C75" s="460" t="s">
        <v>141</v>
      </c>
      <c r="D75" s="460">
        <v>75</v>
      </c>
      <c r="E75" s="460">
        <v>324</v>
      </c>
      <c r="F75" s="460">
        <v>330</v>
      </c>
      <c r="G75" s="460">
        <f t="shared" si="0"/>
        <v>0.375</v>
      </c>
      <c r="H75" s="460">
        <f t="shared" si="1"/>
        <v>1.075</v>
      </c>
      <c r="I75" s="460"/>
      <c r="J75" s="460"/>
      <c r="K75" s="460"/>
      <c r="L75" s="460"/>
      <c r="M75" s="460"/>
      <c r="N75" s="460"/>
      <c r="O75" s="460"/>
      <c r="P75" s="460"/>
      <c r="Q75" s="460"/>
      <c r="R75" s="460"/>
    </row>
    <row r="76" spans="1:18" hidden="1">
      <c r="A76" s="460">
        <f t="shared" si="2"/>
        <v>65</v>
      </c>
      <c r="B76" s="460" t="s">
        <v>35</v>
      </c>
      <c r="C76" s="460" t="s">
        <v>141</v>
      </c>
      <c r="D76" s="460">
        <v>160</v>
      </c>
      <c r="E76" s="460">
        <v>225</v>
      </c>
      <c r="F76" s="460">
        <v>231</v>
      </c>
      <c r="G76" s="460">
        <f t="shared" si="0"/>
        <v>0.46</v>
      </c>
      <c r="H76" s="460">
        <f t="shared" si="1"/>
        <v>1.1599999999999999</v>
      </c>
      <c r="I76" s="460"/>
      <c r="J76" s="460"/>
      <c r="K76" s="460"/>
      <c r="L76" s="460"/>
      <c r="M76" s="460"/>
      <c r="N76" s="460"/>
      <c r="O76" s="460"/>
      <c r="P76" s="460"/>
      <c r="Q76" s="460"/>
      <c r="R76" s="460"/>
    </row>
    <row r="77" spans="1:18" hidden="1">
      <c r="A77" s="460">
        <f t="shared" si="2"/>
        <v>66</v>
      </c>
      <c r="B77" s="460" t="s">
        <v>141</v>
      </c>
      <c r="C77" s="460" t="s">
        <v>141</v>
      </c>
      <c r="D77" s="460">
        <v>160</v>
      </c>
      <c r="E77" s="460"/>
      <c r="F77" s="460">
        <v>3.7</v>
      </c>
      <c r="G77" s="460">
        <f t="shared" ref="G77:G140" si="4">(300+D77)/1000</f>
        <v>0.46</v>
      </c>
      <c r="H77" s="460">
        <f t="shared" ref="H77:H140" si="5">+(1000+D77)/1000</f>
        <v>1.1599999999999999</v>
      </c>
      <c r="I77" s="460"/>
      <c r="J77" s="460" t="s">
        <v>1942</v>
      </c>
      <c r="K77" s="460">
        <f>+F77</f>
        <v>3.7</v>
      </c>
      <c r="L77" s="460">
        <f>+G77</f>
        <v>0.46</v>
      </c>
      <c r="M77" s="460">
        <f>+K77*L77</f>
        <v>1.7020000000000002</v>
      </c>
      <c r="N77" s="460">
        <v>3.7</v>
      </c>
      <c r="O77" s="460">
        <v>0.46</v>
      </c>
      <c r="P77" s="460">
        <v>1.7020000000000002</v>
      </c>
      <c r="Q77" s="460"/>
      <c r="R77" s="460"/>
    </row>
    <row r="78" spans="1:18" hidden="1">
      <c r="A78" s="460">
        <f t="shared" ref="A78:A141" si="6">1+A77</f>
        <v>67</v>
      </c>
      <c r="B78" s="460" t="s">
        <v>141</v>
      </c>
      <c r="C78" s="460" t="s">
        <v>140</v>
      </c>
      <c r="D78" s="460">
        <v>160</v>
      </c>
      <c r="E78" s="460">
        <v>220</v>
      </c>
      <c r="F78" s="460">
        <v>250</v>
      </c>
      <c r="G78" s="460">
        <f t="shared" si="4"/>
        <v>0.46</v>
      </c>
      <c r="H78" s="460">
        <f t="shared" si="5"/>
        <v>1.1599999999999999</v>
      </c>
      <c r="I78" s="460"/>
      <c r="J78" s="460"/>
      <c r="K78" s="460"/>
      <c r="L78" s="460"/>
      <c r="M78" s="460"/>
      <c r="N78" s="460"/>
      <c r="O78" s="460"/>
      <c r="P78" s="460"/>
      <c r="Q78" s="460"/>
      <c r="R78" s="460"/>
    </row>
    <row r="79" spans="1:18" hidden="1">
      <c r="A79" s="460">
        <f t="shared" si="6"/>
        <v>68</v>
      </c>
      <c r="B79" s="460" t="s">
        <v>140</v>
      </c>
      <c r="C79" s="460" t="s">
        <v>1944</v>
      </c>
      <c r="D79" s="460">
        <v>200</v>
      </c>
      <c r="E79" s="460">
        <v>84</v>
      </c>
      <c r="F79" s="460">
        <v>82.4</v>
      </c>
      <c r="G79" s="460">
        <f t="shared" si="4"/>
        <v>0.5</v>
      </c>
      <c r="H79" s="460">
        <f t="shared" si="5"/>
        <v>1.2</v>
      </c>
      <c r="I79" s="460"/>
      <c r="J79" s="460"/>
      <c r="K79" s="460"/>
      <c r="L79" s="460"/>
      <c r="M79" s="460"/>
      <c r="N79" s="460"/>
      <c r="O79" s="460"/>
      <c r="P79" s="460"/>
      <c r="Q79" s="460"/>
      <c r="R79" s="460"/>
    </row>
    <row r="80" spans="1:18" hidden="1">
      <c r="A80" s="460">
        <f t="shared" si="6"/>
        <v>69</v>
      </c>
      <c r="B80" s="460" t="s">
        <v>140</v>
      </c>
      <c r="C80" s="460" t="s">
        <v>115</v>
      </c>
      <c r="D80" s="460">
        <v>160</v>
      </c>
      <c r="E80" s="460">
        <v>246</v>
      </c>
      <c r="F80" s="460">
        <v>230.3</v>
      </c>
      <c r="G80" s="460">
        <f t="shared" si="4"/>
        <v>0.46</v>
      </c>
      <c r="H80" s="460">
        <f t="shared" si="5"/>
        <v>1.1599999999999999</v>
      </c>
      <c r="I80" s="460"/>
      <c r="J80" s="460"/>
      <c r="K80" s="460"/>
      <c r="L80" s="460"/>
      <c r="M80" s="460"/>
      <c r="N80" s="460"/>
      <c r="O80" s="460"/>
      <c r="P80" s="460"/>
      <c r="Q80" s="460"/>
      <c r="R80" s="460"/>
    </row>
    <row r="81" spans="1:18" hidden="1">
      <c r="A81" s="460">
        <f t="shared" si="6"/>
        <v>70</v>
      </c>
      <c r="B81" s="460" t="s">
        <v>115</v>
      </c>
      <c r="C81" s="460" t="s">
        <v>143</v>
      </c>
      <c r="D81" s="460">
        <v>160</v>
      </c>
      <c r="E81" s="460"/>
      <c r="F81" s="460">
        <v>5.5</v>
      </c>
      <c r="G81" s="460">
        <f t="shared" si="4"/>
        <v>0.46</v>
      </c>
      <c r="H81" s="460">
        <f t="shared" si="5"/>
        <v>1.1599999999999999</v>
      </c>
      <c r="I81" s="460"/>
      <c r="J81" s="460" t="s">
        <v>1942</v>
      </c>
      <c r="K81" s="460">
        <f>+F81</f>
        <v>5.5</v>
      </c>
      <c r="L81" s="460">
        <f>+G81</f>
        <v>0.46</v>
      </c>
      <c r="M81" s="460">
        <f>+K81*L81</f>
        <v>2.5300000000000002</v>
      </c>
      <c r="N81" s="460">
        <v>5.5</v>
      </c>
      <c r="O81" s="460">
        <v>0.46</v>
      </c>
      <c r="P81" s="460">
        <v>2.5300000000000002</v>
      </c>
      <c r="Q81" s="460"/>
      <c r="R81" s="460"/>
    </row>
    <row r="82" spans="1:18" hidden="1">
      <c r="A82" s="460">
        <f t="shared" si="6"/>
        <v>71</v>
      </c>
      <c r="B82" s="460" t="s">
        <v>115</v>
      </c>
      <c r="C82" s="460" t="s">
        <v>143</v>
      </c>
      <c r="D82" s="460">
        <v>160</v>
      </c>
      <c r="E82" s="460">
        <v>80</v>
      </c>
      <c r="F82" s="460">
        <v>93.8</v>
      </c>
      <c r="G82" s="460">
        <f t="shared" si="4"/>
        <v>0.46</v>
      </c>
      <c r="H82" s="460">
        <f t="shared" si="5"/>
        <v>1.1599999999999999</v>
      </c>
      <c r="I82" s="460"/>
      <c r="J82" s="460"/>
      <c r="K82" s="460"/>
      <c r="L82" s="460"/>
      <c r="M82" s="460"/>
      <c r="N82" s="460"/>
      <c r="O82" s="460"/>
      <c r="P82" s="460"/>
      <c r="Q82" s="460"/>
      <c r="R82" s="460"/>
    </row>
    <row r="83" spans="1:18" hidden="1">
      <c r="A83" s="460">
        <f t="shared" si="6"/>
        <v>72</v>
      </c>
      <c r="B83" s="460" t="s">
        <v>143</v>
      </c>
      <c r="C83" s="460" t="s">
        <v>139</v>
      </c>
      <c r="D83" s="460">
        <v>110</v>
      </c>
      <c r="E83" s="460">
        <v>54</v>
      </c>
      <c r="F83" s="460">
        <v>39</v>
      </c>
      <c r="G83" s="460">
        <f t="shared" si="4"/>
        <v>0.41</v>
      </c>
      <c r="H83" s="460">
        <f t="shared" si="5"/>
        <v>1.1100000000000001</v>
      </c>
      <c r="I83" s="460"/>
      <c r="J83" s="460"/>
      <c r="K83" s="460"/>
      <c r="L83" s="460"/>
      <c r="M83" s="460"/>
      <c r="N83" s="460"/>
      <c r="O83" s="460"/>
      <c r="P83" s="460"/>
      <c r="Q83" s="460"/>
      <c r="R83" s="460"/>
    </row>
    <row r="84" spans="1:18" hidden="1">
      <c r="A84" s="460">
        <f t="shared" si="6"/>
        <v>73</v>
      </c>
      <c r="B84" s="460" t="s">
        <v>139</v>
      </c>
      <c r="C84" s="460" t="s">
        <v>835</v>
      </c>
      <c r="D84" s="460">
        <v>110</v>
      </c>
      <c r="E84" s="460">
        <v>86</v>
      </c>
      <c r="F84" s="460">
        <v>96</v>
      </c>
      <c r="G84" s="460">
        <f t="shared" si="4"/>
        <v>0.41</v>
      </c>
      <c r="H84" s="460">
        <f t="shared" si="5"/>
        <v>1.1100000000000001</v>
      </c>
      <c r="I84" s="460"/>
      <c r="J84" s="460"/>
      <c r="K84" s="460"/>
      <c r="L84" s="460"/>
      <c r="M84" s="460"/>
      <c r="N84" s="460"/>
      <c r="O84" s="460"/>
      <c r="P84" s="460"/>
      <c r="Q84" s="460"/>
      <c r="R84" s="460"/>
    </row>
    <row r="85" spans="1:18" hidden="1">
      <c r="A85" s="460">
        <f t="shared" si="6"/>
        <v>74</v>
      </c>
      <c r="B85" s="460" t="s">
        <v>835</v>
      </c>
      <c r="C85" s="460" t="s">
        <v>839</v>
      </c>
      <c r="D85" s="460">
        <v>110</v>
      </c>
      <c r="E85" s="460">
        <v>65</v>
      </c>
      <c r="F85" s="460">
        <v>62.5</v>
      </c>
      <c r="G85" s="460">
        <f t="shared" si="4"/>
        <v>0.41</v>
      </c>
      <c r="H85" s="460">
        <f t="shared" si="5"/>
        <v>1.1100000000000001</v>
      </c>
      <c r="I85" s="460"/>
      <c r="J85" s="460"/>
      <c r="K85" s="460"/>
      <c r="L85" s="460"/>
      <c r="M85" s="460"/>
      <c r="N85" s="460"/>
      <c r="O85" s="460"/>
      <c r="P85" s="460"/>
      <c r="Q85" s="460"/>
      <c r="R85" s="460"/>
    </row>
    <row r="86" spans="1:18" hidden="1">
      <c r="A86" s="460">
        <f t="shared" si="6"/>
        <v>75</v>
      </c>
      <c r="B86" s="460" t="s">
        <v>835</v>
      </c>
      <c r="C86" s="460" t="s">
        <v>162</v>
      </c>
      <c r="D86" s="460">
        <v>63</v>
      </c>
      <c r="E86" s="460">
        <v>49</v>
      </c>
      <c r="F86" s="460">
        <v>25</v>
      </c>
      <c r="G86" s="460">
        <f t="shared" si="4"/>
        <v>0.36299999999999999</v>
      </c>
      <c r="H86" s="460">
        <f t="shared" si="5"/>
        <v>1.0629999999999999</v>
      </c>
      <c r="I86" s="460"/>
      <c r="J86" s="460" t="s">
        <v>451</v>
      </c>
      <c r="K86" s="460">
        <f>+F86</f>
        <v>25</v>
      </c>
      <c r="L86" s="460">
        <f>+G86</f>
        <v>0.36299999999999999</v>
      </c>
      <c r="M86" s="460">
        <f>+K86*L86</f>
        <v>9.0749999999999993</v>
      </c>
      <c r="N86" s="460">
        <v>25</v>
      </c>
      <c r="O86" s="460">
        <v>0.36299999999999999</v>
      </c>
      <c r="P86" s="460">
        <v>9.0749999999999993</v>
      </c>
      <c r="Q86" s="460"/>
      <c r="R86" s="460"/>
    </row>
    <row r="87" spans="1:18" hidden="1">
      <c r="A87" s="460">
        <f t="shared" si="6"/>
        <v>76</v>
      </c>
      <c r="B87" s="460" t="s">
        <v>835</v>
      </c>
      <c r="C87" s="460" t="s">
        <v>162</v>
      </c>
      <c r="D87" s="460">
        <v>63</v>
      </c>
      <c r="E87" s="460"/>
      <c r="F87" s="460">
        <v>23</v>
      </c>
      <c r="G87" s="460">
        <f t="shared" si="4"/>
        <v>0.36299999999999999</v>
      </c>
      <c r="H87" s="460">
        <f t="shared" si="5"/>
        <v>1.0629999999999999</v>
      </c>
      <c r="I87" s="460"/>
      <c r="J87" s="460"/>
      <c r="K87" s="460"/>
      <c r="L87" s="460"/>
      <c r="M87" s="460"/>
      <c r="N87" s="460"/>
      <c r="O87" s="460"/>
      <c r="P87" s="460"/>
      <c r="Q87" s="460"/>
      <c r="R87" s="460"/>
    </row>
    <row r="88" spans="1:18" hidden="1">
      <c r="A88" s="460">
        <f t="shared" si="6"/>
        <v>77</v>
      </c>
      <c r="B88" s="460" t="s">
        <v>162</v>
      </c>
      <c r="C88" s="460" t="s">
        <v>826</v>
      </c>
      <c r="D88" s="460">
        <v>63</v>
      </c>
      <c r="E88" s="460">
        <v>35</v>
      </c>
      <c r="F88" s="460">
        <v>25</v>
      </c>
      <c r="G88" s="460">
        <f t="shared" si="4"/>
        <v>0.36299999999999999</v>
      </c>
      <c r="H88" s="460">
        <f t="shared" si="5"/>
        <v>1.0629999999999999</v>
      </c>
      <c r="I88" s="460"/>
      <c r="J88" s="460"/>
      <c r="K88" s="460"/>
      <c r="L88" s="460"/>
      <c r="M88" s="460"/>
      <c r="N88" s="460"/>
      <c r="O88" s="460"/>
      <c r="P88" s="460"/>
      <c r="Q88" s="460"/>
      <c r="R88" s="460"/>
    </row>
    <row r="89" spans="1:18" hidden="1">
      <c r="A89" s="460">
        <f t="shared" si="6"/>
        <v>78</v>
      </c>
      <c r="B89" s="460" t="s">
        <v>162</v>
      </c>
      <c r="C89" s="460" t="s">
        <v>723</v>
      </c>
      <c r="D89" s="460">
        <v>63</v>
      </c>
      <c r="E89" s="460">
        <v>91</v>
      </c>
      <c r="F89" s="460">
        <v>40</v>
      </c>
      <c r="G89" s="460">
        <f t="shared" si="4"/>
        <v>0.36299999999999999</v>
      </c>
      <c r="H89" s="460">
        <f t="shared" si="5"/>
        <v>1.0629999999999999</v>
      </c>
      <c r="I89" s="460"/>
      <c r="J89" s="460"/>
      <c r="K89" s="460"/>
      <c r="L89" s="460"/>
      <c r="M89" s="460"/>
      <c r="N89" s="460"/>
      <c r="O89" s="460"/>
      <c r="P89" s="460"/>
      <c r="Q89" s="460"/>
      <c r="R89" s="460"/>
    </row>
    <row r="90" spans="1:18" hidden="1">
      <c r="A90" s="460">
        <f t="shared" si="6"/>
        <v>79</v>
      </c>
      <c r="B90" s="460" t="s">
        <v>839</v>
      </c>
      <c r="C90" s="460" t="s">
        <v>839</v>
      </c>
      <c r="D90" s="460">
        <v>110</v>
      </c>
      <c r="E90" s="460"/>
      <c r="F90" s="460">
        <v>4</v>
      </c>
      <c r="G90" s="460">
        <f t="shared" si="4"/>
        <v>0.41</v>
      </c>
      <c r="H90" s="460">
        <f t="shared" si="5"/>
        <v>1.1100000000000001</v>
      </c>
      <c r="I90" s="460"/>
      <c r="J90" s="460" t="s">
        <v>1942</v>
      </c>
      <c r="K90" s="460">
        <f>+F90</f>
        <v>4</v>
      </c>
      <c r="L90" s="460">
        <f>+G90</f>
        <v>0.41</v>
      </c>
      <c r="M90" s="460">
        <f>+K90*L90</f>
        <v>1.64</v>
      </c>
      <c r="N90" s="460">
        <v>4</v>
      </c>
      <c r="O90" s="460">
        <v>0.41</v>
      </c>
      <c r="P90" s="460">
        <v>1.64</v>
      </c>
      <c r="Q90" s="460"/>
      <c r="R90" s="460"/>
    </row>
    <row r="91" spans="1:18" hidden="1">
      <c r="A91" s="460">
        <f t="shared" si="6"/>
        <v>80</v>
      </c>
      <c r="B91" s="460" t="s">
        <v>839</v>
      </c>
      <c r="C91" s="460" t="s">
        <v>150</v>
      </c>
      <c r="D91" s="460">
        <v>63</v>
      </c>
      <c r="E91" s="460">
        <v>292</v>
      </c>
      <c r="F91" s="460">
        <v>342</v>
      </c>
      <c r="G91" s="460">
        <f t="shared" si="4"/>
        <v>0.36299999999999999</v>
      </c>
      <c r="H91" s="460">
        <f t="shared" si="5"/>
        <v>1.0629999999999999</v>
      </c>
      <c r="I91" s="460"/>
      <c r="J91" s="460"/>
      <c r="K91" s="460"/>
      <c r="L91" s="460"/>
      <c r="M91" s="460"/>
      <c r="N91" s="460"/>
      <c r="O91" s="460"/>
      <c r="P91" s="460"/>
      <c r="Q91" s="460"/>
      <c r="R91" s="460"/>
    </row>
    <row r="92" spans="1:18" hidden="1">
      <c r="A92" s="460">
        <f t="shared" si="6"/>
        <v>81</v>
      </c>
      <c r="B92" s="460" t="s">
        <v>39</v>
      </c>
      <c r="C92" s="460" t="s">
        <v>109</v>
      </c>
      <c r="D92" s="460">
        <v>63</v>
      </c>
      <c r="E92" s="460">
        <v>51</v>
      </c>
      <c r="F92" s="460">
        <v>52.7</v>
      </c>
      <c r="G92" s="460">
        <f t="shared" si="4"/>
        <v>0.36299999999999999</v>
      </c>
      <c r="H92" s="460">
        <f t="shared" si="5"/>
        <v>1.0629999999999999</v>
      </c>
      <c r="I92" s="460"/>
      <c r="J92" s="460"/>
      <c r="K92" s="460"/>
      <c r="L92" s="460"/>
      <c r="M92" s="460"/>
      <c r="N92" s="460"/>
      <c r="O92" s="460"/>
      <c r="P92" s="460"/>
      <c r="Q92" s="460"/>
      <c r="R92" s="460"/>
    </row>
    <row r="93" spans="1:18">
      <c r="A93" s="460">
        <f t="shared" si="6"/>
        <v>82</v>
      </c>
      <c r="B93" s="460" t="s">
        <v>723</v>
      </c>
      <c r="C93" s="460" t="s">
        <v>29</v>
      </c>
      <c r="D93" s="460">
        <v>63</v>
      </c>
      <c r="E93" s="460"/>
      <c r="F93" s="460">
        <v>95.9</v>
      </c>
      <c r="G93" s="460">
        <f t="shared" si="4"/>
        <v>0.36299999999999999</v>
      </c>
      <c r="H93" s="460">
        <f t="shared" si="5"/>
        <v>1.0629999999999999</v>
      </c>
      <c r="I93" s="460"/>
      <c r="J93" s="460" t="s">
        <v>1945</v>
      </c>
      <c r="K93" s="460">
        <f>+F93</f>
        <v>95.9</v>
      </c>
      <c r="L93" s="460">
        <f>+G93</f>
        <v>0.36299999999999999</v>
      </c>
      <c r="M93" s="460">
        <f>+K93*L93</f>
        <v>34.811700000000002</v>
      </c>
      <c r="N93" s="460">
        <v>95.9</v>
      </c>
      <c r="O93" s="460">
        <v>0.36299999999999999</v>
      </c>
      <c r="P93" s="460">
        <v>34.811700000000002</v>
      </c>
      <c r="Q93" s="460"/>
      <c r="R93" s="460"/>
    </row>
    <row r="94" spans="1:18" hidden="1">
      <c r="A94" s="460">
        <f t="shared" si="6"/>
        <v>83</v>
      </c>
      <c r="B94" s="460" t="s">
        <v>120</v>
      </c>
      <c r="C94" s="460" t="s">
        <v>121</v>
      </c>
      <c r="D94" s="460">
        <v>63</v>
      </c>
      <c r="E94" s="460">
        <v>26</v>
      </c>
      <c r="F94" s="460">
        <v>71.400000000000006</v>
      </c>
      <c r="G94" s="460">
        <f t="shared" si="4"/>
        <v>0.36299999999999999</v>
      </c>
      <c r="H94" s="460">
        <f t="shared" si="5"/>
        <v>1.0629999999999999</v>
      </c>
      <c r="I94" s="460"/>
      <c r="J94" s="460"/>
      <c r="K94" s="460"/>
      <c r="L94" s="460"/>
      <c r="M94" s="460"/>
      <c r="N94" s="460"/>
      <c r="O94" s="460"/>
      <c r="P94" s="460"/>
      <c r="Q94" s="460"/>
      <c r="R94" s="460"/>
    </row>
    <row r="95" spans="1:18" hidden="1">
      <c r="A95" s="460">
        <f t="shared" si="6"/>
        <v>84</v>
      </c>
      <c r="B95" s="460" t="s">
        <v>121</v>
      </c>
      <c r="C95" s="460" t="s">
        <v>502</v>
      </c>
      <c r="D95" s="460">
        <v>63</v>
      </c>
      <c r="E95" s="460">
        <v>51</v>
      </c>
      <c r="F95" s="460">
        <v>112.6</v>
      </c>
      <c r="G95" s="460">
        <f t="shared" si="4"/>
        <v>0.36299999999999999</v>
      </c>
      <c r="H95" s="460">
        <f t="shared" si="5"/>
        <v>1.0629999999999999</v>
      </c>
      <c r="I95" s="460"/>
      <c r="J95" s="460"/>
      <c r="K95" s="460"/>
      <c r="L95" s="460"/>
      <c r="M95" s="460"/>
      <c r="N95" s="460"/>
      <c r="O95" s="460"/>
      <c r="P95" s="460"/>
      <c r="Q95" s="460"/>
      <c r="R95" s="460"/>
    </row>
    <row r="96" spans="1:18" hidden="1">
      <c r="A96" s="460">
        <f t="shared" si="6"/>
        <v>85</v>
      </c>
      <c r="B96" s="460" t="s">
        <v>502</v>
      </c>
      <c r="C96" s="460" t="s">
        <v>120</v>
      </c>
      <c r="D96" s="460">
        <v>63</v>
      </c>
      <c r="E96" s="460"/>
      <c r="F96" s="460"/>
      <c r="G96" s="460">
        <f t="shared" si="4"/>
        <v>0.36299999999999999</v>
      </c>
      <c r="H96" s="460">
        <f t="shared" si="5"/>
        <v>1.0629999999999999</v>
      </c>
      <c r="I96" s="460"/>
      <c r="J96" s="460"/>
      <c r="K96" s="460"/>
      <c r="L96" s="460"/>
      <c r="M96" s="460"/>
      <c r="N96" s="460"/>
      <c r="O96" s="460"/>
      <c r="P96" s="460"/>
      <c r="Q96" s="460"/>
      <c r="R96" s="460"/>
    </row>
    <row r="97" spans="1:18" hidden="1">
      <c r="A97" s="460">
        <f t="shared" si="6"/>
        <v>86</v>
      </c>
      <c r="B97" s="460" t="s">
        <v>1946</v>
      </c>
      <c r="C97" s="460" t="s">
        <v>1947</v>
      </c>
      <c r="D97" s="460">
        <v>63</v>
      </c>
      <c r="E97" s="460"/>
      <c r="F97" s="460">
        <v>69</v>
      </c>
      <c r="G97" s="460">
        <f t="shared" si="4"/>
        <v>0.36299999999999999</v>
      </c>
      <c r="H97" s="460">
        <f t="shared" si="5"/>
        <v>1.0629999999999999</v>
      </c>
      <c r="I97" s="460"/>
      <c r="J97" s="460"/>
      <c r="K97" s="460"/>
      <c r="L97" s="460"/>
      <c r="M97" s="460"/>
      <c r="N97" s="460"/>
      <c r="O97" s="460"/>
      <c r="P97" s="460"/>
      <c r="Q97" s="460"/>
      <c r="R97" s="460"/>
    </row>
    <row r="98" spans="1:18" hidden="1">
      <c r="A98" s="460">
        <f t="shared" si="6"/>
        <v>87</v>
      </c>
      <c r="B98" s="460" t="s">
        <v>1947</v>
      </c>
      <c r="C98" s="460" t="s">
        <v>1947</v>
      </c>
      <c r="D98" s="460">
        <v>63</v>
      </c>
      <c r="E98" s="460"/>
      <c r="F98" s="460">
        <v>3</v>
      </c>
      <c r="G98" s="460">
        <f t="shared" si="4"/>
        <v>0.36299999999999999</v>
      </c>
      <c r="H98" s="460">
        <f t="shared" si="5"/>
        <v>1.0629999999999999</v>
      </c>
      <c r="I98" s="460"/>
      <c r="J98" s="460" t="s">
        <v>1942</v>
      </c>
      <c r="K98" s="460">
        <f>+F98</f>
        <v>3</v>
      </c>
      <c r="L98" s="460">
        <f>+G98</f>
        <v>0.36299999999999999</v>
      </c>
      <c r="M98" s="460">
        <f>+K98*L98</f>
        <v>1.089</v>
      </c>
      <c r="N98" s="460">
        <v>3</v>
      </c>
      <c r="O98" s="460">
        <v>0.36299999999999999</v>
      </c>
      <c r="P98" s="460">
        <v>1.089</v>
      </c>
      <c r="Q98" s="460"/>
      <c r="R98" s="460"/>
    </row>
    <row r="99" spans="1:18" hidden="1">
      <c r="A99" s="460">
        <f t="shared" si="6"/>
        <v>88</v>
      </c>
      <c r="B99" s="460" t="s">
        <v>729</v>
      </c>
      <c r="C99" s="460" t="s">
        <v>836</v>
      </c>
      <c r="D99" s="460">
        <v>160</v>
      </c>
      <c r="E99" s="460">
        <v>40</v>
      </c>
      <c r="F99" s="460">
        <v>41.5</v>
      </c>
      <c r="G99" s="460">
        <f t="shared" si="4"/>
        <v>0.46</v>
      </c>
      <c r="H99" s="460">
        <f t="shared" si="5"/>
        <v>1.1599999999999999</v>
      </c>
      <c r="I99" s="460"/>
      <c r="J99" s="460"/>
      <c r="K99" s="460"/>
      <c r="L99" s="460"/>
      <c r="M99" s="460"/>
      <c r="N99" s="460"/>
      <c r="O99" s="460"/>
      <c r="P99" s="460"/>
      <c r="Q99" s="460"/>
      <c r="R99" s="460"/>
    </row>
    <row r="100" spans="1:18" hidden="1">
      <c r="A100" s="460">
        <f t="shared" si="6"/>
        <v>89</v>
      </c>
      <c r="B100" s="460" t="s">
        <v>836</v>
      </c>
      <c r="C100" s="460" t="s">
        <v>828</v>
      </c>
      <c r="D100" s="460">
        <v>63</v>
      </c>
      <c r="E100" s="460">
        <v>39</v>
      </c>
      <c r="F100" s="460">
        <v>35.299999999999997</v>
      </c>
      <c r="G100" s="460">
        <f t="shared" si="4"/>
        <v>0.36299999999999999</v>
      </c>
      <c r="H100" s="460">
        <f t="shared" si="5"/>
        <v>1.0629999999999999</v>
      </c>
      <c r="I100" s="460"/>
      <c r="J100" s="460"/>
      <c r="K100" s="460"/>
      <c r="L100" s="460"/>
      <c r="M100" s="460"/>
      <c r="N100" s="460"/>
      <c r="O100" s="460"/>
      <c r="P100" s="460"/>
      <c r="Q100" s="460"/>
      <c r="R100" s="460"/>
    </row>
    <row r="101" spans="1:18" hidden="1">
      <c r="A101" s="460">
        <f t="shared" si="6"/>
        <v>90</v>
      </c>
      <c r="B101" s="460" t="s">
        <v>828</v>
      </c>
      <c r="C101" s="460" t="s">
        <v>829</v>
      </c>
      <c r="D101" s="460">
        <v>63</v>
      </c>
      <c r="E101" s="460">
        <v>33</v>
      </c>
      <c r="F101" s="460">
        <v>39.6</v>
      </c>
      <c r="G101" s="460">
        <f t="shared" si="4"/>
        <v>0.36299999999999999</v>
      </c>
      <c r="H101" s="460">
        <f t="shared" si="5"/>
        <v>1.0629999999999999</v>
      </c>
      <c r="I101" s="460"/>
      <c r="J101" s="460" t="s">
        <v>451</v>
      </c>
      <c r="K101" s="460">
        <f>+F101</f>
        <v>39.6</v>
      </c>
      <c r="L101" s="460">
        <f>+G101</f>
        <v>0.36299999999999999</v>
      </c>
      <c r="M101" s="460">
        <f>+K101*L101</f>
        <v>14.3748</v>
      </c>
      <c r="N101" s="460">
        <v>39.6</v>
      </c>
      <c r="O101" s="460">
        <v>0.36299999999999999</v>
      </c>
      <c r="P101" s="460">
        <v>14.3748</v>
      </c>
      <c r="Q101" s="460"/>
      <c r="R101" s="460"/>
    </row>
    <row r="102" spans="1:18" hidden="1">
      <c r="A102" s="460">
        <f t="shared" si="6"/>
        <v>91</v>
      </c>
      <c r="B102" s="460" t="s">
        <v>829</v>
      </c>
      <c r="C102" s="460" t="s">
        <v>503</v>
      </c>
      <c r="D102" s="460">
        <v>63</v>
      </c>
      <c r="E102" s="460">
        <v>118</v>
      </c>
      <c r="F102" s="460">
        <v>31.4</v>
      </c>
      <c r="G102" s="460">
        <f t="shared" si="4"/>
        <v>0.36299999999999999</v>
      </c>
      <c r="H102" s="460">
        <f t="shared" si="5"/>
        <v>1.0629999999999999</v>
      </c>
      <c r="I102" s="460"/>
      <c r="J102" s="460"/>
      <c r="K102" s="460"/>
      <c r="L102" s="460"/>
      <c r="M102" s="460"/>
      <c r="N102" s="460"/>
      <c r="O102" s="460"/>
      <c r="P102" s="460"/>
      <c r="Q102" s="460"/>
      <c r="R102" s="460"/>
    </row>
    <row r="103" spans="1:18" hidden="1">
      <c r="A103" s="460">
        <f t="shared" si="6"/>
        <v>92</v>
      </c>
      <c r="B103" s="460" t="s">
        <v>828</v>
      </c>
      <c r="C103" s="460" t="s">
        <v>828</v>
      </c>
      <c r="D103" s="460">
        <v>63</v>
      </c>
      <c r="E103" s="460"/>
      <c r="F103" s="460">
        <v>4.2</v>
      </c>
      <c r="G103" s="460">
        <f t="shared" si="4"/>
        <v>0.36299999999999999</v>
      </c>
      <c r="H103" s="460">
        <f t="shared" si="5"/>
        <v>1.0629999999999999</v>
      </c>
      <c r="I103" s="460"/>
      <c r="J103" s="460" t="s">
        <v>1942</v>
      </c>
      <c r="K103" s="460">
        <f>+F103</f>
        <v>4.2</v>
      </c>
      <c r="L103" s="460">
        <f>+G103</f>
        <v>0.36299999999999999</v>
      </c>
      <c r="M103" s="460">
        <f>+K103*L103</f>
        <v>1.5246</v>
      </c>
      <c r="N103" s="460">
        <v>4.2</v>
      </c>
      <c r="O103" s="460">
        <v>0.36299999999999999</v>
      </c>
      <c r="P103" s="460">
        <v>1.5246</v>
      </c>
      <c r="Q103" s="460"/>
      <c r="R103" s="460"/>
    </row>
    <row r="104" spans="1:18" hidden="1">
      <c r="A104" s="460">
        <f t="shared" si="6"/>
        <v>93</v>
      </c>
      <c r="B104" s="460" t="s">
        <v>1948</v>
      </c>
      <c r="C104" s="460" t="s">
        <v>1949</v>
      </c>
      <c r="D104" s="460">
        <v>63</v>
      </c>
      <c r="E104" s="460"/>
      <c r="F104" s="460">
        <v>145.69999999999999</v>
      </c>
      <c r="G104" s="460">
        <f t="shared" si="4"/>
        <v>0.36299999999999999</v>
      </c>
      <c r="H104" s="460">
        <f t="shared" si="5"/>
        <v>1.0629999999999999</v>
      </c>
      <c r="I104" s="460"/>
      <c r="J104" s="460"/>
      <c r="K104" s="460"/>
      <c r="L104" s="460"/>
      <c r="M104" s="460"/>
      <c r="N104" s="460"/>
      <c r="O104" s="460"/>
      <c r="P104" s="460"/>
      <c r="Q104" s="460"/>
      <c r="R104" s="460"/>
    </row>
    <row r="105" spans="1:18" hidden="1">
      <c r="A105" s="460">
        <f t="shared" si="6"/>
        <v>94</v>
      </c>
      <c r="B105" s="460" t="s">
        <v>836</v>
      </c>
      <c r="C105" s="460" t="s">
        <v>827</v>
      </c>
      <c r="D105" s="460">
        <v>160</v>
      </c>
      <c r="E105" s="460">
        <v>53</v>
      </c>
      <c r="F105" s="460">
        <v>47</v>
      </c>
      <c r="G105" s="460">
        <f t="shared" si="4"/>
        <v>0.46</v>
      </c>
      <c r="H105" s="460">
        <f t="shared" si="5"/>
        <v>1.1599999999999999</v>
      </c>
      <c r="I105" s="460"/>
      <c r="J105" s="460"/>
      <c r="K105" s="460"/>
      <c r="L105" s="460"/>
      <c r="M105" s="460"/>
      <c r="N105" s="460"/>
      <c r="O105" s="460"/>
      <c r="P105" s="460"/>
      <c r="Q105" s="460"/>
      <c r="R105" s="460"/>
    </row>
    <row r="106" spans="1:18" hidden="1">
      <c r="A106" s="460">
        <f t="shared" si="6"/>
        <v>95</v>
      </c>
      <c r="B106" s="460" t="s">
        <v>827</v>
      </c>
      <c r="C106" s="460" t="s">
        <v>153</v>
      </c>
      <c r="D106" s="460">
        <v>160</v>
      </c>
      <c r="E106" s="460">
        <v>29</v>
      </c>
      <c r="F106" s="460">
        <v>32</v>
      </c>
      <c r="G106" s="460">
        <f t="shared" si="4"/>
        <v>0.46</v>
      </c>
      <c r="H106" s="460">
        <f t="shared" si="5"/>
        <v>1.1599999999999999</v>
      </c>
      <c r="I106" s="460"/>
      <c r="J106" s="460"/>
      <c r="K106" s="460"/>
      <c r="L106" s="460"/>
      <c r="M106" s="460"/>
      <c r="N106" s="460"/>
      <c r="O106" s="460"/>
      <c r="P106" s="460"/>
      <c r="Q106" s="460"/>
      <c r="R106" s="460"/>
    </row>
    <row r="107" spans="1:18" hidden="1">
      <c r="A107" s="460">
        <f t="shared" si="6"/>
        <v>96</v>
      </c>
      <c r="B107" s="460" t="s">
        <v>153</v>
      </c>
      <c r="C107" s="460" t="s">
        <v>119</v>
      </c>
      <c r="D107" s="460">
        <v>160</v>
      </c>
      <c r="E107" s="460">
        <v>57</v>
      </c>
      <c r="F107" s="460">
        <v>59.1</v>
      </c>
      <c r="G107" s="460">
        <f t="shared" si="4"/>
        <v>0.46</v>
      </c>
      <c r="H107" s="460">
        <f t="shared" si="5"/>
        <v>1.1599999999999999</v>
      </c>
      <c r="I107" s="460"/>
      <c r="J107" s="460"/>
      <c r="K107" s="460"/>
      <c r="L107" s="460"/>
      <c r="M107" s="460"/>
      <c r="N107" s="460"/>
      <c r="O107" s="460"/>
      <c r="P107" s="460"/>
      <c r="Q107" s="460"/>
      <c r="R107" s="460"/>
    </row>
    <row r="108" spans="1:18">
      <c r="A108" s="460">
        <f t="shared" si="6"/>
        <v>97</v>
      </c>
      <c r="B108" s="460" t="s">
        <v>836</v>
      </c>
      <c r="C108" s="460" t="s">
        <v>827</v>
      </c>
      <c r="D108" s="460">
        <v>160</v>
      </c>
      <c r="E108" s="460"/>
      <c r="F108" s="460">
        <v>4</v>
      </c>
      <c r="G108" s="460">
        <f t="shared" si="4"/>
        <v>0.46</v>
      </c>
      <c r="H108" s="460">
        <f t="shared" si="5"/>
        <v>1.1599999999999999</v>
      </c>
      <c r="I108" s="460"/>
      <c r="J108" s="460" t="s">
        <v>1945</v>
      </c>
      <c r="K108" s="460">
        <f>+F108</f>
        <v>4</v>
      </c>
      <c r="L108" s="460">
        <f>+G108</f>
        <v>0.46</v>
      </c>
      <c r="M108" s="460">
        <f>+K108*L108</f>
        <v>1.84</v>
      </c>
      <c r="N108" s="460">
        <v>4</v>
      </c>
      <c r="O108" s="460">
        <v>0.46</v>
      </c>
      <c r="P108" s="460">
        <v>1.84</v>
      </c>
      <c r="Q108" s="460"/>
      <c r="R108" s="460"/>
    </row>
    <row r="109" spans="1:18" hidden="1">
      <c r="A109" s="460">
        <f t="shared" si="6"/>
        <v>98</v>
      </c>
      <c r="B109" s="460" t="s">
        <v>827</v>
      </c>
      <c r="C109" s="460" t="s">
        <v>925</v>
      </c>
      <c r="D109" s="460">
        <v>63</v>
      </c>
      <c r="E109" s="460">
        <v>20</v>
      </c>
      <c r="F109" s="460">
        <v>28.9</v>
      </c>
      <c r="G109" s="460">
        <f t="shared" si="4"/>
        <v>0.36299999999999999</v>
      </c>
      <c r="H109" s="460">
        <f t="shared" si="5"/>
        <v>1.0629999999999999</v>
      </c>
      <c r="I109" s="460"/>
      <c r="J109" s="460"/>
      <c r="K109" s="460"/>
      <c r="L109" s="460"/>
      <c r="M109" s="460"/>
      <c r="N109" s="460"/>
      <c r="O109" s="460"/>
      <c r="P109" s="460"/>
      <c r="Q109" s="460"/>
      <c r="R109" s="460"/>
    </row>
    <row r="110" spans="1:18" hidden="1">
      <c r="A110" s="460">
        <f t="shared" si="6"/>
        <v>99</v>
      </c>
      <c r="B110" s="460" t="s">
        <v>119</v>
      </c>
      <c r="C110" s="460" t="s">
        <v>169</v>
      </c>
      <c r="D110" s="460">
        <v>63</v>
      </c>
      <c r="E110" s="460">
        <v>53</v>
      </c>
      <c r="F110" s="460">
        <v>51</v>
      </c>
      <c r="G110" s="460">
        <f t="shared" si="4"/>
        <v>0.36299999999999999</v>
      </c>
      <c r="H110" s="460">
        <f t="shared" si="5"/>
        <v>1.0629999999999999</v>
      </c>
      <c r="I110" s="460"/>
      <c r="J110" s="460"/>
      <c r="K110" s="460"/>
      <c r="L110" s="460"/>
      <c r="M110" s="460"/>
      <c r="N110" s="460"/>
      <c r="O110" s="460"/>
      <c r="P110" s="460"/>
      <c r="Q110" s="460"/>
      <c r="R110" s="460"/>
    </row>
    <row r="111" spans="1:18" hidden="1">
      <c r="A111" s="460">
        <f t="shared" si="6"/>
        <v>100</v>
      </c>
      <c r="B111" s="460" t="s">
        <v>169</v>
      </c>
      <c r="C111" s="460" t="s">
        <v>1516</v>
      </c>
      <c r="D111" s="460">
        <v>63</v>
      </c>
      <c r="E111" s="460">
        <v>51</v>
      </c>
      <c r="F111" s="460">
        <v>50</v>
      </c>
      <c r="G111" s="460">
        <f t="shared" si="4"/>
        <v>0.36299999999999999</v>
      </c>
      <c r="H111" s="460">
        <f t="shared" si="5"/>
        <v>1.0629999999999999</v>
      </c>
      <c r="I111" s="460"/>
      <c r="J111" s="460"/>
      <c r="K111" s="460"/>
      <c r="L111" s="460"/>
      <c r="M111" s="460"/>
      <c r="N111" s="460"/>
      <c r="O111" s="460"/>
      <c r="P111" s="460"/>
      <c r="Q111" s="460"/>
      <c r="R111" s="460"/>
    </row>
    <row r="112" spans="1:18" hidden="1">
      <c r="A112" s="460">
        <f t="shared" si="6"/>
        <v>101</v>
      </c>
      <c r="B112" s="460" t="s">
        <v>169</v>
      </c>
      <c r="C112" s="460" t="s">
        <v>169</v>
      </c>
      <c r="D112" s="460">
        <v>63</v>
      </c>
      <c r="E112" s="460"/>
      <c r="F112" s="460">
        <v>4</v>
      </c>
      <c r="G112" s="460">
        <f t="shared" si="4"/>
        <v>0.36299999999999999</v>
      </c>
      <c r="H112" s="460">
        <f t="shared" si="5"/>
        <v>1.0629999999999999</v>
      </c>
      <c r="I112" s="460"/>
      <c r="J112" s="460" t="s">
        <v>1942</v>
      </c>
      <c r="K112" s="460">
        <f>+F112</f>
        <v>4</v>
      </c>
      <c r="L112" s="460">
        <f>+G112</f>
        <v>0.36299999999999999</v>
      </c>
      <c r="M112" s="460">
        <f>+K112*L112</f>
        <v>1.452</v>
      </c>
      <c r="N112" s="460">
        <v>4</v>
      </c>
      <c r="O112" s="460">
        <v>0.36299999999999999</v>
      </c>
      <c r="P112" s="460">
        <v>1.452</v>
      </c>
      <c r="Q112" s="460"/>
      <c r="R112" s="460"/>
    </row>
    <row r="113" spans="1:18" hidden="1">
      <c r="A113" s="460">
        <f t="shared" si="6"/>
        <v>102</v>
      </c>
      <c r="B113" s="460" t="s">
        <v>1516</v>
      </c>
      <c r="C113" s="460" t="s">
        <v>154</v>
      </c>
      <c r="D113" s="460">
        <v>63</v>
      </c>
      <c r="E113" s="460">
        <v>42</v>
      </c>
      <c r="F113" s="460">
        <v>31</v>
      </c>
      <c r="G113" s="460">
        <f t="shared" si="4"/>
        <v>0.36299999999999999</v>
      </c>
      <c r="H113" s="460">
        <f t="shared" si="5"/>
        <v>1.0629999999999999</v>
      </c>
      <c r="I113" s="460"/>
      <c r="J113" s="460"/>
      <c r="K113" s="460"/>
      <c r="L113" s="460"/>
      <c r="M113" s="460"/>
      <c r="N113" s="460"/>
      <c r="O113" s="460"/>
      <c r="P113" s="460"/>
      <c r="Q113" s="460"/>
      <c r="R113" s="460"/>
    </row>
    <row r="114" spans="1:18" hidden="1">
      <c r="A114" s="460">
        <f t="shared" si="6"/>
        <v>103</v>
      </c>
      <c r="B114" s="460" t="s">
        <v>1516</v>
      </c>
      <c r="C114" s="460" t="s">
        <v>152</v>
      </c>
      <c r="D114" s="460">
        <v>63</v>
      </c>
      <c r="E114" s="460">
        <v>28</v>
      </c>
      <c r="F114" s="460">
        <v>19.899999999999999</v>
      </c>
      <c r="G114" s="460">
        <f t="shared" si="4"/>
        <v>0.36299999999999999</v>
      </c>
      <c r="H114" s="460">
        <f t="shared" si="5"/>
        <v>1.0629999999999999</v>
      </c>
      <c r="I114" s="460"/>
      <c r="J114" s="460"/>
      <c r="K114" s="460"/>
      <c r="L114" s="460"/>
      <c r="M114" s="460"/>
      <c r="N114" s="460"/>
      <c r="O114" s="460"/>
      <c r="P114" s="460"/>
      <c r="Q114" s="460"/>
      <c r="R114" s="460"/>
    </row>
    <row r="115" spans="1:18" hidden="1">
      <c r="A115" s="460">
        <f t="shared" si="6"/>
        <v>104</v>
      </c>
      <c r="B115" s="460" t="s">
        <v>1950</v>
      </c>
      <c r="C115" s="460" t="s">
        <v>1951</v>
      </c>
      <c r="D115" s="460">
        <v>63</v>
      </c>
      <c r="E115" s="460" t="s">
        <v>1952</v>
      </c>
      <c r="F115" s="460">
        <v>17</v>
      </c>
      <c r="G115" s="460">
        <f t="shared" si="4"/>
        <v>0.36299999999999999</v>
      </c>
      <c r="H115" s="460">
        <f t="shared" si="5"/>
        <v>1.0629999999999999</v>
      </c>
      <c r="I115" s="460"/>
      <c r="J115" s="460"/>
      <c r="K115" s="460"/>
      <c r="L115" s="460"/>
      <c r="M115" s="460"/>
      <c r="N115" s="460"/>
      <c r="O115" s="460"/>
      <c r="P115" s="460"/>
      <c r="Q115" s="460"/>
      <c r="R115" s="460"/>
    </row>
    <row r="116" spans="1:18" hidden="1">
      <c r="A116" s="460">
        <f t="shared" si="6"/>
        <v>105</v>
      </c>
      <c r="B116" s="460" t="s">
        <v>152</v>
      </c>
      <c r="C116" s="460" t="s">
        <v>117</v>
      </c>
      <c r="D116" s="460">
        <v>63</v>
      </c>
      <c r="E116" s="460"/>
      <c r="F116" s="460">
        <v>39.1</v>
      </c>
      <c r="G116" s="460">
        <f t="shared" si="4"/>
        <v>0.36299999999999999</v>
      </c>
      <c r="H116" s="460">
        <f t="shared" si="5"/>
        <v>1.0629999999999999</v>
      </c>
      <c r="I116" s="460"/>
      <c r="J116" s="460"/>
      <c r="K116" s="460"/>
      <c r="L116" s="460"/>
      <c r="M116" s="460"/>
      <c r="N116" s="460"/>
      <c r="O116" s="460"/>
      <c r="P116" s="460"/>
      <c r="Q116" s="460"/>
      <c r="R116" s="460"/>
    </row>
    <row r="117" spans="1:18" hidden="1">
      <c r="A117" s="460">
        <f t="shared" si="6"/>
        <v>106</v>
      </c>
      <c r="B117" s="460" t="s">
        <v>117</v>
      </c>
      <c r="C117" s="460" t="s">
        <v>116</v>
      </c>
      <c r="D117" s="460">
        <v>63</v>
      </c>
      <c r="E117" s="460"/>
      <c r="F117" s="460">
        <v>15.9</v>
      </c>
      <c r="G117" s="460">
        <f t="shared" si="4"/>
        <v>0.36299999999999999</v>
      </c>
      <c r="H117" s="460">
        <f t="shared" si="5"/>
        <v>1.0629999999999999</v>
      </c>
      <c r="I117" s="460"/>
      <c r="J117" s="460"/>
      <c r="K117" s="460"/>
      <c r="L117" s="460"/>
      <c r="M117" s="460"/>
      <c r="N117" s="460"/>
      <c r="O117" s="460"/>
      <c r="P117" s="460"/>
      <c r="Q117" s="460"/>
      <c r="R117" s="460"/>
    </row>
    <row r="118" spans="1:18" hidden="1">
      <c r="A118" s="460">
        <f t="shared" si="6"/>
        <v>107</v>
      </c>
      <c r="B118" s="460" t="s">
        <v>117</v>
      </c>
      <c r="C118" s="460" t="s">
        <v>145</v>
      </c>
      <c r="D118" s="460">
        <v>63</v>
      </c>
      <c r="E118" s="460">
        <v>54</v>
      </c>
      <c r="F118" s="460">
        <v>66</v>
      </c>
      <c r="G118" s="460">
        <f t="shared" si="4"/>
        <v>0.36299999999999999</v>
      </c>
      <c r="H118" s="460">
        <f t="shared" si="5"/>
        <v>1.0629999999999999</v>
      </c>
      <c r="I118" s="460"/>
      <c r="J118" s="460"/>
      <c r="K118" s="460"/>
      <c r="L118" s="460"/>
      <c r="M118" s="460"/>
      <c r="N118" s="460"/>
      <c r="O118" s="460"/>
      <c r="P118" s="460"/>
      <c r="Q118" s="460"/>
      <c r="R118" s="460"/>
    </row>
    <row r="119" spans="1:18" hidden="1">
      <c r="A119" s="460">
        <f t="shared" si="6"/>
        <v>108</v>
      </c>
      <c r="B119" s="460" t="s">
        <v>161</v>
      </c>
      <c r="C119" s="460" t="s">
        <v>166</v>
      </c>
      <c r="D119" s="460">
        <v>63</v>
      </c>
      <c r="E119" s="460"/>
      <c r="F119" s="460">
        <v>72.5</v>
      </c>
      <c r="G119" s="460">
        <f t="shared" si="4"/>
        <v>0.36299999999999999</v>
      </c>
      <c r="H119" s="460">
        <f t="shared" si="5"/>
        <v>1.0629999999999999</v>
      </c>
      <c r="I119" s="460"/>
      <c r="J119" s="460"/>
      <c r="K119" s="460"/>
      <c r="L119" s="460"/>
      <c r="M119" s="460"/>
      <c r="N119" s="460"/>
      <c r="O119" s="460"/>
      <c r="P119" s="460"/>
      <c r="Q119" s="460"/>
      <c r="R119" s="460"/>
    </row>
    <row r="120" spans="1:18" hidden="1">
      <c r="A120" s="460">
        <f t="shared" si="6"/>
        <v>109</v>
      </c>
      <c r="B120" s="460" t="s">
        <v>166</v>
      </c>
      <c r="C120" s="460" t="s">
        <v>165</v>
      </c>
      <c r="D120" s="460">
        <v>63</v>
      </c>
      <c r="E120" s="460">
        <v>192</v>
      </c>
      <c r="F120" s="460">
        <v>208</v>
      </c>
      <c r="G120" s="460">
        <f t="shared" si="4"/>
        <v>0.36299999999999999</v>
      </c>
      <c r="H120" s="460">
        <f t="shared" si="5"/>
        <v>1.0629999999999999</v>
      </c>
      <c r="I120" s="460"/>
      <c r="J120" s="460"/>
      <c r="K120" s="460"/>
      <c r="L120" s="460"/>
      <c r="M120" s="460"/>
      <c r="N120" s="460"/>
      <c r="O120" s="460"/>
      <c r="P120" s="460"/>
      <c r="Q120" s="460"/>
      <c r="R120" s="460"/>
    </row>
    <row r="121" spans="1:18" hidden="1">
      <c r="A121" s="460">
        <f t="shared" si="6"/>
        <v>110</v>
      </c>
      <c r="B121" s="460" t="s">
        <v>165</v>
      </c>
      <c r="C121" s="460" t="s">
        <v>110</v>
      </c>
      <c r="D121" s="460">
        <v>63</v>
      </c>
      <c r="E121" s="460">
        <v>43</v>
      </c>
      <c r="F121" s="460">
        <v>65</v>
      </c>
      <c r="G121" s="460">
        <f t="shared" si="4"/>
        <v>0.36299999999999999</v>
      </c>
      <c r="H121" s="460">
        <f t="shared" si="5"/>
        <v>1.0629999999999999</v>
      </c>
      <c r="I121" s="460"/>
      <c r="J121" s="460"/>
      <c r="K121" s="460"/>
      <c r="L121" s="460"/>
      <c r="M121" s="460"/>
      <c r="N121" s="460"/>
      <c r="O121" s="460"/>
      <c r="P121" s="460"/>
      <c r="Q121" s="460"/>
      <c r="R121" s="460"/>
    </row>
    <row r="122" spans="1:18" hidden="1">
      <c r="A122" s="460">
        <f t="shared" si="6"/>
        <v>111</v>
      </c>
      <c r="B122" s="460" t="s">
        <v>146</v>
      </c>
      <c r="C122" s="460" t="s">
        <v>163</v>
      </c>
      <c r="D122" s="460">
        <v>63</v>
      </c>
      <c r="E122" s="460">
        <v>73</v>
      </c>
      <c r="F122" s="460">
        <v>73</v>
      </c>
      <c r="G122" s="460">
        <f t="shared" si="4"/>
        <v>0.36299999999999999</v>
      </c>
      <c r="H122" s="460">
        <f t="shared" si="5"/>
        <v>1.0629999999999999</v>
      </c>
      <c r="I122" s="460"/>
      <c r="J122" s="460"/>
      <c r="K122" s="460"/>
      <c r="L122" s="460"/>
      <c r="M122" s="460"/>
      <c r="N122" s="460"/>
      <c r="O122" s="460"/>
      <c r="P122" s="460"/>
      <c r="Q122" s="460"/>
      <c r="R122" s="460"/>
    </row>
    <row r="123" spans="1:18" hidden="1">
      <c r="A123" s="460">
        <f t="shared" si="6"/>
        <v>112</v>
      </c>
      <c r="B123" s="460" t="s">
        <v>1953</v>
      </c>
      <c r="C123" s="460" t="s">
        <v>1954</v>
      </c>
      <c r="D123" s="460">
        <v>63</v>
      </c>
      <c r="E123" s="460" t="s">
        <v>1952</v>
      </c>
      <c r="F123" s="460">
        <v>176</v>
      </c>
      <c r="G123" s="460">
        <f t="shared" si="4"/>
        <v>0.36299999999999999</v>
      </c>
      <c r="H123" s="460">
        <f t="shared" si="5"/>
        <v>1.0629999999999999</v>
      </c>
      <c r="I123" s="460"/>
      <c r="J123" s="460"/>
      <c r="K123" s="460"/>
      <c r="L123" s="460"/>
      <c r="M123" s="460"/>
      <c r="N123" s="460"/>
      <c r="O123" s="460"/>
      <c r="P123" s="460"/>
      <c r="Q123" s="460"/>
      <c r="R123" s="460"/>
    </row>
    <row r="124" spans="1:18" hidden="1">
      <c r="A124" s="460">
        <f t="shared" si="6"/>
        <v>113</v>
      </c>
      <c r="B124" s="460" t="s">
        <v>66</v>
      </c>
      <c r="C124" s="460" t="s">
        <v>722</v>
      </c>
      <c r="D124" s="460">
        <v>63</v>
      </c>
      <c r="E124" s="460">
        <v>94</v>
      </c>
      <c r="F124" s="460">
        <v>93.9</v>
      </c>
      <c r="G124" s="460">
        <f t="shared" si="4"/>
        <v>0.36299999999999999</v>
      </c>
      <c r="H124" s="460">
        <f t="shared" si="5"/>
        <v>1.0629999999999999</v>
      </c>
      <c r="I124" s="460"/>
      <c r="J124" s="460" t="s">
        <v>451</v>
      </c>
      <c r="K124" s="460">
        <f>+F124</f>
        <v>93.9</v>
      </c>
      <c r="L124" s="460">
        <f>+G124</f>
        <v>0.36299999999999999</v>
      </c>
      <c r="M124" s="460">
        <f>+K124*L124</f>
        <v>34.085700000000003</v>
      </c>
      <c r="N124" s="460">
        <v>93.9</v>
      </c>
      <c r="O124" s="460">
        <v>0.36299999999999999</v>
      </c>
      <c r="P124" s="460">
        <v>34.085700000000003</v>
      </c>
      <c r="Q124" s="460"/>
      <c r="R124" s="460"/>
    </row>
    <row r="125" spans="1:18" hidden="1">
      <c r="A125" s="460">
        <f t="shared" si="6"/>
        <v>114</v>
      </c>
      <c r="B125" s="460" t="s">
        <v>722</v>
      </c>
      <c r="C125" s="460" t="s">
        <v>1356</v>
      </c>
      <c r="D125" s="460">
        <v>63</v>
      </c>
      <c r="E125" s="460">
        <v>22</v>
      </c>
      <c r="F125" s="460">
        <v>19.7</v>
      </c>
      <c r="G125" s="460">
        <f t="shared" si="4"/>
        <v>0.36299999999999999</v>
      </c>
      <c r="H125" s="460">
        <f t="shared" si="5"/>
        <v>1.0629999999999999</v>
      </c>
      <c r="I125" s="460"/>
      <c r="J125" s="460" t="s">
        <v>451</v>
      </c>
      <c r="K125" s="460">
        <f>+F125</f>
        <v>19.7</v>
      </c>
      <c r="L125" s="460">
        <f>+G125</f>
        <v>0.36299999999999999</v>
      </c>
      <c r="M125" s="460">
        <f>+K125*L125</f>
        <v>7.1510999999999996</v>
      </c>
      <c r="N125" s="460">
        <v>19.7</v>
      </c>
      <c r="O125" s="460">
        <v>0.36299999999999999</v>
      </c>
      <c r="P125" s="460">
        <v>7.1510999999999996</v>
      </c>
      <c r="Q125" s="460"/>
      <c r="R125" s="460"/>
    </row>
    <row r="126" spans="1:18" hidden="1">
      <c r="A126" s="460">
        <f t="shared" si="6"/>
        <v>115</v>
      </c>
      <c r="B126" s="460" t="s">
        <v>722</v>
      </c>
      <c r="C126" s="460" t="s">
        <v>1356</v>
      </c>
      <c r="D126" s="460">
        <v>63</v>
      </c>
      <c r="E126" s="460"/>
      <c r="F126" s="460">
        <v>7</v>
      </c>
      <c r="G126" s="460">
        <f t="shared" si="4"/>
        <v>0.36299999999999999</v>
      </c>
      <c r="H126" s="460">
        <f t="shared" si="5"/>
        <v>1.0629999999999999</v>
      </c>
      <c r="I126" s="460"/>
      <c r="J126" s="460"/>
      <c r="K126" s="460"/>
      <c r="L126" s="460"/>
      <c r="M126" s="460"/>
      <c r="N126" s="460"/>
      <c r="O126" s="460"/>
      <c r="P126" s="460"/>
      <c r="Q126" s="460"/>
      <c r="R126" s="460"/>
    </row>
    <row r="127" spans="1:18" hidden="1">
      <c r="A127" s="460">
        <f t="shared" si="6"/>
        <v>116</v>
      </c>
      <c r="B127" s="460" t="s">
        <v>1356</v>
      </c>
      <c r="C127" s="460" t="s">
        <v>112</v>
      </c>
      <c r="D127" s="460">
        <v>63</v>
      </c>
      <c r="E127" s="460">
        <v>28</v>
      </c>
      <c r="F127" s="460">
        <v>15.4</v>
      </c>
      <c r="G127" s="460">
        <f t="shared" si="4"/>
        <v>0.36299999999999999</v>
      </c>
      <c r="H127" s="460">
        <f t="shared" si="5"/>
        <v>1.0629999999999999</v>
      </c>
      <c r="I127" s="460"/>
      <c r="J127" s="460"/>
      <c r="K127" s="460"/>
      <c r="L127" s="460"/>
      <c r="M127" s="460"/>
      <c r="N127" s="460"/>
      <c r="O127" s="460"/>
      <c r="P127" s="460"/>
      <c r="Q127" s="460"/>
      <c r="R127" s="460"/>
    </row>
    <row r="128" spans="1:18" hidden="1">
      <c r="A128" s="460">
        <f t="shared" si="6"/>
        <v>117</v>
      </c>
      <c r="B128" s="460" t="s">
        <v>42</v>
      </c>
      <c r="C128" s="460" t="s">
        <v>61</v>
      </c>
      <c r="D128" s="460">
        <v>63</v>
      </c>
      <c r="E128" s="460">
        <v>88</v>
      </c>
      <c r="F128" s="460">
        <v>85.4</v>
      </c>
      <c r="G128" s="460">
        <f t="shared" si="4"/>
        <v>0.36299999999999999</v>
      </c>
      <c r="H128" s="460">
        <f t="shared" si="5"/>
        <v>1.0629999999999999</v>
      </c>
      <c r="I128" s="460"/>
      <c r="J128" s="460"/>
      <c r="K128" s="460"/>
      <c r="L128" s="460"/>
      <c r="M128" s="460"/>
      <c r="N128" s="460"/>
      <c r="O128" s="460"/>
      <c r="P128" s="460"/>
      <c r="Q128" s="460"/>
      <c r="R128" s="460"/>
    </row>
    <row r="129" spans="1:18" hidden="1">
      <c r="A129" s="460">
        <f t="shared" si="6"/>
        <v>118</v>
      </c>
      <c r="B129" s="460" t="s">
        <v>42</v>
      </c>
      <c r="C129" s="460" t="s">
        <v>61</v>
      </c>
      <c r="D129" s="460">
        <v>63</v>
      </c>
      <c r="E129" s="460"/>
      <c r="F129" s="460">
        <v>4</v>
      </c>
      <c r="G129" s="460">
        <f t="shared" si="4"/>
        <v>0.36299999999999999</v>
      </c>
      <c r="H129" s="460">
        <f t="shared" si="5"/>
        <v>1.0629999999999999</v>
      </c>
      <c r="I129" s="460"/>
      <c r="J129" s="460" t="s">
        <v>451</v>
      </c>
      <c r="K129" s="460">
        <f t="shared" ref="K129:L131" si="7">+F129</f>
        <v>4</v>
      </c>
      <c r="L129" s="460">
        <f t="shared" si="7"/>
        <v>0.36299999999999999</v>
      </c>
      <c r="M129" s="460">
        <f>+K129*L129</f>
        <v>1.452</v>
      </c>
      <c r="N129" s="460">
        <v>4</v>
      </c>
      <c r="O129" s="460">
        <v>0.36299999999999999</v>
      </c>
      <c r="P129" s="460">
        <v>1.452</v>
      </c>
      <c r="Q129" s="460"/>
      <c r="R129" s="460"/>
    </row>
    <row r="130" spans="1:18" hidden="1">
      <c r="A130" s="460">
        <f t="shared" si="6"/>
        <v>119</v>
      </c>
      <c r="B130" s="460" t="s">
        <v>894</v>
      </c>
      <c r="C130" s="460" t="s">
        <v>61</v>
      </c>
      <c r="D130" s="460">
        <v>160</v>
      </c>
      <c r="E130" s="460">
        <v>72</v>
      </c>
      <c r="F130" s="460">
        <v>70</v>
      </c>
      <c r="G130" s="460">
        <f t="shared" si="4"/>
        <v>0.46</v>
      </c>
      <c r="H130" s="460">
        <f t="shared" si="5"/>
        <v>1.1599999999999999</v>
      </c>
      <c r="I130" s="460"/>
      <c r="J130" s="460" t="s">
        <v>451</v>
      </c>
      <c r="K130" s="460">
        <f t="shared" si="7"/>
        <v>70</v>
      </c>
      <c r="L130" s="460">
        <f t="shared" si="7"/>
        <v>0.46</v>
      </c>
      <c r="M130" s="460">
        <f>+K130*L130</f>
        <v>32.200000000000003</v>
      </c>
      <c r="N130" s="460">
        <v>70</v>
      </c>
      <c r="O130" s="460">
        <v>0.46</v>
      </c>
      <c r="P130" s="460">
        <v>32.200000000000003</v>
      </c>
      <c r="Q130" s="460"/>
      <c r="R130" s="460"/>
    </row>
    <row r="131" spans="1:18" hidden="1">
      <c r="A131" s="460">
        <f t="shared" si="6"/>
        <v>120</v>
      </c>
      <c r="B131" s="460" t="s">
        <v>61</v>
      </c>
      <c r="C131" s="460" t="s">
        <v>1241</v>
      </c>
      <c r="D131" s="460">
        <v>160</v>
      </c>
      <c r="E131" s="460">
        <v>48</v>
      </c>
      <c r="F131" s="460">
        <v>56</v>
      </c>
      <c r="G131" s="460">
        <f t="shared" si="4"/>
        <v>0.46</v>
      </c>
      <c r="H131" s="460">
        <f t="shared" si="5"/>
        <v>1.1599999999999999</v>
      </c>
      <c r="I131" s="460"/>
      <c r="J131" s="460" t="s">
        <v>451</v>
      </c>
      <c r="K131" s="460">
        <f t="shared" si="7"/>
        <v>56</v>
      </c>
      <c r="L131" s="460">
        <f t="shared" si="7"/>
        <v>0.46</v>
      </c>
      <c r="M131" s="460">
        <f>+K131*L131</f>
        <v>25.76</v>
      </c>
      <c r="N131" s="460">
        <v>56</v>
      </c>
      <c r="O131" s="460">
        <v>0.46</v>
      </c>
      <c r="P131" s="460">
        <v>25.76</v>
      </c>
      <c r="Q131" s="460"/>
      <c r="R131" s="460"/>
    </row>
    <row r="132" spans="1:18" hidden="1">
      <c r="A132" s="460">
        <f t="shared" si="6"/>
        <v>121</v>
      </c>
      <c r="B132" s="460" t="s">
        <v>1241</v>
      </c>
      <c r="C132" s="460" t="s">
        <v>49</v>
      </c>
      <c r="D132" s="460">
        <v>63</v>
      </c>
      <c r="E132" s="460">
        <v>57</v>
      </c>
      <c r="F132" s="460">
        <v>53.9</v>
      </c>
      <c r="G132" s="460">
        <f t="shared" si="4"/>
        <v>0.36299999999999999</v>
      </c>
      <c r="H132" s="460">
        <f t="shared" si="5"/>
        <v>1.0629999999999999</v>
      </c>
      <c r="I132" s="460"/>
      <c r="J132" s="460"/>
      <c r="K132" s="460"/>
      <c r="L132" s="460"/>
      <c r="M132" s="460"/>
      <c r="N132" s="460"/>
      <c r="O132" s="460"/>
      <c r="P132" s="460"/>
      <c r="Q132" s="460"/>
      <c r="R132" s="460"/>
    </row>
    <row r="133" spans="1:18" hidden="1">
      <c r="A133" s="460">
        <f t="shared" si="6"/>
        <v>122</v>
      </c>
      <c r="B133" s="460" t="s">
        <v>49</v>
      </c>
      <c r="C133" s="460" t="s">
        <v>732</v>
      </c>
      <c r="D133" s="460">
        <v>63</v>
      </c>
      <c r="E133" s="460">
        <v>31</v>
      </c>
      <c r="F133" s="460">
        <v>55</v>
      </c>
      <c r="G133" s="460">
        <f t="shared" si="4"/>
        <v>0.36299999999999999</v>
      </c>
      <c r="H133" s="460">
        <f t="shared" si="5"/>
        <v>1.0629999999999999</v>
      </c>
      <c r="I133" s="460"/>
      <c r="J133" s="460"/>
      <c r="K133" s="460"/>
      <c r="L133" s="460"/>
      <c r="M133" s="460"/>
      <c r="N133" s="460"/>
      <c r="O133" s="460"/>
      <c r="P133" s="460"/>
      <c r="Q133" s="460"/>
      <c r="R133" s="460"/>
    </row>
    <row r="134" spans="1:18" hidden="1">
      <c r="A134" s="460">
        <f t="shared" si="6"/>
        <v>123</v>
      </c>
      <c r="B134" s="460" t="s">
        <v>49</v>
      </c>
      <c r="C134" s="460" t="s">
        <v>50</v>
      </c>
      <c r="D134" s="460">
        <v>63</v>
      </c>
      <c r="E134" s="460">
        <v>15</v>
      </c>
      <c r="F134" s="460">
        <v>42.9</v>
      </c>
      <c r="G134" s="460">
        <f t="shared" si="4"/>
        <v>0.36299999999999999</v>
      </c>
      <c r="H134" s="460">
        <f t="shared" si="5"/>
        <v>1.0629999999999999</v>
      </c>
      <c r="I134" s="460"/>
      <c r="J134" s="460"/>
      <c r="K134" s="460"/>
      <c r="L134" s="460"/>
      <c r="M134" s="460"/>
      <c r="N134" s="460"/>
      <c r="O134" s="460"/>
      <c r="P134" s="460"/>
      <c r="Q134" s="460"/>
      <c r="R134" s="460"/>
    </row>
    <row r="135" spans="1:18" hidden="1">
      <c r="A135" s="460">
        <f t="shared" si="6"/>
        <v>124</v>
      </c>
      <c r="B135" s="460" t="s">
        <v>1241</v>
      </c>
      <c r="C135" s="460" t="s">
        <v>1418</v>
      </c>
      <c r="D135" s="460">
        <v>160</v>
      </c>
      <c r="E135" s="460">
        <v>269</v>
      </c>
      <c r="F135" s="460">
        <v>278.60000000000002</v>
      </c>
      <c r="G135" s="460">
        <f t="shared" si="4"/>
        <v>0.46</v>
      </c>
      <c r="H135" s="460">
        <f t="shared" si="5"/>
        <v>1.1599999999999999</v>
      </c>
      <c r="I135" s="460"/>
      <c r="J135" s="460" t="s">
        <v>451</v>
      </c>
      <c r="K135" s="460">
        <f>+F135</f>
        <v>278.60000000000002</v>
      </c>
      <c r="L135" s="460">
        <f>+G135</f>
        <v>0.46</v>
      </c>
      <c r="M135" s="460">
        <f>+K135*L135</f>
        <v>128.15600000000001</v>
      </c>
      <c r="N135" s="460">
        <v>278.60000000000002</v>
      </c>
      <c r="O135" s="460">
        <v>0.46</v>
      </c>
      <c r="P135" s="460">
        <v>128.15600000000001</v>
      </c>
      <c r="Q135" s="460"/>
      <c r="R135" s="460"/>
    </row>
    <row r="136" spans="1:18" hidden="1">
      <c r="A136" s="460">
        <f t="shared" si="6"/>
        <v>125</v>
      </c>
      <c r="B136" s="460" t="s">
        <v>1418</v>
      </c>
      <c r="C136" s="460" t="s">
        <v>726</v>
      </c>
      <c r="D136" s="460">
        <v>160</v>
      </c>
      <c r="E136" s="460">
        <v>203</v>
      </c>
      <c r="F136" s="460">
        <v>217.9</v>
      </c>
      <c r="G136" s="460">
        <f t="shared" si="4"/>
        <v>0.46</v>
      </c>
      <c r="H136" s="460">
        <f t="shared" si="5"/>
        <v>1.1599999999999999</v>
      </c>
      <c r="I136" s="460"/>
      <c r="J136" s="460" t="s">
        <v>451</v>
      </c>
      <c r="K136" s="460">
        <f>+F136</f>
        <v>217.9</v>
      </c>
      <c r="L136" s="460">
        <f>+G136</f>
        <v>0.46</v>
      </c>
      <c r="M136" s="460">
        <f>+K136*L136</f>
        <v>100.23400000000001</v>
      </c>
      <c r="N136" s="460">
        <v>217.9</v>
      </c>
      <c r="O136" s="460">
        <v>0.46</v>
      </c>
      <c r="P136" s="460">
        <v>100.23400000000001</v>
      </c>
      <c r="Q136" s="460"/>
      <c r="R136" s="460"/>
    </row>
    <row r="137" spans="1:18" hidden="1">
      <c r="A137" s="460">
        <f t="shared" si="6"/>
        <v>126</v>
      </c>
      <c r="B137" s="460" t="s">
        <v>726</v>
      </c>
      <c r="C137" s="460" t="s">
        <v>89</v>
      </c>
      <c r="D137" s="460">
        <v>63</v>
      </c>
      <c r="E137" s="460">
        <v>42</v>
      </c>
      <c r="F137" s="460">
        <v>80</v>
      </c>
      <c r="G137" s="460">
        <f t="shared" si="4"/>
        <v>0.36299999999999999</v>
      </c>
      <c r="H137" s="460">
        <f t="shared" si="5"/>
        <v>1.0629999999999999</v>
      </c>
      <c r="I137" s="460"/>
      <c r="J137" s="460"/>
      <c r="K137" s="460"/>
      <c r="L137" s="460"/>
      <c r="M137" s="460"/>
      <c r="N137" s="460"/>
      <c r="O137" s="460"/>
      <c r="P137" s="460"/>
      <c r="Q137" s="460"/>
      <c r="R137" s="460"/>
    </row>
    <row r="138" spans="1:18" hidden="1">
      <c r="A138" s="460">
        <f t="shared" si="6"/>
        <v>127</v>
      </c>
      <c r="B138" s="460" t="s">
        <v>726</v>
      </c>
      <c r="C138" s="460" t="s">
        <v>88</v>
      </c>
      <c r="D138" s="460">
        <v>63</v>
      </c>
      <c r="E138" s="460">
        <v>54</v>
      </c>
      <c r="F138" s="460">
        <v>57.3</v>
      </c>
      <c r="G138" s="460">
        <f t="shared" si="4"/>
        <v>0.36299999999999999</v>
      </c>
      <c r="H138" s="460">
        <f t="shared" si="5"/>
        <v>1.0629999999999999</v>
      </c>
      <c r="I138" s="460"/>
      <c r="J138" s="460" t="s">
        <v>451</v>
      </c>
      <c r="K138" s="460">
        <f>+F138</f>
        <v>57.3</v>
      </c>
      <c r="L138" s="460">
        <f>+G138</f>
        <v>0.36299999999999999</v>
      </c>
      <c r="M138" s="460">
        <f>+K138*L138</f>
        <v>20.799899999999997</v>
      </c>
      <c r="N138" s="460">
        <v>57.3</v>
      </c>
      <c r="O138" s="460">
        <v>0.36299999999999999</v>
      </c>
      <c r="P138" s="460">
        <v>20.799899999999997</v>
      </c>
      <c r="Q138" s="460"/>
      <c r="R138" s="460"/>
    </row>
    <row r="139" spans="1:18" hidden="1">
      <c r="A139" s="460">
        <f t="shared" si="6"/>
        <v>128</v>
      </c>
      <c r="B139" s="460" t="s">
        <v>88</v>
      </c>
      <c r="C139" s="460" t="s">
        <v>104</v>
      </c>
      <c r="D139" s="460">
        <v>63</v>
      </c>
      <c r="E139" s="460">
        <v>266</v>
      </c>
      <c r="F139" s="460">
        <v>76.7</v>
      </c>
      <c r="G139" s="460">
        <f t="shared" si="4"/>
        <v>0.36299999999999999</v>
      </c>
      <c r="H139" s="460">
        <f t="shared" si="5"/>
        <v>1.0629999999999999</v>
      </c>
      <c r="I139" s="460"/>
      <c r="J139" s="460" t="s">
        <v>451</v>
      </c>
      <c r="K139" s="460">
        <f>+F139</f>
        <v>76.7</v>
      </c>
      <c r="L139" s="460">
        <f>+G139</f>
        <v>0.36299999999999999</v>
      </c>
      <c r="M139" s="460">
        <f>+K139*L139</f>
        <v>27.842099999999999</v>
      </c>
      <c r="N139" s="460">
        <v>76.7</v>
      </c>
      <c r="O139" s="460">
        <v>0.36299999999999999</v>
      </c>
      <c r="P139" s="460">
        <v>27.842099999999999</v>
      </c>
      <c r="Q139" s="460"/>
      <c r="R139" s="460"/>
    </row>
    <row r="140" spans="1:18" hidden="1">
      <c r="A140" s="460">
        <f t="shared" si="6"/>
        <v>129</v>
      </c>
      <c r="B140" s="460" t="s">
        <v>88</v>
      </c>
      <c r="C140" s="460" t="s">
        <v>104</v>
      </c>
      <c r="D140" s="460">
        <v>63</v>
      </c>
      <c r="E140" s="460"/>
      <c r="F140" s="460">
        <v>115.3</v>
      </c>
      <c r="G140" s="460">
        <f t="shared" si="4"/>
        <v>0.36299999999999999</v>
      </c>
      <c r="H140" s="460">
        <f t="shared" si="5"/>
        <v>1.0629999999999999</v>
      </c>
      <c r="I140" s="460"/>
      <c r="J140" s="460"/>
      <c r="K140" s="460"/>
      <c r="L140" s="460"/>
      <c r="M140" s="460"/>
      <c r="N140" s="460"/>
      <c r="O140" s="460"/>
      <c r="P140" s="460"/>
      <c r="Q140" s="460"/>
      <c r="R140" s="460"/>
    </row>
    <row r="141" spans="1:18" hidden="1">
      <c r="A141" s="460">
        <f t="shared" si="6"/>
        <v>130</v>
      </c>
      <c r="B141" s="460" t="s">
        <v>834</v>
      </c>
      <c r="C141" s="460" t="s">
        <v>906</v>
      </c>
      <c r="D141" s="461">
        <v>63140</v>
      </c>
      <c r="E141" s="460">
        <f>77+30</f>
        <v>107</v>
      </c>
      <c r="F141" s="460">
        <v>115.2</v>
      </c>
      <c r="G141" s="460">
        <f t="shared" ref="G141:G190" si="8">(300+D141)/1000</f>
        <v>63.44</v>
      </c>
      <c r="H141" s="460">
        <f t="shared" ref="H141:H190" si="9">+(1000+D141)/1000</f>
        <v>64.14</v>
      </c>
      <c r="I141" s="460"/>
      <c r="J141" s="460"/>
      <c r="K141" s="460"/>
      <c r="L141" s="460"/>
      <c r="M141" s="460"/>
      <c r="N141" s="460"/>
      <c r="O141" s="460"/>
      <c r="P141" s="460"/>
      <c r="Q141" s="460"/>
      <c r="R141" s="460"/>
    </row>
    <row r="142" spans="1:18" hidden="1">
      <c r="A142" s="460">
        <f t="shared" ref="A142:A190" si="10">1+A141</f>
        <v>131</v>
      </c>
      <c r="B142" s="460" t="s">
        <v>906</v>
      </c>
      <c r="C142" s="460" t="s">
        <v>81</v>
      </c>
      <c r="D142" s="461">
        <v>63140</v>
      </c>
      <c r="E142" s="460">
        <v>52</v>
      </c>
      <c r="F142" s="460">
        <v>60</v>
      </c>
      <c r="G142" s="460">
        <f t="shared" si="8"/>
        <v>63.44</v>
      </c>
      <c r="H142" s="460">
        <f t="shared" si="9"/>
        <v>64.14</v>
      </c>
      <c r="I142" s="460"/>
      <c r="J142" s="460"/>
      <c r="K142" s="460"/>
      <c r="L142" s="460"/>
      <c r="M142" s="460"/>
      <c r="N142" s="460"/>
      <c r="O142" s="460"/>
      <c r="P142" s="460"/>
      <c r="Q142" s="460"/>
      <c r="R142" s="460"/>
    </row>
    <row r="143" spans="1:18" hidden="1">
      <c r="A143" s="460">
        <f t="shared" si="10"/>
        <v>132</v>
      </c>
      <c r="B143" s="460" t="s">
        <v>81</v>
      </c>
      <c r="C143" s="460" t="s">
        <v>1360</v>
      </c>
      <c r="D143" s="461">
        <v>63140</v>
      </c>
      <c r="E143" s="460">
        <v>94</v>
      </c>
      <c r="F143" s="460">
        <v>96</v>
      </c>
      <c r="G143" s="460">
        <f t="shared" si="8"/>
        <v>63.44</v>
      </c>
      <c r="H143" s="460">
        <f t="shared" si="9"/>
        <v>64.14</v>
      </c>
      <c r="I143" s="460"/>
      <c r="J143" s="460"/>
      <c r="K143" s="460"/>
      <c r="L143" s="460"/>
      <c r="M143" s="460"/>
      <c r="N143" s="460"/>
      <c r="O143" s="460"/>
      <c r="P143" s="460"/>
      <c r="Q143" s="460"/>
      <c r="R143" s="460"/>
    </row>
    <row r="144" spans="1:18" hidden="1">
      <c r="A144" s="460">
        <f t="shared" si="10"/>
        <v>133</v>
      </c>
      <c r="B144" s="460" t="s">
        <v>1360</v>
      </c>
      <c r="C144" s="460" t="s">
        <v>1955</v>
      </c>
      <c r="D144" s="461">
        <v>140</v>
      </c>
      <c r="E144" s="460">
        <v>37</v>
      </c>
      <c r="F144" s="460">
        <v>33</v>
      </c>
      <c r="G144" s="460">
        <f t="shared" si="8"/>
        <v>0.44</v>
      </c>
      <c r="H144" s="460">
        <f t="shared" si="9"/>
        <v>1.1399999999999999</v>
      </c>
      <c r="I144" s="460"/>
      <c r="J144" s="460"/>
      <c r="K144" s="460"/>
      <c r="L144" s="460"/>
      <c r="M144" s="460"/>
      <c r="N144" s="460"/>
      <c r="O144" s="460"/>
      <c r="P144" s="460"/>
      <c r="Q144" s="460"/>
      <c r="R144" s="460"/>
    </row>
    <row r="145" spans="1:18" hidden="1">
      <c r="A145" s="460">
        <f t="shared" si="10"/>
        <v>134</v>
      </c>
      <c r="B145" s="460" t="s">
        <v>1955</v>
      </c>
      <c r="C145" s="460" t="s">
        <v>1366</v>
      </c>
      <c r="D145" s="461">
        <v>140</v>
      </c>
      <c r="E145" s="460">
        <v>54</v>
      </c>
      <c r="F145" s="460">
        <v>56.3</v>
      </c>
      <c r="G145" s="460">
        <f t="shared" si="8"/>
        <v>0.44</v>
      </c>
      <c r="H145" s="460">
        <f t="shared" si="9"/>
        <v>1.1399999999999999</v>
      </c>
      <c r="I145" s="460"/>
      <c r="J145" s="460"/>
      <c r="K145" s="460"/>
      <c r="L145" s="460"/>
      <c r="M145" s="460"/>
      <c r="N145" s="460"/>
      <c r="O145" s="460"/>
      <c r="P145" s="460"/>
      <c r="Q145" s="460"/>
      <c r="R145" s="460"/>
    </row>
    <row r="146" spans="1:18" hidden="1">
      <c r="A146" s="460">
        <f t="shared" si="10"/>
        <v>135</v>
      </c>
      <c r="B146" s="460" t="s">
        <v>1366</v>
      </c>
      <c r="C146" s="460" t="s">
        <v>1362</v>
      </c>
      <c r="D146" s="461">
        <v>140</v>
      </c>
      <c r="E146" s="460">
        <v>137</v>
      </c>
      <c r="F146" s="460">
        <v>180.3</v>
      </c>
      <c r="G146" s="460">
        <f t="shared" si="8"/>
        <v>0.44</v>
      </c>
      <c r="H146" s="460">
        <f t="shared" si="9"/>
        <v>1.1399999999999999</v>
      </c>
      <c r="I146" s="460"/>
      <c r="J146" s="460"/>
      <c r="K146" s="460"/>
      <c r="L146" s="460"/>
      <c r="M146" s="460"/>
      <c r="N146" s="460"/>
      <c r="O146" s="460"/>
      <c r="P146" s="460"/>
      <c r="Q146" s="460"/>
      <c r="R146" s="460"/>
    </row>
    <row r="147" spans="1:18" hidden="1">
      <c r="A147" s="460">
        <f t="shared" si="10"/>
        <v>136</v>
      </c>
      <c r="B147" s="460" t="s">
        <v>51</v>
      </c>
      <c r="C147" s="460" t="s">
        <v>59</v>
      </c>
      <c r="D147" s="461">
        <v>63</v>
      </c>
      <c r="E147" s="460">
        <v>32</v>
      </c>
      <c r="F147" s="460">
        <v>35.200000000000003</v>
      </c>
      <c r="G147" s="460">
        <f t="shared" si="8"/>
        <v>0.36299999999999999</v>
      </c>
      <c r="H147" s="460">
        <f t="shared" si="9"/>
        <v>1.0629999999999999</v>
      </c>
      <c r="I147" s="460"/>
      <c r="J147" s="460"/>
      <c r="K147" s="460"/>
      <c r="L147" s="460"/>
      <c r="M147" s="460"/>
      <c r="N147" s="460"/>
      <c r="O147" s="460"/>
      <c r="P147" s="460"/>
      <c r="Q147" s="460"/>
      <c r="R147" s="460"/>
    </row>
    <row r="148" spans="1:18" hidden="1">
      <c r="A148" s="460">
        <f t="shared" si="10"/>
        <v>137</v>
      </c>
      <c r="B148" s="460" t="s">
        <v>51</v>
      </c>
      <c r="C148" s="460" t="s">
        <v>725</v>
      </c>
      <c r="D148" s="461">
        <v>75</v>
      </c>
      <c r="E148" s="460">
        <f>16+89</f>
        <v>105</v>
      </c>
      <c r="F148" s="460">
        <v>115.2</v>
      </c>
      <c r="G148" s="460">
        <f t="shared" si="8"/>
        <v>0.375</v>
      </c>
      <c r="H148" s="460">
        <f t="shared" si="9"/>
        <v>1.075</v>
      </c>
      <c r="I148" s="460"/>
      <c r="J148" s="460" t="s">
        <v>451</v>
      </c>
      <c r="K148" s="460">
        <f>+F148</f>
        <v>115.2</v>
      </c>
      <c r="L148" s="460">
        <f>+G148</f>
        <v>0.375</v>
      </c>
      <c r="M148" s="460">
        <f>+K148*L148</f>
        <v>43.2</v>
      </c>
      <c r="N148" s="460">
        <v>115.2</v>
      </c>
      <c r="O148" s="460">
        <v>0.375</v>
      </c>
      <c r="P148" s="460">
        <v>43.2</v>
      </c>
      <c r="Q148" s="460"/>
      <c r="R148" s="460"/>
    </row>
    <row r="149" spans="1:18" hidden="1">
      <c r="A149" s="460">
        <f t="shared" si="10"/>
        <v>138</v>
      </c>
      <c r="B149" s="460" t="s">
        <v>725</v>
      </c>
      <c r="C149" s="460" t="s">
        <v>54</v>
      </c>
      <c r="D149" s="461">
        <v>75</v>
      </c>
      <c r="E149" s="460"/>
      <c r="F149" s="460">
        <v>60</v>
      </c>
      <c r="G149" s="460">
        <f t="shared" si="8"/>
        <v>0.375</v>
      </c>
      <c r="H149" s="460">
        <f t="shared" si="9"/>
        <v>1.075</v>
      </c>
      <c r="I149" s="460"/>
      <c r="J149" s="460"/>
      <c r="K149" s="460"/>
      <c r="L149" s="460"/>
      <c r="M149" s="460"/>
      <c r="N149" s="460"/>
      <c r="O149" s="460"/>
      <c r="P149" s="460"/>
      <c r="Q149" s="460"/>
      <c r="R149" s="460"/>
    </row>
    <row r="150" spans="1:18" hidden="1">
      <c r="A150" s="460">
        <f t="shared" si="10"/>
        <v>139</v>
      </c>
      <c r="B150" s="460" t="s">
        <v>54</v>
      </c>
      <c r="C150" s="460" t="s">
        <v>71</v>
      </c>
      <c r="D150" s="461">
        <v>63</v>
      </c>
      <c r="E150" s="460"/>
      <c r="F150" s="460">
        <v>38.5</v>
      </c>
      <c r="G150" s="460">
        <f t="shared" si="8"/>
        <v>0.36299999999999999</v>
      </c>
      <c r="H150" s="460">
        <f t="shared" si="9"/>
        <v>1.0629999999999999</v>
      </c>
      <c r="I150" s="460"/>
      <c r="J150" s="460"/>
      <c r="K150" s="460"/>
      <c r="L150" s="460"/>
      <c r="M150" s="460"/>
      <c r="N150" s="460"/>
      <c r="O150" s="460"/>
      <c r="P150" s="460"/>
      <c r="Q150" s="460"/>
      <c r="R150" s="460"/>
    </row>
    <row r="151" spans="1:18" hidden="1">
      <c r="A151" s="460">
        <f t="shared" si="10"/>
        <v>140</v>
      </c>
      <c r="B151" s="460" t="s">
        <v>54</v>
      </c>
      <c r="C151" s="460" t="s">
        <v>71</v>
      </c>
      <c r="D151" s="461">
        <v>63</v>
      </c>
      <c r="E151" s="460"/>
      <c r="F151" s="460">
        <v>4</v>
      </c>
      <c r="G151" s="460">
        <f t="shared" si="8"/>
        <v>0.36299999999999999</v>
      </c>
      <c r="H151" s="460">
        <f t="shared" si="9"/>
        <v>1.0629999999999999</v>
      </c>
      <c r="I151" s="460"/>
      <c r="J151" s="460" t="s">
        <v>1942</v>
      </c>
      <c r="K151" s="460">
        <f>+F151</f>
        <v>4</v>
      </c>
      <c r="L151" s="460">
        <f>+G151</f>
        <v>0.36299999999999999</v>
      </c>
      <c r="M151" s="460">
        <f>+K151*L151</f>
        <v>1.452</v>
      </c>
      <c r="N151" s="460">
        <v>4</v>
      </c>
      <c r="O151" s="460">
        <v>0.36299999999999999</v>
      </c>
      <c r="P151" s="460">
        <v>1.452</v>
      </c>
      <c r="Q151" s="460"/>
      <c r="R151" s="460"/>
    </row>
    <row r="152" spans="1:18" hidden="1">
      <c r="A152" s="460">
        <f t="shared" si="10"/>
        <v>141</v>
      </c>
      <c r="B152" s="460" t="s">
        <v>54</v>
      </c>
      <c r="C152" s="460" t="s">
        <v>86</v>
      </c>
      <c r="D152" s="461">
        <v>63</v>
      </c>
      <c r="E152" s="460">
        <v>147</v>
      </c>
      <c r="F152" s="460">
        <v>282</v>
      </c>
      <c r="G152" s="460">
        <f t="shared" si="8"/>
        <v>0.36299999999999999</v>
      </c>
      <c r="H152" s="460">
        <f t="shared" si="9"/>
        <v>1.0629999999999999</v>
      </c>
      <c r="I152" s="460"/>
      <c r="J152" s="460"/>
      <c r="K152" s="460"/>
      <c r="L152" s="460"/>
      <c r="M152" s="460"/>
      <c r="N152" s="460"/>
      <c r="O152" s="460"/>
      <c r="P152" s="460"/>
      <c r="Q152" s="460"/>
      <c r="R152" s="460"/>
    </row>
    <row r="153" spans="1:18" hidden="1">
      <c r="A153" s="460">
        <f t="shared" si="10"/>
        <v>142</v>
      </c>
      <c r="B153" s="460" t="s">
        <v>86</v>
      </c>
      <c r="C153" s="460" t="s">
        <v>1418</v>
      </c>
      <c r="D153" s="461">
        <v>63</v>
      </c>
      <c r="E153" s="460">
        <v>157</v>
      </c>
      <c r="F153" s="460">
        <v>282</v>
      </c>
      <c r="G153" s="460">
        <f t="shared" si="8"/>
        <v>0.36299999999999999</v>
      </c>
      <c r="H153" s="460">
        <f t="shared" si="9"/>
        <v>1.0629999999999999</v>
      </c>
      <c r="I153" s="460"/>
      <c r="J153" s="460"/>
      <c r="K153" s="460"/>
      <c r="L153" s="460"/>
      <c r="M153" s="460"/>
      <c r="N153" s="460"/>
      <c r="O153" s="460"/>
      <c r="P153" s="460"/>
      <c r="Q153" s="460"/>
      <c r="R153" s="460"/>
    </row>
    <row r="154" spans="1:18" hidden="1">
      <c r="A154" s="460">
        <f t="shared" si="10"/>
        <v>143</v>
      </c>
      <c r="B154" s="460" t="s">
        <v>35</v>
      </c>
      <c r="C154" s="460" t="s">
        <v>44</v>
      </c>
      <c r="D154" s="461">
        <v>160</v>
      </c>
      <c r="E154" s="460">
        <v>192</v>
      </c>
      <c r="F154" s="460">
        <v>266.3</v>
      </c>
      <c r="G154" s="460">
        <f t="shared" si="8"/>
        <v>0.46</v>
      </c>
      <c r="H154" s="460">
        <f t="shared" si="9"/>
        <v>1.1599999999999999</v>
      </c>
      <c r="I154" s="460"/>
      <c r="J154" s="460"/>
      <c r="K154" s="460"/>
      <c r="L154" s="460"/>
      <c r="M154" s="460"/>
      <c r="N154" s="460"/>
      <c r="O154" s="460"/>
      <c r="P154" s="460"/>
      <c r="Q154" s="460"/>
      <c r="R154" s="460"/>
    </row>
    <row r="155" spans="1:18" hidden="1">
      <c r="A155" s="460">
        <f t="shared" si="10"/>
        <v>144</v>
      </c>
      <c r="B155" s="460" t="s">
        <v>44</v>
      </c>
      <c r="C155" s="460" t="s">
        <v>894</v>
      </c>
      <c r="D155" s="461">
        <v>160</v>
      </c>
      <c r="E155" s="460">
        <v>69</v>
      </c>
      <c r="F155" s="460">
        <v>266.3</v>
      </c>
      <c r="G155" s="460">
        <f t="shared" si="8"/>
        <v>0.46</v>
      </c>
      <c r="H155" s="460">
        <f t="shared" si="9"/>
        <v>1.1599999999999999</v>
      </c>
      <c r="I155" s="460"/>
      <c r="J155" s="460"/>
      <c r="K155" s="460"/>
      <c r="L155" s="460"/>
      <c r="M155" s="460"/>
      <c r="N155" s="460"/>
      <c r="O155" s="460"/>
      <c r="P155" s="460"/>
      <c r="Q155" s="460"/>
      <c r="R155" s="460"/>
    </row>
    <row r="156" spans="1:18" hidden="1">
      <c r="A156" s="460">
        <f t="shared" si="10"/>
        <v>145</v>
      </c>
      <c r="B156" s="460" t="s">
        <v>119</v>
      </c>
      <c r="C156" s="460" t="s">
        <v>118</v>
      </c>
      <c r="D156" s="461">
        <v>160</v>
      </c>
      <c r="E156" s="460"/>
      <c r="F156" s="460">
        <v>26</v>
      </c>
      <c r="G156" s="460">
        <f t="shared" si="8"/>
        <v>0.46</v>
      </c>
      <c r="H156" s="460">
        <f t="shared" si="9"/>
        <v>1.1599999999999999</v>
      </c>
      <c r="I156" s="460"/>
      <c r="J156" s="460" t="s">
        <v>451</v>
      </c>
      <c r="K156" s="460">
        <f t="shared" ref="K156:L158" si="11">+F156</f>
        <v>26</v>
      </c>
      <c r="L156" s="460">
        <f t="shared" si="11"/>
        <v>0.46</v>
      </c>
      <c r="M156" s="460">
        <f>+K156*L156</f>
        <v>11.96</v>
      </c>
      <c r="N156" s="460">
        <v>26</v>
      </c>
      <c r="O156" s="460">
        <v>0.46</v>
      </c>
      <c r="P156" s="460">
        <v>11.96</v>
      </c>
      <c r="Q156" s="460"/>
      <c r="R156" s="460"/>
    </row>
    <row r="157" spans="1:18">
      <c r="A157" s="460">
        <f t="shared" si="10"/>
        <v>146</v>
      </c>
      <c r="B157" s="460" t="s">
        <v>118</v>
      </c>
      <c r="C157" s="460" t="s">
        <v>122</v>
      </c>
      <c r="D157" s="461">
        <v>160</v>
      </c>
      <c r="E157" s="460"/>
      <c r="F157" s="460">
        <v>47</v>
      </c>
      <c r="G157" s="460">
        <f t="shared" si="8"/>
        <v>0.46</v>
      </c>
      <c r="H157" s="460">
        <f t="shared" si="9"/>
        <v>1.1599999999999999</v>
      </c>
      <c r="I157" s="460"/>
      <c r="J157" s="460" t="s">
        <v>1945</v>
      </c>
      <c r="K157" s="460">
        <f t="shared" si="11"/>
        <v>47</v>
      </c>
      <c r="L157" s="460">
        <f t="shared" si="11"/>
        <v>0.46</v>
      </c>
      <c r="M157" s="460">
        <f>+K157*L157</f>
        <v>21.62</v>
      </c>
      <c r="N157" s="460">
        <v>47</v>
      </c>
      <c r="O157" s="460">
        <v>0.46</v>
      </c>
      <c r="P157" s="460">
        <v>21.62</v>
      </c>
      <c r="Q157" s="460"/>
      <c r="R157" s="460"/>
    </row>
    <row r="158" spans="1:18">
      <c r="A158" s="460">
        <f t="shared" si="10"/>
        <v>147</v>
      </c>
      <c r="B158" s="460" t="s">
        <v>122</v>
      </c>
      <c r="C158" s="460" t="s">
        <v>144</v>
      </c>
      <c r="D158" s="461">
        <v>160</v>
      </c>
      <c r="E158" s="460"/>
      <c r="F158" s="460">
        <v>27</v>
      </c>
      <c r="G158" s="460">
        <f t="shared" si="8"/>
        <v>0.46</v>
      </c>
      <c r="H158" s="460">
        <f t="shared" si="9"/>
        <v>1.1599999999999999</v>
      </c>
      <c r="I158" s="460"/>
      <c r="J158" s="460" t="s">
        <v>1945</v>
      </c>
      <c r="K158" s="460">
        <f t="shared" si="11"/>
        <v>27</v>
      </c>
      <c r="L158" s="460">
        <f t="shared" si="11"/>
        <v>0.46</v>
      </c>
      <c r="M158" s="460">
        <f>+K158*L158</f>
        <v>12.42</v>
      </c>
      <c r="N158" s="460">
        <v>27</v>
      </c>
      <c r="O158" s="460">
        <v>0.46</v>
      </c>
      <c r="P158" s="460">
        <v>12.42</v>
      </c>
      <c r="Q158" s="460"/>
      <c r="R158" s="460"/>
    </row>
    <row r="159" spans="1:18" hidden="1">
      <c r="A159" s="460">
        <f t="shared" si="10"/>
        <v>148</v>
      </c>
      <c r="B159" s="460" t="s">
        <v>144</v>
      </c>
      <c r="C159" s="460" t="s">
        <v>727</v>
      </c>
      <c r="D159" s="461">
        <v>63</v>
      </c>
      <c r="E159" s="460">
        <v>73</v>
      </c>
      <c r="F159" s="460">
        <v>145</v>
      </c>
      <c r="G159" s="460">
        <f t="shared" si="8"/>
        <v>0.36299999999999999</v>
      </c>
      <c r="H159" s="460">
        <f t="shared" si="9"/>
        <v>1.0629999999999999</v>
      </c>
      <c r="I159" s="460"/>
      <c r="J159" s="460"/>
      <c r="K159" s="460"/>
      <c r="L159" s="460"/>
      <c r="M159" s="460"/>
      <c r="N159" s="460"/>
      <c r="O159" s="460"/>
      <c r="P159" s="460"/>
      <c r="Q159" s="460"/>
      <c r="R159" s="460"/>
    </row>
    <row r="160" spans="1:18" hidden="1">
      <c r="A160" s="460">
        <f t="shared" si="10"/>
        <v>149</v>
      </c>
      <c r="B160" s="460" t="s">
        <v>151</v>
      </c>
      <c r="C160" s="460" t="s">
        <v>121</v>
      </c>
      <c r="D160" s="461">
        <v>63</v>
      </c>
      <c r="E160" s="460"/>
      <c r="F160" s="460">
        <v>51.9</v>
      </c>
      <c r="G160" s="460">
        <f t="shared" si="8"/>
        <v>0.36299999999999999</v>
      </c>
      <c r="H160" s="460">
        <f t="shared" si="9"/>
        <v>1.0629999999999999</v>
      </c>
      <c r="I160" s="460"/>
      <c r="J160" s="460" t="s">
        <v>451</v>
      </c>
      <c r="K160" s="460">
        <f>+F160</f>
        <v>51.9</v>
      </c>
      <c r="L160" s="460">
        <f>+G160</f>
        <v>0.36299999999999999</v>
      </c>
      <c r="M160" s="460">
        <f>+K160*L160</f>
        <v>18.839700000000001</v>
      </c>
      <c r="N160" s="460">
        <v>51.9</v>
      </c>
      <c r="O160" s="460">
        <v>0.36299999999999999</v>
      </c>
      <c r="P160" s="460">
        <v>18.839700000000001</v>
      </c>
      <c r="Q160" s="460"/>
      <c r="R160" s="460"/>
    </row>
    <row r="161" spans="1:18">
      <c r="A161" s="460">
        <f t="shared" si="10"/>
        <v>150</v>
      </c>
      <c r="B161" s="460" t="s">
        <v>144</v>
      </c>
      <c r="C161" s="460" t="s">
        <v>115</v>
      </c>
      <c r="D161" s="461">
        <v>160</v>
      </c>
      <c r="E161" s="460">
        <v>142</v>
      </c>
      <c r="F161" s="460">
        <v>80.099999999999994</v>
      </c>
      <c r="G161" s="460">
        <f t="shared" si="8"/>
        <v>0.46</v>
      </c>
      <c r="H161" s="460">
        <f t="shared" si="9"/>
        <v>1.1599999999999999</v>
      </c>
      <c r="I161" s="460"/>
      <c r="J161" s="460" t="s">
        <v>1945</v>
      </c>
      <c r="K161" s="460">
        <f>+F161</f>
        <v>80.099999999999994</v>
      </c>
      <c r="L161" s="460">
        <f>+G161</f>
        <v>0.46</v>
      </c>
      <c r="M161" s="460">
        <f>+K161*L161</f>
        <v>36.845999999999997</v>
      </c>
      <c r="N161" s="460">
        <v>80.099999999999994</v>
      </c>
      <c r="O161" s="460">
        <v>0.46</v>
      </c>
      <c r="P161" s="460">
        <v>36.845999999999997</v>
      </c>
      <c r="Q161" s="460"/>
      <c r="R161" s="460"/>
    </row>
    <row r="162" spans="1:18" hidden="1">
      <c r="A162" s="460">
        <f t="shared" si="10"/>
        <v>151</v>
      </c>
      <c r="B162" s="460" t="s">
        <v>144</v>
      </c>
      <c r="C162" s="460" t="s">
        <v>115</v>
      </c>
      <c r="D162" s="461">
        <v>160</v>
      </c>
      <c r="E162" s="460"/>
      <c r="F162" s="460">
        <v>63.6</v>
      </c>
      <c r="G162" s="460">
        <f t="shared" si="8"/>
        <v>0.46</v>
      </c>
      <c r="H162" s="460">
        <f t="shared" si="9"/>
        <v>1.1599999999999999</v>
      </c>
      <c r="I162" s="460"/>
      <c r="J162" s="460"/>
      <c r="K162" s="460"/>
      <c r="L162" s="460"/>
      <c r="M162" s="460"/>
      <c r="N162" s="460"/>
      <c r="O162" s="460"/>
      <c r="P162" s="460"/>
      <c r="Q162" s="460"/>
      <c r="R162" s="460"/>
    </row>
    <row r="163" spans="1:18" hidden="1">
      <c r="A163" s="460">
        <f t="shared" si="10"/>
        <v>152</v>
      </c>
      <c r="B163" s="460" t="s">
        <v>115</v>
      </c>
      <c r="C163" s="460" t="s">
        <v>115</v>
      </c>
      <c r="D163" s="461">
        <v>160</v>
      </c>
      <c r="E163" s="460"/>
      <c r="F163" s="460">
        <v>4.2</v>
      </c>
      <c r="G163" s="460">
        <f t="shared" si="8"/>
        <v>0.46</v>
      </c>
      <c r="H163" s="460">
        <f t="shared" si="9"/>
        <v>1.1599999999999999</v>
      </c>
      <c r="I163" s="460"/>
      <c r="J163" s="460" t="s">
        <v>1942</v>
      </c>
      <c r="K163" s="460">
        <f t="shared" ref="K163:L165" si="12">+F163</f>
        <v>4.2</v>
      </c>
      <c r="L163" s="460">
        <f t="shared" si="12"/>
        <v>0.46</v>
      </c>
      <c r="M163" s="460">
        <f>+K163*L163</f>
        <v>1.9320000000000002</v>
      </c>
      <c r="N163" s="460">
        <v>4.2</v>
      </c>
      <c r="O163" s="460">
        <v>0.46</v>
      </c>
      <c r="P163" s="460">
        <v>1.9320000000000002</v>
      </c>
      <c r="Q163" s="460"/>
      <c r="R163" s="460"/>
    </row>
    <row r="164" spans="1:18" hidden="1">
      <c r="A164" s="460">
        <f t="shared" si="10"/>
        <v>153</v>
      </c>
      <c r="B164" s="460" t="s">
        <v>115</v>
      </c>
      <c r="C164" s="460" t="s">
        <v>926</v>
      </c>
      <c r="D164" s="461">
        <v>90</v>
      </c>
      <c r="E164" s="460">
        <v>302</v>
      </c>
      <c r="F164" s="460">
        <v>312</v>
      </c>
      <c r="G164" s="460">
        <f t="shared" si="8"/>
        <v>0.39</v>
      </c>
      <c r="H164" s="460">
        <f t="shared" si="9"/>
        <v>1.0900000000000001</v>
      </c>
      <c r="I164" s="460"/>
      <c r="J164" s="460" t="s">
        <v>451</v>
      </c>
      <c r="K164" s="460">
        <f t="shared" si="12"/>
        <v>312</v>
      </c>
      <c r="L164" s="460">
        <f t="shared" si="12"/>
        <v>0.39</v>
      </c>
      <c r="M164" s="460">
        <f>+K164*L164</f>
        <v>121.68</v>
      </c>
      <c r="N164" s="460">
        <v>312</v>
      </c>
      <c r="O164" s="460">
        <v>0.39</v>
      </c>
      <c r="P164" s="460">
        <v>121.68</v>
      </c>
      <c r="Q164" s="460"/>
      <c r="R164" s="460"/>
    </row>
    <row r="165" spans="1:18" hidden="1">
      <c r="A165" s="460">
        <f t="shared" si="10"/>
        <v>154</v>
      </c>
      <c r="B165" s="460" t="s">
        <v>926</v>
      </c>
      <c r="C165" s="460" t="s">
        <v>32</v>
      </c>
      <c r="D165" s="461">
        <v>75</v>
      </c>
      <c r="E165" s="460">
        <v>211</v>
      </c>
      <c r="F165" s="460">
        <v>218</v>
      </c>
      <c r="G165" s="460">
        <f t="shared" si="8"/>
        <v>0.375</v>
      </c>
      <c r="H165" s="460">
        <f t="shared" si="9"/>
        <v>1.075</v>
      </c>
      <c r="I165" s="460"/>
      <c r="J165" s="460" t="s">
        <v>451</v>
      </c>
      <c r="K165" s="460">
        <f t="shared" si="12"/>
        <v>218</v>
      </c>
      <c r="L165" s="460">
        <f t="shared" si="12"/>
        <v>0.375</v>
      </c>
      <c r="M165" s="460">
        <f>+K165*L165</f>
        <v>81.75</v>
      </c>
      <c r="N165" s="460">
        <v>218</v>
      </c>
      <c r="O165" s="460">
        <v>0.375</v>
      </c>
      <c r="P165" s="460">
        <v>81.75</v>
      </c>
      <c r="Q165" s="460"/>
      <c r="R165" s="460"/>
    </row>
    <row r="166" spans="1:18" hidden="1">
      <c r="A166" s="460">
        <f t="shared" si="10"/>
        <v>155</v>
      </c>
      <c r="B166" s="460" t="s">
        <v>32</v>
      </c>
      <c r="C166" s="460" t="s">
        <v>171</v>
      </c>
      <c r="D166" s="461">
        <v>63</v>
      </c>
      <c r="E166" s="460">
        <v>57</v>
      </c>
      <c r="F166" s="460">
        <v>59.6</v>
      </c>
      <c r="G166" s="460">
        <f t="shared" si="8"/>
        <v>0.36299999999999999</v>
      </c>
      <c r="H166" s="460">
        <f t="shared" si="9"/>
        <v>1.0629999999999999</v>
      </c>
      <c r="I166" s="460"/>
      <c r="J166" s="460"/>
      <c r="K166" s="460"/>
      <c r="L166" s="460"/>
      <c r="M166" s="460"/>
      <c r="N166" s="460"/>
      <c r="O166" s="460"/>
      <c r="P166" s="460"/>
      <c r="Q166" s="460"/>
      <c r="R166" s="460"/>
    </row>
    <row r="167" spans="1:18" hidden="1">
      <c r="A167" s="460">
        <f t="shared" si="10"/>
        <v>156</v>
      </c>
      <c r="B167" s="460" t="s">
        <v>32</v>
      </c>
      <c r="C167" s="460" t="s">
        <v>33</v>
      </c>
      <c r="D167" s="461">
        <v>63</v>
      </c>
      <c r="E167" s="460">
        <v>93</v>
      </c>
      <c r="F167" s="460">
        <v>104.7</v>
      </c>
      <c r="G167" s="460">
        <f t="shared" si="8"/>
        <v>0.36299999999999999</v>
      </c>
      <c r="H167" s="460">
        <f t="shared" si="9"/>
        <v>1.0629999999999999</v>
      </c>
      <c r="I167" s="460"/>
      <c r="J167" s="460" t="s">
        <v>451</v>
      </c>
      <c r="K167" s="460">
        <f>+F167</f>
        <v>104.7</v>
      </c>
      <c r="L167" s="460">
        <f>+G167</f>
        <v>0.36299999999999999</v>
      </c>
      <c r="M167" s="460">
        <f>+K167*L167</f>
        <v>38.006099999999996</v>
      </c>
      <c r="N167" s="460">
        <v>104.7</v>
      </c>
      <c r="O167" s="460">
        <v>0.36299999999999999</v>
      </c>
      <c r="P167" s="460">
        <v>38.006099999999996</v>
      </c>
      <c r="Q167" s="460"/>
      <c r="R167" s="460"/>
    </row>
    <row r="168" spans="1:18" hidden="1">
      <c r="A168" s="460">
        <f t="shared" si="10"/>
        <v>157</v>
      </c>
      <c r="B168" s="460" t="s">
        <v>33</v>
      </c>
      <c r="C168" s="460" t="s">
        <v>64</v>
      </c>
      <c r="D168" s="461">
        <v>63</v>
      </c>
      <c r="E168" s="460">
        <v>76</v>
      </c>
      <c r="F168" s="460">
        <v>76.8</v>
      </c>
      <c r="G168" s="460">
        <f t="shared" si="8"/>
        <v>0.36299999999999999</v>
      </c>
      <c r="H168" s="460">
        <f t="shared" si="9"/>
        <v>1.0629999999999999</v>
      </c>
      <c r="I168" s="460"/>
      <c r="J168" s="460"/>
      <c r="K168" s="460"/>
      <c r="L168" s="460"/>
      <c r="M168" s="460"/>
      <c r="N168" s="460"/>
      <c r="O168" s="460"/>
      <c r="P168" s="460"/>
      <c r="Q168" s="460"/>
      <c r="R168" s="460"/>
    </row>
    <row r="169" spans="1:18" hidden="1">
      <c r="A169" s="460">
        <f t="shared" si="10"/>
        <v>158</v>
      </c>
      <c r="B169" s="460" t="s">
        <v>64</v>
      </c>
      <c r="C169" s="460" t="s">
        <v>62</v>
      </c>
      <c r="D169" s="461">
        <v>63</v>
      </c>
      <c r="E169" s="460">
        <v>87</v>
      </c>
      <c r="F169" s="460">
        <v>82.3</v>
      </c>
      <c r="G169" s="460">
        <f t="shared" si="8"/>
        <v>0.36299999999999999</v>
      </c>
      <c r="H169" s="460">
        <f t="shared" si="9"/>
        <v>1.0629999999999999</v>
      </c>
      <c r="I169" s="460"/>
      <c r="J169" s="460"/>
      <c r="K169" s="460"/>
      <c r="L169" s="460"/>
      <c r="M169" s="460"/>
      <c r="N169" s="460"/>
      <c r="O169" s="460"/>
      <c r="P169" s="460"/>
      <c r="Q169" s="460"/>
      <c r="R169" s="460"/>
    </row>
    <row r="170" spans="1:18" hidden="1">
      <c r="A170" s="460">
        <f t="shared" si="10"/>
        <v>159</v>
      </c>
      <c r="B170" s="460" t="s">
        <v>33</v>
      </c>
      <c r="C170" s="460" t="s">
        <v>63</v>
      </c>
      <c r="D170" s="461">
        <v>63</v>
      </c>
      <c r="E170" s="460">
        <v>20</v>
      </c>
      <c r="F170" s="460">
        <v>44.6</v>
      </c>
      <c r="G170" s="460">
        <f t="shared" si="8"/>
        <v>0.36299999999999999</v>
      </c>
      <c r="H170" s="460">
        <f t="shared" si="9"/>
        <v>1.0629999999999999</v>
      </c>
      <c r="I170" s="460"/>
      <c r="J170" s="460"/>
      <c r="K170" s="460"/>
      <c r="L170" s="460"/>
      <c r="M170" s="460"/>
      <c r="N170" s="460"/>
      <c r="O170" s="460"/>
      <c r="P170" s="460"/>
      <c r="Q170" s="460"/>
      <c r="R170" s="460"/>
    </row>
    <row r="171" spans="1:18" hidden="1">
      <c r="A171" s="460">
        <f t="shared" si="10"/>
        <v>160</v>
      </c>
      <c r="B171" s="460" t="s">
        <v>1956</v>
      </c>
      <c r="C171" s="460" t="s">
        <v>1957</v>
      </c>
      <c r="D171" s="461">
        <v>63</v>
      </c>
      <c r="E171" s="460" t="s">
        <v>1952</v>
      </c>
      <c r="F171" s="460">
        <v>123.4</v>
      </c>
      <c r="G171" s="460">
        <f t="shared" si="8"/>
        <v>0.36299999999999999</v>
      </c>
      <c r="H171" s="460">
        <f t="shared" si="9"/>
        <v>1.0629999999999999</v>
      </c>
      <c r="I171" s="460"/>
      <c r="J171" s="460"/>
      <c r="K171" s="460"/>
      <c r="L171" s="460"/>
      <c r="M171" s="460"/>
      <c r="N171" s="460"/>
      <c r="O171" s="460"/>
      <c r="P171" s="460"/>
      <c r="Q171" s="460"/>
      <c r="R171" s="460"/>
    </row>
    <row r="172" spans="1:18" hidden="1">
      <c r="A172" s="460">
        <f t="shared" si="10"/>
        <v>161</v>
      </c>
      <c r="B172" s="460" t="s">
        <v>1515</v>
      </c>
      <c r="C172" s="460" t="s">
        <v>1332</v>
      </c>
      <c r="D172" s="461">
        <v>63</v>
      </c>
      <c r="E172" s="460">
        <v>267</v>
      </c>
      <c r="F172" s="460">
        <v>282.7</v>
      </c>
      <c r="G172" s="460">
        <f t="shared" si="8"/>
        <v>0.36299999999999999</v>
      </c>
      <c r="H172" s="460">
        <f t="shared" si="9"/>
        <v>1.0629999999999999</v>
      </c>
      <c r="I172" s="460"/>
      <c r="J172" s="460" t="s">
        <v>451</v>
      </c>
      <c r="K172" s="460">
        <f>+F172</f>
        <v>282.7</v>
      </c>
      <c r="L172" s="460">
        <f>+G172</f>
        <v>0.36299999999999999</v>
      </c>
      <c r="M172" s="460">
        <f>+K172*L172</f>
        <v>102.62009999999999</v>
      </c>
      <c r="N172" s="460">
        <v>282.7</v>
      </c>
      <c r="O172" s="460">
        <v>0.36299999999999999</v>
      </c>
      <c r="P172" s="460">
        <v>102.62009999999999</v>
      </c>
      <c r="Q172" s="460"/>
      <c r="R172" s="460"/>
    </row>
    <row r="173" spans="1:18" hidden="1">
      <c r="A173" s="460">
        <f t="shared" si="10"/>
        <v>162</v>
      </c>
      <c r="B173" s="460" t="s">
        <v>1958</v>
      </c>
      <c r="C173" s="460" t="s">
        <v>1959</v>
      </c>
      <c r="D173" s="461">
        <v>63</v>
      </c>
      <c r="E173" s="460" t="s">
        <v>1952</v>
      </c>
      <c r="F173" s="460">
        <v>119.7</v>
      </c>
      <c r="G173" s="460">
        <f t="shared" si="8"/>
        <v>0.36299999999999999</v>
      </c>
      <c r="H173" s="460">
        <f t="shared" si="9"/>
        <v>1.0629999999999999</v>
      </c>
      <c r="I173" s="460"/>
      <c r="J173" s="460"/>
      <c r="K173" s="460"/>
      <c r="L173" s="460"/>
      <c r="M173" s="460"/>
      <c r="N173" s="460"/>
      <c r="O173" s="460"/>
      <c r="P173" s="460"/>
      <c r="Q173" s="460"/>
      <c r="R173" s="460"/>
    </row>
    <row r="174" spans="1:18" hidden="1">
      <c r="A174" s="460">
        <f t="shared" si="10"/>
        <v>163</v>
      </c>
      <c r="B174" s="460" t="s">
        <v>77</v>
      </c>
      <c r="C174" s="460" t="s">
        <v>927</v>
      </c>
      <c r="D174" s="461">
        <v>75</v>
      </c>
      <c r="E174" s="460">
        <v>138</v>
      </c>
      <c r="F174" s="460">
        <v>99</v>
      </c>
      <c r="G174" s="460">
        <f t="shared" si="8"/>
        <v>0.375</v>
      </c>
      <c r="H174" s="460">
        <f t="shared" si="9"/>
        <v>1.075</v>
      </c>
      <c r="I174" s="460"/>
      <c r="J174" s="460"/>
      <c r="K174" s="460"/>
      <c r="L174" s="460"/>
      <c r="M174" s="460"/>
      <c r="N174" s="460"/>
      <c r="O174" s="460"/>
      <c r="P174" s="460"/>
      <c r="Q174" s="460"/>
      <c r="R174" s="460"/>
    </row>
    <row r="175" spans="1:18" hidden="1">
      <c r="A175" s="460">
        <f t="shared" si="10"/>
        <v>164</v>
      </c>
      <c r="B175" s="460" t="s">
        <v>1960</v>
      </c>
      <c r="C175" s="460" t="s">
        <v>1961</v>
      </c>
      <c r="D175" s="461">
        <v>63</v>
      </c>
      <c r="E175" s="460" t="s">
        <v>1952</v>
      </c>
      <c r="F175" s="460">
        <v>30</v>
      </c>
      <c r="G175" s="460">
        <f t="shared" si="8"/>
        <v>0.36299999999999999</v>
      </c>
      <c r="H175" s="460">
        <f t="shared" si="9"/>
        <v>1.0629999999999999</v>
      </c>
      <c r="I175" s="460"/>
      <c r="J175" s="460"/>
      <c r="K175" s="460"/>
      <c r="L175" s="460"/>
      <c r="M175" s="460"/>
      <c r="N175" s="460"/>
      <c r="O175" s="460"/>
      <c r="P175" s="460"/>
      <c r="Q175" s="460"/>
      <c r="R175" s="460"/>
    </row>
    <row r="176" spans="1:18" hidden="1">
      <c r="A176" s="460">
        <f t="shared" si="10"/>
        <v>165</v>
      </c>
      <c r="B176" s="460" t="s">
        <v>77</v>
      </c>
      <c r="C176" s="460" t="s">
        <v>927</v>
      </c>
      <c r="D176" s="461">
        <v>75</v>
      </c>
      <c r="E176" s="460"/>
      <c r="F176" s="460">
        <v>50</v>
      </c>
      <c r="G176" s="460">
        <f t="shared" si="8"/>
        <v>0.375</v>
      </c>
      <c r="H176" s="460">
        <f t="shared" si="9"/>
        <v>1.075</v>
      </c>
      <c r="I176" s="460"/>
      <c r="J176" s="460" t="s">
        <v>451</v>
      </c>
      <c r="K176" s="460">
        <f>+F176</f>
        <v>50</v>
      </c>
      <c r="L176" s="460">
        <f>+G176</f>
        <v>0.375</v>
      </c>
      <c r="M176" s="460">
        <f>+K176*L176</f>
        <v>18.75</v>
      </c>
      <c r="N176" s="460">
        <v>50</v>
      </c>
      <c r="O176" s="460">
        <v>0.375</v>
      </c>
      <c r="P176" s="460">
        <v>18.75</v>
      </c>
      <c r="Q176" s="460"/>
      <c r="R176" s="460"/>
    </row>
    <row r="177" spans="1:18" hidden="1">
      <c r="A177" s="460">
        <f t="shared" si="10"/>
        <v>166</v>
      </c>
      <c r="B177" s="460" t="s">
        <v>77</v>
      </c>
      <c r="C177" s="460" t="s">
        <v>53</v>
      </c>
      <c r="D177" s="461">
        <v>90</v>
      </c>
      <c r="E177" s="460">
        <v>190</v>
      </c>
      <c r="F177" s="460">
        <v>196.5</v>
      </c>
      <c r="G177" s="460">
        <f t="shared" si="8"/>
        <v>0.39</v>
      </c>
      <c r="H177" s="460">
        <f t="shared" si="9"/>
        <v>1.0900000000000001</v>
      </c>
      <c r="I177" s="460"/>
      <c r="J177" s="460"/>
      <c r="K177" s="460"/>
      <c r="L177" s="460"/>
      <c r="M177" s="460"/>
      <c r="N177" s="460"/>
      <c r="O177" s="460"/>
      <c r="P177" s="460"/>
      <c r="Q177" s="460"/>
      <c r="R177" s="460"/>
    </row>
    <row r="178" spans="1:18" hidden="1">
      <c r="A178" s="460">
        <f t="shared" si="10"/>
        <v>167</v>
      </c>
      <c r="B178" s="460" t="s">
        <v>87</v>
      </c>
      <c r="C178" s="460" t="s">
        <v>1304</v>
      </c>
      <c r="D178" s="461">
        <v>90</v>
      </c>
      <c r="E178" s="460">
        <v>191</v>
      </c>
      <c r="F178" s="460">
        <v>198</v>
      </c>
      <c r="G178" s="460">
        <f t="shared" si="8"/>
        <v>0.39</v>
      </c>
      <c r="H178" s="460">
        <f t="shared" si="9"/>
        <v>1.0900000000000001</v>
      </c>
      <c r="I178" s="460"/>
      <c r="J178" s="460" t="s">
        <v>451</v>
      </c>
      <c r="K178" s="460">
        <f>+F178</f>
        <v>198</v>
      </c>
      <c r="L178" s="460">
        <f>+G178</f>
        <v>0.39</v>
      </c>
      <c r="M178" s="460">
        <f>+K178*L178</f>
        <v>77.22</v>
      </c>
      <c r="N178" s="460">
        <v>198</v>
      </c>
      <c r="O178" s="460">
        <v>0.39</v>
      </c>
      <c r="P178" s="460">
        <v>77.22</v>
      </c>
      <c r="Q178" s="460"/>
      <c r="R178" s="460"/>
    </row>
    <row r="179" spans="1:18" hidden="1">
      <c r="A179" s="460">
        <f t="shared" si="10"/>
        <v>168</v>
      </c>
      <c r="B179" s="460" t="s">
        <v>1304</v>
      </c>
      <c r="C179" s="460" t="s">
        <v>1380</v>
      </c>
      <c r="D179" s="461">
        <v>90</v>
      </c>
      <c r="E179" s="460">
        <v>101</v>
      </c>
      <c r="F179" s="460">
        <v>113.4</v>
      </c>
      <c r="G179" s="460">
        <f t="shared" si="8"/>
        <v>0.39</v>
      </c>
      <c r="H179" s="460">
        <f t="shared" si="9"/>
        <v>1.0900000000000001</v>
      </c>
      <c r="I179" s="460"/>
      <c r="J179" s="460"/>
      <c r="K179" s="460"/>
      <c r="L179" s="460"/>
      <c r="M179" s="460"/>
      <c r="N179" s="460"/>
      <c r="O179" s="460"/>
      <c r="P179" s="460"/>
      <c r="Q179" s="460"/>
      <c r="R179" s="460"/>
    </row>
    <row r="180" spans="1:18" hidden="1">
      <c r="A180" s="460">
        <f t="shared" si="10"/>
        <v>169</v>
      </c>
      <c r="B180" s="460" t="s">
        <v>1380</v>
      </c>
      <c r="C180" s="460" t="s">
        <v>1378</v>
      </c>
      <c r="D180" s="461">
        <v>90</v>
      </c>
      <c r="E180" s="460">
        <v>106</v>
      </c>
      <c r="F180" s="460">
        <v>110</v>
      </c>
      <c r="G180" s="460">
        <f t="shared" si="8"/>
        <v>0.39</v>
      </c>
      <c r="H180" s="460">
        <f t="shared" si="9"/>
        <v>1.0900000000000001</v>
      </c>
      <c r="I180" s="460"/>
      <c r="J180" s="460" t="s">
        <v>451</v>
      </c>
      <c r="K180" s="460">
        <f>+F180</f>
        <v>110</v>
      </c>
      <c r="L180" s="460">
        <f>+G180</f>
        <v>0.39</v>
      </c>
      <c r="M180" s="460">
        <f>+K180*L180</f>
        <v>42.9</v>
      </c>
      <c r="N180" s="460">
        <v>110</v>
      </c>
      <c r="O180" s="460">
        <v>0.39</v>
      </c>
      <c r="P180" s="460">
        <v>42.9</v>
      </c>
      <c r="Q180" s="460"/>
      <c r="R180" s="460"/>
    </row>
    <row r="181" spans="1:18" hidden="1">
      <c r="A181" s="460">
        <f t="shared" si="10"/>
        <v>170</v>
      </c>
      <c r="B181" s="460" t="s">
        <v>1378</v>
      </c>
      <c r="C181" s="460" t="s">
        <v>1404</v>
      </c>
      <c r="D181" s="461">
        <v>75</v>
      </c>
      <c r="E181" s="460">
        <f>194+98</f>
        <v>292</v>
      </c>
      <c r="F181" s="460">
        <v>150</v>
      </c>
      <c r="G181" s="460">
        <f t="shared" si="8"/>
        <v>0.375</v>
      </c>
      <c r="H181" s="460">
        <f t="shared" si="9"/>
        <v>1.075</v>
      </c>
      <c r="I181" s="460"/>
      <c r="J181" s="460" t="s">
        <v>451</v>
      </c>
      <c r="K181" s="460">
        <f>+F181</f>
        <v>150</v>
      </c>
      <c r="L181" s="460">
        <f>+G181</f>
        <v>0.375</v>
      </c>
      <c r="M181" s="460">
        <f>+K181*L181</f>
        <v>56.25</v>
      </c>
      <c r="N181" s="460">
        <v>150</v>
      </c>
      <c r="O181" s="460">
        <v>0.375</v>
      </c>
      <c r="P181" s="460">
        <v>56.25</v>
      </c>
      <c r="Q181" s="460"/>
      <c r="R181" s="460"/>
    </row>
    <row r="182" spans="1:18" hidden="1">
      <c r="A182" s="460">
        <f t="shared" si="10"/>
        <v>171</v>
      </c>
      <c r="B182" s="460" t="s">
        <v>1378</v>
      </c>
      <c r="C182" s="460" t="s">
        <v>1404</v>
      </c>
      <c r="D182" s="461">
        <v>75</v>
      </c>
      <c r="E182" s="460"/>
      <c r="F182" s="460">
        <v>155</v>
      </c>
      <c r="G182" s="460">
        <f t="shared" si="8"/>
        <v>0.375</v>
      </c>
      <c r="H182" s="460">
        <f t="shared" si="9"/>
        <v>1.075</v>
      </c>
      <c r="I182" s="460"/>
      <c r="J182" s="460"/>
      <c r="K182" s="460"/>
      <c r="L182" s="460"/>
      <c r="M182" s="460"/>
      <c r="N182" s="460"/>
      <c r="O182" s="460"/>
      <c r="P182" s="460"/>
      <c r="Q182" s="460"/>
      <c r="R182" s="460"/>
    </row>
    <row r="183" spans="1:18" hidden="1">
      <c r="A183" s="460">
        <f t="shared" si="10"/>
        <v>172</v>
      </c>
      <c r="B183" s="460" t="s">
        <v>1962</v>
      </c>
      <c r="C183" s="460" t="s">
        <v>1963</v>
      </c>
      <c r="D183" s="461">
        <v>63</v>
      </c>
      <c r="E183" s="460" t="s">
        <v>1952</v>
      </c>
      <c r="F183" s="460">
        <v>42.9</v>
      </c>
      <c r="G183" s="460">
        <f t="shared" si="8"/>
        <v>0.36299999999999999</v>
      </c>
      <c r="H183" s="460">
        <f t="shared" si="9"/>
        <v>1.0629999999999999</v>
      </c>
      <c r="I183" s="460"/>
      <c r="J183" s="460"/>
      <c r="K183" s="460"/>
      <c r="L183" s="460"/>
      <c r="M183" s="460"/>
      <c r="N183" s="460"/>
      <c r="O183" s="460"/>
      <c r="P183" s="460"/>
      <c r="Q183" s="460"/>
      <c r="R183" s="460"/>
    </row>
    <row r="184" spans="1:18" hidden="1">
      <c r="A184" s="460">
        <f t="shared" si="10"/>
        <v>173</v>
      </c>
      <c r="B184" s="460" t="s">
        <v>1327</v>
      </c>
      <c r="C184" s="460" t="s">
        <v>1357</v>
      </c>
      <c r="D184" s="461">
        <v>63</v>
      </c>
      <c r="E184" s="460">
        <v>44</v>
      </c>
      <c r="F184" s="460">
        <v>80</v>
      </c>
      <c r="G184" s="460">
        <f t="shared" si="8"/>
        <v>0.36299999999999999</v>
      </c>
      <c r="H184" s="460">
        <f t="shared" si="9"/>
        <v>1.0629999999999999</v>
      </c>
      <c r="I184" s="460"/>
      <c r="J184" s="460"/>
      <c r="K184" s="460"/>
      <c r="L184" s="460"/>
      <c r="M184" s="460"/>
      <c r="N184" s="460"/>
      <c r="O184" s="460"/>
      <c r="P184" s="460"/>
      <c r="Q184" s="460"/>
      <c r="R184" s="460"/>
    </row>
    <row r="185" spans="1:18" hidden="1">
      <c r="A185" s="460">
        <f t="shared" si="10"/>
        <v>174</v>
      </c>
      <c r="B185" s="460" t="s">
        <v>1327</v>
      </c>
      <c r="C185" s="460" t="s">
        <v>1388</v>
      </c>
      <c r="D185" s="461">
        <v>63</v>
      </c>
      <c r="E185" s="460"/>
      <c r="F185" s="460">
        <v>28.7</v>
      </c>
      <c r="G185" s="460">
        <f t="shared" si="8"/>
        <v>0.36299999999999999</v>
      </c>
      <c r="H185" s="460">
        <f t="shared" si="9"/>
        <v>1.0629999999999999</v>
      </c>
      <c r="I185" s="460"/>
      <c r="J185" s="460"/>
      <c r="K185" s="460"/>
      <c r="L185" s="460"/>
      <c r="M185" s="460"/>
      <c r="N185" s="460"/>
      <c r="O185" s="460"/>
      <c r="P185" s="460"/>
      <c r="Q185" s="460"/>
      <c r="R185" s="460"/>
    </row>
    <row r="186" spans="1:18" hidden="1">
      <c r="A186" s="460">
        <f t="shared" si="10"/>
        <v>175</v>
      </c>
      <c r="B186" s="460" t="s">
        <v>1402</v>
      </c>
      <c r="C186" s="460" t="s">
        <v>1964</v>
      </c>
      <c r="D186" s="461">
        <v>63</v>
      </c>
      <c r="E186" s="460" t="s">
        <v>1952</v>
      </c>
      <c r="F186" s="460">
        <v>81</v>
      </c>
      <c r="G186" s="460">
        <f t="shared" si="8"/>
        <v>0.36299999999999999</v>
      </c>
      <c r="H186" s="460">
        <f t="shared" si="9"/>
        <v>1.0629999999999999</v>
      </c>
      <c r="I186" s="460"/>
      <c r="J186" s="460"/>
      <c r="K186" s="460"/>
      <c r="L186" s="460"/>
      <c r="M186" s="460"/>
      <c r="N186" s="460"/>
      <c r="O186" s="460"/>
      <c r="P186" s="460"/>
      <c r="Q186" s="460"/>
      <c r="R186" s="460"/>
    </row>
    <row r="187" spans="1:18" hidden="1">
      <c r="A187" s="460">
        <f t="shared" si="10"/>
        <v>176</v>
      </c>
      <c r="B187" s="462" t="s">
        <v>73</v>
      </c>
      <c r="C187" s="462" t="s">
        <v>129</v>
      </c>
      <c r="D187" s="461">
        <v>63</v>
      </c>
      <c r="E187" s="462">
        <v>120</v>
      </c>
      <c r="F187" s="462">
        <v>119.8</v>
      </c>
      <c r="G187" s="460">
        <f t="shared" si="8"/>
        <v>0.36299999999999999</v>
      </c>
      <c r="H187" s="460">
        <f t="shared" si="9"/>
        <v>1.0629999999999999</v>
      </c>
      <c r="I187" s="462"/>
      <c r="J187" s="462"/>
      <c r="K187" s="462"/>
      <c r="L187" s="462"/>
      <c r="M187" s="462"/>
      <c r="N187" s="462"/>
      <c r="O187" s="462"/>
      <c r="P187" s="462"/>
      <c r="Q187" s="462"/>
      <c r="R187" s="462"/>
    </row>
    <row r="188" spans="1:18" hidden="1">
      <c r="A188" s="460">
        <f t="shared" si="10"/>
        <v>177</v>
      </c>
      <c r="B188" s="462" t="s">
        <v>129</v>
      </c>
      <c r="C188" s="462" t="s">
        <v>911</v>
      </c>
      <c r="D188" s="461">
        <v>63</v>
      </c>
      <c r="E188" s="462">
        <v>100</v>
      </c>
      <c r="F188" s="462">
        <v>98.5</v>
      </c>
      <c r="G188" s="460">
        <f t="shared" si="8"/>
        <v>0.36299999999999999</v>
      </c>
      <c r="H188" s="460">
        <f t="shared" si="9"/>
        <v>1.0629999999999999</v>
      </c>
      <c r="I188" s="462"/>
      <c r="J188" s="462"/>
      <c r="K188" s="462"/>
      <c r="L188" s="462"/>
      <c r="M188" s="462"/>
      <c r="N188" s="462"/>
      <c r="O188" s="462"/>
      <c r="P188" s="462"/>
      <c r="Q188" s="462"/>
      <c r="R188" s="462"/>
    </row>
    <row r="189" spans="1:18" hidden="1">
      <c r="A189" s="460">
        <f t="shared" si="10"/>
        <v>178</v>
      </c>
      <c r="B189" s="462" t="s">
        <v>132</v>
      </c>
      <c r="C189" s="462" t="s">
        <v>129</v>
      </c>
      <c r="D189" s="461">
        <v>63</v>
      </c>
      <c r="E189" s="462">
        <v>70</v>
      </c>
      <c r="F189" s="462">
        <v>71.2</v>
      </c>
      <c r="G189" s="460">
        <f t="shared" si="8"/>
        <v>0.36299999999999999</v>
      </c>
      <c r="H189" s="460">
        <f t="shared" si="9"/>
        <v>1.0629999999999999</v>
      </c>
      <c r="I189" s="462"/>
      <c r="J189" s="462"/>
      <c r="K189" s="462"/>
      <c r="L189" s="462"/>
      <c r="M189" s="462"/>
      <c r="N189" s="462"/>
      <c r="O189" s="462"/>
      <c r="P189" s="462"/>
      <c r="Q189" s="462"/>
      <c r="R189" s="462"/>
    </row>
    <row r="190" spans="1:18" hidden="1">
      <c r="A190" s="460">
        <f t="shared" si="10"/>
        <v>179</v>
      </c>
      <c r="B190" s="462" t="s">
        <v>1311</v>
      </c>
      <c r="C190" s="462" t="s">
        <v>1815</v>
      </c>
      <c r="D190" s="461">
        <v>63</v>
      </c>
      <c r="E190" s="462">
        <f>378+189</f>
        <v>567</v>
      </c>
      <c r="F190" s="462">
        <v>623</v>
      </c>
      <c r="G190" s="462">
        <f t="shared" si="8"/>
        <v>0.36299999999999999</v>
      </c>
      <c r="H190" s="462">
        <f t="shared" si="9"/>
        <v>1.0629999999999999</v>
      </c>
      <c r="I190" s="462"/>
      <c r="J190" s="462"/>
      <c r="K190" s="462"/>
      <c r="L190" s="462"/>
      <c r="M190" s="462"/>
      <c r="N190" s="462"/>
      <c r="O190" s="462"/>
      <c r="P190" s="462"/>
      <c r="Q190" s="462"/>
      <c r="R190" s="462"/>
    </row>
    <row r="191" spans="1:18" ht="89.25" hidden="1" customHeight="1">
      <c r="A191" s="493" t="s">
        <v>175</v>
      </c>
      <c r="B191" s="493"/>
      <c r="C191" s="493"/>
      <c r="D191" s="493"/>
      <c r="E191" s="493"/>
      <c r="F191" s="493"/>
      <c r="G191" s="493"/>
      <c r="H191" s="493" t="s">
        <v>176</v>
      </c>
      <c r="I191" s="493"/>
      <c r="J191" s="493"/>
      <c r="K191" s="493"/>
      <c r="L191" s="493"/>
      <c r="M191" s="493" t="s">
        <v>177</v>
      </c>
      <c r="N191" s="493"/>
      <c r="O191" s="493"/>
      <c r="P191" s="493"/>
      <c r="Q191" s="493"/>
      <c r="R191" s="493"/>
    </row>
    <row r="192" spans="1:18" ht="15.75">
      <c r="A192" s="463"/>
      <c r="C192" s="497"/>
      <c r="D192" s="497"/>
      <c r="F192" s="497"/>
      <c r="G192" s="497"/>
      <c r="I192" s="497"/>
      <c r="J192" s="497"/>
      <c r="K192" s="497"/>
    </row>
    <row r="193" spans="1:11" ht="15.75">
      <c r="A193" s="463"/>
      <c r="B193" s="497"/>
      <c r="C193" s="497"/>
      <c r="D193" s="497"/>
      <c r="F193" s="497"/>
      <c r="G193" s="497"/>
      <c r="I193" s="497"/>
      <c r="J193" s="497"/>
      <c r="K193" s="497"/>
    </row>
    <row r="194" spans="1:11" ht="15.75">
      <c r="A194" s="463"/>
      <c r="C194" s="497"/>
      <c r="D194" s="497"/>
      <c r="F194" s="497"/>
      <c r="G194" s="497"/>
      <c r="I194" s="497"/>
      <c r="J194" s="497"/>
      <c r="K194" s="497"/>
    </row>
  </sheetData>
  <autoFilter ref="A11:R191">
    <filterColumn colId="9">
      <filters>
        <filter val="interlock"/>
      </filters>
    </filterColumn>
  </autoFilter>
  <mergeCells count="27">
    <mergeCell ref="A1:R1"/>
    <mergeCell ref="A2:R2"/>
    <mergeCell ref="A3:R3"/>
    <mergeCell ref="A4:R4"/>
    <mergeCell ref="A5:O5"/>
    <mergeCell ref="A10:B10"/>
    <mergeCell ref="C10:F10"/>
    <mergeCell ref="A191:G191"/>
    <mergeCell ref="H191:L191"/>
    <mergeCell ref="A6:B6"/>
    <mergeCell ref="C6:F6"/>
    <mergeCell ref="A7:B7"/>
    <mergeCell ref="C7:F7"/>
    <mergeCell ref="A8:B8"/>
    <mergeCell ref="C8:F8"/>
    <mergeCell ref="A9:B9"/>
    <mergeCell ref="C9:F9"/>
    <mergeCell ref="M191:R191"/>
    <mergeCell ref="B193:D193"/>
    <mergeCell ref="F193:G193"/>
    <mergeCell ref="I193:K193"/>
    <mergeCell ref="C194:D194"/>
    <mergeCell ref="F194:G194"/>
    <mergeCell ref="I194:K194"/>
    <mergeCell ref="C192:D192"/>
    <mergeCell ref="F192:G192"/>
    <mergeCell ref="I192:K192"/>
  </mergeCells>
  <pageMargins left="0.70866141732283472" right="0.70866141732283472" top="0.74803149606299213" bottom="0.74803149606299213" header="0.31496062992125984" footer="0.31496062992125984"/>
  <pageSetup scale="63" orientation="landscape" r:id="rId1"/>
  <rowBreaks count="3" manualBreakCount="3">
    <brk id="46" max="17" man="1"/>
    <brk id="86" max="17" man="1"/>
    <brk id="141" max="17" man="1"/>
  </rowBreaks>
  <colBreaks count="1" manualBreakCount="1">
    <brk id="1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Y272"/>
  <sheetViews>
    <sheetView workbookViewId="0">
      <selection activeCell="D131" sqref="D131:N131"/>
    </sheetView>
  </sheetViews>
  <sheetFormatPr defaultColWidth="9" defaultRowHeight="15"/>
  <cols>
    <col min="3" max="3" width="14" customWidth="1"/>
    <col min="4" max="4" width="12.42578125" customWidth="1"/>
    <col min="5" max="5" width="16" customWidth="1"/>
    <col min="6" max="6" width="14.5703125" customWidth="1"/>
    <col min="7" max="7" width="12.7109375" customWidth="1"/>
    <col min="8" max="8" width="9.140625" customWidth="1"/>
    <col min="10" max="10" width="9" customWidth="1"/>
    <col min="11" max="11" width="0.7109375" hidden="1" customWidth="1"/>
    <col min="12" max="12" width="18.42578125" customWidth="1"/>
    <col min="14" max="14" width="7.42578125" customWidth="1"/>
  </cols>
  <sheetData>
    <row r="3" spans="2:14" ht="18.75">
      <c r="B3" s="502" t="s">
        <v>718</v>
      </c>
      <c r="C3" s="502"/>
      <c r="D3" s="502"/>
      <c r="E3" s="502"/>
      <c r="F3" s="502"/>
      <c r="G3" s="502"/>
      <c r="H3" s="502"/>
      <c r="I3" s="502"/>
      <c r="J3" s="502"/>
      <c r="K3" s="502"/>
      <c r="L3" s="502"/>
      <c r="M3" s="502"/>
      <c r="N3" s="502"/>
    </row>
    <row r="4" spans="2:14" ht="63" customHeight="1">
      <c r="B4" s="283" t="s">
        <v>448</v>
      </c>
      <c r="C4" s="170" t="s">
        <v>180</v>
      </c>
      <c r="D4" s="170" t="s">
        <v>13</v>
      </c>
      <c r="E4" s="170" t="s">
        <v>181</v>
      </c>
      <c r="F4" s="171" t="s">
        <v>449</v>
      </c>
      <c r="G4" s="170" t="s">
        <v>719</v>
      </c>
      <c r="H4" s="284" t="s">
        <v>18</v>
      </c>
      <c r="I4" s="613" t="s">
        <v>184</v>
      </c>
      <c r="J4" s="614"/>
      <c r="K4" s="614"/>
      <c r="L4" s="285" t="s">
        <v>185</v>
      </c>
      <c r="M4" s="615" t="s">
        <v>679</v>
      </c>
      <c r="N4" s="616"/>
    </row>
    <row r="5" spans="2:14">
      <c r="B5" s="5">
        <v>1</v>
      </c>
      <c r="C5" s="5" t="s">
        <v>234</v>
      </c>
      <c r="D5" s="5" t="s">
        <v>342</v>
      </c>
      <c r="E5" s="5"/>
      <c r="F5" s="5"/>
      <c r="G5" s="5">
        <v>63</v>
      </c>
      <c r="H5" s="5">
        <v>1.04</v>
      </c>
      <c r="I5" s="498">
        <v>144.19999999999999</v>
      </c>
      <c r="J5" s="498"/>
      <c r="K5" s="498"/>
      <c r="L5" s="5">
        <f>+I5</f>
        <v>144.19999999999999</v>
      </c>
      <c r="M5" s="498"/>
      <c r="N5" s="498"/>
    </row>
    <row r="6" spans="2:14">
      <c r="B6" s="5">
        <f>1+B5</f>
        <v>2</v>
      </c>
      <c r="C6" s="5" t="s">
        <v>413</v>
      </c>
      <c r="D6" s="5" t="s">
        <v>269</v>
      </c>
      <c r="E6" s="5" t="s">
        <v>193</v>
      </c>
      <c r="F6" s="5">
        <v>0.36</v>
      </c>
      <c r="G6" s="5">
        <v>63</v>
      </c>
      <c r="H6" s="5">
        <v>1.03</v>
      </c>
      <c r="I6" s="498">
        <v>8.1999999999999993</v>
      </c>
      <c r="J6" s="498"/>
      <c r="K6" s="498"/>
      <c r="L6" s="5">
        <f t="shared" ref="L6:L69" si="0">+L5+I6</f>
        <v>152.39999999999998</v>
      </c>
      <c r="M6" s="498"/>
      <c r="N6" s="498"/>
    </row>
    <row r="7" spans="2:14">
      <c r="B7" s="5">
        <f t="shared" ref="B7:B70" si="1">1+B6</f>
        <v>3</v>
      </c>
      <c r="C7" s="5" t="s">
        <v>413</v>
      </c>
      <c r="D7" s="5" t="s">
        <v>269</v>
      </c>
      <c r="E7" s="5"/>
      <c r="F7" s="5"/>
      <c r="G7" s="5">
        <v>63</v>
      </c>
      <c r="H7" s="5">
        <v>1.03</v>
      </c>
      <c r="I7" s="498">
        <v>58.6</v>
      </c>
      <c r="J7" s="498"/>
      <c r="K7" s="498"/>
      <c r="L7" s="5">
        <f t="shared" si="0"/>
        <v>210.99999999999997</v>
      </c>
      <c r="M7" s="498"/>
      <c r="N7" s="498"/>
    </row>
    <row r="8" spans="2:14">
      <c r="B8" s="5">
        <f t="shared" si="1"/>
        <v>4</v>
      </c>
      <c r="C8" s="5" t="s">
        <v>269</v>
      </c>
      <c r="D8" s="5" t="s">
        <v>359</v>
      </c>
      <c r="E8" s="5"/>
      <c r="F8" s="5"/>
      <c r="G8" s="5">
        <v>63</v>
      </c>
      <c r="H8" s="5">
        <v>1.03</v>
      </c>
      <c r="I8" s="498">
        <v>105.8</v>
      </c>
      <c r="J8" s="498"/>
      <c r="K8" s="498"/>
      <c r="L8" s="5">
        <f t="shared" si="0"/>
        <v>316.79999999999995</v>
      </c>
      <c r="M8" s="498"/>
      <c r="N8" s="498"/>
    </row>
    <row r="9" spans="2:14">
      <c r="B9" s="5">
        <f t="shared" si="1"/>
        <v>5</v>
      </c>
      <c r="C9" s="5" t="s">
        <v>359</v>
      </c>
      <c r="D9" s="5" t="s">
        <v>255</v>
      </c>
      <c r="E9" s="5"/>
      <c r="F9" s="5"/>
      <c r="G9" s="5">
        <v>63</v>
      </c>
      <c r="H9" s="5">
        <v>1.03</v>
      </c>
      <c r="I9" s="498">
        <v>100.2</v>
      </c>
      <c r="J9" s="498"/>
      <c r="K9" s="498"/>
      <c r="L9" s="5">
        <f t="shared" si="0"/>
        <v>416.99999999999994</v>
      </c>
      <c r="M9" s="498"/>
      <c r="N9" s="498"/>
    </row>
    <row r="10" spans="2:14">
      <c r="B10" s="5">
        <f t="shared" si="1"/>
        <v>6</v>
      </c>
      <c r="C10" s="5" t="s">
        <v>255</v>
      </c>
      <c r="D10" s="5" t="s">
        <v>286</v>
      </c>
      <c r="E10" s="5"/>
      <c r="F10" s="5"/>
      <c r="G10" s="5">
        <v>63</v>
      </c>
      <c r="H10" s="5">
        <v>1.03</v>
      </c>
      <c r="I10" s="498">
        <v>151.69999999999999</v>
      </c>
      <c r="J10" s="498"/>
      <c r="K10" s="498"/>
      <c r="L10" s="5">
        <f t="shared" si="0"/>
        <v>568.69999999999993</v>
      </c>
      <c r="M10" s="498"/>
      <c r="N10" s="498"/>
    </row>
    <row r="11" spans="2:14">
      <c r="B11" s="5">
        <f t="shared" si="1"/>
        <v>7</v>
      </c>
      <c r="C11" s="5" t="s">
        <v>359</v>
      </c>
      <c r="D11" s="5" t="s">
        <v>537</v>
      </c>
      <c r="E11" s="5"/>
      <c r="F11" s="5"/>
      <c r="G11" s="5">
        <v>63</v>
      </c>
      <c r="H11" s="5">
        <v>1.03</v>
      </c>
      <c r="I11" s="498">
        <v>13.6</v>
      </c>
      <c r="J11" s="498"/>
      <c r="K11" s="498"/>
      <c r="L11" s="5">
        <f t="shared" si="0"/>
        <v>582.29999999999995</v>
      </c>
      <c r="M11" s="498"/>
      <c r="N11" s="498"/>
    </row>
    <row r="12" spans="2:14">
      <c r="B12" s="5">
        <f t="shared" si="1"/>
        <v>8</v>
      </c>
      <c r="C12" s="5" t="s">
        <v>537</v>
      </c>
      <c r="D12" s="5" t="s">
        <v>197</v>
      </c>
      <c r="E12" s="5"/>
      <c r="F12" s="5"/>
      <c r="G12" s="5">
        <v>63</v>
      </c>
      <c r="H12" s="5">
        <v>1.03</v>
      </c>
      <c r="I12" s="498">
        <v>89.5</v>
      </c>
      <c r="J12" s="498"/>
      <c r="K12" s="498"/>
      <c r="L12" s="5">
        <f t="shared" si="0"/>
        <v>671.8</v>
      </c>
      <c r="M12" s="498"/>
      <c r="N12" s="498"/>
    </row>
    <row r="13" spans="2:14">
      <c r="B13" s="5">
        <f t="shared" si="1"/>
        <v>9</v>
      </c>
      <c r="C13" s="5" t="s">
        <v>537</v>
      </c>
      <c r="D13" s="5" t="s">
        <v>322</v>
      </c>
      <c r="E13" s="5"/>
      <c r="F13" s="5"/>
      <c r="G13" s="5">
        <v>63</v>
      </c>
      <c r="H13" s="5">
        <v>1.03</v>
      </c>
      <c r="I13" s="498">
        <v>93.9</v>
      </c>
      <c r="J13" s="498"/>
      <c r="K13" s="498"/>
      <c r="L13" s="5">
        <f t="shared" si="0"/>
        <v>765.69999999999993</v>
      </c>
      <c r="M13" s="498"/>
      <c r="N13" s="498"/>
    </row>
    <row r="14" spans="2:14">
      <c r="B14" s="5">
        <f t="shared" si="1"/>
        <v>10</v>
      </c>
      <c r="C14" s="5" t="s">
        <v>537</v>
      </c>
      <c r="D14" s="5" t="s">
        <v>322</v>
      </c>
      <c r="E14" s="5" t="s">
        <v>193</v>
      </c>
      <c r="F14" s="5">
        <v>0.36</v>
      </c>
      <c r="G14" s="5">
        <v>63</v>
      </c>
      <c r="H14" s="5">
        <v>1.05</v>
      </c>
      <c r="I14" s="498">
        <v>3.4</v>
      </c>
      <c r="J14" s="498"/>
      <c r="K14" s="498"/>
      <c r="L14" s="5">
        <f t="shared" si="0"/>
        <v>769.09999999999991</v>
      </c>
      <c r="M14" s="498"/>
      <c r="N14" s="498"/>
    </row>
    <row r="15" spans="2:14">
      <c r="B15" s="5">
        <f t="shared" si="1"/>
        <v>11</v>
      </c>
      <c r="C15" s="5" t="s">
        <v>274</v>
      </c>
      <c r="D15" s="5" t="s">
        <v>345</v>
      </c>
      <c r="E15" s="5"/>
      <c r="F15" s="5"/>
      <c r="G15" s="5">
        <v>63</v>
      </c>
      <c r="H15" s="5">
        <v>1.03</v>
      </c>
      <c r="I15" s="498">
        <v>118.8</v>
      </c>
      <c r="J15" s="498"/>
      <c r="K15" s="498"/>
      <c r="L15" s="5">
        <f t="shared" si="0"/>
        <v>887.89999999999986</v>
      </c>
      <c r="M15" s="498"/>
      <c r="N15" s="498"/>
    </row>
    <row r="16" spans="2:14">
      <c r="B16" s="5">
        <f t="shared" si="1"/>
        <v>12</v>
      </c>
      <c r="C16" s="5" t="s">
        <v>345</v>
      </c>
      <c r="D16" s="5" t="s">
        <v>309</v>
      </c>
      <c r="E16" s="5"/>
      <c r="F16" s="5"/>
      <c r="G16" s="5">
        <v>63</v>
      </c>
      <c r="H16" s="5">
        <v>1.03</v>
      </c>
      <c r="I16" s="498">
        <v>165.3</v>
      </c>
      <c r="J16" s="498"/>
      <c r="K16" s="498"/>
      <c r="L16" s="5">
        <f t="shared" si="0"/>
        <v>1053.1999999999998</v>
      </c>
      <c r="M16" s="498"/>
      <c r="N16" s="498"/>
    </row>
    <row r="17" spans="2:25">
      <c r="B17" s="5">
        <f t="shared" si="1"/>
        <v>13</v>
      </c>
      <c r="C17" s="5" t="s">
        <v>345</v>
      </c>
      <c r="D17" s="5" t="s">
        <v>322</v>
      </c>
      <c r="E17" s="5"/>
      <c r="F17" s="5"/>
      <c r="G17" s="5">
        <v>63</v>
      </c>
      <c r="H17" s="5">
        <v>1.05</v>
      </c>
      <c r="I17" s="498">
        <v>1.8</v>
      </c>
      <c r="J17" s="498"/>
      <c r="K17" s="498"/>
      <c r="L17" s="5">
        <f t="shared" si="0"/>
        <v>1054.9999999999998</v>
      </c>
      <c r="M17" s="498"/>
      <c r="N17" s="498"/>
    </row>
    <row r="18" spans="2:25">
      <c r="B18" s="5">
        <f t="shared" si="1"/>
        <v>14</v>
      </c>
      <c r="C18" s="5" t="s">
        <v>274</v>
      </c>
      <c r="D18" s="5" t="s">
        <v>238</v>
      </c>
      <c r="E18" s="5"/>
      <c r="F18" s="5"/>
      <c r="G18" s="5">
        <v>63</v>
      </c>
      <c r="H18" s="5">
        <v>1.03</v>
      </c>
      <c r="I18" s="498">
        <v>146.6</v>
      </c>
      <c r="J18" s="498"/>
      <c r="K18" s="498"/>
      <c r="L18" s="5">
        <f t="shared" si="0"/>
        <v>1201.5999999999997</v>
      </c>
      <c r="M18" s="498"/>
      <c r="N18" s="498"/>
    </row>
    <row r="19" spans="2:25">
      <c r="B19" s="5">
        <f t="shared" si="1"/>
        <v>15</v>
      </c>
      <c r="C19" s="5" t="s">
        <v>238</v>
      </c>
      <c r="D19" s="5" t="s">
        <v>272</v>
      </c>
      <c r="E19" s="5"/>
      <c r="F19" s="5"/>
      <c r="G19" s="5">
        <v>63</v>
      </c>
      <c r="H19" s="5">
        <v>1.03</v>
      </c>
      <c r="I19" s="498">
        <v>106.4</v>
      </c>
      <c r="J19" s="498"/>
      <c r="K19" s="498"/>
      <c r="L19" s="5">
        <f t="shared" si="0"/>
        <v>1307.9999999999998</v>
      </c>
      <c r="M19" s="498"/>
      <c r="N19" s="498"/>
    </row>
    <row r="20" spans="2:25">
      <c r="B20" s="5">
        <f t="shared" si="1"/>
        <v>16</v>
      </c>
      <c r="C20" s="5" t="s">
        <v>238</v>
      </c>
      <c r="D20" s="5" t="s">
        <v>272</v>
      </c>
      <c r="E20" s="5" t="s">
        <v>193</v>
      </c>
      <c r="F20" s="5">
        <v>0.36</v>
      </c>
      <c r="G20" s="5">
        <v>63</v>
      </c>
      <c r="H20" s="5">
        <v>1.06</v>
      </c>
      <c r="I20" s="498">
        <v>3</v>
      </c>
      <c r="J20" s="498"/>
      <c r="K20" s="498"/>
      <c r="L20" s="5">
        <f t="shared" si="0"/>
        <v>1310.9999999999998</v>
      </c>
      <c r="M20" s="498"/>
      <c r="N20" s="498"/>
    </row>
    <row r="21" spans="2:25">
      <c r="B21" s="5">
        <f t="shared" si="1"/>
        <v>17</v>
      </c>
      <c r="C21" s="5" t="s">
        <v>238</v>
      </c>
      <c r="D21" s="5" t="s">
        <v>341</v>
      </c>
      <c r="E21" s="5"/>
      <c r="F21" s="5"/>
      <c r="G21" s="5">
        <v>63</v>
      </c>
      <c r="H21" s="5">
        <v>1.05</v>
      </c>
      <c r="I21" s="498">
        <v>82.6</v>
      </c>
      <c r="J21" s="498"/>
      <c r="K21" s="498"/>
      <c r="L21" s="5">
        <f t="shared" si="0"/>
        <v>1393.5999999999997</v>
      </c>
      <c r="M21" s="498"/>
      <c r="N21" s="498"/>
    </row>
    <row r="22" spans="2:25">
      <c r="B22" s="5">
        <f t="shared" si="1"/>
        <v>18</v>
      </c>
      <c r="C22" s="5" t="s">
        <v>341</v>
      </c>
      <c r="D22" s="5" t="s">
        <v>358</v>
      </c>
      <c r="E22" s="5"/>
      <c r="F22" s="5"/>
      <c r="G22" s="5">
        <v>63</v>
      </c>
      <c r="H22" s="5">
        <v>1.05</v>
      </c>
      <c r="I22" s="498">
        <v>60.6</v>
      </c>
      <c r="J22" s="498"/>
      <c r="K22" s="498"/>
      <c r="L22" s="5">
        <f t="shared" si="0"/>
        <v>1454.1999999999996</v>
      </c>
      <c r="M22" s="498"/>
      <c r="N22" s="498"/>
    </row>
    <row r="23" spans="2:25">
      <c r="B23" s="5">
        <f t="shared" si="1"/>
        <v>19</v>
      </c>
      <c r="C23" s="5" t="s">
        <v>358</v>
      </c>
      <c r="D23" s="5" t="s">
        <v>339</v>
      </c>
      <c r="E23" s="5"/>
      <c r="F23" s="5"/>
      <c r="G23" s="5">
        <v>63</v>
      </c>
      <c r="H23" s="5">
        <v>1.03</v>
      </c>
      <c r="I23" s="498">
        <v>119.1</v>
      </c>
      <c r="J23" s="498"/>
      <c r="K23" s="498"/>
      <c r="L23" s="5">
        <f t="shared" si="0"/>
        <v>1573.2999999999995</v>
      </c>
      <c r="M23" s="498"/>
      <c r="N23" s="498"/>
    </row>
    <row r="24" spans="2:25">
      <c r="B24" s="5">
        <f t="shared" si="1"/>
        <v>20</v>
      </c>
      <c r="C24" s="5" t="s">
        <v>358</v>
      </c>
      <c r="D24" s="5" t="s">
        <v>360</v>
      </c>
      <c r="E24" s="5"/>
      <c r="F24" s="5"/>
      <c r="G24" s="5">
        <v>63</v>
      </c>
      <c r="H24" s="5">
        <v>1.06</v>
      </c>
      <c r="I24" s="498">
        <v>65.099999999999994</v>
      </c>
      <c r="J24" s="498"/>
      <c r="K24" s="498"/>
      <c r="L24" s="5">
        <f t="shared" si="0"/>
        <v>1638.3999999999994</v>
      </c>
      <c r="M24" s="498"/>
      <c r="N24" s="498"/>
    </row>
    <row r="25" spans="2:25">
      <c r="B25" s="5">
        <f t="shared" si="1"/>
        <v>21</v>
      </c>
      <c r="C25" s="5" t="s">
        <v>338</v>
      </c>
      <c r="D25" s="5" t="s">
        <v>346</v>
      </c>
      <c r="E25" s="5"/>
      <c r="F25" s="5"/>
      <c r="G25" s="5">
        <v>63</v>
      </c>
      <c r="H25" s="10">
        <v>1.06</v>
      </c>
      <c r="I25" s="499">
        <v>75.400000000000006</v>
      </c>
      <c r="J25" s="501"/>
      <c r="K25" s="5"/>
      <c r="L25" s="5">
        <f t="shared" si="0"/>
        <v>1713.7999999999995</v>
      </c>
      <c r="M25" s="499"/>
      <c r="N25" s="501"/>
    </row>
    <row r="26" spans="2:25">
      <c r="B26" s="5">
        <f t="shared" si="1"/>
        <v>22</v>
      </c>
      <c r="C26" s="5" t="s">
        <v>341</v>
      </c>
      <c r="D26" s="5" t="s">
        <v>338</v>
      </c>
      <c r="E26" s="5"/>
      <c r="F26" s="5"/>
      <c r="G26" s="5">
        <v>63</v>
      </c>
      <c r="H26" s="5">
        <v>1.06</v>
      </c>
      <c r="I26" s="498">
        <v>209.2</v>
      </c>
      <c r="J26" s="498"/>
      <c r="K26" s="498"/>
      <c r="L26" s="5">
        <f t="shared" si="0"/>
        <v>1922.9999999999995</v>
      </c>
      <c r="M26" s="498"/>
      <c r="N26" s="498"/>
      <c r="Y26" s="5">
        <f>+L27+I102</f>
        <v>1967.9999999999995</v>
      </c>
    </row>
    <row r="27" spans="2:25">
      <c r="B27" s="5">
        <f t="shared" si="1"/>
        <v>23</v>
      </c>
      <c r="C27" s="5" t="s">
        <v>348</v>
      </c>
      <c r="D27" s="5" t="s">
        <v>235</v>
      </c>
      <c r="E27" s="5" t="s">
        <v>199</v>
      </c>
      <c r="F27" s="5">
        <v>0.36</v>
      </c>
      <c r="G27" s="5">
        <v>63</v>
      </c>
      <c r="H27" s="10">
        <v>0.95</v>
      </c>
      <c r="I27" s="499">
        <v>2.6</v>
      </c>
      <c r="J27" s="500"/>
      <c r="K27" s="501"/>
      <c r="L27" s="5">
        <f t="shared" si="0"/>
        <v>1925.5999999999995</v>
      </c>
      <c r="M27" s="499"/>
      <c r="N27" s="501"/>
    </row>
    <row r="28" spans="2:25">
      <c r="B28" s="5">
        <f t="shared" si="1"/>
        <v>24</v>
      </c>
      <c r="C28" s="5" t="s">
        <v>348</v>
      </c>
      <c r="D28" s="5" t="s">
        <v>235</v>
      </c>
      <c r="E28" s="5"/>
      <c r="F28" s="5"/>
      <c r="G28" s="5">
        <v>63</v>
      </c>
      <c r="H28" s="5">
        <v>0.96</v>
      </c>
      <c r="I28" s="498">
        <v>83.1</v>
      </c>
      <c r="J28" s="498"/>
      <c r="K28" s="498"/>
      <c r="L28" s="5">
        <f t="shared" si="0"/>
        <v>2008.6999999999994</v>
      </c>
      <c r="M28" s="498"/>
      <c r="N28" s="498"/>
    </row>
    <row r="29" spans="2:25">
      <c r="B29" s="5">
        <f t="shared" si="1"/>
        <v>25</v>
      </c>
      <c r="C29" s="5" t="s">
        <v>348</v>
      </c>
      <c r="D29" s="5" t="s">
        <v>234</v>
      </c>
      <c r="E29" s="5"/>
      <c r="F29" s="5"/>
      <c r="G29" s="5">
        <v>63</v>
      </c>
      <c r="H29" s="5">
        <v>0.96</v>
      </c>
      <c r="I29" s="498">
        <v>45.5</v>
      </c>
      <c r="J29" s="498"/>
      <c r="K29" s="498"/>
      <c r="L29" s="5">
        <f t="shared" si="0"/>
        <v>2054.1999999999994</v>
      </c>
      <c r="M29" s="499"/>
      <c r="N29" s="501"/>
    </row>
    <row r="30" spans="2:25">
      <c r="B30" s="5">
        <f t="shared" si="1"/>
        <v>26</v>
      </c>
      <c r="C30" s="5" t="s">
        <v>337</v>
      </c>
      <c r="D30" s="5" t="s">
        <v>720</v>
      </c>
      <c r="E30" s="5"/>
      <c r="F30" s="5"/>
      <c r="G30" s="5">
        <v>63</v>
      </c>
      <c r="H30" s="10">
        <v>1.05</v>
      </c>
      <c r="I30" s="499">
        <v>86.9</v>
      </c>
      <c r="J30" s="500"/>
      <c r="K30" s="501"/>
      <c r="L30" s="5">
        <f t="shared" si="0"/>
        <v>2141.0999999999995</v>
      </c>
      <c r="M30" s="499"/>
      <c r="N30" s="501"/>
    </row>
    <row r="31" spans="2:25">
      <c r="B31" s="5">
        <f t="shared" si="1"/>
        <v>27</v>
      </c>
      <c r="C31" s="5" t="s">
        <v>337</v>
      </c>
      <c r="D31" s="5" t="s">
        <v>720</v>
      </c>
      <c r="E31" s="5" t="s">
        <v>301</v>
      </c>
      <c r="F31" s="5">
        <v>0.36</v>
      </c>
      <c r="G31" s="5">
        <v>63</v>
      </c>
      <c r="H31" s="10">
        <v>1.06</v>
      </c>
      <c r="I31" s="499">
        <v>3.1</v>
      </c>
      <c r="J31" s="500"/>
      <c r="K31" s="501"/>
      <c r="L31" s="5">
        <f t="shared" si="0"/>
        <v>2144.1999999999994</v>
      </c>
      <c r="M31" s="498"/>
      <c r="N31" s="498"/>
    </row>
    <row r="32" spans="2:25">
      <c r="B32" s="5">
        <f t="shared" si="1"/>
        <v>28</v>
      </c>
      <c r="C32" s="5" t="s">
        <v>720</v>
      </c>
      <c r="D32" s="5" t="s">
        <v>340</v>
      </c>
      <c r="E32" s="5"/>
      <c r="F32" s="5"/>
      <c r="G32" s="5">
        <v>63</v>
      </c>
      <c r="H32" s="10">
        <v>1.06</v>
      </c>
      <c r="I32" s="499">
        <v>103.3</v>
      </c>
      <c r="J32" s="500"/>
      <c r="K32" s="501"/>
      <c r="L32" s="5">
        <f t="shared" si="0"/>
        <v>2247.4999999999995</v>
      </c>
      <c r="M32" s="498"/>
      <c r="N32" s="498"/>
    </row>
    <row r="33" spans="2:19">
      <c r="B33" s="5">
        <f t="shared" si="1"/>
        <v>29</v>
      </c>
      <c r="C33" s="5" t="s">
        <v>386</v>
      </c>
      <c r="D33" s="5" t="s">
        <v>361</v>
      </c>
      <c r="E33" s="5"/>
      <c r="F33" s="5"/>
      <c r="G33" s="5">
        <v>63</v>
      </c>
      <c r="H33" s="10">
        <v>1.06</v>
      </c>
      <c r="I33" s="499">
        <v>2.8</v>
      </c>
      <c r="J33" s="500"/>
      <c r="K33" s="501"/>
      <c r="L33" s="5">
        <f t="shared" si="0"/>
        <v>2250.2999999999997</v>
      </c>
      <c r="M33" s="498"/>
      <c r="N33" s="498"/>
    </row>
    <row r="34" spans="2:19">
      <c r="B34" s="5">
        <f t="shared" si="1"/>
        <v>30</v>
      </c>
      <c r="C34" s="5" t="s">
        <v>269</v>
      </c>
      <c r="D34" s="5" t="s">
        <v>274</v>
      </c>
      <c r="E34" s="5" t="s">
        <v>193</v>
      </c>
      <c r="F34" s="5">
        <v>0.36</v>
      </c>
      <c r="G34" s="5">
        <v>63</v>
      </c>
      <c r="H34" s="10">
        <v>1.06</v>
      </c>
      <c r="I34" s="499">
        <v>3.6</v>
      </c>
      <c r="J34" s="500"/>
      <c r="K34" s="501"/>
      <c r="L34" s="5">
        <f t="shared" si="0"/>
        <v>2253.8999999999996</v>
      </c>
      <c r="M34" s="498"/>
      <c r="N34" s="498"/>
    </row>
    <row r="35" spans="2:19">
      <c r="B35" s="5">
        <f t="shared" si="1"/>
        <v>31</v>
      </c>
      <c r="C35" s="5" t="s">
        <v>269</v>
      </c>
      <c r="D35" s="5" t="s">
        <v>274</v>
      </c>
      <c r="E35" s="5"/>
      <c r="F35" s="5"/>
      <c r="G35" s="5">
        <v>63</v>
      </c>
      <c r="H35" s="5">
        <v>1.02</v>
      </c>
      <c r="I35" s="498">
        <v>137.6</v>
      </c>
      <c r="J35" s="498"/>
      <c r="K35" s="498"/>
      <c r="L35" s="5">
        <f t="shared" si="0"/>
        <v>2391.4999999999995</v>
      </c>
      <c r="M35" s="498"/>
      <c r="N35" s="498"/>
    </row>
    <row r="36" spans="2:19">
      <c r="B36" s="5">
        <f t="shared" si="1"/>
        <v>32</v>
      </c>
      <c r="C36" s="5" t="s">
        <v>189</v>
      </c>
      <c r="D36" s="5" t="s">
        <v>242</v>
      </c>
      <c r="E36" s="5"/>
      <c r="F36" s="5"/>
      <c r="G36" s="5">
        <v>63</v>
      </c>
      <c r="H36" s="5">
        <v>1.02</v>
      </c>
      <c r="I36" s="498">
        <v>94.6</v>
      </c>
      <c r="J36" s="498"/>
      <c r="K36" s="498"/>
      <c r="L36" s="5">
        <f t="shared" si="0"/>
        <v>2486.0999999999995</v>
      </c>
      <c r="M36" s="499"/>
      <c r="N36" s="501"/>
    </row>
    <row r="37" spans="2:19">
      <c r="B37" s="5">
        <f t="shared" si="1"/>
        <v>33</v>
      </c>
      <c r="C37" s="5" t="s">
        <v>189</v>
      </c>
      <c r="D37" s="5" t="s">
        <v>225</v>
      </c>
      <c r="E37" s="5"/>
      <c r="F37" s="5"/>
      <c r="G37" s="5">
        <v>63</v>
      </c>
      <c r="H37" s="5">
        <v>1.02</v>
      </c>
      <c r="I37" s="498">
        <v>106.1</v>
      </c>
      <c r="J37" s="498"/>
      <c r="K37" s="498"/>
      <c r="L37" s="5">
        <f t="shared" si="0"/>
        <v>2592.1999999999994</v>
      </c>
      <c r="M37" s="498"/>
      <c r="N37" s="498"/>
    </row>
    <row r="38" spans="2:19">
      <c r="B38" s="5">
        <f t="shared" si="1"/>
        <v>34</v>
      </c>
      <c r="C38" s="5" t="s">
        <v>189</v>
      </c>
      <c r="D38" s="5" t="s">
        <v>311</v>
      </c>
      <c r="E38" s="5"/>
      <c r="F38" s="5"/>
      <c r="G38" s="5">
        <v>63</v>
      </c>
      <c r="H38" s="5">
        <v>1.02</v>
      </c>
      <c r="I38" s="498">
        <v>377.3</v>
      </c>
      <c r="J38" s="498"/>
      <c r="K38" s="498"/>
      <c r="L38" s="5">
        <f t="shared" si="0"/>
        <v>2969.4999999999995</v>
      </c>
      <c r="M38" s="498"/>
      <c r="N38" s="498"/>
    </row>
    <row r="39" spans="2:19">
      <c r="B39" s="5">
        <f t="shared" si="1"/>
        <v>35</v>
      </c>
      <c r="C39" s="5" t="s">
        <v>311</v>
      </c>
      <c r="D39" s="5" t="s">
        <v>665</v>
      </c>
      <c r="E39" s="5"/>
      <c r="F39" s="5"/>
      <c r="G39" s="5">
        <v>63</v>
      </c>
      <c r="H39" s="5">
        <v>1.04</v>
      </c>
      <c r="I39" s="498">
        <v>52</v>
      </c>
      <c r="J39" s="498"/>
      <c r="K39" s="498"/>
      <c r="L39" s="5">
        <f t="shared" si="0"/>
        <v>3021.4999999999995</v>
      </c>
      <c r="M39" s="498"/>
      <c r="N39" s="498"/>
    </row>
    <row r="40" spans="2:19">
      <c r="B40" s="5">
        <f t="shared" si="1"/>
        <v>36</v>
      </c>
      <c r="C40" s="5" t="s">
        <v>311</v>
      </c>
      <c r="D40" s="5" t="s">
        <v>334</v>
      </c>
      <c r="E40" s="5"/>
      <c r="F40" s="5"/>
      <c r="G40" s="5">
        <v>63</v>
      </c>
      <c r="H40" s="5">
        <v>1.06</v>
      </c>
      <c r="I40" s="498">
        <v>220.9</v>
      </c>
      <c r="J40" s="498"/>
      <c r="K40" s="498"/>
      <c r="L40" s="5">
        <f t="shared" si="0"/>
        <v>3242.3999999999996</v>
      </c>
      <c r="M40" s="498"/>
      <c r="N40" s="498"/>
    </row>
    <row r="41" spans="2:19">
      <c r="B41" s="5">
        <f t="shared" si="1"/>
        <v>37</v>
      </c>
      <c r="C41" s="5" t="s">
        <v>334</v>
      </c>
      <c r="D41" s="5" t="s">
        <v>236</v>
      </c>
      <c r="E41" s="5"/>
      <c r="F41" s="5"/>
      <c r="G41" s="5">
        <v>63</v>
      </c>
      <c r="H41" s="5">
        <v>1.04</v>
      </c>
      <c r="I41" s="498">
        <v>153.6</v>
      </c>
      <c r="J41" s="498"/>
      <c r="K41" s="498"/>
      <c r="L41" s="5">
        <f t="shared" si="0"/>
        <v>3395.9999999999995</v>
      </c>
      <c r="M41" s="498"/>
      <c r="N41" s="498"/>
    </row>
    <row r="42" spans="2:19">
      <c r="B42" s="5">
        <f t="shared" si="1"/>
        <v>38</v>
      </c>
      <c r="C42" s="5" t="s">
        <v>306</v>
      </c>
      <c r="D42" s="5" t="s">
        <v>338</v>
      </c>
      <c r="E42" s="5"/>
      <c r="F42" s="5"/>
      <c r="G42" s="5">
        <v>63</v>
      </c>
      <c r="H42" s="5">
        <v>1.04</v>
      </c>
      <c r="I42" s="498">
        <v>197.3</v>
      </c>
      <c r="J42" s="498"/>
      <c r="K42" s="498"/>
      <c r="L42" s="5">
        <f t="shared" si="0"/>
        <v>3593.2999999999997</v>
      </c>
      <c r="M42" s="498"/>
      <c r="N42" s="498"/>
    </row>
    <row r="43" spans="2:19">
      <c r="B43" s="5">
        <f t="shared" si="1"/>
        <v>39</v>
      </c>
      <c r="C43" s="5" t="s">
        <v>394</v>
      </c>
      <c r="D43" s="5" t="s">
        <v>507</v>
      </c>
      <c r="E43" s="5"/>
      <c r="F43" s="5"/>
      <c r="G43" s="5">
        <v>63</v>
      </c>
      <c r="H43" s="10">
        <v>1.04</v>
      </c>
      <c r="I43" s="499">
        <v>52.3</v>
      </c>
      <c r="J43" s="500"/>
      <c r="K43" s="501"/>
      <c r="L43" s="5">
        <f t="shared" si="0"/>
        <v>3645.6</v>
      </c>
      <c r="M43" s="498"/>
      <c r="N43" s="498"/>
    </row>
    <row r="44" spans="2:19">
      <c r="B44" s="5">
        <f t="shared" si="1"/>
        <v>40</v>
      </c>
      <c r="C44" s="5" t="s">
        <v>248</v>
      </c>
      <c r="D44" s="5" t="s">
        <v>316</v>
      </c>
      <c r="E44" s="5"/>
      <c r="F44" s="5"/>
      <c r="G44" s="5">
        <v>63</v>
      </c>
      <c r="H44" s="10">
        <v>1.06</v>
      </c>
      <c r="I44" s="499">
        <v>38.200000000000003</v>
      </c>
      <c r="J44" s="500"/>
      <c r="K44" s="501"/>
      <c r="L44" s="5">
        <f t="shared" si="0"/>
        <v>3683.7999999999997</v>
      </c>
      <c r="M44" s="498"/>
      <c r="N44" s="498"/>
    </row>
    <row r="45" spans="2:19">
      <c r="B45" s="5">
        <f t="shared" si="1"/>
        <v>41</v>
      </c>
      <c r="C45" s="5" t="s">
        <v>357</v>
      </c>
      <c r="D45" s="5" t="s">
        <v>283</v>
      </c>
      <c r="E45" s="5"/>
      <c r="F45" s="5"/>
      <c r="G45" s="5">
        <v>63</v>
      </c>
      <c r="H45" s="10">
        <v>1.06</v>
      </c>
      <c r="I45" s="499">
        <v>174.7</v>
      </c>
      <c r="J45" s="500"/>
      <c r="K45" s="501"/>
      <c r="L45" s="5">
        <f t="shared" si="0"/>
        <v>3858.4999999999995</v>
      </c>
      <c r="M45" s="498"/>
      <c r="N45" s="498"/>
    </row>
    <row r="46" spans="2:19">
      <c r="B46" s="5">
        <f t="shared" si="1"/>
        <v>42</v>
      </c>
      <c r="C46" s="5" t="s">
        <v>283</v>
      </c>
      <c r="D46" s="5" t="s">
        <v>418</v>
      </c>
      <c r="E46" s="5"/>
      <c r="F46" s="5"/>
      <c r="G46" s="5">
        <v>63</v>
      </c>
      <c r="H46" s="10">
        <v>1.06</v>
      </c>
      <c r="I46" s="499">
        <v>167.4</v>
      </c>
      <c r="J46" s="500"/>
      <c r="K46" s="501"/>
      <c r="L46" s="5">
        <f t="shared" si="0"/>
        <v>4025.8999999999996</v>
      </c>
      <c r="M46" s="498"/>
      <c r="N46" s="498"/>
      <c r="Q46" s="499"/>
      <c r="R46" s="500"/>
      <c r="S46" s="501"/>
    </row>
    <row r="47" spans="2:19">
      <c r="B47" s="5">
        <f t="shared" si="1"/>
        <v>43</v>
      </c>
      <c r="C47" s="5" t="s">
        <v>283</v>
      </c>
      <c r="D47" s="5" t="s">
        <v>418</v>
      </c>
      <c r="E47" s="5" t="s">
        <v>193</v>
      </c>
      <c r="F47" s="5">
        <v>0.36</v>
      </c>
      <c r="G47" s="5">
        <v>63</v>
      </c>
      <c r="H47" s="10">
        <v>1.06</v>
      </c>
      <c r="I47" s="499">
        <v>4</v>
      </c>
      <c r="J47" s="500"/>
      <c r="K47" s="501"/>
      <c r="L47" s="5">
        <f t="shared" si="0"/>
        <v>4029.8999999999996</v>
      </c>
      <c r="M47" s="498"/>
      <c r="N47" s="498"/>
    </row>
    <row r="48" spans="2:19">
      <c r="B48" s="5">
        <f t="shared" si="1"/>
        <v>44</v>
      </c>
      <c r="C48" s="5" t="s">
        <v>418</v>
      </c>
      <c r="D48" s="5" t="s">
        <v>268</v>
      </c>
      <c r="E48" s="5"/>
      <c r="F48" s="5"/>
      <c r="G48" s="5">
        <v>63</v>
      </c>
      <c r="H48" s="10">
        <v>1.06</v>
      </c>
      <c r="I48" s="499">
        <v>90.6</v>
      </c>
      <c r="J48" s="500"/>
      <c r="K48" s="501"/>
      <c r="L48" s="5">
        <f t="shared" si="0"/>
        <v>4120.5</v>
      </c>
      <c r="M48" s="498"/>
      <c r="N48" s="498"/>
    </row>
    <row r="49" spans="2:14">
      <c r="B49" s="5">
        <f t="shared" si="1"/>
        <v>45</v>
      </c>
      <c r="C49" s="5" t="s">
        <v>283</v>
      </c>
      <c r="D49" s="5" t="s">
        <v>349</v>
      </c>
      <c r="E49" s="5"/>
      <c r="F49" s="5"/>
      <c r="G49" s="5">
        <v>63</v>
      </c>
      <c r="H49" s="10">
        <v>1.04</v>
      </c>
      <c r="I49" s="499">
        <v>84.1</v>
      </c>
      <c r="J49" s="500"/>
      <c r="K49" s="501"/>
      <c r="L49" s="5">
        <f t="shared" si="0"/>
        <v>4204.6000000000004</v>
      </c>
      <c r="M49" s="498"/>
      <c r="N49" s="498"/>
    </row>
    <row r="50" spans="2:14">
      <c r="B50" s="5">
        <f t="shared" si="1"/>
        <v>46</v>
      </c>
      <c r="C50" s="5" t="s">
        <v>349</v>
      </c>
      <c r="D50" s="5" t="s">
        <v>403</v>
      </c>
      <c r="E50" s="5" t="s">
        <v>721</v>
      </c>
      <c r="F50" s="5">
        <v>0.36</v>
      </c>
      <c r="G50" s="5">
        <v>63</v>
      </c>
      <c r="H50" s="10">
        <v>1.04</v>
      </c>
      <c r="I50" s="499">
        <v>88.8</v>
      </c>
      <c r="J50" s="500"/>
      <c r="K50" s="501"/>
      <c r="L50" s="5">
        <f t="shared" si="0"/>
        <v>4293.4000000000005</v>
      </c>
      <c r="M50" s="498"/>
      <c r="N50" s="498"/>
    </row>
    <row r="51" spans="2:14">
      <c r="B51" s="5">
        <f t="shared" si="1"/>
        <v>47</v>
      </c>
      <c r="C51" s="5" t="s">
        <v>349</v>
      </c>
      <c r="D51" s="5" t="s">
        <v>403</v>
      </c>
      <c r="E51" s="5"/>
      <c r="F51" s="5"/>
      <c r="G51" s="5">
        <v>63</v>
      </c>
      <c r="H51" s="10">
        <v>1.06</v>
      </c>
      <c r="I51" s="499">
        <f>90.2-88.8</f>
        <v>1.4000000000000057</v>
      </c>
      <c r="J51" s="500"/>
      <c r="K51" s="501"/>
      <c r="L51" s="5">
        <f t="shared" si="0"/>
        <v>4294.8</v>
      </c>
      <c r="M51" s="498"/>
      <c r="N51" s="498"/>
    </row>
    <row r="52" spans="2:14">
      <c r="B52" s="5">
        <f t="shared" si="1"/>
        <v>48</v>
      </c>
      <c r="C52" s="5" t="s">
        <v>403</v>
      </c>
      <c r="D52" s="5" t="s">
        <v>525</v>
      </c>
      <c r="E52" s="5" t="s">
        <v>721</v>
      </c>
      <c r="F52" s="5">
        <v>0.36</v>
      </c>
      <c r="G52" s="5">
        <v>63</v>
      </c>
      <c r="H52" s="10">
        <v>1.04</v>
      </c>
      <c r="I52" s="499">
        <v>50.7</v>
      </c>
      <c r="J52" s="500"/>
      <c r="K52" s="501"/>
      <c r="L52" s="5">
        <f t="shared" si="0"/>
        <v>4345.5</v>
      </c>
      <c r="M52" s="498"/>
      <c r="N52" s="498"/>
    </row>
    <row r="53" spans="2:14">
      <c r="B53" s="5">
        <f t="shared" si="1"/>
        <v>49</v>
      </c>
      <c r="C53" s="5" t="s">
        <v>418</v>
      </c>
      <c r="D53" s="5" t="s">
        <v>402</v>
      </c>
      <c r="E53" s="5"/>
      <c r="F53" s="5"/>
      <c r="G53" s="5">
        <v>63</v>
      </c>
      <c r="H53" s="10">
        <v>1.06</v>
      </c>
      <c r="I53" s="499">
        <v>61.3</v>
      </c>
      <c r="J53" s="500"/>
      <c r="K53" s="501"/>
      <c r="L53" s="5">
        <f t="shared" si="0"/>
        <v>4406.8</v>
      </c>
      <c r="M53" s="498"/>
      <c r="N53" s="498"/>
    </row>
    <row r="54" spans="2:14">
      <c r="B54" s="5">
        <f t="shared" si="1"/>
        <v>50</v>
      </c>
      <c r="C54" s="5" t="s">
        <v>418</v>
      </c>
      <c r="D54" s="5" t="s">
        <v>402</v>
      </c>
      <c r="E54" s="5" t="s">
        <v>193</v>
      </c>
      <c r="F54" s="5">
        <v>0.36</v>
      </c>
      <c r="G54" s="5">
        <v>63</v>
      </c>
      <c r="H54" s="10">
        <v>1.06</v>
      </c>
      <c r="I54" s="499">
        <v>3</v>
      </c>
      <c r="J54" s="500"/>
      <c r="K54" s="501"/>
      <c r="L54" s="5">
        <f t="shared" si="0"/>
        <v>4409.8</v>
      </c>
      <c r="M54" s="498"/>
      <c r="N54" s="498"/>
    </row>
    <row r="55" spans="2:14">
      <c r="B55" s="5">
        <f t="shared" si="1"/>
        <v>51</v>
      </c>
      <c r="C55" s="5" t="s">
        <v>525</v>
      </c>
      <c r="D55" s="5" t="s">
        <v>265</v>
      </c>
      <c r="E55" s="5" t="s">
        <v>301</v>
      </c>
      <c r="F55" s="5"/>
      <c r="G55" s="5">
        <v>63</v>
      </c>
      <c r="H55" s="10">
        <v>1.06</v>
      </c>
      <c r="I55" s="499">
        <v>92</v>
      </c>
      <c r="J55" s="500"/>
      <c r="K55" s="501"/>
      <c r="L55" s="5">
        <f t="shared" si="0"/>
        <v>4501.8</v>
      </c>
      <c r="M55" s="498"/>
      <c r="N55" s="498"/>
    </row>
    <row r="56" spans="2:14">
      <c r="B56" s="5">
        <f t="shared" si="1"/>
        <v>52</v>
      </c>
      <c r="C56" s="5" t="s">
        <v>265</v>
      </c>
      <c r="D56" s="5" t="s">
        <v>247</v>
      </c>
      <c r="E56" s="5"/>
      <c r="F56" s="5"/>
      <c r="G56" s="5">
        <v>63</v>
      </c>
      <c r="H56" s="10">
        <v>1.03</v>
      </c>
      <c r="I56" s="499">
        <v>7.1</v>
      </c>
      <c r="J56" s="500"/>
      <c r="K56" s="501"/>
      <c r="L56" s="5">
        <f t="shared" si="0"/>
        <v>4508.9000000000005</v>
      </c>
      <c r="M56" s="498"/>
      <c r="N56" s="498"/>
    </row>
    <row r="57" spans="2:14">
      <c r="B57" s="5">
        <f t="shared" si="1"/>
        <v>53</v>
      </c>
      <c r="C57" s="5" t="s">
        <v>266</v>
      </c>
      <c r="D57" s="5" t="s">
        <v>265</v>
      </c>
      <c r="E57" s="5"/>
      <c r="F57" s="5"/>
      <c r="G57" s="5">
        <v>63</v>
      </c>
      <c r="H57" s="10">
        <v>1.03</v>
      </c>
      <c r="I57" s="499">
        <v>43</v>
      </c>
      <c r="J57" s="500"/>
      <c r="K57" s="501"/>
      <c r="L57" s="5">
        <f t="shared" si="0"/>
        <v>4551.9000000000005</v>
      </c>
      <c r="M57" s="498"/>
      <c r="N57" s="498"/>
    </row>
    <row r="58" spans="2:14">
      <c r="B58" s="5">
        <f t="shared" si="1"/>
        <v>54</v>
      </c>
      <c r="C58" s="5" t="s">
        <v>314</v>
      </c>
      <c r="D58" s="5" t="s">
        <v>406</v>
      </c>
      <c r="E58" s="5" t="s">
        <v>721</v>
      </c>
      <c r="F58" s="5">
        <v>0.36</v>
      </c>
      <c r="G58" s="5">
        <v>63</v>
      </c>
      <c r="H58" s="10">
        <v>1.03</v>
      </c>
      <c r="I58" s="499">
        <v>114.6</v>
      </c>
      <c r="J58" s="500"/>
      <c r="K58" s="501"/>
      <c r="L58" s="5">
        <f t="shared" si="0"/>
        <v>4666.5000000000009</v>
      </c>
      <c r="M58" s="498"/>
      <c r="N58" s="498"/>
    </row>
    <row r="59" spans="2:14">
      <c r="B59" s="5">
        <f t="shared" si="1"/>
        <v>55</v>
      </c>
      <c r="C59" s="5" t="s">
        <v>406</v>
      </c>
      <c r="D59" s="5" t="s">
        <v>392</v>
      </c>
      <c r="E59" s="5" t="s">
        <v>721</v>
      </c>
      <c r="F59" s="5">
        <v>0.36</v>
      </c>
      <c r="G59" s="5">
        <v>63</v>
      </c>
      <c r="H59" s="10">
        <v>1.03</v>
      </c>
      <c r="I59" s="499">
        <v>21.9</v>
      </c>
      <c r="J59" s="500"/>
      <c r="K59" s="501"/>
      <c r="L59" s="5">
        <f t="shared" si="0"/>
        <v>4688.4000000000005</v>
      </c>
      <c r="M59" s="498"/>
      <c r="N59" s="498"/>
    </row>
    <row r="60" spans="2:14">
      <c r="B60" s="5">
        <f t="shared" si="1"/>
        <v>56</v>
      </c>
      <c r="C60" s="5" t="s">
        <v>406</v>
      </c>
      <c r="D60" s="5" t="s">
        <v>392</v>
      </c>
      <c r="E60" s="5"/>
      <c r="F60" s="5"/>
      <c r="G60" s="5">
        <v>63</v>
      </c>
      <c r="H60" s="10">
        <v>1.03</v>
      </c>
      <c r="I60" s="499">
        <f>24.8-21.9</f>
        <v>2.9000000000000021</v>
      </c>
      <c r="J60" s="500"/>
      <c r="K60" s="501"/>
      <c r="L60" s="5">
        <f t="shared" si="0"/>
        <v>4691.3</v>
      </c>
      <c r="M60" s="498"/>
      <c r="N60" s="498"/>
    </row>
    <row r="61" spans="2:14">
      <c r="B61" s="5">
        <f t="shared" si="1"/>
        <v>57</v>
      </c>
      <c r="C61" s="5" t="s">
        <v>392</v>
      </c>
      <c r="D61" s="5" t="s">
        <v>417</v>
      </c>
      <c r="E61" s="5"/>
      <c r="F61" s="5"/>
      <c r="G61" s="5">
        <v>63</v>
      </c>
      <c r="H61" s="10">
        <v>1.05</v>
      </c>
      <c r="I61" s="499">
        <v>46.5</v>
      </c>
      <c r="J61" s="500"/>
      <c r="K61" s="501"/>
      <c r="L61" s="5">
        <f t="shared" si="0"/>
        <v>4737.8</v>
      </c>
      <c r="M61" s="498"/>
      <c r="N61" s="498"/>
    </row>
    <row r="62" spans="2:14">
      <c r="B62" s="5">
        <f t="shared" si="1"/>
        <v>58</v>
      </c>
      <c r="C62" s="5" t="s">
        <v>351</v>
      </c>
      <c r="D62" s="5" t="s">
        <v>254</v>
      </c>
      <c r="E62" s="5"/>
      <c r="F62" s="5"/>
      <c r="G62" s="5">
        <v>63</v>
      </c>
      <c r="H62" s="10">
        <v>1.05</v>
      </c>
      <c r="I62" s="499">
        <v>131.30000000000001</v>
      </c>
      <c r="J62" s="500"/>
      <c r="K62" s="501"/>
      <c r="L62" s="5">
        <f t="shared" si="0"/>
        <v>4869.1000000000004</v>
      </c>
      <c r="M62" s="498"/>
      <c r="N62" s="498"/>
    </row>
    <row r="63" spans="2:14">
      <c r="B63" s="5">
        <f t="shared" si="1"/>
        <v>59</v>
      </c>
      <c r="C63" s="5" t="s">
        <v>254</v>
      </c>
      <c r="D63" s="5" t="s">
        <v>318</v>
      </c>
      <c r="E63" s="5"/>
      <c r="F63" s="5"/>
      <c r="G63" s="5">
        <v>63</v>
      </c>
      <c r="H63" s="10">
        <v>1.05</v>
      </c>
      <c r="I63" s="499">
        <v>33</v>
      </c>
      <c r="J63" s="500"/>
      <c r="K63" s="501"/>
      <c r="L63" s="5">
        <f t="shared" si="0"/>
        <v>4902.1000000000004</v>
      </c>
      <c r="M63" s="498"/>
      <c r="N63" s="498"/>
    </row>
    <row r="64" spans="2:14">
      <c r="B64" s="5">
        <f t="shared" si="1"/>
        <v>60</v>
      </c>
      <c r="C64" s="5" t="s">
        <v>254</v>
      </c>
      <c r="D64" s="5" t="s">
        <v>318</v>
      </c>
      <c r="E64" s="5" t="s">
        <v>193</v>
      </c>
      <c r="F64" s="5">
        <v>0.36</v>
      </c>
      <c r="G64" s="5">
        <v>63</v>
      </c>
      <c r="H64" s="10">
        <v>1.05</v>
      </c>
      <c r="I64" s="499">
        <v>5</v>
      </c>
      <c r="J64" s="500"/>
      <c r="K64" s="501"/>
      <c r="L64" s="5">
        <f t="shared" si="0"/>
        <v>4907.1000000000004</v>
      </c>
      <c r="M64" s="498"/>
      <c r="N64" s="498"/>
    </row>
    <row r="65" spans="2:21">
      <c r="B65" s="5">
        <f t="shared" si="1"/>
        <v>61</v>
      </c>
      <c r="C65" s="5" t="s">
        <v>318</v>
      </c>
      <c r="D65" s="5" t="s">
        <v>237</v>
      </c>
      <c r="E65" s="5"/>
      <c r="F65" s="5"/>
      <c r="G65" s="5">
        <v>63</v>
      </c>
      <c r="H65" s="10">
        <v>1.06</v>
      </c>
      <c r="I65" s="499">
        <v>112.9</v>
      </c>
      <c r="J65" s="500"/>
      <c r="K65" s="501"/>
      <c r="L65" s="5">
        <f t="shared" si="0"/>
        <v>5020</v>
      </c>
      <c r="M65" s="498"/>
      <c r="N65" s="498"/>
    </row>
    <row r="66" spans="2:21">
      <c r="B66" s="5">
        <f t="shared" si="1"/>
        <v>62</v>
      </c>
      <c r="C66" s="5" t="s">
        <v>318</v>
      </c>
      <c r="D66" s="5" t="s">
        <v>317</v>
      </c>
      <c r="E66" s="5"/>
      <c r="F66" s="5"/>
      <c r="G66" s="5">
        <v>63</v>
      </c>
      <c r="H66" s="10">
        <v>1.04</v>
      </c>
      <c r="I66" s="499">
        <v>83.5</v>
      </c>
      <c r="J66" s="500"/>
      <c r="K66" s="501"/>
      <c r="L66" s="5">
        <f t="shared" si="0"/>
        <v>5103.5</v>
      </c>
      <c r="M66" s="498"/>
      <c r="N66" s="498"/>
    </row>
    <row r="67" spans="2:21">
      <c r="B67" s="5">
        <f t="shared" si="1"/>
        <v>63</v>
      </c>
      <c r="C67" s="5" t="s">
        <v>254</v>
      </c>
      <c r="D67" s="5" t="s">
        <v>319</v>
      </c>
      <c r="E67" s="5"/>
      <c r="F67" s="5"/>
      <c r="G67" s="5">
        <v>63</v>
      </c>
      <c r="H67" s="10">
        <v>1.04</v>
      </c>
      <c r="I67" s="499">
        <v>340.1</v>
      </c>
      <c r="J67" s="500"/>
      <c r="K67" s="501"/>
      <c r="L67" s="5">
        <f t="shared" si="0"/>
        <v>5443.6</v>
      </c>
      <c r="M67" s="498"/>
      <c r="N67" s="498"/>
    </row>
    <row r="68" spans="2:21">
      <c r="B68" s="5">
        <f t="shared" si="1"/>
        <v>64</v>
      </c>
      <c r="C68" s="5" t="s">
        <v>434</v>
      </c>
      <c r="D68" s="5" t="s">
        <v>225</v>
      </c>
      <c r="E68" s="5"/>
      <c r="F68" s="5"/>
      <c r="G68" s="5">
        <v>63</v>
      </c>
      <c r="H68" s="10">
        <v>1.04</v>
      </c>
      <c r="I68" s="499">
        <v>27.1</v>
      </c>
      <c r="J68" s="500"/>
      <c r="K68" s="501"/>
      <c r="L68" s="5">
        <f t="shared" si="0"/>
        <v>5470.7000000000007</v>
      </c>
      <c r="M68" s="498"/>
      <c r="N68" s="498"/>
    </row>
    <row r="69" spans="2:21">
      <c r="B69" s="5">
        <f t="shared" si="1"/>
        <v>65</v>
      </c>
      <c r="C69" s="5" t="s">
        <v>35</v>
      </c>
      <c r="D69" s="5" t="s">
        <v>169</v>
      </c>
      <c r="E69" s="5"/>
      <c r="F69" s="5"/>
      <c r="G69" s="5">
        <v>63</v>
      </c>
      <c r="H69" s="10">
        <v>1.06</v>
      </c>
      <c r="I69" s="499">
        <v>685.6</v>
      </c>
      <c r="J69" s="500"/>
      <c r="K69" s="501"/>
      <c r="L69" s="5">
        <f t="shared" si="0"/>
        <v>6156.3000000000011</v>
      </c>
      <c r="M69" s="498"/>
      <c r="N69" s="498"/>
    </row>
    <row r="70" spans="2:21">
      <c r="B70" s="5">
        <f t="shared" si="1"/>
        <v>66</v>
      </c>
      <c r="C70" s="5" t="s">
        <v>112</v>
      </c>
      <c r="D70" s="5" t="s">
        <v>722</v>
      </c>
      <c r="E70" s="5"/>
      <c r="F70" s="5"/>
      <c r="G70" s="5">
        <v>63</v>
      </c>
      <c r="H70" s="10">
        <v>1.05</v>
      </c>
      <c r="I70" s="499">
        <v>64.099999999999994</v>
      </c>
      <c r="J70" s="500"/>
      <c r="K70" s="501"/>
      <c r="L70" s="5">
        <f t="shared" ref="L70:L129" si="2">+L69+I70</f>
        <v>6220.4000000000015</v>
      </c>
      <c r="M70" s="498"/>
      <c r="N70" s="498"/>
    </row>
    <row r="71" spans="2:21">
      <c r="B71" s="5">
        <f t="shared" ref="B71:B129" si="3">1+B70</f>
        <v>67</v>
      </c>
      <c r="C71" s="5" t="s">
        <v>164</v>
      </c>
      <c r="D71" s="5" t="s">
        <v>112</v>
      </c>
      <c r="E71" s="5"/>
      <c r="F71" s="5"/>
      <c r="G71" s="5">
        <v>63</v>
      </c>
      <c r="H71" s="10">
        <v>1.05</v>
      </c>
      <c r="I71" s="499">
        <v>258.3</v>
      </c>
      <c r="J71" s="500"/>
      <c r="K71" s="501"/>
      <c r="L71" s="5">
        <f t="shared" si="2"/>
        <v>6478.7000000000016</v>
      </c>
      <c r="M71" s="608"/>
      <c r="N71" s="608"/>
    </row>
    <row r="72" spans="2:21">
      <c r="B72" s="5">
        <f t="shared" si="3"/>
        <v>68</v>
      </c>
      <c r="C72" s="5" t="s">
        <v>358</v>
      </c>
      <c r="D72" s="5" t="s">
        <v>239</v>
      </c>
      <c r="E72" s="5"/>
      <c r="F72" s="5"/>
      <c r="G72" s="5">
        <v>63</v>
      </c>
      <c r="H72" s="10">
        <v>1.06</v>
      </c>
      <c r="I72" s="499">
        <v>274.2</v>
      </c>
      <c r="J72" s="500"/>
      <c r="K72" s="11"/>
      <c r="L72" s="5">
        <f t="shared" si="2"/>
        <v>6752.9000000000015</v>
      </c>
      <c r="M72" s="499"/>
      <c r="N72" s="501"/>
    </row>
    <row r="73" spans="2:21">
      <c r="B73" s="5">
        <f t="shared" si="3"/>
        <v>69</v>
      </c>
      <c r="C73" s="5" t="s">
        <v>163</v>
      </c>
      <c r="D73" s="5" t="s">
        <v>723</v>
      </c>
      <c r="E73" s="5"/>
      <c r="F73" s="5"/>
      <c r="G73" s="5">
        <v>63</v>
      </c>
      <c r="H73" s="10">
        <v>1.06</v>
      </c>
      <c r="I73" s="499">
        <v>76.900000000000006</v>
      </c>
      <c r="J73" s="500"/>
      <c r="K73" s="501"/>
      <c r="L73" s="5">
        <f t="shared" si="2"/>
        <v>6829.8000000000011</v>
      </c>
      <c r="M73" s="608"/>
      <c r="N73" s="608"/>
      <c r="S73" s="499"/>
      <c r="T73" s="500"/>
      <c r="U73" s="501"/>
    </row>
    <row r="74" spans="2:21">
      <c r="B74" s="5">
        <f t="shared" si="3"/>
        <v>70</v>
      </c>
      <c r="C74" s="5" t="s">
        <v>724</v>
      </c>
      <c r="D74" s="5" t="s">
        <v>70</v>
      </c>
      <c r="E74" s="5"/>
      <c r="F74" s="5"/>
      <c r="G74" s="5">
        <v>63</v>
      </c>
      <c r="H74" s="10">
        <v>1.06</v>
      </c>
      <c r="I74" s="499">
        <v>90.6</v>
      </c>
      <c r="J74" s="500"/>
      <c r="K74" s="501"/>
      <c r="L74" s="5">
        <f t="shared" si="2"/>
        <v>6920.4000000000015</v>
      </c>
      <c r="M74" s="608"/>
      <c r="N74" s="608"/>
    </row>
    <row r="75" spans="2:21">
      <c r="B75" s="5">
        <f t="shared" si="3"/>
        <v>71</v>
      </c>
      <c r="C75" s="5" t="s">
        <v>70</v>
      </c>
      <c r="D75" s="5" t="s">
        <v>126</v>
      </c>
      <c r="E75" s="5"/>
      <c r="F75" s="5"/>
      <c r="G75" s="5">
        <v>63</v>
      </c>
      <c r="H75" s="10">
        <v>0.96</v>
      </c>
      <c r="I75" s="499">
        <v>432</v>
      </c>
      <c r="J75" s="500"/>
      <c r="K75" s="501"/>
      <c r="L75" s="5">
        <f t="shared" si="2"/>
        <v>7352.4000000000015</v>
      </c>
      <c r="M75" s="498"/>
      <c r="N75" s="498"/>
    </row>
    <row r="76" spans="2:21">
      <c r="B76" s="5">
        <f t="shared" si="3"/>
        <v>72</v>
      </c>
      <c r="C76" s="5" t="s">
        <v>70</v>
      </c>
      <c r="D76" s="5" t="s">
        <v>126</v>
      </c>
      <c r="E76" s="5" t="s">
        <v>45</v>
      </c>
      <c r="F76" s="5">
        <v>0.36</v>
      </c>
      <c r="G76" s="5">
        <v>63</v>
      </c>
      <c r="H76" s="10">
        <v>0.96</v>
      </c>
      <c r="I76" s="499">
        <v>2.6</v>
      </c>
      <c r="J76" s="500"/>
      <c r="K76" s="501"/>
      <c r="L76" s="5">
        <f t="shared" si="2"/>
        <v>7355.0000000000018</v>
      </c>
      <c r="M76" s="608"/>
      <c r="N76" s="608"/>
    </row>
    <row r="77" spans="2:21">
      <c r="B77" s="5">
        <f t="shared" si="3"/>
        <v>73</v>
      </c>
      <c r="C77" s="5" t="s">
        <v>70</v>
      </c>
      <c r="D77" s="5" t="s">
        <v>725</v>
      </c>
      <c r="E77" s="5"/>
      <c r="F77" s="5"/>
      <c r="G77" s="5">
        <v>63</v>
      </c>
      <c r="H77" s="10">
        <v>0.96</v>
      </c>
      <c r="I77" s="499">
        <v>120.7</v>
      </c>
      <c r="J77" s="500"/>
      <c r="K77" s="501"/>
      <c r="L77" s="5">
        <f t="shared" si="2"/>
        <v>7475.7000000000016</v>
      </c>
      <c r="M77" s="498"/>
      <c r="N77" s="498"/>
    </row>
    <row r="78" spans="2:21">
      <c r="B78" s="5">
        <f t="shared" si="3"/>
        <v>74</v>
      </c>
      <c r="C78" s="5" t="s">
        <v>726</v>
      </c>
      <c r="D78" s="5" t="s">
        <v>725</v>
      </c>
      <c r="E78" s="5"/>
      <c r="F78" s="5"/>
      <c r="G78" s="5">
        <v>63</v>
      </c>
      <c r="H78" s="10">
        <v>1.06</v>
      </c>
      <c r="I78" s="499">
        <v>177.4</v>
      </c>
      <c r="J78" s="500"/>
      <c r="K78" s="501"/>
      <c r="L78" s="5">
        <f t="shared" si="2"/>
        <v>7653.1000000000013</v>
      </c>
      <c r="M78" s="498"/>
      <c r="N78" s="498"/>
    </row>
    <row r="79" spans="2:21">
      <c r="B79" s="5">
        <f t="shared" si="3"/>
        <v>75</v>
      </c>
      <c r="C79" s="5" t="s">
        <v>726</v>
      </c>
      <c r="D79" s="5" t="s">
        <v>725</v>
      </c>
      <c r="E79" s="5" t="s">
        <v>199</v>
      </c>
      <c r="F79" s="5">
        <v>0.36</v>
      </c>
      <c r="G79" s="5">
        <v>63</v>
      </c>
      <c r="H79" s="10">
        <v>1.06</v>
      </c>
      <c r="I79" s="499">
        <v>116.3</v>
      </c>
      <c r="J79" s="500"/>
      <c r="K79" s="501"/>
      <c r="L79" s="5">
        <f t="shared" si="2"/>
        <v>7769.4000000000015</v>
      </c>
      <c r="M79" s="498"/>
      <c r="N79" s="498"/>
      <c r="P79" s="499">
        <v>685.6</v>
      </c>
      <c r="Q79" s="500"/>
      <c r="R79" s="501"/>
    </row>
    <row r="80" spans="2:21">
      <c r="B80" s="5">
        <f t="shared" si="3"/>
        <v>76</v>
      </c>
      <c r="C80" s="5" t="s">
        <v>151</v>
      </c>
      <c r="D80" s="5" t="s">
        <v>503</v>
      </c>
      <c r="E80" s="5"/>
      <c r="F80" s="5"/>
      <c r="G80" s="5">
        <v>63</v>
      </c>
      <c r="H80" s="10">
        <v>1.06</v>
      </c>
      <c r="I80" s="499">
        <v>160.19999999999999</v>
      </c>
      <c r="J80" s="500"/>
      <c r="K80" s="501"/>
      <c r="L80" s="5">
        <f t="shared" si="2"/>
        <v>7929.6000000000013</v>
      </c>
      <c r="M80" s="498"/>
      <c r="N80" s="498"/>
      <c r="P80" s="499">
        <v>250.3</v>
      </c>
      <c r="Q80" s="501"/>
    </row>
    <row r="81" spans="2:21">
      <c r="B81" s="5">
        <f t="shared" si="3"/>
        <v>77</v>
      </c>
      <c r="C81" s="5" t="s">
        <v>595</v>
      </c>
      <c r="D81" s="5" t="s">
        <v>502</v>
      </c>
      <c r="E81" s="5"/>
      <c r="F81" s="5"/>
      <c r="G81" s="5">
        <v>63</v>
      </c>
      <c r="H81" s="10">
        <v>1.06</v>
      </c>
      <c r="I81" s="499">
        <v>186.8</v>
      </c>
      <c r="J81" s="500"/>
      <c r="K81" s="501"/>
      <c r="L81" s="5">
        <f t="shared" si="2"/>
        <v>8116.4000000000015</v>
      </c>
      <c r="M81" s="498"/>
      <c r="N81" s="498"/>
      <c r="P81" s="499">
        <v>71.900000000000006</v>
      </c>
      <c r="Q81" s="501"/>
    </row>
    <row r="82" spans="2:21">
      <c r="B82" s="5">
        <f t="shared" si="3"/>
        <v>78</v>
      </c>
      <c r="C82" s="5" t="s">
        <v>502</v>
      </c>
      <c r="D82" s="5" t="s">
        <v>727</v>
      </c>
      <c r="E82" s="5"/>
      <c r="F82" s="5"/>
      <c r="G82" s="5">
        <v>63</v>
      </c>
      <c r="H82" s="10">
        <v>1.06</v>
      </c>
      <c r="I82" s="499">
        <v>29</v>
      </c>
      <c r="J82" s="500"/>
      <c r="K82" s="501"/>
      <c r="L82" s="5">
        <f t="shared" si="2"/>
        <v>8145.4000000000015</v>
      </c>
      <c r="M82" s="498"/>
      <c r="N82" s="498"/>
      <c r="P82" s="499">
        <v>79.8</v>
      </c>
      <c r="Q82" s="501"/>
    </row>
    <row r="83" spans="2:21">
      <c r="B83" s="5">
        <f t="shared" si="3"/>
        <v>79</v>
      </c>
      <c r="C83" s="5" t="s">
        <v>728</v>
      </c>
      <c r="D83" s="5" t="s">
        <v>46</v>
      </c>
      <c r="E83" s="5"/>
      <c r="F83" s="5"/>
      <c r="G83" s="5">
        <v>63</v>
      </c>
      <c r="H83" s="10">
        <v>1.06</v>
      </c>
      <c r="I83" s="499">
        <v>66.099999999999994</v>
      </c>
      <c r="J83" s="500"/>
      <c r="K83" s="501"/>
      <c r="L83" s="5">
        <f t="shared" si="2"/>
        <v>8211.5000000000018</v>
      </c>
      <c r="M83" s="498"/>
      <c r="N83" s="498"/>
      <c r="P83" s="499">
        <v>43.2</v>
      </c>
      <c r="Q83" s="501"/>
    </row>
    <row r="84" spans="2:21">
      <c r="B84" s="5">
        <f t="shared" si="3"/>
        <v>80</v>
      </c>
      <c r="C84" s="5" t="s">
        <v>382</v>
      </c>
      <c r="D84" s="5" t="s">
        <v>403</v>
      </c>
      <c r="E84" s="5" t="s">
        <v>721</v>
      </c>
      <c r="F84" s="5">
        <v>0.36</v>
      </c>
      <c r="G84" s="5">
        <v>63</v>
      </c>
      <c r="H84" s="10">
        <v>1.06</v>
      </c>
      <c r="I84" s="499">
        <v>58.8</v>
      </c>
      <c r="J84" s="500"/>
      <c r="K84" s="501"/>
      <c r="L84" s="5">
        <f t="shared" si="2"/>
        <v>8270.3000000000011</v>
      </c>
      <c r="M84" s="498"/>
      <c r="N84" s="498"/>
      <c r="P84" s="499">
        <v>2.6</v>
      </c>
      <c r="Q84" s="501"/>
    </row>
    <row r="85" spans="2:21">
      <c r="B85" s="5">
        <f t="shared" si="3"/>
        <v>81</v>
      </c>
      <c r="C85" s="5" t="s">
        <v>727</v>
      </c>
      <c r="D85" s="5" t="s">
        <v>729</v>
      </c>
      <c r="E85" s="5" t="s">
        <v>721</v>
      </c>
      <c r="F85" s="5">
        <v>0.36</v>
      </c>
      <c r="G85" s="5">
        <v>63</v>
      </c>
      <c r="H85" s="10">
        <v>0.98</v>
      </c>
      <c r="I85" s="499">
        <v>46.8</v>
      </c>
      <c r="J85" s="500"/>
      <c r="K85" s="501"/>
      <c r="L85" s="5">
        <f t="shared" si="2"/>
        <v>8317.1</v>
      </c>
      <c r="M85" s="498"/>
      <c r="N85" s="498"/>
      <c r="P85" s="499">
        <v>120.7</v>
      </c>
      <c r="Q85" s="501"/>
    </row>
    <row r="86" spans="2:21">
      <c r="B86" s="5">
        <f t="shared" si="3"/>
        <v>82</v>
      </c>
      <c r="C86" s="5" t="s">
        <v>727</v>
      </c>
      <c r="D86" s="5" t="s">
        <v>729</v>
      </c>
      <c r="E86" s="5"/>
      <c r="F86" s="5"/>
      <c r="G86" s="5">
        <v>63</v>
      </c>
      <c r="H86" s="10">
        <v>1.06</v>
      </c>
      <c r="I86" s="499">
        <f>48.1-46.8</f>
        <v>1.3000000000000043</v>
      </c>
      <c r="J86" s="500"/>
      <c r="K86" s="501"/>
      <c r="L86" s="5">
        <f t="shared" si="2"/>
        <v>8318.4</v>
      </c>
      <c r="M86" s="498"/>
      <c r="N86" s="498"/>
      <c r="P86" s="499">
        <v>174.4</v>
      </c>
      <c r="Q86" s="501"/>
    </row>
    <row r="87" spans="2:21">
      <c r="B87" s="5">
        <f t="shared" si="3"/>
        <v>83</v>
      </c>
      <c r="C87" s="5" t="s">
        <v>727</v>
      </c>
      <c r="D87" s="5" t="s">
        <v>729</v>
      </c>
      <c r="E87" s="5" t="s">
        <v>730</v>
      </c>
      <c r="F87" s="5">
        <v>0.36</v>
      </c>
      <c r="G87" s="5">
        <v>63</v>
      </c>
      <c r="H87" s="10">
        <v>1.06</v>
      </c>
      <c r="I87" s="499">
        <v>5.4</v>
      </c>
      <c r="J87" s="500"/>
      <c r="K87" s="501"/>
      <c r="L87" s="5">
        <f t="shared" si="2"/>
        <v>8323.7999999999993</v>
      </c>
      <c r="M87" s="498"/>
      <c r="N87" s="498"/>
      <c r="P87" s="499">
        <v>116.3</v>
      </c>
      <c r="Q87" s="501"/>
    </row>
    <row r="88" spans="2:21">
      <c r="B88" s="5">
        <f t="shared" si="3"/>
        <v>84</v>
      </c>
      <c r="C88" s="5" t="s">
        <v>729</v>
      </c>
      <c r="D88" s="5" t="s">
        <v>155</v>
      </c>
      <c r="E88" s="5" t="s">
        <v>721</v>
      </c>
      <c r="F88" s="5">
        <v>0.36</v>
      </c>
      <c r="G88" s="5">
        <v>63</v>
      </c>
      <c r="H88" s="10">
        <v>0.98</v>
      </c>
      <c r="I88" s="499">
        <v>21.1</v>
      </c>
      <c r="J88" s="500"/>
      <c r="K88" s="501"/>
      <c r="L88" s="5">
        <f t="shared" si="2"/>
        <v>8344.9</v>
      </c>
      <c r="M88" s="498"/>
      <c r="N88" s="498"/>
      <c r="P88" s="499">
        <v>197.3</v>
      </c>
      <c r="Q88" s="501"/>
    </row>
    <row r="89" spans="2:21">
      <c r="B89" s="5">
        <f t="shared" si="3"/>
        <v>85</v>
      </c>
      <c r="C89" s="5" t="s">
        <v>729</v>
      </c>
      <c r="D89" s="5" t="s">
        <v>160</v>
      </c>
      <c r="E89" s="5" t="s">
        <v>730</v>
      </c>
      <c r="F89" s="5">
        <v>0.36</v>
      </c>
      <c r="G89" s="5">
        <v>63</v>
      </c>
      <c r="H89" s="10">
        <v>1.06</v>
      </c>
      <c r="I89" s="499">
        <v>3</v>
      </c>
      <c r="J89" s="500"/>
      <c r="K89" s="501"/>
      <c r="L89" s="5">
        <f t="shared" si="2"/>
        <v>8347.9</v>
      </c>
      <c r="M89" s="498"/>
      <c r="N89" s="498"/>
      <c r="P89" s="499">
        <v>158.19999999999999</v>
      </c>
      <c r="Q89" s="501"/>
    </row>
    <row r="90" spans="2:21">
      <c r="B90" s="5">
        <f t="shared" si="3"/>
        <v>86</v>
      </c>
      <c r="C90" s="5" t="s">
        <v>364</v>
      </c>
      <c r="D90" s="5" t="s">
        <v>504</v>
      </c>
      <c r="E90" s="5" t="s">
        <v>730</v>
      </c>
      <c r="F90" s="5">
        <v>0.36</v>
      </c>
      <c r="G90" s="5">
        <v>63</v>
      </c>
      <c r="H90" s="10">
        <v>1.06</v>
      </c>
      <c r="I90" s="499">
        <v>4.0999999999999996</v>
      </c>
      <c r="J90" s="500"/>
      <c r="K90" s="501"/>
      <c r="L90" s="5">
        <f t="shared" si="2"/>
        <v>8352</v>
      </c>
      <c r="M90" s="498"/>
      <c r="N90" s="498"/>
      <c r="P90" s="499">
        <v>130.80000000000001</v>
      </c>
      <c r="Q90" s="501"/>
    </row>
    <row r="91" spans="2:21">
      <c r="B91" s="5">
        <f t="shared" si="3"/>
        <v>87</v>
      </c>
      <c r="C91" s="5" t="s">
        <v>364</v>
      </c>
      <c r="D91" s="5" t="s">
        <v>504</v>
      </c>
      <c r="E91" s="5" t="s">
        <v>721</v>
      </c>
      <c r="F91" s="5">
        <v>0.36</v>
      </c>
      <c r="G91" s="5">
        <v>63</v>
      </c>
      <c r="H91" s="10">
        <v>1.06</v>
      </c>
      <c r="I91" s="499">
        <v>63.4</v>
      </c>
      <c r="J91" s="500"/>
      <c r="K91" s="501"/>
      <c r="L91" s="5">
        <f t="shared" si="2"/>
        <v>8415.4</v>
      </c>
      <c r="M91" s="498"/>
      <c r="N91" s="498"/>
      <c r="P91" s="499">
        <f>8.6+20.4</f>
        <v>29</v>
      </c>
      <c r="Q91" s="501"/>
    </row>
    <row r="92" spans="2:21">
      <c r="B92" s="5">
        <f t="shared" si="3"/>
        <v>88</v>
      </c>
      <c r="C92" s="5" t="s">
        <v>504</v>
      </c>
      <c r="D92" s="5" t="s">
        <v>403</v>
      </c>
      <c r="E92" s="5"/>
      <c r="F92" s="5"/>
      <c r="G92" s="5">
        <v>63</v>
      </c>
      <c r="H92" s="10">
        <v>0.95</v>
      </c>
      <c r="I92" s="499">
        <v>8.1999999999999993</v>
      </c>
      <c r="J92" s="500"/>
      <c r="K92" s="501"/>
      <c r="L92" s="5">
        <f t="shared" si="2"/>
        <v>8423.6</v>
      </c>
      <c r="M92" s="498"/>
      <c r="N92" s="498"/>
      <c r="P92" s="499">
        <v>133.19999999999999</v>
      </c>
      <c r="Q92" s="501"/>
    </row>
    <row r="93" spans="2:21">
      <c r="B93" s="5">
        <f t="shared" si="3"/>
        <v>89</v>
      </c>
      <c r="C93" s="5" t="s">
        <v>504</v>
      </c>
      <c r="D93" s="5" t="s">
        <v>403</v>
      </c>
      <c r="E93" s="5" t="s">
        <v>721</v>
      </c>
      <c r="F93" s="5">
        <v>0.36</v>
      </c>
      <c r="G93" s="5">
        <v>63</v>
      </c>
      <c r="H93" s="10">
        <v>0.95</v>
      </c>
      <c r="I93" s="499">
        <f>72.8+2.3</f>
        <v>75.099999999999994</v>
      </c>
      <c r="J93" s="500"/>
      <c r="K93" s="501"/>
      <c r="L93" s="5">
        <f t="shared" si="2"/>
        <v>8498.7000000000007</v>
      </c>
      <c r="M93" s="498"/>
      <c r="N93" s="498"/>
      <c r="P93" s="499">
        <v>62.1</v>
      </c>
      <c r="Q93" s="501"/>
    </row>
    <row r="94" spans="2:21">
      <c r="B94" s="5">
        <f t="shared" si="3"/>
        <v>90</v>
      </c>
      <c r="C94" s="5" t="s">
        <v>504</v>
      </c>
      <c r="D94" s="5" t="s">
        <v>595</v>
      </c>
      <c r="E94" s="5" t="s">
        <v>721</v>
      </c>
      <c r="F94" s="5">
        <v>0.36</v>
      </c>
      <c r="G94" s="5">
        <v>63</v>
      </c>
      <c r="H94" s="10">
        <v>1.06</v>
      </c>
      <c r="I94" s="499">
        <v>40.200000000000003</v>
      </c>
      <c r="J94" s="500"/>
      <c r="K94" s="501"/>
      <c r="L94" s="5">
        <f t="shared" si="2"/>
        <v>8538.9000000000015</v>
      </c>
      <c r="M94" s="498"/>
      <c r="N94" s="498"/>
      <c r="P94" s="10"/>
      <c r="Q94" s="11"/>
    </row>
    <row r="95" spans="2:21">
      <c r="B95" s="5">
        <f t="shared" si="3"/>
        <v>91</v>
      </c>
      <c r="C95" s="5" t="s">
        <v>139</v>
      </c>
      <c r="D95" s="5" t="s">
        <v>727</v>
      </c>
      <c r="E95" s="5"/>
      <c r="F95" s="5"/>
      <c r="G95" s="5">
        <v>63</v>
      </c>
      <c r="H95" s="10">
        <v>1.06</v>
      </c>
      <c r="I95" s="499">
        <v>29</v>
      </c>
      <c r="J95" s="500"/>
      <c r="K95" s="501"/>
      <c r="L95" s="5">
        <f t="shared" si="2"/>
        <v>8567.9000000000015</v>
      </c>
      <c r="M95" s="498"/>
      <c r="N95" s="498"/>
      <c r="P95" s="10"/>
      <c r="Q95" s="11"/>
      <c r="S95" s="499">
        <f>88.8+50.7+21.9+46.8+5.4+21.1+3+4.1+63.4+75.1+40.2+4.4</f>
        <v>424.89999999999992</v>
      </c>
      <c r="T95" s="500"/>
      <c r="U95" s="501"/>
    </row>
    <row r="96" spans="2:21">
      <c r="B96" s="5">
        <f t="shared" si="3"/>
        <v>92</v>
      </c>
      <c r="C96" s="5" t="s">
        <v>44</v>
      </c>
      <c r="D96" s="5" t="s">
        <v>61</v>
      </c>
      <c r="E96" s="5"/>
      <c r="F96" s="5"/>
      <c r="G96" s="5">
        <v>63</v>
      </c>
      <c r="H96" s="10">
        <v>1.06</v>
      </c>
      <c r="I96" s="499">
        <v>133.4</v>
      </c>
      <c r="J96" s="500"/>
      <c r="K96" s="501"/>
      <c r="L96" s="5">
        <f t="shared" si="2"/>
        <v>8701.3000000000011</v>
      </c>
      <c r="M96" s="498"/>
      <c r="N96" s="498"/>
      <c r="P96" s="499">
        <v>48.1</v>
      </c>
      <c r="Q96" s="501"/>
    </row>
    <row r="97" spans="2:17">
      <c r="B97" s="5">
        <f t="shared" si="3"/>
        <v>93</v>
      </c>
      <c r="C97" s="5" t="s">
        <v>731</v>
      </c>
      <c r="D97" s="5" t="s">
        <v>56</v>
      </c>
      <c r="E97" s="5" t="s">
        <v>199</v>
      </c>
      <c r="F97" s="5">
        <v>0.36</v>
      </c>
      <c r="G97" s="18">
        <v>63</v>
      </c>
      <c r="H97" s="55">
        <v>1.06</v>
      </c>
      <c r="I97" s="499">
        <v>50.1</v>
      </c>
      <c r="J97" s="500"/>
      <c r="K97" s="501"/>
      <c r="L97" s="5">
        <f t="shared" si="2"/>
        <v>8751.4000000000015</v>
      </c>
      <c r="M97" s="498"/>
      <c r="N97" s="498"/>
      <c r="P97" s="499">
        <v>5.4</v>
      </c>
      <c r="Q97" s="501"/>
    </row>
    <row r="98" spans="2:17">
      <c r="B98" s="5">
        <f t="shared" si="3"/>
        <v>94</v>
      </c>
      <c r="C98" s="5" t="s">
        <v>731</v>
      </c>
      <c r="D98" s="5" t="s">
        <v>56</v>
      </c>
      <c r="E98" s="5"/>
      <c r="F98" s="5"/>
      <c r="G98" s="18">
        <v>63</v>
      </c>
      <c r="H98" s="55">
        <v>1.06</v>
      </c>
      <c r="I98" s="499">
        <v>39.1</v>
      </c>
      <c r="J98" s="500"/>
      <c r="K98" s="501"/>
      <c r="L98" s="5">
        <f t="shared" si="2"/>
        <v>8790.5000000000018</v>
      </c>
      <c r="M98" s="499"/>
      <c r="N98" s="501"/>
      <c r="P98" s="10"/>
      <c r="Q98" s="11"/>
    </row>
    <row r="99" spans="2:17">
      <c r="B99" s="5">
        <f t="shared" si="3"/>
        <v>95</v>
      </c>
      <c r="C99" s="5" t="s">
        <v>732</v>
      </c>
      <c r="D99" s="5" t="s">
        <v>67</v>
      </c>
      <c r="E99" s="5" t="s">
        <v>301</v>
      </c>
      <c r="F99" s="5">
        <v>0.36</v>
      </c>
      <c r="G99" s="18">
        <v>63</v>
      </c>
      <c r="H99" s="55">
        <v>1.06</v>
      </c>
      <c r="I99" s="499">
        <v>3.2</v>
      </c>
      <c r="J99" s="500"/>
      <c r="K99" s="501"/>
      <c r="L99" s="5">
        <f t="shared" si="2"/>
        <v>8793.7000000000025</v>
      </c>
      <c r="M99" s="498"/>
      <c r="N99" s="498"/>
      <c r="P99" s="499">
        <v>21.1</v>
      </c>
      <c r="Q99" s="501"/>
    </row>
    <row r="100" spans="2:17">
      <c r="B100" s="5">
        <f t="shared" si="3"/>
        <v>96</v>
      </c>
      <c r="C100" s="5" t="s">
        <v>639</v>
      </c>
      <c r="D100" s="5" t="s">
        <v>335</v>
      </c>
      <c r="E100" s="5"/>
      <c r="F100" s="5"/>
      <c r="G100" s="18">
        <v>63</v>
      </c>
      <c r="H100" s="55">
        <v>1.04</v>
      </c>
      <c r="I100" s="499">
        <v>64.2</v>
      </c>
      <c r="J100" s="500"/>
      <c r="K100" s="11"/>
      <c r="L100" s="5">
        <f t="shared" si="2"/>
        <v>8857.9000000000033</v>
      </c>
      <c r="M100" s="499"/>
      <c r="N100" s="501"/>
      <c r="P100" s="10"/>
      <c r="Q100" s="11"/>
    </row>
    <row r="101" spans="2:17">
      <c r="B101" s="5">
        <f t="shared" si="3"/>
        <v>97</v>
      </c>
      <c r="C101" s="5" t="s">
        <v>733</v>
      </c>
      <c r="D101" s="5" t="s">
        <v>338</v>
      </c>
      <c r="E101" s="5"/>
      <c r="F101" s="5"/>
      <c r="G101" s="18">
        <v>63</v>
      </c>
      <c r="H101" s="55">
        <v>1.05</v>
      </c>
      <c r="I101" s="499">
        <v>197.3</v>
      </c>
      <c r="J101" s="500"/>
      <c r="K101" s="501"/>
      <c r="L101" s="5">
        <f t="shared" si="2"/>
        <v>9055.2000000000025</v>
      </c>
      <c r="M101" s="498"/>
      <c r="N101" s="498"/>
      <c r="P101" s="499">
        <v>3</v>
      </c>
      <c r="Q101" s="501"/>
    </row>
    <row r="102" spans="2:17">
      <c r="B102" s="5">
        <f t="shared" si="3"/>
        <v>98</v>
      </c>
      <c r="C102" s="5" t="s">
        <v>346</v>
      </c>
      <c r="D102" s="5" t="s">
        <v>640</v>
      </c>
      <c r="E102" s="5"/>
      <c r="F102" s="5"/>
      <c r="G102" s="5">
        <v>75</v>
      </c>
      <c r="H102" s="5">
        <v>1.02</v>
      </c>
      <c r="I102" s="498">
        <v>42.4</v>
      </c>
      <c r="J102" s="498"/>
      <c r="K102" s="498"/>
      <c r="L102" s="5">
        <f t="shared" si="2"/>
        <v>9097.6000000000022</v>
      </c>
      <c r="M102" s="498"/>
      <c r="N102" s="498"/>
      <c r="P102" s="10"/>
      <c r="Q102" s="11"/>
    </row>
    <row r="103" spans="2:17">
      <c r="B103" s="5">
        <f t="shared" si="3"/>
        <v>99</v>
      </c>
      <c r="C103" s="5" t="s">
        <v>334</v>
      </c>
      <c r="D103" s="5" t="s">
        <v>343</v>
      </c>
      <c r="E103" s="5"/>
      <c r="F103" s="5"/>
      <c r="G103" s="5">
        <v>75</v>
      </c>
      <c r="H103" s="5">
        <v>1.02</v>
      </c>
      <c r="I103" s="498">
        <v>3.2</v>
      </c>
      <c r="J103" s="498"/>
      <c r="K103" s="498"/>
      <c r="L103" s="5">
        <f t="shared" si="2"/>
        <v>9100.8000000000029</v>
      </c>
      <c r="M103" s="498"/>
      <c r="N103" s="498"/>
      <c r="P103" s="10"/>
      <c r="Q103" s="11"/>
    </row>
    <row r="104" spans="2:17">
      <c r="B104" s="5">
        <f t="shared" si="3"/>
        <v>100</v>
      </c>
      <c r="C104" s="5" t="s">
        <v>334</v>
      </c>
      <c r="D104" s="5" t="s">
        <v>343</v>
      </c>
      <c r="E104" s="5"/>
      <c r="F104" s="5"/>
      <c r="G104" s="5">
        <v>75</v>
      </c>
      <c r="H104" s="5">
        <v>1.05</v>
      </c>
      <c r="I104" s="498">
        <v>347.2</v>
      </c>
      <c r="J104" s="498"/>
      <c r="K104" s="498"/>
      <c r="L104" s="5">
        <f t="shared" si="2"/>
        <v>9448.0000000000036</v>
      </c>
      <c r="M104" s="498"/>
      <c r="N104" s="498"/>
      <c r="P104" s="10"/>
      <c r="Q104" s="11"/>
    </row>
    <row r="105" spans="2:17">
      <c r="B105" s="5">
        <f t="shared" si="3"/>
        <v>101</v>
      </c>
      <c r="C105" s="5" t="s">
        <v>334</v>
      </c>
      <c r="D105" s="5" t="s">
        <v>343</v>
      </c>
      <c r="E105" s="5" t="s">
        <v>301</v>
      </c>
      <c r="F105" s="5">
        <v>0.38</v>
      </c>
      <c r="G105" s="5">
        <v>75</v>
      </c>
      <c r="H105" s="5">
        <v>1.05</v>
      </c>
      <c r="I105" s="498">
        <v>8.6</v>
      </c>
      <c r="J105" s="498"/>
      <c r="K105" s="498"/>
      <c r="L105" s="5">
        <f t="shared" si="2"/>
        <v>9456.600000000004</v>
      </c>
      <c r="M105" s="498"/>
      <c r="N105" s="498"/>
      <c r="P105" s="10"/>
      <c r="Q105" s="11"/>
    </row>
    <row r="106" spans="2:17">
      <c r="B106" s="5">
        <f t="shared" si="3"/>
        <v>102</v>
      </c>
      <c r="C106" s="5" t="s">
        <v>732</v>
      </c>
      <c r="D106" s="5" t="s">
        <v>131</v>
      </c>
      <c r="E106" s="5"/>
      <c r="F106" s="5"/>
      <c r="G106" s="5">
        <v>75</v>
      </c>
      <c r="H106" s="10">
        <v>1.04</v>
      </c>
      <c r="I106" s="499">
        <v>63.3</v>
      </c>
      <c r="J106" s="500"/>
      <c r="K106" s="501"/>
      <c r="L106" s="5">
        <f t="shared" si="2"/>
        <v>9519.9000000000033</v>
      </c>
      <c r="M106" s="498"/>
      <c r="N106" s="498"/>
      <c r="P106" s="10"/>
      <c r="Q106" s="11"/>
    </row>
    <row r="107" spans="2:17">
      <c r="B107" s="5">
        <f t="shared" si="3"/>
        <v>103</v>
      </c>
      <c r="C107" s="5" t="s">
        <v>131</v>
      </c>
      <c r="D107" s="5" t="s">
        <v>731</v>
      </c>
      <c r="E107" s="5"/>
      <c r="F107" s="5"/>
      <c r="G107" s="5">
        <v>75</v>
      </c>
      <c r="H107" s="10">
        <v>1.06</v>
      </c>
      <c r="I107" s="499">
        <v>97.1</v>
      </c>
      <c r="J107" s="500"/>
      <c r="K107" s="501"/>
      <c r="L107" s="5">
        <f t="shared" si="2"/>
        <v>9617.0000000000036</v>
      </c>
      <c r="M107" s="498"/>
      <c r="N107" s="498"/>
      <c r="P107" s="10"/>
      <c r="Q107" s="11"/>
    </row>
    <row r="108" spans="2:17">
      <c r="B108" s="5">
        <f t="shared" si="3"/>
        <v>104</v>
      </c>
      <c r="C108" s="5" t="s">
        <v>346</v>
      </c>
      <c r="D108" s="5" t="s">
        <v>733</v>
      </c>
      <c r="E108" s="5"/>
      <c r="F108" s="5"/>
      <c r="G108" s="5">
        <v>75</v>
      </c>
      <c r="H108" s="10">
        <v>1.03</v>
      </c>
      <c r="I108" s="499">
        <v>25.1</v>
      </c>
      <c r="J108" s="500"/>
      <c r="K108" s="501"/>
      <c r="L108" s="5">
        <f t="shared" si="2"/>
        <v>9642.100000000004</v>
      </c>
      <c r="M108" s="498"/>
      <c r="N108" s="498"/>
      <c r="P108" s="499"/>
      <c r="Q108" s="501"/>
    </row>
    <row r="109" spans="2:17">
      <c r="B109" s="5">
        <f t="shared" si="3"/>
        <v>105</v>
      </c>
      <c r="C109" s="5" t="s">
        <v>733</v>
      </c>
      <c r="D109" s="5" t="s">
        <v>538</v>
      </c>
      <c r="E109" s="5"/>
      <c r="F109" s="5"/>
      <c r="G109" s="5">
        <v>75</v>
      </c>
      <c r="H109" s="10">
        <v>1.03</v>
      </c>
      <c r="I109" s="499">
        <v>115.6</v>
      </c>
      <c r="J109" s="500"/>
      <c r="K109" s="501"/>
      <c r="L109" s="5">
        <f t="shared" si="2"/>
        <v>9757.7000000000044</v>
      </c>
      <c r="M109" s="498"/>
      <c r="N109" s="498"/>
      <c r="P109" s="63"/>
      <c r="Q109" s="63"/>
    </row>
    <row r="110" spans="2:17">
      <c r="B110" s="5">
        <f t="shared" si="3"/>
        <v>106</v>
      </c>
      <c r="C110" s="5" t="s">
        <v>343</v>
      </c>
      <c r="D110" s="5" t="s">
        <v>639</v>
      </c>
      <c r="E110" s="5"/>
      <c r="F110" s="5"/>
      <c r="G110" s="18">
        <v>75</v>
      </c>
      <c r="H110" s="18">
        <v>1.06</v>
      </c>
      <c r="I110" s="498">
        <v>58.2</v>
      </c>
      <c r="J110" s="498"/>
      <c r="K110" s="498"/>
      <c r="L110" s="5">
        <f t="shared" si="2"/>
        <v>9815.9000000000051</v>
      </c>
      <c r="M110" s="498"/>
      <c r="N110" s="498"/>
    </row>
    <row r="111" spans="2:17">
      <c r="B111" s="5">
        <f t="shared" si="3"/>
        <v>107</v>
      </c>
      <c r="C111" s="5" t="s">
        <v>343</v>
      </c>
      <c r="D111" s="5" t="s">
        <v>386</v>
      </c>
      <c r="E111" s="5" t="s">
        <v>193</v>
      </c>
      <c r="F111" s="5">
        <v>0.38</v>
      </c>
      <c r="G111" s="18">
        <v>75</v>
      </c>
      <c r="H111" s="18">
        <v>1.04</v>
      </c>
      <c r="I111" s="498">
        <v>4.5999999999999996</v>
      </c>
      <c r="J111" s="498"/>
      <c r="K111" s="498"/>
      <c r="L111" s="5">
        <f t="shared" si="2"/>
        <v>9820.5000000000055</v>
      </c>
      <c r="M111" s="498"/>
      <c r="N111" s="498"/>
    </row>
    <row r="112" spans="2:17">
      <c r="B112" s="5">
        <f t="shared" si="3"/>
        <v>108</v>
      </c>
      <c r="C112" s="5" t="s">
        <v>343</v>
      </c>
      <c r="D112" s="5" t="s">
        <v>386</v>
      </c>
      <c r="E112" s="5"/>
      <c r="F112" s="5"/>
      <c r="G112" s="18">
        <v>75</v>
      </c>
      <c r="H112" s="18">
        <v>1.04</v>
      </c>
      <c r="I112" s="498">
        <v>132.19999999999999</v>
      </c>
      <c r="J112" s="498"/>
      <c r="K112" s="498"/>
      <c r="L112" s="5">
        <f t="shared" si="2"/>
        <v>9952.7000000000062</v>
      </c>
      <c r="M112" s="498"/>
      <c r="N112" s="498"/>
    </row>
    <row r="113" spans="2:25">
      <c r="B113" s="5">
        <f t="shared" si="3"/>
        <v>109</v>
      </c>
      <c r="C113" s="5" t="s">
        <v>386</v>
      </c>
      <c r="D113" s="5" t="s">
        <v>351</v>
      </c>
      <c r="E113" s="5"/>
      <c r="F113" s="5"/>
      <c r="G113" s="18">
        <v>90</v>
      </c>
      <c r="H113" s="18">
        <v>1.06</v>
      </c>
      <c r="I113" s="498">
        <v>148.6</v>
      </c>
      <c r="J113" s="498"/>
      <c r="K113" s="498"/>
      <c r="L113" s="5">
        <f t="shared" si="2"/>
        <v>10101.300000000007</v>
      </c>
      <c r="M113" s="498"/>
      <c r="N113" s="498"/>
    </row>
    <row r="114" spans="2:25">
      <c r="B114" s="5">
        <f t="shared" si="3"/>
        <v>110</v>
      </c>
      <c r="C114" s="5" t="s">
        <v>351</v>
      </c>
      <c r="D114" s="5" t="s">
        <v>275</v>
      </c>
      <c r="E114" s="5" t="s">
        <v>193</v>
      </c>
      <c r="F114" s="5">
        <v>0.39</v>
      </c>
      <c r="G114" s="18">
        <v>90</v>
      </c>
      <c r="H114" s="18">
        <v>1.06</v>
      </c>
      <c r="I114" s="498">
        <v>6.6</v>
      </c>
      <c r="J114" s="498"/>
      <c r="K114" s="498"/>
      <c r="L114" s="5">
        <f t="shared" si="2"/>
        <v>10107.900000000007</v>
      </c>
      <c r="M114" s="498"/>
      <c r="N114" s="498"/>
    </row>
    <row r="115" spans="2:25">
      <c r="B115" s="5">
        <f t="shared" si="3"/>
        <v>111</v>
      </c>
      <c r="C115" s="5" t="s">
        <v>351</v>
      </c>
      <c r="D115" s="5" t="s">
        <v>275</v>
      </c>
      <c r="E115" s="5"/>
      <c r="F115" s="5"/>
      <c r="G115" s="18">
        <v>90</v>
      </c>
      <c r="H115" s="18">
        <v>1.04</v>
      </c>
      <c r="I115" s="498">
        <v>54.4</v>
      </c>
      <c r="J115" s="498"/>
      <c r="K115" s="498"/>
      <c r="L115" s="5">
        <f t="shared" si="2"/>
        <v>10162.300000000007</v>
      </c>
      <c r="M115" s="498"/>
      <c r="N115" s="498"/>
    </row>
    <row r="116" spans="2:25">
      <c r="B116" s="5">
        <f t="shared" si="3"/>
        <v>112</v>
      </c>
      <c r="C116" s="5" t="s">
        <v>275</v>
      </c>
      <c r="D116" s="5" t="s">
        <v>413</v>
      </c>
      <c r="E116" s="5"/>
      <c r="F116" s="5"/>
      <c r="G116" s="18">
        <v>90</v>
      </c>
      <c r="H116" s="18">
        <v>1.05</v>
      </c>
      <c r="I116" s="498">
        <v>137.30000000000001</v>
      </c>
      <c r="J116" s="498"/>
      <c r="K116" s="498"/>
      <c r="L116" s="5">
        <f t="shared" si="2"/>
        <v>10299.600000000006</v>
      </c>
      <c r="M116" s="498"/>
      <c r="N116" s="498"/>
    </row>
    <row r="117" spans="2:25">
      <c r="B117" s="5">
        <f t="shared" si="3"/>
        <v>113</v>
      </c>
      <c r="C117" s="5" t="s">
        <v>275</v>
      </c>
      <c r="D117" s="5" t="s">
        <v>538</v>
      </c>
      <c r="E117" s="5" t="s">
        <v>193</v>
      </c>
      <c r="F117" s="5">
        <v>0.39</v>
      </c>
      <c r="G117" s="18">
        <v>90</v>
      </c>
      <c r="H117" s="18">
        <v>1.06</v>
      </c>
      <c r="I117" s="498">
        <v>3</v>
      </c>
      <c r="J117" s="498"/>
      <c r="K117" s="498"/>
      <c r="L117" s="5">
        <f t="shared" si="2"/>
        <v>10302.600000000006</v>
      </c>
      <c r="M117" s="498"/>
      <c r="N117" s="498"/>
    </row>
    <row r="118" spans="2:25">
      <c r="B118" s="5">
        <f t="shared" si="3"/>
        <v>114</v>
      </c>
      <c r="C118" s="5" t="s">
        <v>275</v>
      </c>
      <c r="D118" s="5" t="s">
        <v>538</v>
      </c>
      <c r="E118" s="5"/>
      <c r="F118" s="5"/>
      <c r="G118" s="18">
        <v>90</v>
      </c>
      <c r="H118" s="18">
        <v>1.04</v>
      </c>
      <c r="I118" s="498">
        <f>130.1+18.7</f>
        <v>148.79999999999998</v>
      </c>
      <c r="J118" s="498"/>
      <c r="K118" s="498"/>
      <c r="L118" s="5">
        <f t="shared" si="2"/>
        <v>10451.400000000005</v>
      </c>
      <c r="M118" s="498"/>
      <c r="N118" s="498"/>
    </row>
    <row r="119" spans="2:25">
      <c r="B119" s="5">
        <f t="shared" si="3"/>
        <v>115</v>
      </c>
      <c r="C119" s="5" t="s">
        <v>413</v>
      </c>
      <c r="D119" s="5" t="s">
        <v>412</v>
      </c>
      <c r="E119" s="5"/>
      <c r="F119" s="5"/>
      <c r="G119" s="18">
        <v>110</v>
      </c>
      <c r="H119" s="18">
        <v>1.04</v>
      </c>
      <c r="I119" s="498">
        <v>275.5</v>
      </c>
      <c r="J119" s="498"/>
      <c r="K119" s="498"/>
      <c r="L119" s="5">
        <f t="shared" si="2"/>
        <v>10726.900000000005</v>
      </c>
      <c r="M119" s="498"/>
      <c r="N119" s="498"/>
    </row>
    <row r="120" spans="2:25">
      <c r="B120" s="5">
        <f t="shared" si="3"/>
        <v>116</v>
      </c>
      <c r="C120" s="5" t="s">
        <v>164</v>
      </c>
      <c r="D120" s="5" t="s">
        <v>163</v>
      </c>
      <c r="E120" s="5"/>
      <c r="F120" s="5"/>
      <c r="G120" s="18">
        <v>110</v>
      </c>
      <c r="H120" s="55">
        <v>1.06</v>
      </c>
      <c r="I120" s="499">
        <v>2.4</v>
      </c>
      <c r="J120" s="500"/>
      <c r="K120" s="501"/>
      <c r="L120" s="5">
        <f t="shared" si="2"/>
        <v>10729.300000000005</v>
      </c>
      <c r="M120" s="498" t="s">
        <v>734</v>
      </c>
      <c r="N120" s="498"/>
    </row>
    <row r="121" spans="2:25">
      <c r="B121" s="5">
        <f t="shared" si="3"/>
        <v>117</v>
      </c>
      <c r="C121" s="5" t="s">
        <v>164</v>
      </c>
      <c r="D121" s="5" t="s">
        <v>163</v>
      </c>
      <c r="E121" s="5"/>
      <c r="F121" s="5"/>
      <c r="G121" s="5">
        <v>110</v>
      </c>
      <c r="H121" s="10">
        <v>1.04</v>
      </c>
      <c r="I121" s="499">
        <v>3.3</v>
      </c>
      <c r="J121" s="500"/>
      <c r="K121" s="501"/>
      <c r="L121" s="5">
        <f t="shared" si="2"/>
        <v>10732.600000000004</v>
      </c>
      <c r="M121" s="498"/>
      <c r="N121" s="498"/>
    </row>
    <row r="122" spans="2:25">
      <c r="B122" s="5">
        <f t="shared" si="3"/>
        <v>118</v>
      </c>
      <c r="C122" s="5" t="s">
        <v>164</v>
      </c>
      <c r="D122" s="5" t="s">
        <v>163</v>
      </c>
      <c r="E122" s="5"/>
      <c r="F122" s="5"/>
      <c r="G122" s="18">
        <v>110</v>
      </c>
      <c r="H122" s="55">
        <v>1.01</v>
      </c>
      <c r="I122" s="499">
        <v>64.8</v>
      </c>
      <c r="J122" s="500"/>
      <c r="K122" s="501"/>
      <c r="L122" s="5">
        <f t="shared" si="2"/>
        <v>10797.400000000003</v>
      </c>
      <c r="M122" s="499"/>
      <c r="N122" s="501"/>
    </row>
    <row r="123" spans="2:25">
      <c r="B123" s="5">
        <f t="shared" si="3"/>
        <v>119</v>
      </c>
      <c r="C123" s="5" t="s">
        <v>394</v>
      </c>
      <c r="D123" s="5" t="s">
        <v>267</v>
      </c>
      <c r="E123" s="5"/>
      <c r="F123" s="5"/>
      <c r="G123" s="18">
        <v>125</v>
      </c>
      <c r="H123" s="18">
        <v>1.03</v>
      </c>
      <c r="I123" s="498">
        <f>201.9</f>
        <v>201.9</v>
      </c>
      <c r="J123" s="498"/>
      <c r="K123" s="498"/>
      <c r="L123" s="5">
        <f t="shared" si="2"/>
        <v>10999.300000000003</v>
      </c>
      <c r="M123" s="498"/>
      <c r="N123" s="498"/>
    </row>
    <row r="124" spans="2:25">
      <c r="B124" s="5">
        <f t="shared" si="3"/>
        <v>120</v>
      </c>
      <c r="C124" s="5" t="s">
        <v>394</v>
      </c>
      <c r="D124" s="5" t="s">
        <v>248</v>
      </c>
      <c r="E124" s="5"/>
      <c r="F124" s="5"/>
      <c r="G124" s="18">
        <v>125</v>
      </c>
      <c r="H124" s="18">
        <v>1.06</v>
      </c>
      <c r="I124" s="498">
        <v>155.80000000000001</v>
      </c>
      <c r="J124" s="498"/>
      <c r="K124" s="498"/>
      <c r="L124" s="5">
        <f t="shared" si="2"/>
        <v>11155.100000000002</v>
      </c>
      <c r="M124" s="498"/>
      <c r="N124" s="498"/>
      <c r="Q124">
        <v>8549</v>
      </c>
    </row>
    <row r="125" spans="2:25">
      <c r="B125" s="5">
        <f t="shared" si="3"/>
        <v>121</v>
      </c>
      <c r="C125" s="5" t="s">
        <v>248</v>
      </c>
      <c r="D125" s="5" t="s">
        <v>285</v>
      </c>
      <c r="E125" s="5"/>
      <c r="F125" s="5"/>
      <c r="G125" s="18">
        <v>125</v>
      </c>
      <c r="H125" s="18">
        <v>1.06</v>
      </c>
      <c r="I125" s="498">
        <v>58.2</v>
      </c>
      <c r="J125" s="498"/>
      <c r="K125" s="498"/>
      <c r="L125" s="5">
        <f t="shared" si="2"/>
        <v>11213.300000000003</v>
      </c>
      <c r="M125" s="498"/>
      <c r="N125" s="498"/>
      <c r="Y125">
        <f>+SUM(D131:M131)</f>
        <v>11493.200000000003</v>
      </c>
    </row>
    <row r="126" spans="2:25">
      <c r="B126" s="5">
        <f t="shared" si="3"/>
        <v>122</v>
      </c>
      <c r="C126" s="5" t="s">
        <v>285</v>
      </c>
      <c r="D126" s="5" t="s">
        <v>364</v>
      </c>
      <c r="E126" s="5"/>
      <c r="F126" s="5"/>
      <c r="G126" s="18">
        <v>140</v>
      </c>
      <c r="H126" s="18">
        <v>1.06</v>
      </c>
      <c r="I126" s="498">
        <v>279.89999999999998</v>
      </c>
      <c r="J126" s="498"/>
      <c r="K126" s="498"/>
      <c r="L126" s="5">
        <f t="shared" si="2"/>
        <v>11493.200000000003</v>
      </c>
      <c r="M126" s="498"/>
      <c r="N126" s="498"/>
      <c r="R126">
        <f>11218.6-11398.7</f>
        <v>-180.10000000000036</v>
      </c>
    </row>
    <row r="127" spans="2:25">
      <c r="B127" s="5">
        <f t="shared" si="3"/>
        <v>123</v>
      </c>
      <c r="C127" s="5" t="s">
        <v>364</v>
      </c>
      <c r="D127" s="5" t="s">
        <v>357</v>
      </c>
      <c r="E127" s="5" t="s">
        <v>730</v>
      </c>
      <c r="F127" s="5">
        <v>0.46</v>
      </c>
      <c r="G127" s="18">
        <v>160</v>
      </c>
      <c r="H127" s="18">
        <v>1.05</v>
      </c>
      <c r="I127" s="498">
        <v>4.4000000000000004</v>
      </c>
      <c r="J127" s="498"/>
      <c r="K127" s="498"/>
      <c r="L127" s="5">
        <f t="shared" si="2"/>
        <v>11497.600000000002</v>
      </c>
      <c r="M127" s="498"/>
      <c r="N127" s="498"/>
      <c r="Q127">
        <f>8667-8549</f>
        <v>118</v>
      </c>
    </row>
    <row r="128" spans="2:25">
      <c r="B128" s="5">
        <f t="shared" si="3"/>
        <v>124</v>
      </c>
      <c r="C128" s="5" t="s">
        <v>364</v>
      </c>
      <c r="D128" s="5" t="s">
        <v>357</v>
      </c>
      <c r="E128" s="5"/>
      <c r="F128" s="5"/>
      <c r="G128" s="18">
        <v>160</v>
      </c>
      <c r="H128" s="18">
        <v>1.05</v>
      </c>
      <c r="I128" s="498">
        <f>171.8-4.4</f>
        <v>167.4</v>
      </c>
      <c r="J128" s="498"/>
      <c r="K128" s="498"/>
      <c r="L128" s="5">
        <f t="shared" si="2"/>
        <v>11665.000000000002</v>
      </c>
      <c r="M128" s="498"/>
      <c r="N128" s="498"/>
    </row>
    <row r="129" spans="2:23">
      <c r="B129" s="5">
        <f t="shared" si="3"/>
        <v>125</v>
      </c>
      <c r="C129" s="5" t="s">
        <v>357</v>
      </c>
      <c r="D129" s="5" t="s">
        <v>283</v>
      </c>
      <c r="E129" s="5"/>
      <c r="F129" s="5"/>
      <c r="G129" s="18">
        <v>160</v>
      </c>
      <c r="H129" s="18">
        <v>1.05</v>
      </c>
      <c r="I129" s="498">
        <v>7.9</v>
      </c>
      <c r="J129" s="498"/>
      <c r="K129" s="498"/>
      <c r="L129" s="5">
        <f t="shared" si="2"/>
        <v>11672.900000000001</v>
      </c>
      <c r="M129" s="498"/>
      <c r="N129" s="498"/>
    </row>
    <row r="130" spans="2:23">
      <c r="B130" s="5"/>
      <c r="C130" s="5"/>
      <c r="D130" s="5">
        <v>63</v>
      </c>
      <c r="E130" s="5">
        <v>75</v>
      </c>
      <c r="F130" s="5">
        <v>90</v>
      </c>
      <c r="G130" s="499">
        <v>110</v>
      </c>
      <c r="H130" s="500"/>
      <c r="I130" s="500"/>
      <c r="J130" s="500"/>
      <c r="K130" s="501"/>
      <c r="L130" s="5">
        <v>125</v>
      </c>
      <c r="M130" s="5">
        <v>140</v>
      </c>
      <c r="N130" s="5">
        <v>160</v>
      </c>
    </row>
    <row r="131" spans="2:23">
      <c r="B131" s="5"/>
      <c r="C131" s="5"/>
      <c r="D131" s="5">
        <f>+SUMIF($G$5:$G$129,D130,$I$5:$K$129)</f>
        <v>9055.2000000000025</v>
      </c>
      <c r="E131" s="5">
        <f>+SUMIF($G$5:$G$129,E130,$I$5:$K$129)</f>
        <v>897.50000000000023</v>
      </c>
      <c r="F131" s="5">
        <f>+SUMIF($G$5:$G$129,F130,$I$5:$K$129)</f>
        <v>498.69999999999993</v>
      </c>
      <c r="G131" s="499">
        <f>+SUMIF($G$5:$G$129,G130,$I$5:$K$129)</f>
        <v>346</v>
      </c>
      <c r="H131" s="500"/>
      <c r="I131" s="500"/>
      <c r="J131" s="500"/>
      <c r="K131" s="501"/>
      <c r="L131" s="5">
        <f>+SUMIF($G$5:$G$129,L130,$I$5:$K$129)</f>
        <v>415.90000000000003</v>
      </c>
      <c r="M131" s="5">
        <f>+SUMIF($G$5:$G$129,M130,$I$5:$K$129)</f>
        <v>279.89999999999998</v>
      </c>
      <c r="N131" s="5">
        <f>+SUMIF($G$5:$G$129,N130,$I$5:$K$129)</f>
        <v>179.70000000000002</v>
      </c>
    </row>
    <row r="132" spans="2:23">
      <c r="B132" s="5"/>
      <c r="C132" s="5"/>
      <c r="D132" s="5">
        <v>11213</v>
      </c>
      <c r="E132" s="5">
        <v>898</v>
      </c>
      <c r="F132" s="10">
        <v>498</v>
      </c>
      <c r="G132" s="612">
        <v>347</v>
      </c>
      <c r="H132" s="612"/>
      <c r="I132" s="612"/>
      <c r="J132" s="612"/>
      <c r="K132" s="11"/>
      <c r="L132" s="5">
        <v>416</v>
      </c>
      <c r="M132" s="5">
        <v>274</v>
      </c>
      <c r="N132" s="5">
        <v>188</v>
      </c>
      <c r="R132" t="s">
        <v>735</v>
      </c>
      <c r="S132" t="s">
        <v>736</v>
      </c>
      <c r="T132" t="s">
        <v>737</v>
      </c>
      <c r="U132" t="s">
        <v>738</v>
      </c>
      <c r="V132" t="s">
        <v>739</v>
      </c>
      <c r="W132" t="s">
        <v>740</v>
      </c>
    </row>
    <row r="133" spans="2:23" ht="15.75">
      <c r="B133" s="7" t="s">
        <v>365</v>
      </c>
      <c r="C133" s="8"/>
      <c r="D133" s="8"/>
      <c r="E133" s="8"/>
      <c r="F133" s="506" t="s">
        <v>366</v>
      </c>
      <c r="G133" s="507"/>
      <c r="H133" s="507"/>
      <c r="I133" s="507"/>
      <c r="J133" s="507"/>
      <c r="K133" s="508"/>
      <c r="L133" s="8" t="s">
        <v>367</v>
      </c>
      <c r="M133" s="8"/>
      <c r="N133" s="8"/>
      <c r="O133" s="8"/>
      <c r="R133" s="63">
        <v>63</v>
      </c>
      <c r="S133" s="63">
        <v>11213</v>
      </c>
      <c r="T133" s="63">
        <v>9293</v>
      </c>
      <c r="U133" s="63">
        <v>8529</v>
      </c>
      <c r="V133" s="63">
        <v>764</v>
      </c>
    </row>
    <row r="134" spans="2:23" ht="15.75">
      <c r="B134" s="7" t="s">
        <v>368</v>
      </c>
      <c r="C134" s="286"/>
      <c r="D134" s="287"/>
      <c r="E134" s="288"/>
      <c r="F134" s="8" t="s">
        <v>368</v>
      </c>
      <c r="G134" s="498"/>
      <c r="H134" s="498"/>
      <c r="I134" s="498"/>
      <c r="J134" s="498"/>
      <c r="K134" s="498"/>
      <c r="L134" s="8" t="s">
        <v>368</v>
      </c>
      <c r="M134" s="498"/>
      <c r="N134" s="498"/>
      <c r="O134" s="498"/>
      <c r="R134" s="63">
        <v>75</v>
      </c>
      <c r="S134" s="63">
        <v>898</v>
      </c>
      <c r="T134" s="63">
        <v>900</v>
      </c>
      <c r="U134" s="63">
        <v>843</v>
      </c>
      <c r="V134" s="63">
        <v>57</v>
      </c>
    </row>
    <row r="135" spans="2:23" ht="15.75">
      <c r="B135" s="7" t="s">
        <v>369</v>
      </c>
      <c r="C135" s="498"/>
      <c r="D135" s="498"/>
      <c r="E135" s="498"/>
      <c r="F135" s="8" t="s">
        <v>369</v>
      </c>
      <c r="G135" s="498"/>
      <c r="H135" s="498"/>
      <c r="I135" s="498"/>
      <c r="J135" s="498"/>
      <c r="K135" s="498"/>
      <c r="L135" s="8" t="s">
        <v>369</v>
      </c>
      <c r="M135" s="498"/>
      <c r="N135" s="498"/>
      <c r="O135" s="498"/>
      <c r="R135" s="63">
        <v>90</v>
      </c>
      <c r="S135" s="63">
        <v>489</v>
      </c>
      <c r="T135" s="63">
        <v>500</v>
      </c>
      <c r="U135" s="63">
        <v>489</v>
      </c>
      <c r="V135" s="63">
        <v>11</v>
      </c>
    </row>
    <row r="136" spans="2:23" ht="15.75">
      <c r="B136" s="7" t="s">
        <v>370</v>
      </c>
      <c r="C136" s="286"/>
      <c r="D136" s="287"/>
      <c r="E136" s="288"/>
      <c r="F136" s="8" t="s">
        <v>370</v>
      </c>
      <c r="G136" s="498"/>
      <c r="H136" s="498"/>
      <c r="I136" s="498"/>
      <c r="J136" s="498"/>
      <c r="K136" s="498"/>
      <c r="L136" s="8" t="s">
        <v>370</v>
      </c>
      <c r="M136" s="499"/>
      <c r="N136" s="500"/>
      <c r="O136" s="501"/>
      <c r="R136" s="63">
        <v>110</v>
      </c>
      <c r="S136" s="63">
        <v>347</v>
      </c>
      <c r="T136" s="63">
        <v>400</v>
      </c>
      <c r="U136" s="63">
        <v>347</v>
      </c>
      <c r="V136" s="63">
        <v>53</v>
      </c>
    </row>
    <row r="137" spans="2:23">
      <c r="B137" s="63"/>
      <c r="C137" s="63"/>
      <c r="D137" s="63"/>
      <c r="E137" s="63"/>
      <c r="F137" s="63"/>
      <c r="G137" s="63"/>
      <c r="H137" s="63"/>
      <c r="I137" s="609"/>
      <c r="J137" s="609"/>
      <c r="K137" s="609"/>
      <c r="L137" s="63"/>
      <c r="R137" s="63">
        <v>125</v>
      </c>
      <c r="S137" s="63">
        <v>408</v>
      </c>
      <c r="T137" s="63">
        <v>408</v>
      </c>
      <c r="U137" s="63">
        <v>408</v>
      </c>
      <c r="V137" s="63">
        <v>0</v>
      </c>
    </row>
    <row r="138" spans="2:23">
      <c r="B138" s="63"/>
      <c r="C138" s="63"/>
      <c r="D138" s="63"/>
      <c r="E138" s="63"/>
      <c r="F138" s="63"/>
      <c r="G138" s="63"/>
      <c r="H138" s="63"/>
      <c r="I138" s="609"/>
      <c r="J138" s="609"/>
      <c r="K138" s="609"/>
      <c r="L138" s="63"/>
      <c r="R138" s="63">
        <v>140</v>
      </c>
      <c r="S138" s="63">
        <v>200</v>
      </c>
      <c r="T138" s="63">
        <v>274</v>
      </c>
      <c r="U138" s="63">
        <v>274</v>
      </c>
      <c r="V138" s="63">
        <v>0</v>
      </c>
    </row>
    <row r="139" spans="2:23">
      <c r="B139" s="63"/>
      <c r="C139" s="63"/>
      <c r="D139" s="63"/>
      <c r="R139" s="63">
        <v>160</v>
      </c>
      <c r="S139" s="63">
        <v>188</v>
      </c>
      <c r="T139" s="63">
        <v>192</v>
      </c>
      <c r="U139" s="63">
        <v>0</v>
      </c>
      <c r="V139" s="63">
        <v>192</v>
      </c>
    </row>
    <row r="140" spans="2:23">
      <c r="B140" s="63"/>
      <c r="C140" s="63"/>
      <c r="D140" s="63"/>
      <c r="E140" s="63"/>
      <c r="F140" s="63"/>
      <c r="G140" s="63"/>
      <c r="H140" s="63"/>
      <c r="I140" s="609"/>
      <c r="J140" s="609"/>
      <c r="K140" s="609"/>
      <c r="L140" s="63"/>
    </row>
    <row r="141" spans="2:23">
      <c r="B141" s="63"/>
      <c r="C141" s="63"/>
      <c r="D141" s="63"/>
      <c r="E141" s="63"/>
      <c r="F141" s="63"/>
      <c r="G141" s="63"/>
      <c r="H141" s="63"/>
      <c r="I141" s="609"/>
      <c r="J141" s="609"/>
      <c r="K141" s="609"/>
      <c r="L141" s="63"/>
    </row>
    <row r="142" spans="2:23">
      <c r="B142" s="63"/>
      <c r="C142" s="63"/>
      <c r="D142" s="63"/>
      <c r="E142" s="63"/>
      <c r="F142" s="63"/>
      <c r="G142" s="63"/>
      <c r="H142" s="63"/>
      <c r="I142" s="609"/>
      <c r="J142" s="609"/>
      <c r="K142" s="609"/>
      <c r="L142" s="63"/>
    </row>
    <row r="143" spans="2:23">
      <c r="B143" s="63"/>
      <c r="C143" s="63"/>
      <c r="D143" s="63"/>
      <c r="E143" s="63"/>
      <c r="F143" s="63"/>
      <c r="G143" s="63"/>
      <c r="H143" s="63"/>
      <c r="I143" s="609"/>
      <c r="J143" s="609"/>
      <c r="K143" s="609"/>
      <c r="L143" s="63"/>
    </row>
    <row r="144" spans="2:23">
      <c r="B144" s="63"/>
      <c r="C144" s="63"/>
      <c r="D144" s="63"/>
      <c r="E144" s="63"/>
      <c r="F144" s="63"/>
      <c r="G144" s="63"/>
      <c r="H144" s="63"/>
      <c r="I144" s="609"/>
      <c r="J144" s="609"/>
      <c r="K144" s="609"/>
      <c r="L144" s="63"/>
    </row>
    <row r="145" spans="2:14">
      <c r="B145" s="63"/>
      <c r="C145" s="63"/>
      <c r="D145" s="63"/>
      <c r="E145" s="63"/>
      <c r="F145" s="63"/>
      <c r="G145" s="63"/>
      <c r="H145" s="63"/>
      <c r="I145" s="609"/>
      <c r="J145" s="609"/>
      <c r="K145" s="609"/>
      <c r="L145" s="63"/>
    </row>
    <row r="146" spans="2:14">
      <c r="B146" s="63"/>
      <c r="C146" s="63"/>
      <c r="D146" s="63"/>
      <c r="E146" s="63"/>
      <c r="F146" s="63"/>
      <c r="G146" s="63"/>
      <c r="H146" s="63"/>
      <c r="I146" s="609"/>
      <c r="J146" s="609"/>
      <c r="K146" s="609"/>
      <c r="L146" s="63"/>
    </row>
    <row r="147" spans="2:14">
      <c r="B147" s="63"/>
      <c r="C147" s="63"/>
      <c r="D147" s="63"/>
      <c r="E147" s="63"/>
      <c r="F147" s="63"/>
      <c r="G147" s="63"/>
      <c r="H147" s="63"/>
      <c r="I147" s="609"/>
      <c r="J147" s="609"/>
      <c r="K147" s="609"/>
      <c r="L147" s="63"/>
    </row>
    <row r="148" spans="2:14">
      <c r="B148" s="63"/>
      <c r="C148" s="63"/>
      <c r="D148" s="63"/>
      <c r="E148" s="63"/>
      <c r="F148" s="63"/>
      <c r="G148" s="63"/>
      <c r="H148" s="63"/>
      <c r="I148" s="609"/>
      <c r="J148" s="609"/>
      <c r="K148" s="609"/>
      <c r="L148" s="63"/>
    </row>
    <row r="149" spans="2:14">
      <c r="B149" s="63"/>
      <c r="C149" s="63"/>
      <c r="D149" s="63"/>
      <c r="E149" s="63"/>
      <c r="F149" s="63"/>
      <c r="G149" s="63"/>
      <c r="H149" s="63"/>
      <c r="I149" s="609"/>
      <c r="J149" s="609"/>
      <c r="K149" s="609"/>
      <c r="L149" s="63"/>
    </row>
    <row r="150" spans="2:14" ht="18.75">
      <c r="B150" s="502" t="s">
        <v>718</v>
      </c>
      <c r="C150" s="502"/>
      <c r="D150" s="502"/>
      <c r="E150" s="502"/>
      <c r="F150" s="502"/>
      <c r="G150" s="502"/>
      <c r="H150" s="502"/>
      <c r="I150" s="502"/>
      <c r="J150" s="502"/>
      <c r="K150" s="502"/>
      <c r="L150" s="502"/>
      <c r="M150" s="502"/>
      <c r="N150" s="502"/>
    </row>
    <row r="151" spans="2:14" ht="47.25">
      <c r="B151" s="25" t="s">
        <v>448</v>
      </c>
      <c r="C151" s="25" t="s">
        <v>180</v>
      </c>
      <c r="D151" s="25" t="s">
        <v>13</v>
      </c>
      <c r="E151" s="25" t="s">
        <v>181</v>
      </c>
      <c r="F151" s="27" t="s">
        <v>449</v>
      </c>
      <c r="G151" s="25" t="s">
        <v>719</v>
      </c>
      <c r="H151" s="25"/>
      <c r="I151" s="610" t="s">
        <v>184</v>
      </c>
      <c r="J151" s="610"/>
      <c r="K151" s="610"/>
      <c r="L151" s="26" t="s">
        <v>185</v>
      </c>
      <c r="M151" s="611" t="s">
        <v>679</v>
      </c>
      <c r="N151" s="611"/>
    </row>
    <row r="152" spans="2:14">
      <c r="B152" s="289">
        <v>1</v>
      </c>
      <c r="C152" s="289" t="s">
        <v>234</v>
      </c>
      <c r="D152" s="289" t="s">
        <v>342</v>
      </c>
      <c r="E152" s="289"/>
      <c r="F152" s="289"/>
      <c r="G152" s="289">
        <v>63</v>
      </c>
      <c r="H152" s="289"/>
      <c r="I152" s="606">
        <v>142.19999999999999</v>
      </c>
      <c r="J152" s="606"/>
      <c r="K152" s="498"/>
      <c r="L152" s="289">
        <f>+I152</f>
        <v>142.19999999999999</v>
      </c>
      <c r="M152" s="498"/>
      <c r="N152" s="498"/>
    </row>
    <row r="153" spans="2:14">
      <c r="B153" s="290">
        <f>1+B152</f>
        <v>2</v>
      </c>
      <c r="C153" s="290" t="s">
        <v>413</v>
      </c>
      <c r="D153" s="290" t="s">
        <v>269</v>
      </c>
      <c r="E153" s="290" t="s">
        <v>193</v>
      </c>
      <c r="F153" s="290"/>
      <c r="G153" s="290">
        <v>63</v>
      </c>
      <c r="H153" s="290"/>
      <c r="I153" s="605">
        <v>8.1999999999999993</v>
      </c>
      <c r="J153" s="605"/>
      <c r="K153" s="498"/>
      <c r="L153" s="290">
        <f t="shared" ref="L153:L216" si="4">+L152+I153</f>
        <v>150.39999999999998</v>
      </c>
      <c r="M153" s="498"/>
      <c r="N153" s="498"/>
    </row>
    <row r="154" spans="2:14">
      <c r="B154" s="290">
        <f t="shared" ref="B154:B217" si="5">1+B153</f>
        <v>3</v>
      </c>
      <c r="C154" s="290" t="s">
        <v>413</v>
      </c>
      <c r="D154" s="290" t="s">
        <v>269</v>
      </c>
      <c r="E154" s="290"/>
      <c r="F154" s="290"/>
      <c r="G154" s="290">
        <v>63</v>
      </c>
      <c r="H154" s="290"/>
      <c r="I154" s="605">
        <v>58.6</v>
      </c>
      <c r="J154" s="605"/>
      <c r="K154" s="498"/>
      <c r="L154" s="290">
        <f t="shared" si="4"/>
        <v>208.99999999999997</v>
      </c>
      <c r="M154" s="498"/>
      <c r="N154" s="498"/>
    </row>
    <row r="155" spans="2:14">
      <c r="B155" s="290">
        <f t="shared" si="5"/>
        <v>4</v>
      </c>
      <c r="C155" s="290" t="s">
        <v>269</v>
      </c>
      <c r="D155" s="290" t="s">
        <v>359</v>
      </c>
      <c r="E155" s="290"/>
      <c r="F155" s="290"/>
      <c r="G155" s="290">
        <v>63</v>
      </c>
      <c r="H155" s="290"/>
      <c r="I155" s="605">
        <v>105.8</v>
      </c>
      <c r="J155" s="605"/>
      <c r="K155" s="498"/>
      <c r="L155" s="290">
        <f t="shared" si="4"/>
        <v>314.79999999999995</v>
      </c>
      <c r="M155" s="498"/>
      <c r="N155" s="498"/>
    </row>
    <row r="156" spans="2:14">
      <c r="B156" s="290">
        <f t="shared" si="5"/>
        <v>5</v>
      </c>
      <c r="C156" s="290" t="s">
        <v>359</v>
      </c>
      <c r="D156" s="290" t="s">
        <v>255</v>
      </c>
      <c r="E156" s="290"/>
      <c r="F156" s="290"/>
      <c r="G156" s="290">
        <v>63</v>
      </c>
      <c r="H156" s="290"/>
      <c r="I156" s="605">
        <v>100.2</v>
      </c>
      <c r="J156" s="605"/>
      <c r="K156" s="498"/>
      <c r="L156" s="290">
        <f t="shared" si="4"/>
        <v>414.99999999999994</v>
      </c>
      <c r="M156" s="498"/>
      <c r="N156" s="498"/>
    </row>
    <row r="157" spans="2:14">
      <c r="B157" s="290">
        <f t="shared" si="5"/>
        <v>6</v>
      </c>
      <c r="C157" s="290" t="s">
        <v>255</v>
      </c>
      <c r="D157" s="290" t="s">
        <v>286</v>
      </c>
      <c r="E157" s="290"/>
      <c r="F157" s="290"/>
      <c r="G157" s="290">
        <v>63</v>
      </c>
      <c r="H157" s="290"/>
      <c r="I157" s="605">
        <v>144.69999999999999</v>
      </c>
      <c r="J157" s="605"/>
      <c r="K157" s="498"/>
      <c r="L157" s="290">
        <f t="shared" si="4"/>
        <v>559.69999999999993</v>
      </c>
      <c r="M157" s="498"/>
      <c r="N157" s="498"/>
    </row>
    <row r="158" spans="2:14">
      <c r="B158" s="290">
        <f t="shared" si="5"/>
        <v>7</v>
      </c>
      <c r="C158" s="290" t="s">
        <v>359</v>
      </c>
      <c r="D158" s="290" t="s">
        <v>537</v>
      </c>
      <c r="E158" s="290"/>
      <c r="F158" s="290"/>
      <c r="G158" s="290">
        <v>63</v>
      </c>
      <c r="H158" s="290"/>
      <c r="I158" s="605">
        <v>13.6</v>
      </c>
      <c r="J158" s="605"/>
      <c r="K158" s="498"/>
      <c r="L158" s="290">
        <f t="shared" si="4"/>
        <v>573.29999999999995</v>
      </c>
      <c r="M158" s="498"/>
      <c r="N158" s="498"/>
    </row>
    <row r="159" spans="2:14">
      <c r="B159" s="290">
        <f t="shared" si="5"/>
        <v>8</v>
      </c>
      <c r="C159" s="290" t="s">
        <v>537</v>
      </c>
      <c r="D159" s="290" t="s">
        <v>197</v>
      </c>
      <c r="E159" s="290"/>
      <c r="F159" s="290"/>
      <c r="G159" s="290">
        <v>63</v>
      </c>
      <c r="H159" s="290"/>
      <c r="I159" s="605">
        <v>87.5</v>
      </c>
      <c r="J159" s="605"/>
      <c r="K159" s="498"/>
      <c r="L159" s="290">
        <f t="shared" si="4"/>
        <v>660.8</v>
      </c>
      <c r="M159" s="498"/>
      <c r="N159" s="498"/>
    </row>
    <row r="160" spans="2:14">
      <c r="B160" s="290">
        <f t="shared" si="5"/>
        <v>9</v>
      </c>
      <c r="C160" s="290" t="s">
        <v>537</v>
      </c>
      <c r="D160" s="290" t="s">
        <v>322</v>
      </c>
      <c r="E160" s="290"/>
      <c r="F160" s="290"/>
      <c r="G160" s="290">
        <v>63</v>
      </c>
      <c r="H160" s="290"/>
      <c r="I160" s="605">
        <v>89.9</v>
      </c>
      <c r="J160" s="605"/>
      <c r="K160" s="498"/>
      <c r="L160" s="290">
        <f t="shared" si="4"/>
        <v>750.69999999999993</v>
      </c>
      <c r="M160" s="498"/>
      <c r="N160" s="498"/>
    </row>
    <row r="161" spans="2:14">
      <c r="B161" s="290">
        <f t="shared" si="5"/>
        <v>10</v>
      </c>
      <c r="C161" s="290" t="s">
        <v>537</v>
      </c>
      <c r="D161" s="290" t="s">
        <v>322</v>
      </c>
      <c r="E161" s="290" t="s">
        <v>193</v>
      </c>
      <c r="F161" s="290"/>
      <c r="G161" s="290">
        <v>63</v>
      </c>
      <c r="H161" s="290"/>
      <c r="I161" s="605">
        <v>3.4</v>
      </c>
      <c r="J161" s="605"/>
      <c r="K161" s="498"/>
      <c r="L161" s="290">
        <f t="shared" si="4"/>
        <v>754.09999999999991</v>
      </c>
      <c r="M161" s="498"/>
      <c r="N161" s="498"/>
    </row>
    <row r="162" spans="2:14">
      <c r="B162" s="290">
        <f t="shared" si="5"/>
        <v>11</v>
      </c>
      <c r="C162" s="290" t="s">
        <v>274</v>
      </c>
      <c r="D162" s="290" t="s">
        <v>345</v>
      </c>
      <c r="E162" s="290"/>
      <c r="F162" s="290"/>
      <c r="G162" s="290">
        <v>63</v>
      </c>
      <c r="H162" s="290"/>
      <c r="I162" s="605">
        <v>118.8</v>
      </c>
      <c r="J162" s="605"/>
      <c r="K162" s="498"/>
      <c r="L162" s="290">
        <f t="shared" si="4"/>
        <v>872.89999999999986</v>
      </c>
      <c r="M162" s="498"/>
      <c r="N162" s="498"/>
    </row>
    <row r="163" spans="2:14">
      <c r="B163" s="290">
        <f t="shared" si="5"/>
        <v>12</v>
      </c>
      <c r="C163" s="290" t="s">
        <v>345</v>
      </c>
      <c r="D163" s="290" t="s">
        <v>309</v>
      </c>
      <c r="E163" s="290"/>
      <c r="F163" s="290"/>
      <c r="G163" s="290">
        <v>63</v>
      </c>
      <c r="H163" s="290"/>
      <c r="I163" s="605">
        <v>162.30000000000001</v>
      </c>
      <c r="J163" s="605"/>
      <c r="K163" s="498"/>
      <c r="L163" s="290">
        <f t="shared" si="4"/>
        <v>1035.1999999999998</v>
      </c>
      <c r="M163" s="498"/>
      <c r="N163" s="498"/>
    </row>
    <row r="164" spans="2:14">
      <c r="B164" s="290">
        <f t="shared" si="5"/>
        <v>13</v>
      </c>
      <c r="C164" s="290" t="s">
        <v>345</v>
      </c>
      <c r="D164" s="290" t="s">
        <v>322</v>
      </c>
      <c r="E164" s="290"/>
      <c r="F164" s="290"/>
      <c r="G164" s="290">
        <v>63</v>
      </c>
      <c r="H164" s="290"/>
      <c r="I164" s="605">
        <v>1.8</v>
      </c>
      <c r="J164" s="605"/>
      <c r="K164" s="498"/>
      <c r="L164" s="290">
        <f t="shared" si="4"/>
        <v>1036.9999999999998</v>
      </c>
      <c r="M164" s="498"/>
      <c r="N164" s="498"/>
    </row>
    <row r="165" spans="2:14">
      <c r="B165" s="290">
        <f t="shared" si="5"/>
        <v>14</v>
      </c>
      <c r="C165" s="290" t="s">
        <v>274</v>
      </c>
      <c r="D165" s="290" t="s">
        <v>238</v>
      </c>
      <c r="E165" s="290"/>
      <c r="F165" s="290"/>
      <c r="G165" s="290">
        <v>63</v>
      </c>
      <c r="H165" s="290"/>
      <c r="I165" s="605">
        <v>146.6</v>
      </c>
      <c r="J165" s="605"/>
      <c r="K165" s="498"/>
      <c r="L165" s="290">
        <f t="shared" si="4"/>
        <v>1183.5999999999997</v>
      </c>
      <c r="M165" s="498"/>
      <c r="N165" s="498"/>
    </row>
    <row r="166" spans="2:14">
      <c r="B166" s="290">
        <f t="shared" si="5"/>
        <v>15</v>
      </c>
      <c r="C166" s="290" t="s">
        <v>238</v>
      </c>
      <c r="D166" s="290" t="s">
        <v>272</v>
      </c>
      <c r="E166" s="290"/>
      <c r="F166" s="290"/>
      <c r="G166" s="290">
        <v>63</v>
      </c>
      <c r="H166" s="290"/>
      <c r="I166" s="605">
        <v>106.4</v>
      </c>
      <c r="J166" s="605"/>
      <c r="K166" s="498"/>
      <c r="L166" s="290">
        <f t="shared" si="4"/>
        <v>1289.9999999999998</v>
      </c>
      <c r="M166" s="498"/>
      <c r="N166" s="498"/>
    </row>
    <row r="167" spans="2:14">
      <c r="B167" s="290">
        <f t="shared" si="5"/>
        <v>16</v>
      </c>
      <c r="C167" s="290" t="s">
        <v>238</v>
      </c>
      <c r="D167" s="290" t="s">
        <v>272</v>
      </c>
      <c r="E167" s="290" t="s">
        <v>193</v>
      </c>
      <c r="F167" s="290"/>
      <c r="G167" s="290">
        <v>63</v>
      </c>
      <c r="H167" s="290"/>
      <c r="I167" s="605">
        <v>3</v>
      </c>
      <c r="J167" s="605"/>
      <c r="K167" s="498"/>
      <c r="L167" s="290">
        <f t="shared" si="4"/>
        <v>1292.9999999999998</v>
      </c>
      <c r="M167" s="498"/>
      <c r="N167" s="498"/>
    </row>
    <row r="168" spans="2:14">
      <c r="B168" s="290">
        <f t="shared" si="5"/>
        <v>17</v>
      </c>
      <c r="C168" s="290" t="s">
        <v>238</v>
      </c>
      <c r="D168" s="290" t="s">
        <v>341</v>
      </c>
      <c r="E168" s="290"/>
      <c r="F168" s="290"/>
      <c r="G168" s="290">
        <v>63</v>
      </c>
      <c r="H168" s="290"/>
      <c r="I168" s="605">
        <v>82.6</v>
      </c>
      <c r="J168" s="605"/>
      <c r="K168" s="498"/>
      <c r="L168" s="290">
        <f t="shared" si="4"/>
        <v>1375.5999999999997</v>
      </c>
      <c r="M168" s="498"/>
      <c r="N168" s="498"/>
    </row>
    <row r="169" spans="2:14">
      <c r="B169" s="290">
        <f t="shared" si="5"/>
        <v>18</v>
      </c>
      <c r="C169" s="290" t="s">
        <v>341</v>
      </c>
      <c r="D169" s="290" t="s">
        <v>358</v>
      </c>
      <c r="E169" s="290"/>
      <c r="F169" s="290"/>
      <c r="G169" s="290">
        <v>63</v>
      </c>
      <c r="H169" s="290"/>
      <c r="I169" s="605">
        <v>56.6</v>
      </c>
      <c r="J169" s="605"/>
      <c r="K169" s="498"/>
      <c r="L169" s="290">
        <f t="shared" si="4"/>
        <v>1432.1999999999996</v>
      </c>
      <c r="M169" s="498"/>
      <c r="N169" s="498"/>
    </row>
    <row r="170" spans="2:14">
      <c r="B170" s="290">
        <f t="shared" si="5"/>
        <v>19</v>
      </c>
      <c r="C170" s="290" t="s">
        <v>358</v>
      </c>
      <c r="D170" s="290" t="s">
        <v>339</v>
      </c>
      <c r="E170" s="290"/>
      <c r="F170" s="290"/>
      <c r="G170" s="290">
        <v>63</v>
      </c>
      <c r="H170" s="290"/>
      <c r="I170" s="605">
        <v>116.1</v>
      </c>
      <c r="J170" s="605"/>
      <c r="K170" s="498"/>
      <c r="L170" s="290">
        <f t="shared" si="4"/>
        <v>1548.2999999999995</v>
      </c>
      <c r="M170" s="498"/>
      <c r="N170" s="498"/>
    </row>
    <row r="171" spans="2:14">
      <c r="B171" s="290">
        <f t="shared" si="5"/>
        <v>20</v>
      </c>
      <c r="C171" s="290" t="s">
        <v>358</v>
      </c>
      <c r="D171" s="290" t="s">
        <v>360</v>
      </c>
      <c r="E171" s="290"/>
      <c r="F171" s="290"/>
      <c r="G171" s="290">
        <v>63</v>
      </c>
      <c r="H171" s="290"/>
      <c r="I171" s="605">
        <v>63.1</v>
      </c>
      <c r="J171" s="605"/>
      <c r="K171" s="498"/>
      <c r="L171" s="290">
        <f t="shared" si="4"/>
        <v>1611.3999999999994</v>
      </c>
      <c r="M171" s="498"/>
      <c r="N171" s="498"/>
    </row>
    <row r="172" spans="2:14">
      <c r="B172" s="290">
        <f t="shared" si="5"/>
        <v>21</v>
      </c>
      <c r="C172" s="290" t="s">
        <v>341</v>
      </c>
      <c r="D172" s="290" t="s">
        <v>338</v>
      </c>
      <c r="E172" s="290"/>
      <c r="F172" s="290"/>
      <c r="G172" s="290">
        <v>63</v>
      </c>
      <c r="H172" s="290"/>
      <c r="I172" s="605">
        <v>209.2</v>
      </c>
      <c r="J172" s="605"/>
      <c r="K172" s="498"/>
      <c r="L172" s="290">
        <f t="shared" si="4"/>
        <v>1820.5999999999995</v>
      </c>
      <c r="M172" s="498"/>
      <c r="N172" s="498"/>
    </row>
    <row r="173" spans="2:14">
      <c r="B173" s="289">
        <f t="shared" si="5"/>
        <v>22</v>
      </c>
      <c r="C173" s="289" t="s">
        <v>348</v>
      </c>
      <c r="D173" s="289" t="s">
        <v>235</v>
      </c>
      <c r="E173" s="289" t="s">
        <v>199</v>
      </c>
      <c r="F173" s="289"/>
      <c r="G173" s="289">
        <v>63</v>
      </c>
      <c r="H173" s="289"/>
      <c r="I173" s="606">
        <v>2.6</v>
      </c>
      <c r="J173" s="606"/>
      <c r="K173" s="606"/>
      <c r="L173" s="289">
        <f t="shared" si="4"/>
        <v>1823.1999999999994</v>
      </c>
      <c r="M173" s="498"/>
      <c r="N173" s="498"/>
    </row>
    <row r="174" spans="2:14">
      <c r="B174" s="289">
        <f t="shared" si="5"/>
        <v>23</v>
      </c>
      <c r="C174" s="289" t="s">
        <v>348</v>
      </c>
      <c r="D174" s="289" t="s">
        <v>235</v>
      </c>
      <c r="E174" s="289"/>
      <c r="F174" s="289"/>
      <c r="G174" s="289">
        <v>63</v>
      </c>
      <c r="H174" s="289"/>
      <c r="I174" s="606">
        <v>79.099999999999994</v>
      </c>
      <c r="J174" s="606"/>
      <c r="K174" s="498"/>
      <c r="L174" s="289">
        <f t="shared" si="4"/>
        <v>1902.2999999999993</v>
      </c>
      <c r="M174" s="498"/>
      <c r="N174" s="498"/>
    </row>
    <row r="175" spans="2:14">
      <c r="B175" s="289">
        <f t="shared" si="5"/>
        <v>24</v>
      </c>
      <c r="C175" s="289" t="s">
        <v>348</v>
      </c>
      <c r="D175" s="289" t="s">
        <v>234</v>
      </c>
      <c r="E175" s="289"/>
      <c r="F175" s="289"/>
      <c r="G175" s="289">
        <v>63</v>
      </c>
      <c r="H175" s="289"/>
      <c r="I175" s="606">
        <v>45.5</v>
      </c>
      <c r="J175" s="606"/>
      <c r="K175" s="498"/>
      <c r="L175" s="289">
        <f t="shared" si="4"/>
        <v>1947.7999999999993</v>
      </c>
      <c r="M175" s="498"/>
      <c r="N175" s="498"/>
    </row>
    <row r="176" spans="2:14">
      <c r="B176" s="289">
        <f t="shared" si="5"/>
        <v>25</v>
      </c>
      <c r="C176" s="289" t="s">
        <v>337</v>
      </c>
      <c r="D176" s="289" t="s">
        <v>720</v>
      </c>
      <c r="E176" s="289"/>
      <c r="F176" s="289"/>
      <c r="G176" s="289">
        <v>63</v>
      </c>
      <c r="H176" s="289"/>
      <c r="I176" s="606">
        <v>86.9</v>
      </c>
      <c r="J176" s="606"/>
      <c r="K176" s="498"/>
      <c r="L176" s="289">
        <f t="shared" si="4"/>
        <v>2034.6999999999994</v>
      </c>
      <c r="M176" s="498"/>
      <c r="N176" s="498"/>
    </row>
    <row r="177" spans="2:14">
      <c r="B177" s="289">
        <f t="shared" si="5"/>
        <v>26</v>
      </c>
      <c r="C177" s="289" t="s">
        <v>337</v>
      </c>
      <c r="D177" s="289" t="s">
        <v>720</v>
      </c>
      <c r="E177" s="289" t="s">
        <v>301</v>
      </c>
      <c r="F177" s="289"/>
      <c r="G177" s="289">
        <v>63</v>
      </c>
      <c r="H177" s="289"/>
      <c r="I177" s="606">
        <v>3.1</v>
      </c>
      <c r="J177" s="606"/>
      <c r="K177" s="498"/>
      <c r="L177" s="289">
        <f t="shared" si="4"/>
        <v>2037.7999999999993</v>
      </c>
      <c r="M177" s="498"/>
      <c r="N177" s="498"/>
    </row>
    <row r="178" spans="2:14">
      <c r="B178" s="289">
        <f t="shared" si="5"/>
        <v>27</v>
      </c>
      <c r="C178" s="289" t="s">
        <v>720</v>
      </c>
      <c r="D178" s="289" t="s">
        <v>340</v>
      </c>
      <c r="E178" s="289"/>
      <c r="F178" s="289"/>
      <c r="G178" s="289">
        <v>63</v>
      </c>
      <c r="H178" s="289"/>
      <c r="I178" s="606">
        <v>103.3</v>
      </c>
      <c r="J178" s="606"/>
      <c r="K178" s="498"/>
      <c r="L178" s="289">
        <f t="shared" si="4"/>
        <v>2141.0999999999995</v>
      </c>
      <c r="M178" s="498"/>
      <c r="N178" s="498"/>
    </row>
    <row r="179" spans="2:14">
      <c r="B179" s="289">
        <f t="shared" si="5"/>
        <v>28</v>
      </c>
      <c r="C179" s="289" t="s">
        <v>386</v>
      </c>
      <c r="D179" s="289" t="s">
        <v>361</v>
      </c>
      <c r="E179" s="289"/>
      <c r="F179" s="289"/>
      <c r="G179" s="289">
        <v>63</v>
      </c>
      <c r="H179" s="289"/>
      <c r="I179" s="606">
        <v>2.8</v>
      </c>
      <c r="J179" s="606"/>
      <c r="K179" s="498"/>
      <c r="L179" s="289">
        <f t="shared" si="4"/>
        <v>2143.8999999999996</v>
      </c>
      <c r="M179" s="498"/>
      <c r="N179" s="498"/>
    </row>
    <row r="180" spans="2:14">
      <c r="B180" s="290">
        <f t="shared" si="5"/>
        <v>29</v>
      </c>
      <c r="C180" s="290" t="s">
        <v>269</v>
      </c>
      <c r="D180" s="290" t="s">
        <v>274</v>
      </c>
      <c r="E180" s="290" t="s">
        <v>193</v>
      </c>
      <c r="F180" s="290"/>
      <c r="G180" s="290">
        <v>63</v>
      </c>
      <c r="H180" s="290"/>
      <c r="I180" s="605">
        <v>3.6</v>
      </c>
      <c r="J180" s="605"/>
      <c r="K180" s="498"/>
      <c r="L180" s="290">
        <f t="shared" si="4"/>
        <v>2147.4999999999995</v>
      </c>
      <c r="M180" s="498"/>
      <c r="N180" s="498"/>
    </row>
    <row r="181" spans="2:14">
      <c r="B181" s="290">
        <f t="shared" si="5"/>
        <v>30</v>
      </c>
      <c r="C181" s="290" t="s">
        <v>269</v>
      </c>
      <c r="D181" s="290" t="s">
        <v>274</v>
      </c>
      <c r="E181" s="290"/>
      <c r="F181" s="290"/>
      <c r="G181" s="290">
        <v>63</v>
      </c>
      <c r="H181" s="290"/>
      <c r="I181" s="605">
        <v>137.6</v>
      </c>
      <c r="J181" s="605"/>
      <c r="K181" s="498"/>
      <c r="L181" s="290">
        <f t="shared" si="4"/>
        <v>2285.0999999999995</v>
      </c>
      <c r="M181" s="498"/>
      <c r="N181" s="498"/>
    </row>
    <row r="182" spans="2:14">
      <c r="B182" s="291">
        <f t="shared" si="5"/>
        <v>31</v>
      </c>
      <c r="C182" s="291" t="s">
        <v>189</v>
      </c>
      <c r="D182" s="291" t="s">
        <v>242</v>
      </c>
      <c r="E182" s="291"/>
      <c r="F182" s="291"/>
      <c r="G182" s="291">
        <v>63</v>
      </c>
      <c r="H182" s="291"/>
      <c r="I182" s="607">
        <v>88.6</v>
      </c>
      <c r="J182" s="607"/>
      <c r="K182" s="498"/>
      <c r="L182" s="291">
        <f t="shared" si="4"/>
        <v>2373.6999999999994</v>
      </c>
      <c r="M182" s="498"/>
      <c r="N182" s="498"/>
    </row>
    <row r="183" spans="2:14">
      <c r="B183" s="291">
        <f t="shared" si="5"/>
        <v>32</v>
      </c>
      <c r="C183" s="291" t="s">
        <v>189</v>
      </c>
      <c r="D183" s="291" t="s">
        <v>225</v>
      </c>
      <c r="E183" s="291"/>
      <c r="F183" s="291"/>
      <c r="G183" s="291">
        <v>63</v>
      </c>
      <c r="H183" s="291"/>
      <c r="I183" s="607">
        <v>106.1</v>
      </c>
      <c r="J183" s="607"/>
      <c r="K183" s="498"/>
      <c r="L183" s="291">
        <f t="shared" si="4"/>
        <v>2479.7999999999993</v>
      </c>
      <c r="M183" s="498"/>
      <c r="N183" s="498"/>
    </row>
    <row r="184" spans="2:14">
      <c r="B184" s="291">
        <f t="shared" si="5"/>
        <v>33</v>
      </c>
      <c r="C184" s="291" t="s">
        <v>189</v>
      </c>
      <c r="D184" s="291" t="s">
        <v>311</v>
      </c>
      <c r="E184" s="291"/>
      <c r="F184" s="291"/>
      <c r="G184" s="291">
        <v>63</v>
      </c>
      <c r="H184" s="291"/>
      <c r="I184" s="607">
        <v>375.3</v>
      </c>
      <c r="J184" s="607"/>
      <c r="K184" s="498"/>
      <c r="L184" s="291">
        <f t="shared" si="4"/>
        <v>2855.0999999999995</v>
      </c>
      <c r="M184" s="498"/>
      <c r="N184" s="498"/>
    </row>
    <row r="185" spans="2:14">
      <c r="B185" s="291">
        <f t="shared" si="5"/>
        <v>34</v>
      </c>
      <c r="C185" s="291" t="s">
        <v>311</v>
      </c>
      <c r="D185" s="291" t="s">
        <v>665</v>
      </c>
      <c r="E185" s="291"/>
      <c r="F185" s="291"/>
      <c r="G185" s="291">
        <v>63</v>
      </c>
      <c r="H185" s="291"/>
      <c r="I185" s="607">
        <v>52</v>
      </c>
      <c r="J185" s="607"/>
      <c r="K185" s="498"/>
      <c r="L185" s="291">
        <f t="shared" si="4"/>
        <v>2907.0999999999995</v>
      </c>
      <c r="M185" s="498"/>
      <c r="N185" s="498"/>
    </row>
    <row r="186" spans="2:14">
      <c r="B186" s="291">
        <f t="shared" si="5"/>
        <v>35</v>
      </c>
      <c r="C186" s="291" t="s">
        <v>311</v>
      </c>
      <c r="D186" s="291" t="s">
        <v>334</v>
      </c>
      <c r="E186" s="291"/>
      <c r="F186" s="291"/>
      <c r="G186" s="291">
        <v>63</v>
      </c>
      <c r="H186" s="291"/>
      <c r="I186" s="607">
        <v>218.9</v>
      </c>
      <c r="J186" s="607"/>
      <c r="K186" s="498"/>
      <c r="L186" s="291">
        <f t="shared" si="4"/>
        <v>3125.9999999999995</v>
      </c>
      <c r="M186" s="498"/>
      <c r="N186" s="498"/>
    </row>
    <row r="187" spans="2:14">
      <c r="B187" s="291">
        <f t="shared" si="5"/>
        <v>36</v>
      </c>
      <c r="C187" s="291" t="s">
        <v>334</v>
      </c>
      <c r="D187" s="291" t="s">
        <v>236</v>
      </c>
      <c r="E187" s="291"/>
      <c r="F187" s="291"/>
      <c r="G187" s="291">
        <v>63</v>
      </c>
      <c r="H187" s="291"/>
      <c r="I187" s="607">
        <v>148.6</v>
      </c>
      <c r="J187" s="607"/>
      <c r="K187" s="498"/>
      <c r="L187" s="291">
        <f t="shared" si="4"/>
        <v>3274.5999999999995</v>
      </c>
      <c r="M187" s="498"/>
      <c r="N187" s="498"/>
    </row>
    <row r="188" spans="2:14">
      <c r="B188" s="290">
        <f t="shared" si="5"/>
        <v>37</v>
      </c>
      <c r="C188" s="290" t="s">
        <v>306</v>
      </c>
      <c r="D188" s="290" t="s">
        <v>338</v>
      </c>
      <c r="E188" s="290"/>
      <c r="F188" s="290"/>
      <c r="G188" s="290">
        <v>63</v>
      </c>
      <c r="H188" s="290"/>
      <c r="I188" s="605">
        <v>197.3</v>
      </c>
      <c r="J188" s="605"/>
      <c r="K188" s="605"/>
      <c r="L188" s="290">
        <f t="shared" si="4"/>
        <v>3471.8999999999996</v>
      </c>
      <c r="M188" s="498"/>
      <c r="N188" s="498"/>
    </row>
    <row r="189" spans="2:14">
      <c r="B189" s="131">
        <f t="shared" si="5"/>
        <v>38</v>
      </c>
      <c r="C189" s="131" t="s">
        <v>394</v>
      </c>
      <c r="D189" s="131" t="s">
        <v>507</v>
      </c>
      <c r="E189" s="131"/>
      <c r="F189" s="131"/>
      <c r="G189" s="131">
        <v>63</v>
      </c>
      <c r="H189" s="131"/>
      <c r="I189" s="604">
        <v>52.3</v>
      </c>
      <c r="J189" s="604"/>
      <c r="K189" s="498"/>
      <c r="L189" s="131">
        <f t="shared" si="4"/>
        <v>3524.2</v>
      </c>
      <c r="M189" s="498"/>
      <c r="N189" s="498"/>
    </row>
    <row r="190" spans="2:14">
      <c r="B190" s="131">
        <f t="shared" si="5"/>
        <v>39</v>
      </c>
      <c r="C190" s="131" t="s">
        <v>248</v>
      </c>
      <c r="D190" s="131" t="s">
        <v>316</v>
      </c>
      <c r="E190" s="131"/>
      <c r="F190" s="131"/>
      <c r="G190" s="131">
        <v>63</v>
      </c>
      <c r="H190" s="131"/>
      <c r="I190" s="604">
        <v>36.200000000000003</v>
      </c>
      <c r="J190" s="604"/>
      <c r="K190" s="498"/>
      <c r="L190" s="131">
        <f t="shared" si="4"/>
        <v>3560.3999999999996</v>
      </c>
      <c r="M190" s="498"/>
      <c r="N190" s="498"/>
    </row>
    <row r="191" spans="2:14">
      <c r="B191" s="131">
        <f t="shared" si="5"/>
        <v>40</v>
      </c>
      <c r="C191" s="131" t="s">
        <v>357</v>
      </c>
      <c r="D191" s="131" t="s">
        <v>283</v>
      </c>
      <c r="E191" s="131"/>
      <c r="F191" s="131"/>
      <c r="G191" s="131">
        <v>63</v>
      </c>
      <c r="H191" s="131"/>
      <c r="I191" s="604">
        <v>171.7</v>
      </c>
      <c r="J191" s="604"/>
      <c r="K191" s="498"/>
      <c r="L191" s="131">
        <f t="shared" si="4"/>
        <v>3732.0999999999995</v>
      </c>
      <c r="M191" s="498"/>
      <c r="N191" s="498"/>
    </row>
    <row r="192" spans="2:14">
      <c r="B192" s="131">
        <f t="shared" si="5"/>
        <v>41</v>
      </c>
      <c r="C192" s="131" t="s">
        <v>283</v>
      </c>
      <c r="D192" s="131" t="s">
        <v>418</v>
      </c>
      <c r="E192" s="131"/>
      <c r="F192" s="131"/>
      <c r="G192" s="131">
        <v>63</v>
      </c>
      <c r="H192" s="131"/>
      <c r="I192" s="604">
        <v>167.4</v>
      </c>
      <c r="J192" s="604"/>
      <c r="K192" s="498"/>
      <c r="L192" s="131">
        <f t="shared" si="4"/>
        <v>3899.4999999999995</v>
      </c>
      <c r="M192" s="498"/>
      <c r="N192" s="498"/>
    </row>
    <row r="193" spans="2:14">
      <c r="B193" s="131">
        <f t="shared" si="5"/>
        <v>42</v>
      </c>
      <c r="C193" s="131" t="s">
        <v>283</v>
      </c>
      <c r="D193" s="131" t="s">
        <v>418</v>
      </c>
      <c r="E193" s="131" t="s">
        <v>193</v>
      </c>
      <c r="F193" s="131"/>
      <c r="G193" s="131">
        <v>63</v>
      </c>
      <c r="H193" s="131"/>
      <c r="I193" s="604">
        <v>4</v>
      </c>
      <c r="J193" s="604"/>
      <c r="K193" s="498"/>
      <c r="L193" s="131">
        <f t="shared" si="4"/>
        <v>3903.4999999999995</v>
      </c>
      <c r="M193" s="498"/>
      <c r="N193" s="498"/>
    </row>
    <row r="194" spans="2:14">
      <c r="B194" s="131">
        <f t="shared" si="5"/>
        <v>43</v>
      </c>
      <c r="C194" s="131" t="s">
        <v>418</v>
      </c>
      <c r="D194" s="131" t="s">
        <v>268</v>
      </c>
      <c r="E194" s="131"/>
      <c r="F194" s="131"/>
      <c r="G194" s="131">
        <v>63</v>
      </c>
      <c r="H194" s="131"/>
      <c r="I194" s="604">
        <v>83.6</v>
      </c>
      <c r="J194" s="604"/>
      <c r="K194" s="498"/>
      <c r="L194" s="131">
        <f t="shared" si="4"/>
        <v>3987.0999999999995</v>
      </c>
      <c r="M194" s="498"/>
      <c r="N194" s="498"/>
    </row>
    <row r="195" spans="2:14">
      <c r="B195" s="131">
        <f t="shared" si="5"/>
        <v>44</v>
      </c>
      <c r="C195" s="131" t="s">
        <v>283</v>
      </c>
      <c r="D195" s="131" t="s">
        <v>349</v>
      </c>
      <c r="E195" s="131"/>
      <c r="F195" s="131"/>
      <c r="G195" s="131">
        <v>63</v>
      </c>
      <c r="H195" s="131"/>
      <c r="I195" s="604">
        <v>78.099999999999994</v>
      </c>
      <c r="J195" s="604"/>
      <c r="K195" s="498"/>
      <c r="L195" s="131">
        <f t="shared" si="4"/>
        <v>4065.1999999999994</v>
      </c>
      <c r="M195" s="498"/>
      <c r="N195" s="498"/>
    </row>
    <row r="196" spans="2:14">
      <c r="B196" s="131">
        <f t="shared" si="5"/>
        <v>45</v>
      </c>
      <c r="C196" s="131" t="s">
        <v>349</v>
      </c>
      <c r="D196" s="131" t="s">
        <v>403</v>
      </c>
      <c r="E196" s="131" t="s">
        <v>721</v>
      </c>
      <c r="F196" s="131"/>
      <c r="G196" s="131">
        <v>63</v>
      </c>
      <c r="H196" s="131"/>
      <c r="I196" s="604">
        <v>88.8</v>
      </c>
      <c r="J196" s="604"/>
      <c r="K196" s="498"/>
      <c r="L196" s="131">
        <f t="shared" si="4"/>
        <v>4153.9999999999991</v>
      </c>
      <c r="M196" s="498"/>
      <c r="N196" s="498"/>
    </row>
    <row r="197" spans="2:14">
      <c r="B197" s="131">
        <f t="shared" si="5"/>
        <v>46</v>
      </c>
      <c r="C197" s="131" t="s">
        <v>349</v>
      </c>
      <c r="D197" s="131" t="s">
        <v>403</v>
      </c>
      <c r="E197" s="131"/>
      <c r="F197" s="131"/>
      <c r="G197" s="131">
        <v>63</v>
      </c>
      <c r="H197" s="131"/>
      <c r="I197" s="604">
        <f>90.2-88.8</f>
        <v>1.4000000000000057</v>
      </c>
      <c r="J197" s="604"/>
      <c r="K197" s="498"/>
      <c r="L197" s="131">
        <f t="shared" si="4"/>
        <v>4155.3999999999987</v>
      </c>
      <c r="M197" s="498"/>
      <c r="N197" s="498"/>
    </row>
    <row r="198" spans="2:14">
      <c r="B198" s="131">
        <f t="shared" si="5"/>
        <v>47</v>
      </c>
      <c r="C198" s="131" t="s">
        <v>403</v>
      </c>
      <c r="D198" s="131" t="s">
        <v>525</v>
      </c>
      <c r="E198" s="131" t="s">
        <v>721</v>
      </c>
      <c r="F198" s="131"/>
      <c r="G198" s="131">
        <v>63</v>
      </c>
      <c r="H198" s="131"/>
      <c r="I198" s="604">
        <v>50.7</v>
      </c>
      <c r="J198" s="604"/>
      <c r="K198" s="498"/>
      <c r="L198" s="131">
        <f t="shared" si="4"/>
        <v>4206.0999999999985</v>
      </c>
      <c r="M198" s="498"/>
      <c r="N198" s="498"/>
    </row>
    <row r="199" spans="2:14">
      <c r="B199" s="131">
        <f t="shared" si="5"/>
        <v>48</v>
      </c>
      <c r="C199" s="131" t="s">
        <v>418</v>
      </c>
      <c r="D199" s="131" t="s">
        <v>402</v>
      </c>
      <c r="E199" s="131"/>
      <c r="F199" s="131"/>
      <c r="G199" s="131">
        <v>63</v>
      </c>
      <c r="H199" s="131"/>
      <c r="I199" s="604">
        <v>59.3</v>
      </c>
      <c r="J199" s="604"/>
      <c r="K199" s="498"/>
      <c r="L199" s="131">
        <f t="shared" si="4"/>
        <v>4265.3999999999987</v>
      </c>
      <c r="M199" s="498"/>
      <c r="N199" s="498"/>
    </row>
    <row r="200" spans="2:14">
      <c r="B200" s="131">
        <f t="shared" si="5"/>
        <v>49</v>
      </c>
      <c r="C200" s="131" t="s">
        <v>418</v>
      </c>
      <c r="D200" s="131" t="s">
        <v>402</v>
      </c>
      <c r="E200" s="131" t="s">
        <v>193</v>
      </c>
      <c r="F200" s="131"/>
      <c r="G200" s="131">
        <v>63</v>
      </c>
      <c r="H200" s="131"/>
      <c r="I200" s="604">
        <v>3</v>
      </c>
      <c r="J200" s="604"/>
      <c r="K200" s="498"/>
      <c r="L200" s="131">
        <f t="shared" si="4"/>
        <v>4268.3999999999987</v>
      </c>
      <c r="M200" s="498"/>
      <c r="N200" s="498"/>
    </row>
    <row r="201" spans="2:14">
      <c r="B201" s="131">
        <f t="shared" si="5"/>
        <v>50</v>
      </c>
      <c r="C201" s="131" t="s">
        <v>525</v>
      </c>
      <c r="D201" s="131" t="s">
        <v>265</v>
      </c>
      <c r="E201" s="131"/>
      <c r="F201" s="131"/>
      <c r="G201" s="131">
        <v>63</v>
      </c>
      <c r="H201" s="131"/>
      <c r="I201" s="604">
        <v>92</v>
      </c>
      <c r="J201" s="604"/>
      <c r="K201" s="498"/>
      <c r="L201" s="131">
        <f t="shared" si="4"/>
        <v>4360.3999999999987</v>
      </c>
      <c r="M201" s="498"/>
      <c r="N201" s="498"/>
    </row>
    <row r="202" spans="2:14">
      <c r="B202" s="131">
        <f t="shared" si="5"/>
        <v>51</v>
      </c>
      <c r="C202" s="131" t="s">
        <v>265</v>
      </c>
      <c r="D202" s="131" t="s">
        <v>247</v>
      </c>
      <c r="E202" s="131"/>
      <c r="F202" s="131"/>
      <c r="G202" s="131">
        <v>63</v>
      </c>
      <c r="H202" s="131"/>
      <c r="I202" s="604">
        <v>7.1</v>
      </c>
      <c r="J202" s="604"/>
      <c r="K202" s="498"/>
      <c r="L202" s="131">
        <f t="shared" si="4"/>
        <v>4367.4999999999991</v>
      </c>
      <c r="M202" s="498"/>
      <c r="N202" s="498"/>
    </row>
    <row r="203" spans="2:14">
      <c r="B203" s="131">
        <f t="shared" si="5"/>
        <v>52</v>
      </c>
      <c r="C203" s="131" t="s">
        <v>266</v>
      </c>
      <c r="D203" s="131" t="s">
        <v>265</v>
      </c>
      <c r="E203" s="131"/>
      <c r="F203" s="131"/>
      <c r="G203" s="131">
        <v>63</v>
      </c>
      <c r="H203" s="131"/>
      <c r="I203" s="604">
        <v>43</v>
      </c>
      <c r="J203" s="604"/>
      <c r="K203" s="498"/>
      <c r="L203" s="131">
        <f t="shared" si="4"/>
        <v>4410.4999999999991</v>
      </c>
      <c r="M203" s="498"/>
      <c r="N203" s="498"/>
    </row>
    <row r="204" spans="2:14">
      <c r="B204" s="131">
        <f t="shared" si="5"/>
        <v>53</v>
      </c>
      <c r="C204" s="131" t="s">
        <v>314</v>
      </c>
      <c r="D204" s="131" t="s">
        <v>406</v>
      </c>
      <c r="E204" s="131" t="s">
        <v>721</v>
      </c>
      <c r="F204" s="131"/>
      <c r="G204" s="131">
        <v>63</v>
      </c>
      <c r="H204" s="131"/>
      <c r="I204" s="604">
        <v>114.6</v>
      </c>
      <c r="J204" s="604"/>
      <c r="K204" s="498"/>
      <c r="L204" s="131">
        <f t="shared" si="4"/>
        <v>4525.0999999999995</v>
      </c>
      <c r="M204" s="498"/>
      <c r="N204" s="498"/>
    </row>
    <row r="205" spans="2:14">
      <c r="B205" s="131">
        <f t="shared" si="5"/>
        <v>54</v>
      </c>
      <c r="C205" s="131" t="s">
        <v>406</v>
      </c>
      <c r="D205" s="131" t="s">
        <v>392</v>
      </c>
      <c r="E205" s="131" t="s">
        <v>721</v>
      </c>
      <c r="F205" s="131"/>
      <c r="G205" s="131">
        <v>63</v>
      </c>
      <c r="H205" s="131"/>
      <c r="I205" s="604">
        <v>21.9</v>
      </c>
      <c r="J205" s="604"/>
      <c r="K205" s="604"/>
      <c r="L205" s="131">
        <f t="shared" si="4"/>
        <v>4546.9999999999991</v>
      </c>
      <c r="M205" s="498"/>
      <c r="N205" s="498"/>
    </row>
    <row r="206" spans="2:14">
      <c r="B206" s="131">
        <f t="shared" si="5"/>
        <v>55</v>
      </c>
      <c r="C206" s="131" t="s">
        <v>406</v>
      </c>
      <c r="D206" s="131" t="s">
        <v>392</v>
      </c>
      <c r="E206" s="131"/>
      <c r="F206" s="131"/>
      <c r="G206" s="131">
        <v>63</v>
      </c>
      <c r="H206" s="131"/>
      <c r="I206" s="604">
        <f>24.8-21.9</f>
        <v>2.9000000000000021</v>
      </c>
      <c r="J206" s="604"/>
      <c r="K206" s="604"/>
      <c r="L206" s="131">
        <f t="shared" si="4"/>
        <v>4549.8999999999987</v>
      </c>
      <c r="M206" s="498"/>
      <c r="N206" s="498"/>
    </row>
    <row r="207" spans="2:14">
      <c r="B207" s="131">
        <f t="shared" si="5"/>
        <v>56</v>
      </c>
      <c r="C207" s="131" t="s">
        <v>392</v>
      </c>
      <c r="D207" s="131" t="s">
        <v>417</v>
      </c>
      <c r="E207" s="131"/>
      <c r="F207" s="131"/>
      <c r="G207" s="131">
        <v>63</v>
      </c>
      <c r="H207" s="131"/>
      <c r="I207" s="604">
        <v>44.5</v>
      </c>
      <c r="J207" s="604"/>
      <c r="K207" s="498"/>
      <c r="L207" s="131">
        <f t="shared" si="4"/>
        <v>4594.3999999999987</v>
      </c>
      <c r="M207" s="498"/>
      <c r="N207" s="498"/>
    </row>
    <row r="208" spans="2:14">
      <c r="B208" s="289">
        <f t="shared" si="5"/>
        <v>57</v>
      </c>
      <c r="C208" s="289" t="s">
        <v>351</v>
      </c>
      <c r="D208" s="289" t="s">
        <v>254</v>
      </c>
      <c r="E208" s="289"/>
      <c r="F208" s="289"/>
      <c r="G208" s="289">
        <v>63</v>
      </c>
      <c r="H208" s="289"/>
      <c r="I208" s="606">
        <v>131.30000000000001</v>
      </c>
      <c r="J208" s="606"/>
      <c r="K208" s="498"/>
      <c r="L208" s="289">
        <f t="shared" si="4"/>
        <v>4725.6999999999989</v>
      </c>
      <c r="M208" s="498"/>
      <c r="N208" s="498"/>
    </row>
    <row r="209" spans="2:14">
      <c r="B209" s="289">
        <f t="shared" si="5"/>
        <v>58</v>
      </c>
      <c r="C209" s="289" t="s">
        <v>254</v>
      </c>
      <c r="D209" s="289" t="s">
        <v>318</v>
      </c>
      <c r="E209" s="289"/>
      <c r="F209" s="289"/>
      <c r="G209" s="289">
        <v>63</v>
      </c>
      <c r="H209" s="289"/>
      <c r="I209" s="606">
        <v>33</v>
      </c>
      <c r="J209" s="606"/>
      <c r="K209" s="498"/>
      <c r="L209" s="289">
        <f t="shared" si="4"/>
        <v>4758.6999999999989</v>
      </c>
      <c r="M209" s="498"/>
      <c r="N209" s="498"/>
    </row>
    <row r="210" spans="2:14">
      <c r="B210" s="289">
        <f t="shared" si="5"/>
        <v>59</v>
      </c>
      <c r="C210" s="289" t="s">
        <v>254</v>
      </c>
      <c r="D210" s="289" t="s">
        <v>318</v>
      </c>
      <c r="E210" s="289" t="s">
        <v>193</v>
      </c>
      <c r="F210" s="289"/>
      <c r="G210" s="289">
        <v>63</v>
      </c>
      <c r="H210" s="289"/>
      <c r="I210" s="606">
        <v>5</v>
      </c>
      <c r="J210" s="606"/>
      <c r="K210" s="498"/>
      <c r="L210" s="289">
        <f t="shared" si="4"/>
        <v>4763.6999999999989</v>
      </c>
      <c r="M210" s="498"/>
      <c r="N210" s="498"/>
    </row>
    <row r="211" spans="2:14">
      <c r="B211" s="289">
        <f t="shared" si="5"/>
        <v>60</v>
      </c>
      <c r="C211" s="289" t="s">
        <v>318</v>
      </c>
      <c r="D211" s="289" t="s">
        <v>237</v>
      </c>
      <c r="E211" s="289"/>
      <c r="F211" s="289"/>
      <c r="G211" s="289">
        <v>63</v>
      </c>
      <c r="H211" s="289"/>
      <c r="I211" s="606">
        <v>106.9</v>
      </c>
      <c r="J211" s="606"/>
      <c r="K211" s="498"/>
      <c r="L211" s="289">
        <f t="shared" si="4"/>
        <v>4870.5999999999985</v>
      </c>
      <c r="M211" s="498"/>
      <c r="N211" s="498"/>
    </row>
    <row r="212" spans="2:14">
      <c r="B212" s="289">
        <f t="shared" si="5"/>
        <v>61</v>
      </c>
      <c r="C212" s="289" t="s">
        <v>318</v>
      </c>
      <c r="D212" s="289" t="s">
        <v>317</v>
      </c>
      <c r="E212" s="289"/>
      <c r="F212" s="289"/>
      <c r="G212" s="289">
        <v>63</v>
      </c>
      <c r="H212" s="289"/>
      <c r="I212" s="606">
        <v>79.5</v>
      </c>
      <c r="J212" s="606"/>
      <c r="K212" s="498"/>
      <c r="L212" s="289">
        <f t="shared" si="4"/>
        <v>4950.0999999999985</v>
      </c>
      <c r="M212" s="498"/>
      <c r="N212" s="498"/>
    </row>
    <row r="213" spans="2:14">
      <c r="B213" s="289">
        <f t="shared" si="5"/>
        <v>62</v>
      </c>
      <c r="C213" s="289" t="s">
        <v>254</v>
      </c>
      <c r="D213" s="289" t="s">
        <v>319</v>
      </c>
      <c r="E213" s="289"/>
      <c r="F213" s="289"/>
      <c r="G213" s="289">
        <v>63</v>
      </c>
      <c r="H213" s="289"/>
      <c r="I213" s="606">
        <v>282.10000000000002</v>
      </c>
      <c r="J213" s="606"/>
      <c r="K213" s="498"/>
      <c r="L213" s="289">
        <f t="shared" si="4"/>
        <v>5232.1999999999989</v>
      </c>
      <c r="M213" s="498"/>
      <c r="N213" s="498"/>
    </row>
    <row r="214" spans="2:14">
      <c r="B214" s="291">
        <f t="shared" si="5"/>
        <v>63</v>
      </c>
      <c r="C214" s="291" t="s">
        <v>434</v>
      </c>
      <c r="D214" s="291" t="s">
        <v>225</v>
      </c>
      <c r="E214" s="291"/>
      <c r="F214" s="291"/>
      <c r="G214" s="291">
        <v>63</v>
      </c>
      <c r="H214" s="291"/>
      <c r="I214" s="607">
        <v>22.1</v>
      </c>
      <c r="J214" s="607"/>
      <c r="K214" s="498"/>
      <c r="L214" s="291">
        <f t="shared" si="4"/>
        <v>5254.2999999999993</v>
      </c>
      <c r="M214" s="498"/>
      <c r="N214" s="498"/>
    </row>
    <row r="215" spans="2:14">
      <c r="B215" s="289">
        <f t="shared" si="5"/>
        <v>64</v>
      </c>
      <c r="C215" s="289" t="s">
        <v>35</v>
      </c>
      <c r="D215" s="289" t="s">
        <v>169</v>
      </c>
      <c r="E215" s="289"/>
      <c r="F215" s="289"/>
      <c r="G215" s="289">
        <v>63</v>
      </c>
      <c r="H215" s="289"/>
      <c r="I215" s="606">
        <v>685.6</v>
      </c>
      <c r="J215" s="606"/>
      <c r="K215" s="498"/>
      <c r="L215" s="289">
        <f t="shared" si="4"/>
        <v>5939.9</v>
      </c>
      <c r="M215" s="498" t="s">
        <v>741</v>
      </c>
      <c r="N215" s="498"/>
    </row>
    <row r="216" spans="2:14">
      <c r="B216" s="131">
        <f t="shared" si="5"/>
        <v>65</v>
      </c>
      <c r="C216" s="131" t="s">
        <v>112</v>
      </c>
      <c r="D216" s="131" t="s">
        <v>722</v>
      </c>
      <c r="E216" s="131"/>
      <c r="F216" s="131"/>
      <c r="G216" s="131">
        <v>63</v>
      </c>
      <c r="H216" s="131"/>
      <c r="I216" s="604">
        <v>60.1</v>
      </c>
      <c r="J216" s="604"/>
      <c r="K216" s="498"/>
      <c r="L216" s="131">
        <f t="shared" si="4"/>
        <v>6000</v>
      </c>
      <c r="M216" s="498" t="s">
        <v>741</v>
      </c>
      <c r="N216" s="498"/>
    </row>
    <row r="217" spans="2:14">
      <c r="B217" s="131">
        <f t="shared" si="5"/>
        <v>66</v>
      </c>
      <c r="C217" s="131" t="s">
        <v>164</v>
      </c>
      <c r="D217" s="131" t="s">
        <v>112</v>
      </c>
      <c r="E217" s="131"/>
      <c r="F217" s="131"/>
      <c r="G217" s="131">
        <v>63</v>
      </c>
      <c r="H217" s="131"/>
      <c r="I217" s="604">
        <v>250.3</v>
      </c>
      <c r="J217" s="604"/>
      <c r="K217" s="498"/>
      <c r="L217" s="131">
        <f t="shared" ref="L217:L272" si="6">+L216+I217</f>
        <v>6250.3</v>
      </c>
      <c r="M217" s="608"/>
      <c r="N217" s="608"/>
    </row>
    <row r="218" spans="2:14">
      <c r="B218" s="290">
        <f t="shared" ref="B218:B272" si="7">1+B217</f>
        <v>67</v>
      </c>
      <c r="C218" s="290" t="s">
        <v>163</v>
      </c>
      <c r="D218" s="290" t="s">
        <v>723</v>
      </c>
      <c r="E218" s="290"/>
      <c r="F218" s="290"/>
      <c r="G218" s="290">
        <v>63</v>
      </c>
      <c r="H218" s="290"/>
      <c r="I218" s="605">
        <v>71.900000000000006</v>
      </c>
      <c r="J218" s="605"/>
      <c r="K218" s="498"/>
      <c r="L218" s="290">
        <f t="shared" si="6"/>
        <v>6322.2</v>
      </c>
      <c r="M218" s="608"/>
      <c r="N218" s="608"/>
    </row>
    <row r="219" spans="2:14">
      <c r="B219" s="289">
        <f t="shared" si="7"/>
        <v>68</v>
      </c>
      <c r="C219" s="289" t="s">
        <v>724</v>
      </c>
      <c r="D219" s="289" t="s">
        <v>70</v>
      </c>
      <c r="E219" s="289"/>
      <c r="F219" s="289"/>
      <c r="G219" s="289">
        <v>63</v>
      </c>
      <c r="H219" s="289"/>
      <c r="I219" s="606">
        <v>86.6</v>
      </c>
      <c r="J219" s="606"/>
      <c r="K219" s="498"/>
      <c r="L219" s="289">
        <f t="shared" si="6"/>
        <v>6408.8</v>
      </c>
      <c r="M219" s="608"/>
      <c r="N219" s="608"/>
    </row>
    <row r="220" spans="2:14">
      <c r="B220" s="289">
        <f t="shared" si="7"/>
        <v>69</v>
      </c>
      <c r="C220" s="289" t="s">
        <v>70</v>
      </c>
      <c r="D220" s="289" t="s">
        <v>126</v>
      </c>
      <c r="E220" s="289"/>
      <c r="F220" s="289"/>
      <c r="G220" s="289">
        <v>63</v>
      </c>
      <c r="H220" s="289"/>
      <c r="I220" s="606">
        <v>432</v>
      </c>
      <c r="J220" s="606"/>
      <c r="K220" s="498"/>
      <c r="L220" s="289">
        <f t="shared" si="6"/>
        <v>6840.8</v>
      </c>
      <c r="M220" s="498" t="s">
        <v>741</v>
      </c>
      <c r="N220" s="498"/>
    </row>
    <row r="221" spans="2:14">
      <c r="B221" s="289">
        <f t="shared" si="7"/>
        <v>70</v>
      </c>
      <c r="C221" s="289" t="s">
        <v>70</v>
      </c>
      <c r="D221" s="289" t="s">
        <v>126</v>
      </c>
      <c r="E221" s="289" t="s">
        <v>45</v>
      </c>
      <c r="F221" s="289"/>
      <c r="G221" s="289">
        <v>63</v>
      </c>
      <c r="H221" s="289"/>
      <c r="I221" s="606">
        <v>2.6</v>
      </c>
      <c r="J221" s="606"/>
      <c r="K221" s="498"/>
      <c r="L221" s="289">
        <f t="shared" si="6"/>
        <v>6843.4000000000005</v>
      </c>
      <c r="M221" s="608"/>
      <c r="N221" s="608"/>
    </row>
    <row r="222" spans="2:14">
      <c r="B222" s="289">
        <f t="shared" si="7"/>
        <v>71</v>
      </c>
      <c r="C222" s="289" t="s">
        <v>70</v>
      </c>
      <c r="D222" s="289" t="s">
        <v>725</v>
      </c>
      <c r="E222" s="289"/>
      <c r="F222" s="289"/>
      <c r="G222" s="289">
        <v>63</v>
      </c>
      <c r="H222" s="289"/>
      <c r="I222" s="606">
        <v>120.7</v>
      </c>
      <c r="J222" s="606"/>
      <c r="K222" s="498"/>
      <c r="L222" s="289">
        <f t="shared" si="6"/>
        <v>6964.1</v>
      </c>
      <c r="M222" s="498" t="s">
        <v>741</v>
      </c>
      <c r="N222" s="498"/>
    </row>
    <row r="223" spans="2:14">
      <c r="B223" s="289">
        <f t="shared" si="7"/>
        <v>72</v>
      </c>
      <c r="C223" s="289" t="s">
        <v>726</v>
      </c>
      <c r="D223" s="289" t="s">
        <v>725</v>
      </c>
      <c r="E223" s="289"/>
      <c r="F223" s="289"/>
      <c r="G223" s="289">
        <v>63</v>
      </c>
      <c r="H223" s="289"/>
      <c r="I223" s="606">
        <v>174.4</v>
      </c>
      <c r="J223" s="606"/>
      <c r="K223" s="498"/>
      <c r="L223" s="289">
        <f t="shared" si="6"/>
        <v>7138.5</v>
      </c>
      <c r="M223" s="498"/>
      <c r="N223" s="498"/>
    </row>
    <row r="224" spans="2:14">
      <c r="B224" s="289">
        <f t="shared" si="7"/>
        <v>73</v>
      </c>
      <c r="C224" s="289" t="s">
        <v>726</v>
      </c>
      <c r="D224" s="289" t="s">
        <v>725</v>
      </c>
      <c r="E224" s="289" t="s">
        <v>199</v>
      </c>
      <c r="F224" s="289"/>
      <c r="G224" s="289">
        <v>63</v>
      </c>
      <c r="H224" s="289"/>
      <c r="I224" s="606">
        <v>116.3</v>
      </c>
      <c r="J224" s="606"/>
      <c r="K224" s="498"/>
      <c r="L224" s="289">
        <f t="shared" si="6"/>
        <v>7254.8</v>
      </c>
      <c r="M224" s="498"/>
      <c r="N224" s="498"/>
    </row>
    <row r="225" spans="2:14">
      <c r="B225" s="131">
        <f t="shared" si="7"/>
        <v>74</v>
      </c>
      <c r="C225" s="131" t="s">
        <v>151</v>
      </c>
      <c r="D225" s="131" t="s">
        <v>503</v>
      </c>
      <c r="E225" s="131"/>
      <c r="F225" s="131"/>
      <c r="G225" s="131">
        <v>63</v>
      </c>
      <c r="H225" s="131"/>
      <c r="I225" s="604">
        <v>158.19999999999999</v>
      </c>
      <c r="J225" s="604"/>
      <c r="K225" s="498"/>
      <c r="L225" s="131">
        <f t="shared" si="6"/>
        <v>7413</v>
      </c>
      <c r="M225" s="498"/>
      <c r="N225" s="498"/>
    </row>
    <row r="226" spans="2:14">
      <c r="B226" s="131">
        <f t="shared" si="7"/>
        <v>75</v>
      </c>
      <c r="C226" s="131" t="s">
        <v>595</v>
      </c>
      <c r="D226" s="131" t="s">
        <v>502</v>
      </c>
      <c r="E226" s="131"/>
      <c r="F226" s="131"/>
      <c r="G226" s="131">
        <v>63</v>
      </c>
      <c r="H226" s="131"/>
      <c r="I226" s="604">
        <v>130.80000000000001</v>
      </c>
      <c r="J226" s="604"/>
      <c r="K226" s="604"/>
      <c r="L226" s="131">
        <f t="shared" si="6"/>
        <v>7543.8</v>
      </c>
      <c r="M226" s="498"/>
      <c r="N226" s="498"/>
    </row>
    <row r="227" spans="2:14">
      <c r="B227" s="131">
        <f t="shared" si="7"/>
        <v>76</v>
      </c>
      <c r="C227" s="131" t="s">
        <v>502</v>
      </c>
      <c r="D227" s="131" t="s">
        <v>727</v>
      </c>
      <c r="E227" s="131"/>
      <c r="F227" s="131"/>
      <c r="G227" s="131">
        <v>63</v>
      </c>
      <c r="H227" s="131"/>
      <c r="I227" s="604">
        <v>29</v>
      </c>
      <c r="J227" s="604"/>
      <c r="K227" s="604"/>
      <c r="L227" s="131">
        <f t="shared" si="6"/>
        <v>7572.8</v>
      </c>
      <c r="M227" s="498"/>
      <c r="N227" s="498"/>
    </row>
    <row r="228" spans="2:14">
      <c r="B228" s="289">
        <f t="shared" si="7"/>
        <v>77</v>
      </c>
      <c r="C228" s="289" t="s">
        <v>728</v>
      </c>
      <c r="D228" s="289" t="s">
        <v>46</v>
      </c>
      <c r="E228" s="289"/>
      <c r="F228" s="289"/>
      <c r="G228" s="289">
        <v>63</v>
      </c>
      <c r="H228" s="289"/>
      <c r="I228" s="606">
        <v>62.1</v>
      </c>
      <c r="J228" s="606"/>
      <c r="K228" s="498"/>
      <c r="L228" s="289">
        <f t="shared" si="6"/>
        <v>7634.9000000000005</v>
      </c>
      <c r="M228" s="498"/>
      <c r="N228" s="498"/>
    </row>
    <row r="229" spans="2:14">
      <c r="B229" s="131">
        <f t="shared" si="7"/>
        <v>78</v>
      </c>
      <c r="C229" s="131" t="s">
        <v>382</v>
      </c>
      <c r="D229" s="131" t="s">
        <v>403</v>
      </c>
      <c r="E229" s="131" t="s">
        <v>721</v>
      </c>
      <c r="F229" s="131"/>
      <c r="G229" s="131">
        <v>63</v>
      </c>
      <c r="H229" s="131"/>
      <c r="I229" s="604">
        <v>58.8</v>
      </c>
      <c r="J229" s="604"/>
      <c r="K229" s="498"/>
      <c r="L229" s="131">
        <f t="shared" si="6"/>
        <v>7693.7000000000007</v>
      </c>
      <c r="M229" s="498"/>
      <c r="N229" s="498"/>
    </row>
    <row r="230" spans="2:14">
      <c r="B230" s="131">
        <f t="shared" si="7"/>
        <v>79</v>
      </c>
      <c r="C230" s="131" t="s">
        <v>727</v>
      </c>
      <c r="D230" s="131" t="s">
        <v>729</v>
      </c>
      <c r="E230" s="131" t="s">
        <v>721</v>
      </c>
      <c r="F230" s="131"/>
      <c r="G230" s="131">
        <v>63</v>
      </c>
      <c r="H230" s="131"/>
      <c r="I230" s="604">
        <v>46.8</v>
      </c>
      <c r="J230" s="604"/>
      <c r="K230" s="498"/>
      <c r="L230" s="131">
        <f t="shared" si="6"/>
        <v>7740.5000000000009</v>
      </c>
      <c r="M230" s="498"/>
      <c r="N230" s="498"/>
    </row>
    <row r="231" spans="2:14">
      <c r="B231" s="131">
        <f t="shared" si="7"/>
        <v>80</v>
      </c>
      <c r="C231" s="131" t="s">
        <v>727</v>
      </c>
      <c r="D231" s="131" t="s">
        <v>729</v>
      </c>
      <c r="E231" s="131"/>
      <c r="F231" s="131"/>
      <c r="G231" s="131">
        <v>63</v>
      </c>
      <c r="H231" s="131"/>
      <c r="I231" s="604">
        <f>48.1-46.8</f>
        <v>1.3000000000000043</v>
      </c>
      <c r="J231" s="604"/>
      <c r="K231" s="498"/>
      <c r="L231" s="131">
        <f t="shared" si="6"/>
        <v>7741.8000000000011</v>
      </c>
      <c r="M231" s="498"/>
      <c r="N231" s="498"/>
    </row>
    <row r="232" spans="2:14">
      <c r="B232" s="131">
        <f t="shared" si="7"/>
        <v>81</v>
      </c>
      <c r="C232" s="131" t="s">
        <v>727</v>
      </c>
      <c r="D232" s="131" t="s">
        <v>729</v>
      </c>
      <c r="E232" s="131" t="s">
        <v>730</v>
      </c>
      <c r="F232" s="131"/>
      <c r="G232" s="131">
        <v>63</v>
      </c>
      <c r="H232" s="131"/>
      <c r="I232" s="604">
        <v>5.4</v>
      </c>
      <c r="J232" s="604"/>
      <c r="K232" s="498"/>
      <c r="L232" s="131">
        <f t="shared" si="6"/>
        <v>7747.2000000000007</v>
      </c>
      <c r="M232" s="498"/>
      <c r="N232" s="498"/>
    </row>
    <row r="233" spans="2:14">
      <c r="B233" s="131">
        <f t="shared" si="7"/>
        <v>82</v>
      </c>
      <c r="C233" s="131" t="s">
        <v>729</v>
      </c>
      <c r="D233" s="131" t="s">
        <v>155</v>
      </c>
      <c r="E233" s="131" t="s">
        <v>721</v>
      </c>
      <c r="F233" s="131"/>
      <c r="G233" s="131">
        <v>63</v>
      </c>
      <c r="H233" s="131"/>
      <c r="I233" s="604">
        <v>21.1</v>
      </c>
      <c r="J233" s="604"/>
      <c r="K233" s="498"/>
      <c r="L233" s="131">
        <f t="shared" si="6"/>
        <v>7768.3000000000011</v>
      </c>
      <c r="M233" s="498"/>
      <c r="N233" s="498"/>
    </row>
    <row r="234" spans="2:14">
      <c r="B234" s="131">
        <f t="shared" si="7"/>
        <v>83</v>
      </c>
      <c r="C234" s="131" t="s">
        <v>729</v>
      </c>
      <c r="D234" s="131" t="s">
        <v>160</v>
      </c>
      <c r="E234" s="131" t="s">
        <v>730</v>
      </c>
      <c r="F234" s="131"/>
      <c r="G234" s="131">
        <v>63</v>
      </c>
      <c r="H234" s="131"/>
      <c r="I234" s="604">
        <v>3</v>
      </c>
      <c r="J234" s="604"/>
      <c r="K234" s="498"/>
      <c r="L234" s="131">
        <f t="shared" si="6"/>
        <v>7771.3000000000011</v>
      </c>
      <c r="M234" s="498"/>
      <c r="N234" s="498"/>
    </row>
    <row r="235" spans="2:14">
      <c r="B235" s="131">
        <f t="shared" si="7"/>
        <v>84</v>
      </c>
      <c r="C235" s="131" t="s">
        <v>364</v>
      </c>
      <c r="D235" s="131" t="s">
        <v>504</v>
      </c>
      <c r="E235" s="131" t="s">
        <v>730</v>
      </c>
      <c r="F235" s="131"/>
      <c r="G235" s="131">
        <v>63</v>
      </c>
      <c r="H235" s="131"/>
      <c r="I235" s="604">
        <v>4.0999999999999996</v>
      </c>
      <c r="J235" s="604"/>
      <c r="K235" s="498"/>
      <c r="L235" s="131">
        <f t="shared" si="6"/>
        <v>7775.4000000000015</v>
      </c>
      <c r="M235" s="498"/>
      <c r="N235" s="498"/>
    </row>
    <row r="236" spans="2:14">
      <c r="B236" s="131">
        <f t="shared" si="7"/>
        <v>85</v>
      </c>
      <c r="C236" s="131" t="s">
        <v>364</v>
      </c>
      <c r="D236" s="131" t="s">
        <v>504</v>
      </c>
      <c r="E236" s="131" t="s">
        <v>721</v>
      </c>
      <c r="F236" s="131"/>
      <c r="G236" s="131">
        <v>63</v>
      </c>
      <c r="H236" s="131"/>
      <c r="I236" s="604">
        <v>63.4</v>
      </c>
      <c r="J236" s="604"/>
      <c r="K236" s="498"/>
      <c r="L236" s="131">
        <f t="shared" si="6"/>
        <v>7838.8000000000011</v>
      </c>
      <c r="M236" s="498"/>
      <c r="N236" s="498"/>
    </row>
    <row r="237" spans="2:14">
      <c r="B237" s="131">
        <f t="shared" si="7"/>
        <v>86</v>
      </c>
      <c r="C237" s="131" t="s">
        <v>504</v>
      </c>
      <c r="D237" s="131" t="s">
        <v>403</v>
      </c>
      <c r="E237" s="131"/>
      <c r="F237" s="131"/>
      <c r="G237" s="131">
        <v>63</v>
      </c>
      <c r="H237" s="131"/>
      <c r="I237" s="604">
        <v>8.1999999999999993</v>
      </c>
      <c r="J237" s="604"/>
      <c r="K237" s="498"/>
      <c r="L237" s="131">
        <f t="shared" si="6"/>
        <v>7847.0000000000009</v>
      </c>
      <c r="M237" s="498"/>
      <c r="N237" s="498"/>
    </row>
    <row r="238" spans="2:14">
      <c r="B238" s="131">
        <f t="shared" si="7"/>
        <v>87</v>
      </c>
      <c r="C238" s="131" t="s">
        <v>504</v>
      </c>
      <c r="D238" s="131" t="s">
        <v>403</v>
      </c>
      <c r="E238" s="131" t="s">
        <v>721</v>
      </c>
      <c r="F238" s="131"/>
      <c r="G238" s="131">
        <v>63</v>
      </c>
      <c r="H238" s="131"/>
      <c r="I238" s="604">
        <f>72.8+2.3</f>
        <v>75.099999999999994</v>
      </c>
      <c r="J238" s="604"/>
      <c r="K238" s="498"/>
      <c r="L238" s="131">
        <f t="shared" si="6"/>
        <v>7922.1000000000013</v>
      </c>
      <c r="M238" s="498"/>
      <c r="N238" s="498"/>
    </row>
    <row r="239" spans="2:14">
      <c r="B239" s="131">
        <f t="shared" si="7"/>
        <v>88</v>
      </c>
      <c r="C239" s="131" t="s">
        <v>504</v>
      </c>
      <c r="D239" s="131" t="s">
        <v>595</v>
      </c>
      <c r="E239" s="131" t="s">
        <v>721</v>
      </c>
      <c r="F239" s="131"/>
      <c r="G239" s="131">
        <v>63</v>
      </c>
      <c r="H239" s="131"/>
      <c r="I239" s="604">
        <v>40.200000000000003</v>
      </c>
      <c r="J239" s="604"/>
      <c r="K239" s="498"/>
      <c r="L239" s="131">
        <f t="shared" si="6"/>
        <v>7962.3000000000011</v>
      </c>
      <c r="M239" s="498"/>
      <c r="N239" s="498"/>
    </row>
    <row r="240" spans="2:14">
      <c r="B240" s="131">
        <f t="shared" si="7"/>
        <v>89</v>
      </c>
      <c r="C240" s="131" t="s">
        <v>139</v>
      </c>
      <c r="D240" s="131" t="s">
        <v>727</v>
      </c>
      <c r="E240" s="131"/>
      <c r="F240" s="131"/>
      <c r="G240" s="131">
        <v>63</v>
      </c>
      <c r="H240" s="131"/>
      <c r="I240" s="604">
        <v>29</v>
      </c>
      <c r="J240" s="604"/>
      <c r="K240" s="498"/>
      <c r="L240" s="131">
        <f t="shared" si="6"/>
        <v>7991.3000000000011</v>
      </c>
      <c r="M240" s="498"/>
      <c r="N240" s="498"/>
    </row>
    <row r="241" spans="2:14">
      <c r="B241" s="290">
        <f t="shared" si="7"/>
        <v>90</v>
      </c>
      <c r="C241" s="290" t="s">
        <v>44</v>
      </c>
      <c r="D241" s="290" t="s">
        <v>61</v>
      </c>
      <c r="E241" s="290"/>
      <c r="F241" s="290"/>
      <c r="G241" s="290">
        <v>63</v>
      </c>
      <c r="H241" s="290"/>
      <c r="I241" s="605">
        <v>128.4</v>
      </c>
      <c r="J241" s="605"/>
      <c r="K241" s="498"/>
      <c r="L241" s="290">
        <f t="shared" si="6"/>
        <v>8119.7000000000007</v>
      </c>
      <c r="M241" s="498"/>
      <c r="N241" s="498"/>
    </row>
    <row r="242" spans="2:14">
      <c r="B242" s="289">
        <f t="shared" si="7"/>
        <v>91</v>
      </c>
      <c r="C242" s="289" t="s">
        <v>731</v>
      </c>
      <c r="D242" s="289" t="s">
        <v>56</v>
      </c>
      <c r="E242" s="289" t="s">
        <v>199</v>
      </c>
      <c r="F242" s="289"/>
      <c r="G242" s="292">
        <v>63</v>
      </c>
      <c r="H242" s="292"/>
      <c r="I242" s="606">
        <v>50.1</v>
      </c>
      <c r="J242" s="606"/>
      <c r="K242" s="498"/>
      <c r="L242" s="289">
        <f t="shared" si="6"/>
        <v>8169.8000000000011</v>
      </c>
      <c r="M242" s="498"/>
      <c r="N242" s="498"/>
    </row>
    <row r="243" spans="2:14">
      <c r="B243" s="289">
        <f t="shared" si="7"/>
        <v>92</v>
      </c>
      <c r="C243" s="289" t="s">
        <v>731</v>
      </c>
      <c r="D243" s="289" t="s">
        <v>56</v>
      </c>
      <c r="E243" s="289"/>
      <c r="F243" s="289"/>
      <c r="G243" s="292">
        <v>63</v>
      </c>
      <c r="H243" s="292"/>
      <c r="I243" s="606">
        <v>39.1</v>
      </c>
      <c r="J243" s="606"/>
      <c r="K243" s="498"/>
      <c r="L243" s="289">
        <f t="shared" si="6"/>
        <v>8208.9000000000015</v>
      </c>
      <c r="M243" s="498"/>
      <c r="N243" s="498"/>
    </row>
    <row r="244" spans="2:14">
      <c r="B244" s="290">
        <f t="shared" si="7"/>
        <v>93</v>
      </c>
      <c r="C244" s="290" t="s">
        <v>733</v>
      </c>
      <c r="D244" s="290" t="s">
        <v>338</v>
      </c>
      <c r="E244" s="290"/>
      <c r="F244" s="290"/>
      <c r="G244" s="293">
        <v>63</v>
      </c>
      <c r="H244" s="293"/>
      <c r="I244" s="605">
        <v>197.3</v>
      </c>
      <c r="J244" s="605"/>
      <c r="K244" s="498"/>
      <c r="L244" s="290">
        <f t="shared" si="6"/>
        <v>8406.2000000000007</v>
      </c>
      <c r="M244" s="498"/>
      <c r="N244" s="498"/>
    </row>
    <row r="245" spans="2:14">
      <c r="B245" s="290">
        <f t="shared" si="7"/>
        <v>94</v>
      </c>
      <c r="C245" s="290" t="s">
        <v>346</v>
      </c>
      <c r="D245" s="290" t="s">
        <v>640</v>
      </c>
      <c r="E245" s="290"/>
      <c r="F245" s="290"/>
      <c r="G245" s="290">
        <v>75</v>
      </c>
      <c r="H245" s="290"/>
      <c r="I245" s="605">
        <v>42.4</v>
      </c>
      <c r="J245" s="605"/>
      <c r="K245" s="498"/>
      <c r="L245" s="290">
        <f t="shared" si="6"/>
        <v>8448.6</v>
      </c>
      <c r="M245" s="498"/>
      <c r="N245" s="498"/>
    </row>
    <row r="246" spans="2:14">
      <c r="B246" s="291">
        <f t="shared" si="7"/>
        <v>95</v>
      </c>
      <c r="C246" s="291" t="s">
        <v>334</v>
      </c>
      <c r="D246" s="291" t="s">
        <v>343</v>
      </c>
      <c r="E246" s="291"/>
      <c r="F246" s="291"/>
      <c r="G246" s="291">
        <v>75</v>
      </c>
      <c r="H246" s="291"/>
      <c r="I246" s="607">
        <v>3.2</v>
      </c>
      <c r="J246" s="607"/>
      <c r="K246" s="498"/>
      <c r="L246" s="291">
        <f t="shared" si="6"/>
        <v>8451.8000000000011</v>
      </c>
      <c r="M246" s="498"/>
      <c r="N246" s="498"/>
    </row>
    <row r="247" spans="2:14">
      <c r="B247" s="291">
        <f t="shared" si="7"/>
        <v>96</v>
      </c>
      <c r="C247" s="291" t="s">
        <v>334</v>
      </c>
      <c r="D247" s="291" t="s">
        <v>343</v>
      </c>
      <c r="E247" s="291"/>
      <c r="F247" s="291"/>
      <c r="G247" s="291">
        <v>75</v>
      </c>
      <c r="H247" s="291"/>
      <c r="I247" s="607">
        <v>377.2</v>
      </c>
      <c r="J247" s="607"/>
      <c r="K247" s="498"/>
      <c r="L247" s="291">
        <f t="shared" si="6"/>
        <v>8829.0000000000018</v>
      </c>
      <c r="M247" s="498"/>
      <c r="N247" s="498"/>
    </row>
    <row r="248" spans="2:14">
      <c r="B248" s="291">
        <f t="shared" si="7"/>
        <v>97</v>
      </c>
      <c r="C248" s="291" t="s">
        <v>334</v>
      </c>
      <c r="D248" s="291" t="s">
        <v>343</v>
      </c>
      <c r="E248" s="291" t="s">
        <v>301</v>
      </c>
      <c r="F248" s="291"/>
      <c r="G248" s="291">
        <v>75</v>
      </c>
      <c r="H248" s="291"/>
      <c r="I248" s="607">
        <v>8.6</v>
      </c>
      <c r="J248" s="607"/>
      <c r="K248" s="498"/>
      <c r="L248" s="291">
        <f t="shared" si="6"/>
        <v>8837.6000000000022</v>
      </c>
      <c r="M248" s="498"/>
      <c r="N248" s="498"/>
    </row>
    <row r="249" spans="2:14">
      <c r="B249" s="289">
        <f t="shared" si="7"/>
        <v>98</v>
      </c>
      <c r="C249" s="289" t="s">
        <v>732</v>
      </c>
      <c r="D249" s="289" t="s">
        <v>131</v>
      </c>
      <c r="E249" s="289"/>
      <c r="F249" s="289"/>
      <c r="G249" s="289">
        <v>75</v>
      </c>
      <c r="H249" s="289"/>
      <c r="I249" s="606">
        <v>57.3</v>
      </c>
      <c r="J249" s="606"/>
      <c r="K249" s="498"/>
      <c r="L249" s="289">
        <f t="shared" si="6"/>
        <v>8894.9000000000015</v>
      </c>
      <c r="M249" s="498"/>
      <c r="N249" s="498"/>
    </row>
    <row r="250" spans="2:14">
      <c r="B250" s="289">
        <f t="shared" si="7"/>
        <v>99</v>
      </c>
      <c r="C250" s="289" t="s">
        <v>131</v>
      </c>
      <c r="D250" s="289" t="s">
        <v>731</v>
      </c>
      <c r="E250" s="289"/>
      <c r="F250" s="289"/>
      <c r="G250" s="289">
        <v>75</v>
      </c>
      <c r="H250" s="289"/>
      <c r="I250" s="606">
        <v>97.1</v>
      </c>
      <c r="J250" s="606"/>
      <c r="K250" s="498"/>
      <c r="L250" s="289">
        <f t="shared" si="6"/>
        <v>8992.0000000000018</v>
      </c>
      <c r="M250" s="498"/>
      <c r="N250" s="498"/>
    </row>
    <row r="251" spans="2:14">
      <c r="B251" s="290">
        <f t="shared" si="7"/>
        <v>100</v>
      </c>
      <c r="C251" s="290" t="s">
        <v>346</v>
      </c>
      <c r="D251" s="290" t="s">
        <v>733</v>
      </c>
      <c r="E251" s="290"/>
      <c r="F251" s="290"/>
      <c r="G251" s="290">
        <v>75</v>
      </c>
      <c r="H251" s="290"/>
      <c r="I251" s="605">
        <v>25.1</v>
      </c>
      <c r="J251" s="605"/>
      <c r="K251" s="498"/>
      <c r="L251" s="290">
        <f t="shared" si="6"/>
        <v>9017.1000000000022</v>
      </c>
      <c r="M251" s="498"/>
      <c r="N251" s="498"/>
    </row>
    <row r="252" spans="2:14">
      <c r="B252" s="290">
        <f t="shared" si="7"/>
        <v>101</v>
      </c>
      <c r="C252" s="290" t="s">
        <v>733</v>
      </c>
      <c r="D252" s="290" t="s">
        <v>538</v>
      </c>
      <c r="E252" s="290"/>
      <c r="F252" s="290"/>
      <c r="G252" s="290">
        <v>75</v>
      </c>
      <c r="H252" s="290"/>
      <c r="I252" s="605">
        <v>116.6</v>
      </c>
      <c r="J252" s="605"/>
      <c r="K252" s="498"/>
      <c r="L252" s="290">
        <f t="shared" si="6"/>
        <v>9133.7000000000025</v>
      </c>
      <c r="M252" s="498"/>
      <c r="N252" s="498"/>
    </row>
    <row r="253" spans="2:14">
      <c r="B253" s="289">
        <f t="shared" si="7"/>
        <v>102</v>
      </c>
      <c r="C253" s="289" t="s">
        <v>343</v>
      </c>
      <c r="D253" s="289" t="s">
        <v>639</v>
      </c>
      <c r="E253" s="289"/>
      <c r="F253" s="289"/>
      <c r="G253" s="292">
        <v>75</v>
      </c>
      <c r="H253" s="292"/>
      <c r="I253" s="606">
        <v>58.2</v>
      </c>
      <c r="J253" s="606"/>
      <c r="K253" s="498"/>
      <c r="L253" s="289">
        <f t="shared" si="6"/>
        <v>9191.9000000000033</v>
      </c>
      <c r="M253" s="498"/>
      <c r="N253" s="498"/>
    </row>
    <row r="254" spans="2:14">
      <c r="B254" s="289">
        <f t="shared" si="7"/>
        <v>103</v>
      </c>
      <c r="C254" s="289" t="s">
        <v>343</v>
      </c>
      <c r="D254" s="289" t="s">
        <v>386</v>
      </c>
      <c r="E254" s="289" t="s">
        <v>193</v>
      </c>
      <c r="F254" s="289"/>
      <c r="G254" s="292">
        <v>75</v>
      </c>
      <c r="H254" s="292"/>
      <c r="I254" s="606">
        <v>4.5999999999999996</v>
      </c>
      <c r="J254" s="606"/>
      <c r="K254" s="498"/>
      <c r="L254" s="289">
        <f t="shared" si="6"/>
        <v>9196.5000000000036</v>
      </c>
      <c r="M254" s="498"/>
      <c r="N254" s="498"/>
    </row>
    <row r="255" spans="2:14">
      <c r="B255" s="289">
        <f t="shared" si="7"/>
        <v>104</v>
      </c>
      <c r="C255" s="289" t="s">
        <v>343</v>
      </c>
      <c r="D255" s="289" t="s">
        <v>386</v>
      </c>
      <c r="E255" s="289"/>
      <c r="F255" s="289"/>
      <c r="G255" s="292">
        <v>75</v>
      </c>
      <c r="H255" s="292"/>
      <c r="I255" s="606">
        <v>132.19999999999999</v>
      </c>
      <c r="J255" s="606"/>
      <c r="K255" s="498"/>
      <c r="L255" s="289">
        <f t="shared" si="6"/>
        <v>9328.7000000000044</v>
      </c>
      <c r="M255" s="498"/>
      <c r="N255" s="498"/>
    </row>
    <row r="256" spans="2:14">
      <c r="B256" s="289">
        <f t="shared" si="7"/>
        <v>105</v>
      </c>
      <c r="C256" s="289" t="s">
        <v>386</v>
      </c>
      <c r="D256" s="289" t="s">
        <v>351</v>
      </c>
      <c r="E256" s="289"/>
      <c r="F256" s="289"/>
      <c r="G256" s="292">
        <v>90</v>
      </c>
      <c r="H256" s="292"/>
      <c r="I256" s="606">
        <v>167.6</v>
      </c>
      <c r="J256" s="606"/>
      <c r="K256" s="498"/>
      <c r="L256" s="289">
        <f t="shared" si="6"/>
        <v>9496.3000000000047</v>
      </c>
      <c r="M256" s="498"/>
      <c r="N256" s="498"/>
    </row>
    <row r="257" spans="2:14">
      <c r="B257" s="289">
        <f t="shared" si="7"/>
        <v>106</v>
      </c>
      <c r="C257" s="289" t="s">
        <v>351</v>
      </c>
      <c r="D257" s="289" t="s">
        <v>275</v>
      </c>
      <c r="E257" s="289" t="s">
        <v>193</v>
      </c>
      <c r="F257" s="289"/>
      <c r="G257" s="292">
        <v>90</v>
      </c>
      <c r="H257" s="292"/>
      <c r="I257" s="606">
        <v>6.6</v>
      </c>
      <c r="J257" s="606"/>
      <c r="K257" s="498"/>
      <c r="L257" s="289">
        <f t="shared" si="6"/>
        <v>9502.9000000000051</v>
      </c>
      <c r="M257" s="498"/>
      <c r="N257" s="498"/>
    </row>
    <row r="258" spans="2:14">
      <c r="B258" s="289">
        <f t="shared" si="7"/>
        <v>107</v>
      </c>
      <c r="C258" s="289" t="s">
        <v>351</v>
      </c>
      <c r="D258" s="289" t="s">
        <v>275</v>
      </c>
      <c r="E258" s="289"/>
      <c r="F258" s="289"/>
      <c r="G258" s="292">
        <v>90</v>
      </c>
      <c r="H258" s="292"/>
      <c r="I258" s="606">
        <v>54.4</v>
      </c>
      <c r="J258" s="606"/>
      <c r="K258" s="498"/>
      <c r="L258" s="289">
        <f t="shared" si="6"/>
        <v>9557.3000000000047</v>
      </c>
      <c r="M258" s="498"/>
      <c r="N258" s="498"/>
    </row>
    <row r="259" spans="2:14">
      <c r="B259" s="290">
        <f t="shared" si="7"/>
        <v>108</v>
      </c>
      <c r="C259" s="290" t="s">
        <v>275</v>
      </c>
      <c r="D259" s="290" t="s">
        <v>413</v>
      </c>
      <c r="E259" s="290"/>
      <c r="F259" s="290"/>
      <c r="G259" s="293">
        <v>90</v>
      </c>
      <c r="H259" s="293"/>
      <c r="I259" s="605">
        <v>135.30000000000001</v>
      </c>
      <c r="J259" s="605"/>
      <c r="K259" s="498"/>
      <c r="L259" s="290">
        <f t="shared" si="6"/>
        <v>9692.600000000004</v>
      </c>
      <c r="M259" s="498"/>
      <c r="N259" s="498"/>
    </row>
    <row r="260" spans="2:14">
      <c r="B260" s="290">
        <f t="shared" si="7"/>
        <v>109</v>
      </c>
      <c r="C260" s="290" t="s">
        <v>275</v>
      </c>
      <c r="D260" s="290" t="s">
        <v>538</v>
      </c>
      <c r="E260" s="290" t="s">
        <v>193</v>
      </c>
      <c r="F260" s="290"/>
      <c r="G260" s="293">
        <v>90</v>
      </c>
      <c r="H260" s="293"/>
      <c r="I260" s="605">
        <v>3</v>
      </c>
      <c r="J260" s="605"/>
      <c r="K260" s="498"/>
      <c r="L260" s="290">
        <f t="shared" si="6"/>
        <v>9695.600000000004</v>
      </c>
      <c r="M260" s="498"/>
      <c r="N260" s="498"/>
    </row>
    <row r="261" spans="2:14">
      <c r="B261" s="290">
        <f t="shared" si="7"/>
        <v>110</v>
      </c>
      <c r="C261" s="290" t="s">
        <v>275</v>
      </c>
      <c r="D261" s="290" t="s">
        <v>538</v>
      </c>
      <c r="E261" s="290"/>
      <c r="F261" s="290"/>
      <c r="G261" s="293">
        <v>90</v>
      </c>
      <c r="H261" s="293"/>
      <c r="I261" s="605">
        <f>127.1+22.7</f>
        <v>149.79999999999998</v>
      </c>
      <c r="J261" s="605"/>
      <c r="K261" s="498"/>
      <c r="L261" s="290">
        <f t="shared" si="6"/>
        <v>9845.4000000000033</v>
      </c>
      <c r="M261" s="498"/>
      <c r="N261" s="498"/>
    </row>
    <row r="262" spans="2:14">
      <c r="B262" s="290">
        <f t="shared" si="7"/>
        <v>111</v>
      </c>
      <c r="C262" s="290" t="s">
        <v>413</v>
      </c>
      <c r="D262" s="290" t="s">
        <v>412</v>
      </c>
      <c r="E262" s="290"/>
      <c r="F262" s="290"/>
      <c r="G262" s="293">
        <v>110</v>
      </c>
      <c r="H262" s="293"/>
      <c r="I262" s="605">
        <v>284.39999999999998</v>
      </c>
      <c r="J262" s="605"/>
      <c r="K262" s="498"/>
      <c r="L262" s="290">
        <f t="shared" si="6"/>
        <v>10129.800000000003</v>
      </c>
      <c r="M262" s="498"/>
      <c r="N262" s="498"/>
    </row>
    <row r="263" spans="2:14">
      <c r="B263" s="290">
        <f t="shared" si="7"/>
        <v>112</v>
      </c>
      <c r="C263" s="290" t="s">
        <v>164</v>
      </c>
      <c r="D263" s="290" t="s">
        <v>163</v>
      </c>
      <c r="E263" s="290"/>
      <c r="F263" s="290"/>
      <c r="G263" s="293">
        <v>110</v>
      </c>
      <c r="H263" s="293"/>
      <c r="I263" s="605">
        <v>2.4</v>
      </c>
      <c r="J263" s="605"/>
      <c r="K263" s="498"/>
      <c r="L263" s="290">
        <f t="shared" si="6"/>
        <v>10132.200000000003</v>
      </c>
      <c r="M263" s="498" t="s">
        <v>734</v>
      </c>
      <c r="N263" s="498"/>
    </row>
    <row r="264" spans="2:14">
      <c r="B264" s="290">
        <f t="shared" si="7"/>
        <v>113</v>
      </c>
      <c r="C264" s="290" t="s">
        <v>164</v>
      </c>
      <c r="D264" s="290" t="s">
        <v>163</v>
      </c>
      <c r="E264" s="290"/>
      <c r="F264" s="290"/>
      <c r="G264" s="290">
        <v>110</v>
      </c>
      <c r="H264" s="290"/>
      <c r="I264" s="605">
        <v>3.3</v>
      </c>
      <c r="J264" s="605"/>
      <c r="K264" s="498"/>
      <c r="L264" s="290">
        <f t="shared" si="6"/>
        <v>10135.500000000002</v>
      </c>
      <c r="M264" s="498"/>
      <c r="N264" s="498"/>
    </row>
    <row r="265" spans="2:14">
      <c r="B265" s="290">
        <f t="shared" si="7"/>
        <v>114</v>
      </c>
      <c r="C265" s="290" t="s">
        <v>164</v>
      </c>
      <c r="D265" s="290" t="s">
        <v>163</v>
      </c>
      <c r="E265" s="290"/>
      <c r="F265" s="290"/>
      <c r="G265" s="293">
        <v>110</v>
      </c>
      <c r="H265" s="293"/>
      <c r="I265" s="605">
        <v>64.8</v>
      </c>
      <c r="J265" s="605"/>
      <c r="K265" s="498"/>
      <c r="L265" s="290">
        <f t="shared" si="6"/>
        <v>10200.300000000001</v>
      </c>
      <c r="M265" s="498"/>
      <c r="N265" s="498"/>
    </row>
    <row r="266" spans="2:14">
      <c r="B266" s="131">
        <f t="shared" si="7"/>
        <v>115</v>
      </c>
      <c r="C266" s="131" t="s">
        <v>394</v>
      </c>
      <c r="D266" s="131" t="s">
        <v>267</v>
      </c>
      <c r="E266" s="131"/>
      <c r="F266" s="131"/>
      <c r="G266" s="294">
        <v>125</v>
      </c>
      <c r="H266" s="294"/>
      <c r="I266" s="604">
        <f>201.9</f>
        <v>201.9</v>
      </c>
      <c r="J266" s="604"/>
      <c r="K266" s="498"/>
      <c r="L266" s="131">
        <f t="shared" si="6"/>
        <v>10402.200000000001</v>
      </c>
      <c r="M266" s="498"/>
      <c r="N266" s="498"/>
    </row>
    <row r="267" spans="2:14">
      <c r="B267" s="131">
        <f t="shared" si="7"/>
        <v>116</v>
      </c>
      <c r="C267" s="131" t="s">
        <v>394</v>
      </c>
      <c r="D267" s="131" t="s">
        <v>248</v>
      </c>
      <c r="E267" s="131"/>
      <c r="F267" s="131"/>
      <c r="G267" s="294">
        <v>125</v>
      </c>
      <c r="H267" s="294"/>
      <c r="I267" s="604">
        <v>155.80000000000001</v>
      </c>
      <c r="J267" s="604"/>
      <c r="K267" s="498"/>
      <c r="L267" s="131">
        <f t="shared" si="6"/>
        <v>10558</v>
      </c>
      <c r="M267" s="498"/>
      <c r="N267" s="498"/>
    </row>
    <row r="268" spans="2:14">
      <c r="B268" s="131">
        <f t="shared" si="7"/>
        <v>117</v>
      </c>
      <c r="C268" s="131" t="s">
        <v>248</v>
      </c>
      <c r="D268" s="131" t="s">
        <v>285</v>
      </c>
      <c r="E268" s="131"/>
      <c r="F268" s="131"/>
      <c r="G268" s="294">
        <v>125</v>
      </c>
      <c r="H268" s="294"/>
      <c r="I268" s="604">
        <v>58.2</v>
      </c>
      <c r="J268" s="604"/>
      <c r="K268" s="498"/>
      <c r="L268" s="131">
        <f t="shared" si="6"/>
        <v>10616.2</v>
      </c>
      <c r="M268" s="498"/>
      <c r="N268" s="498"/>
    </row>
    <row r="269" spans="2:14">
      <c r="B269" s="131">
        <f t="shared" si="7"/>
        <v>118</v>
      </c>
      <c r="C269" s="131" t="s">
        <v>285</v>
      </c>
      <c r="D269" s="131" t="s">
        <v>364</v>
      </c>
      <c r="E269" s="131"/>
      <c r="F269" s="131"/>
      <c r="G269" s="294">
        <v>140</v>
      </c>
      <c r="H269" s="294"/>
      <c r="I269" s="604">
        <v>279.89999999999998</v>
      </c>
      <c r="J269" s="604"/>
      <c r="K269" s="498"/>
      <c r="L269" s="131">
        <f t="shared" si="6"/>
        <v>10896.1</v>
      </c>
      <c r="M269" s="498"/>
      <c r="N269" s="498"/>
    </row>
    <row r="270" spans="2:14">
      <c r="B270" s="131">
        <f t="shared" si="7"/>
        <v>119</v>
      </c>
      <c r="C270" s="131" t="s">
        <v>364</v>
      </c>
      <c r="D270" s="131" t="s">
        <v>357</v>
      </c>
      <c r="E270" s="131" t="s">
        <v>730</v>
      </c>
      <c r="F270" s="131"/>
      <c r="G270" s="294">
        <v>160</v>
      </c>
      <c r="H270" s="294"/>
      <c r="I270" s="604">
        <v>4.4000000000000004</v>
      </c>
      <c r="J270" s="604"/>
      <c r="K270" s="498"/>
      <c r="L270" s="131">
        <f t="shared" si="6"/>
        <v>10900.5</v>
      </c>
      <c r="M270" s="498"/>
      <c r="N270" s="498"/>
    </row>
    <row r="271" spans="2:14">
      <c r="B271" s="131">
        <f t="shared" si="7"/>
        <v>120</v>
      </c>
      <c r="C271" s="131" t="s">
        <v>364</v>
      </c>
      <c r="D271" s="131" t="s">
        <v>357</v>
      </c>
      <c r="E271" s="131"/>
      <c r="F271" s="131"/>
      <c r="G271" s="294">
        <v>160</v>
      </c>
      <c r="H271" s="294"/>
      <c r="I271" s="604">
        <f>171.8-4.4</f>
        <v>167.4</v>
      </c>
      <c r="J271" s="604"/>
      <c r="K271" s="498"/>
      <c r="L271" s="131">
        <f t="shared" si="6"/>
        <v>11067.9</v>
      </c>
      <c r="M271" s="498"/>
      <c r="N271" s="498"/>
    </row>
    <row r="272" spans="2:14">
      <c r="B272" s="131">
        <f t="shared" si="7"/>
        <v>121</v>
      </c>
      <c r="C272" s="131" t="s">
        <v>357</v>
      </c>
      <c r="D272" s="131" t="s">
        <v>283</v>
      </c>
      <c r="E272" s="131"/>
      <c r="F272" s="131"/>
      <c r="G272" s="294">
        <v>160</v>
      </c>
      <c r="H272" s="294"/>
      <c r="I272" s="604">
        <v>7.9</v>
      </c>
      <c r="J272" s="604"/>
      <c r="K272" s="498"/>
      <c r="L272" s="131">
        <f t="shared" si="6"/>
        <v>11075.8</v>
      </c>
      <c r="M272" s="498"/>
      <c r="N272" s="498"/>
    </row>
  </sheetData>
  <autoFilter ref="C4:D136"/>
  <mergeCells count="544">
    <mergeCell ref="B3:N3"/>
    <mergeCell ref="I4:K4"/>
    <mergeCell ref="M4:N4"/>
    <mergeCell ref="I5:K5"/>
    <mergeCell ref="M5:N5"/>
    <mergeCell ref="I6:K6"/>
    <mergeCell ref="M6:N6"/>
    <mergeCell ref="I7:K7"/>
    <mergeCell ref="M7:N7"/>
    <mergeCell ref="I8:K8"/>
    <mergeCell ref="M8:N8"/>
    <mergeCell ref="I9:K9"/>
    <mergeCell ref="M9:N9"/>
    <mergeCell ref="I10:K10"/>
    <mergeCell ref="M10:N10"/>
    <mergeCell ref="I11:K11"/>
    <mergeCell ref="M11:N11"/>
    <mergeCell ref="I12:K12"/>
    <mergeCell ref="M12:N12"/>
    <mergeCell ref="I13:K13"/>
    <mergeCell ref="M13:N13"/>
    <mergeCell ref="I14:K14"/>
    <mergeCell ref="M14:N14"/>
    <mergeCell ref="I15:K15"/>
    <mergeCell ref="M15:N15"/>
    <mergeCell ref="I16:K16"/>
    <mergeCell ref="M16:N16"/>
    <mergeCell ref="I17:K17"/>
    <mergeCell ref="M17:N17"/>
    <mergeCell ref="I18:K18"/>
    <mergeCell ref="M18:N18"/>
    <mergeCell ref="I19:K19"/>
    <mergeCell ref="M19:N19"/>
    <mergeCell ref="I20:K20"/>
    <mergeCell ref="M20:N20"/>
    <mergeCell ref="I21:K21"/>
    <mergeCell ref="M21:N21"/>
    <mergeCell ref="I22:K22"/>
    <mergeCell ref="M22:N22"/>
    <mergeCell ref="I23:K23"/>
    <mergeCell ref="M23:N23"/>
    <mergeCell ref="I24:K24"/>
    <mergeCell ref="M24:N24"/>
    <mergeCell ref="I25:J25"/>
    <mergeCell ref="M25:N25"/>
    <mergeCell ref="I26:K26"/>
    <mergeCell ref="M26:N26"/>
    <mergeCell ref="I27:K27"/>
    <mergeCell ref="M27:N27"/>
    <mergeCell ref="I28:K28"/>
    <mergeCell ref="M28:N28"/>
    <mergeCell ref="I29:K29"/>
    <mergeCell ref="M29:N29"/>
    <mergeCell ref="I30:K30"/>
    <mergeCell ref="M30:N30"/>
    <mergeCell ref="I31:K31"/>
    <mergeCell ref="M31:N31"/>
    <mergeCell ref="I32:K32"/>
    <mergeCell ref="M32:N32"/>
    <mergeCell ref="I33:K33"/>
    <mergeCell ref="M33:N33"/>
    <mergeCell ref="I34:K34"/>
    <mergeCell ref="M34:N34"/>
    <mergeCell ref="I35:K35"/>
    <mergeCell ref="M35:N35"/>
    <mergeCell ref="I36:K36"/>
    <mergeCell ref="M36:N36"/>
    <mergeCell ref="I37:K37"/>
    <mergeCell ref="M37:N37"/>
    <mergeCell ref="I38:K38"/>
    <mergeCell ref="M38:N38"/>
    <mergeCell ref="I39:K39"/>
    <mergeCell ref="M39:N39"/>
    <mergeCell ref="I40:K40"/>
    <mergeCell ref="M40:N40"/>
    <mergeCell ref="I41:K41"/>
    <mergeCell ref="M41:N41"/>
    <mergeCell ref="I42:K42"/>
    <mergeCell ref="M42:N42"/>
    <mergeCell ref="I43:K43"/>
    <mergeCell ref="M43:N43"/>
    <mergeCell ref="I44:K44"/>
    <mergeCell ref="M44:N44"/>
    <mergeCell ref="I45:K45"/>
    <mergeCell ref="M45:N45"/>
    <mergeCell ref="I46:K46"/>
    <mergeCell ref="M46:N46"/>
    <mergeCell ref="Q46:S46"/>
    <mergeCell ref="I47:K47"/>
    <mergeCell ref="M47:N47"/>
    <mergeCell ref="I48:K48"/>
    <mergeCell ref="M48:N48"/>
    <mergeCell ref="I49:K49"/>
    <mergeCell ref="M49:N49"/>
    <mergeCell ref="I50:K50"/>
    <mergeCell ref="M50:N50"/>
    <mergeCell ref="I51:K51"/>
    <mergeCell ref="M51:N51"/>
    <mergeCell ref="I52:K52"/>
    <mergeCell ref="M52:N52"/>
    <mergeCell ref="I53:K53"/>
    <mergeCell ref="M53:N53"/>
    <mergeCell ref="I54:K54"/>
    <mergeCell ref="M54:N54"/>
    <mergeCell ref="I55:K55"/>
    <mergeCell ref="M55:N55"/>
    <mergeCell ref="I56:K56"/>
    <mergeCell ref="M56:N56"/>
    <mergeCell ref="I57:K57"/>
    <mergeCell ref="M57:N57"/>
    <mergeCell ref="I58:K58"/>
    <mergeCell ref="M58:N58"/>
    <mergeCell ref="I59:K59"/>
    <mergeCell ref="M59:N59"/>
    <mergeCell ref="I60:K60"/>
    <mergeCell ref="M60:N60"/>
    <mergeCell ref="I61:K61"/>
    <mergeCell ref="M61:N61"/>
    <mergeCell ref="I62:K62"/>
    <mergeCell ref="M62:N62"/>
    <mergeCell ref="I63:K63"/>
    <mergeCell ref="M63:N63"/>
    <mergeCell ref="I64:K64"/>
    <mergeCell ref="M64:N64"/>
    <mergeCell ref="I65:K65"/>
    <mergeCell ref="M65:N65"/>
    <mergeCell ref="I66:K66"/>
    <mergeCell ref="M66:N66"/>
    <mergeCell ref="I67:K67"/>
    <mergeCell ref="M67:N67"/>
    <mergeCell ref="I68:K68"/>
    <mergeCell ref="M68:N68"/>
    <mergeCell ref="I69:K69"/>
    <mergeCell ref="M69:N69"/>
    <mergeCell ref="I70:K70"/>
    <mergeCell ref="M70:N70"/>
    <mergeCell ref="I71:K71"/>
    <mergeCell ref="M71:N71"/>
    <mergeCell ref="I72:J72"/>
    <mergeCell ref="M72:N72"/>
    <mergeCell ref="I73:K73"/>
    <mergeCell ref="M73:N73"/>
    <mergeCell ref="S73:U73"/>
    <mergeCell ref="I74:K74"/>
    <mergeCell ref="M74:N74"/>
    <mergeCell ref="I75:K75"/>
    <mergeCell ref="M75:N75"/>
    <mergeCell ref="I76:K76"/>
    <mergeCell ref="M76:N76"/>
    <mergeCell ref="I77:K77"/>
    <mergeCell ref="M77:N77"/>
    <mergeCell ref="I78:K78"/>
    <mergeCell ref="M78:N78"/>
    <mergeCell ref="I79:K79"/>
    <mergeCell ref="M79:N79"/>
    <mergeCell ref="P79:R79"/>
    <mergeCell ref="I80:K80"/>
    <mergeCell ref="M80:N80"/>
    <mergeCell ref="P80:Q80"/>
    <mergeCell ref="I81:K81"/>
    <mergeCell ref="M81:N81"/>
    <mergeCell ref="P81:Q81"/>
    <mergeCell ref="I82:K82"/>
    <mergeCell ref="M82:N82"/>
    <mergeCell ref="P82:Q82"/>
    <mergeCell ref="I83:K83"/>
    <mergeCell ref="M83:N83"/>
    <mergeCell ref="P83:Q83"/>
    <mergeCell ref="I84:K84"/>
    <mergeCell ref="M84:N84"/>
    <mergeCell ref="P84:Q84"/>
    <mergeCell ref="I85:K85"/>
    <mergeCell ref="M85:N85"/>
    <mergeCell ref="P85:Q85"/>
    <mergeCell ref="I86:K86"/>
    <mergeCell ref="M86:N86"/>
    <mergeCell ref="P86:Q86"/>
    <mergeCell ref="I87:K87"/>
    <mergeCell ref="M87:N87"/>
    <mergeCell ref="P87:Q87"/>
    <mergeCell ref="I88:K88"/>
    <mergeCell ref="M88:N88"/>
    <mergeCell ref="P88:Q88"/>
    <mergeCell ref="I89:K89"/>
    <mergeCell ref="M89:N89"/>
    <mergeCell ref="P89:Q89"/>
    <mergeCell ref="I90:K90"/>
    <mergeCell ref="M90:N90"/>
    <mergeCell ref="P90:Q90"/>
    <mergeCell ref="I91:K91"/>
    <mergeCell ref="M91:N91"/>
    <mergeCell ref="P91:Q91"/>
    <mergeCell ref="I92:K92"/>
    <mergeCell ref="M92:N92"/>
    <mergeCell ref="P92:Q92"/>
    <mergeCell ref="I93:K93"/>
    <mergeCell ref="M93:N93"/>
    <mergeCell ref="P93:Q93"/>
    <mergeCell ref="I94:K94"/>
    <mergeCell ref="M94:N94"/>
    <mergeCell ref="I95:K95"/>
    <mergeCell ref="M95:N95"/>
    <mergeCell ref="S95:U95"/>
    <mergeCell ref="I96:K96"/>
    <mergeCell ref="M96:N96"/>
    <mergeCell ref="P96:Q96"/>
    <mergeCell ref="I97:K97"/>
    <mergeCell ref="M97:N97"/>
    <mergeCell ref="P97:Q97"/>
    <mergeCell ref="I98:K98"/>
    <mergeCell ref="M98:N98"/>
    <mergeCell ref="I99:K99"/>
    <mergeCell ref="M99:N99"/>
    <mergeCell ref="P99:Q99"/>
    <mergeCell ref="I100:J100"/>
    <mergeCell ref="M100:N100"/>
    <mergeCell ref="I101:K101"/>
    <mergeCell ref="M101:N101"/>
    <mergeCell ref="P101:Q101"/>
    <mergeCell ref="I102:K102"/>
    <mergeCell ref="M102:N102"/>
    <mergeCell ref="I103:K103"/>
    <mergeCell ref="M103:N103"/>
    <mergeCell ref="I104:K104"/>
    <mergeCell ref="M104:N104"/>
    <mergeCell ref="I105:K105"/>
    <mergeCell ref="M105:N105"/>
    <mergeCell ref="I106:K106"/>
    <mergeCell ref="M106:N106"/>
    <mergeCell ref="I107:K107"/>
    <mergeCell ref="M107:N107"/>
    <mergeCell ref="I108:K108"/>
    <mergeCell ref="M108:N108"/>
    <mergeCell ref="P108:Q108"/>
    <mergeCell ref="I109:K109"/>
    <mergeCell ref="M109:N109"/>
    <mergeCell ref="I110:K110"/>
    <mergeCell ref="M110:N110"/>
    <mergeCell ref="I111:K111"/>
    <mergeCell ref="M111:N111"/>
    <mergeCell ref="I112:K112"/>
    <mergeCell ref="M112:N112"/>
    <mergeCell ref="I113:K113"/>
    <mergeCell ref="M113:N113"/>
    <mergeCell ref="I114:K114"/>
    <mergeCell ref="M114:N114"/>
    <mergeCell ref="I115:K115"/>
    <mergeCell ref="M115:N115"/>
    <mergeCell ref="I116:K116"/>
    <mergeCell ref="M116:N116"/>
    <mergeCell ref="I117:K117"/>
    <mergeCell ref="M117:N117"/>
    <mergeCell ref="I118:K118"/>
    <mergeCell ref="M118:N118"/>
    <mergeCell ref="I119:K119"/>
    <mergeCell ref="M119:N119"/>
    <mergeCell ref="I120:K120"/>
    <mergeCell ref="M120:N120"/>
    <mergeCell ref="I121:K121"/>
    <mergeCell ref="M121:N121"/>
    <mergeCell ref="I122:K122"/>
    <mergeCell ref="M122:N122"/>
    <mergeCell ref="I123:K123"/>
    <mergeCell ref="M123:N123"/>
    <mergeCell ref="I124:K124"/>
    <mergeCell ref="M124:N124"/>
    <mergeCell ref="I125:K125"/>
    <mergeCell ref="M125:N125"/>
    <mergeCell ref="I126:K126"/>
    <mergeCell ref="M126:N126"/>
    <mergeCell ref="I127:K127"/>
    <mergeCell ref="M127:N127"/>
    <mergeCell ref="I128:K128"/>
    <mergeCell ref="M128:N128"/>
    <mergeCell ref="I129:K129"/>
    <mergeCell ref="M129:N129"/>
    <mergeCell ref="G130:K130"/>
    <mergeCell ref="G131:K131"/>
    <mergeCell ref="G132:J132"/>
    <mergeCell ref="F133:K133"/>
    <mergeCell ref="G134:K134"/>
    <mergeCell ref="M134:O134"/>
    <mergeCell ref="C135:E135"/>
    <mergeCell ref="G135:K135"/>
    <mergeCell ref="M135:O135"/>
    <mergeCell ref="G136:K136"/>
    <mergeCell ref="M136:O136"/>
    <mergeCell ref="I137:K137"/>
    <mergeCell ref="I138:K138"/>
    <mergeCell ref="I140:K140"/>
    <mergeCell ref="I141:K141"/>
    <mergeCell ref="I142:K142"/>
    <mergeCell ref="I143:K143"/>
    <mergeCell ref="I144:K144"/>
    <mergeCell ref="I145:K145"/>
    <mergeCell ref="I146:K146"/>
    <mergeCell ref="I147:K147"/>
    <mergeCell ref="I148:K148"/>
    <mergeCell ref="I149:K149"/>
    <mergeCell ref="B150:N150"/>
    <mergeCell ref="I151:K151"/>
    <mergeCell ref="M151:N151"/>
    <mergeCell ref="I152:K152"/>
    <mergeCell ref="M152:N152"/>
    <mergeCell ref="I153:K153"/>
    <mergeCell ref="M153:N153"/>
    <mergeCell ref="I154:K154"/>
    <mergeCell ref="M154:N154"/>
    <mergeCell ref="I155:K155"/>
    <mergeCell ref="M155:N155"/>
    <mergeCell ref="I156:K156"/>
    <mergeCell ref="M156:N156"/>
    <mergeCell ref="I157:K157"/>
    <mergeCell ref="M157:N157"/>
    <mergeCell ref="I158:K158"/>
    <mergeCell ref="M158:N158"/>
    <mergeCell ref="I159:K159"/>
    <mergeCell ref="M159:N159"/>
    <mergeCell ref="I160:K160"/>
    <mergeCell ref="M160:N160"/>
    <mergeCell ref="I161:K161"/>
    <mergeCell ref="M161:N161"/>
    <mergeCell ref="I162:K162"/>
    <mergeCell ref="M162:N162"/>
    <mergeCell ref="I163:K163"/>
    <mergeCell ref="M163:N163"/>
    <mergeCell ref="I164:K164"/>
    <mergeCell ref="M164:N164"/>
    <mergeCell ref="I165:K165"/>
    <mergeCell ref="M165:N165"/>
    <mergeCell ref="I166:K166"/>
    <mergeCell ref="M166:N166"/>
    <mergeCell ref="I167:K167"/>
    <mergeCell ref="M167:N167"/>
    <mergeCell ref="I168:K168"/>
    <mergeCell ref="M168:N168"/>
    <mergeCell ref="I169:K169"/>
    <mergeCell ref="M169:N169"/>
    <mergeCell ref="I170:K170"/>
    <mergeCell ref="M170:N170"/>
    <mergeCell ref="I171:K171"/>
    <mergeCell ref="M171:N171"/>
    <mergeCell ref="I172:K172"/>
    <mergeCell ref="M172:N172"/>
    <mergeCell ref="I173:K173"/>
    <mergeCell ref="M173:N173"/>
    <mergeCell ref="I174:K174"/>
    <mergeCell ref="M174:N174"/>
    <mergeCell ref="I175:K175"/>
    <mergeCell ref="M175:N175"/>
    <mergeCell ref="I176:K176"/>
    <mergeCell ref="M176:N176"/>
    <mergeCell ref="I177:K177"/>
    <mergeCell ref="M177:N177"/>
    <mergeCell ref="I178:K178"/>
    <mergeCell ref="M178:N178"/>
    <mergeCell ref="I179:K179"/>
    <mergeCell ref="M179:N179"/>
    <mergeCell ref="I180:K180"/>
    <mergeCell ref="M180:N180"/>
    <mergeCell ref="I181:K181"/>
    <mergeCell ref="M181:N181"/>
    <mergeCell ref="I182:K182"/>
    <mergeCell ref="M182:N182"/>
    <mergeCell ref="I183:K183"/>
    <mergeCell ref="M183:N183"/>
    <mergeCell ref="I184:K184"/>
    <mergeCell ref="M184:N184"/>
    <mergeCell ref="I185:K185"/>
    <mergeCell ref="M185:N185"/>
    <mergeCell ref="I186:K186"/>
    <mergeCell ref="M186:N186"/>
    <mergeCell ref="I187:K187"/>
    <mergeCell ref="M187:N187"/>
    <mergeCell ref="I188:K188"/>
    <mergeCell ref="M188:N188"/>
    <mergeCell ref="I189:K189"/>
    <mergeCell ref="M189:N189"/>
    <mergeCell ref="I190:K190"/>
    <mergeCell ref="M190:N190"/>
    <mergeCell ref="I191:K191"/>
    <mergeCell ref="M191:N191"/>
    <mergeCell ref="I192:K192"/>
    <mergeCell ref="M192:N192"/>
    <mergeCell ref="I193:K193"/>
    <mergeCell ref="M193:N193"/>
    <mergeCell ref="I194:K194"/>
    <mergeCell ref="M194:N194"/>
    <mergeCell ref="I195:K195"/>
    <mergeCell ref="M195:N195"/>
    <mergeCell ref="I196:K196"/>
    <mergeCell ref="M196:N196"/>
    <mergeCell ref="I197:K197"/>
    <mergeCell ref="M197:N197"/>
    <mergeCell ref="I198:K198"/>
    <mergeCell ref="M198:N198"/>
    <mergeCell ref="I199:K199"/>
    <mergeCell ref="M199:N199"/>
    <mergeCell ref="I200:K200"/>
    <mergeCell ref="M200:N200"/>
    <mergeCell ref="I201:K201"/>
    <mergeCell ref="M201:N201"/>
    <mergeCell ref="I202:K202"/>
    <mergeCell ref="M202:N202"/>
    <mergeCell ref="I203:K203"/>
    <mergeCell ref="M203:N203"/>
    <mergeCell ref="I204:K204"/>
    <mergeCell ref="M204:N204"/>
    <mergeCell ref="I205:K205"/>
    <mergeCell ref="M205:N205"/>
    <mergeCell ref="I206:K206"/>
    <mergeCell ref="M206:N206"/>
    <mergeCell ref="I207:K207"/>
    <mergeCell ref="M207:N207"/>
    <mergeCell ref="I208:K208"/>
    <mergeCell ref="M208:N208"/>
    <mergeCell ref="I209:K209"/>
    <mergeCell ref="M209:N209"/>
    <mergeCell ref="I210:K210"/>
    <mergeCell ref="M210:N210"/>
    <mergeCell ref="I211:K211"/>
    <mergeCell ref="M211:N211"/>
    <mergeCell ref="I212:K212"/>
    <mergeCell ref="M212:N212"/>
    <mergeCell ref="I213:K213"/>
    <mergeCell ref="M213:N213"/>
    <mergeCell ref="I214:K214"/>
    <mergeCell ref="M214:N214"/>
    <mergeCell ref="I215:K215"/>
    <mergeCell ref="M215:N215"/>
    <mergeCell ref="I216:K216"/>
    <mergeCell ref="M216:N216"/>
    <mergeCell ref="I217:K217"/>
    <mergeCell ref="M217:N217"/>
    <mergeCell ref="I218:K218"/>
    <mergeCell ref="M218:N218"/>
    <mergeCell ref="I219:K219"/>
    <mergeCell ref="M219:N219"/>
    <mergeCell ref="I220:K220"/>
    <mergeCell ref="M220:N220"/>
    <mergeCell ref="I221:K221"/>
    <mergeCell ref="M221:N221"/>
    <mergeCell ref="I222:K222"/>
    <mergeCell ref="M222:N222"/>
    <mergeCell ref="I223:K223"/>
    <mergeCell ref="M223:N223"/>
    <mergeCell ref="I224:K224"/>
    <mergeCell ref="M224:N224"/>
    <mergeCell ref="I225:K225"/>
    <mergeCell ref="M225:N225"/>
    <mergeCell ref="I226:K226"/>
    <mergeCell ref="M226:N226"/>
    <mergeCell ref="I227:K227"/>
    <mergeCell ref="M227:N227"/>
    <mergeCell ref="I228:K228"/>
    <mergeCell ref="M228:N228"/>
    <mergeCell ref="I229:K229"/>
    <mergeCell ref="M229:N229"/>
    <mergeCell ref="I230:K230"/>
    <mergeCell ref="M230:N230"/>
    <mergeCell ref="I231:K231"/>
    <mergeCell ref="M231:N231"/>
    <mergeCell ref="I232:K232"/>
    <mergeCell ref="M232:N232"/>
    <mergeCell ref="I233:K233"/>
    <mergeCell ref="M233:N233"/>
    <mergeCell ref="I234:K234"/>
    <mergeCell ref="M234:N234"/>
    <mergeCell ref="I235:K235"/>
    <mergeCell ref="M235:N235"/>
    <mergeCell ref="I236:K236"/>
    <mergeCell ref="M236:N236"/>
    <mergeCell ref="I237:K237"/>
    <mergeCell ref="M237:N237"/>
    <mergeCell ref="I238:K238"/>
    <mergeCell ref="M238:N238"/>
    <mergeCell ref="I239:K239"/>
    <mergeCell ref="M239:N239"/>
    <mergeCell ref="I240:K240"/>
    <mergeCell ref="M240:N240"/>
    <mergeCell ref="I241:K241"/>
    <mergeCell ref="M241:N241"/>
    <mergeCell ref="I242:K242"/>
    <mergeCell ref="M242:N242"/>
    <mergeCell ref="I243:K243"/>
    <mergeCell ref="M243:N243"/>
    <mergeCell ref="I244:K244"/>
    <mergeCell ref="M244:N244"/>
    <mergeCell ref="I245:K245"/>
    <mergeCell ref="M245:N245"/>
    <mergeCell ref="I246:K246"/>
    <mergeCell ref="M246:N246"/>
    <mergeCell ref="I247:K247"/>
    <mergeCell ref="M247:N247"/>
    <mergeCell ref="I248:K248"/>
    <mergeCell ref="M248:N248"/>
    <mergeCell ref="I249:K249"/>
    <mergeCell ref="M249:N249"/>
    <mergeCell ref="I250:K250"/>
    <mergeCell ref="M250:N250"/>
    <mergeCell ref="I251:K251"/>
    <mergeCell ref="M251:N251"/>
    <mergeCell ref="I252:K252"/>
    <mergeCell ref="M252:N252"/>
    <mergeCell ref="I253:K253"/>
    <mergeCell ref="M253:N253"/>
    <mergeCell ref="I254:K254"/>
    <mergeCell ref="M254:N254"/>
    <mergeCell ref="I255:K255"/>
    <mergeCell ref="M255:N255"/>
    <mergeCell ref="I256:K256"/>
    <mergeCell ref="M256:N256"/>
    <mergeCell ref="I257:K257"/>
    <mergeCell ref="M257:N257"/>
    <mergeCell ref="I258:K258"/>
    <mergeCell ref="M258:N258"/>
    <mergeCell ref="I259:K259"/>
    <mergeCell ref="M259:N259"/>
    <mergeCell ref="I260:K260"/>
    <mergeCell ref="M260:N260"/>
    <mergeCell ref="I261:K261"/>
    <mergeCell ref="M261:N261"/>
    <mergeCell ref="I262:K262"/>
    <mergeCell ref="M262:N262"/>
    <mergeCell ref="I263:K263"/>
    <mergeCell ref="M263:N263"/>
    <mergeCell ref="I269:K269"/>
    <mergeCell ref="M269:N269"/>
    <mergeCell ref="I270:K270"/>
    <mergeCell ref="M270:N270"/>
    <mergeCell ref="I271:K271"/>
    <mergeCell ref="M271:N271"/>
    <mergeCell ref="I272:K272"/>
    <mergeCell ref="M272:N272"/>
    <mergeCell ref="I264:K264"/>
    <mergeCell ref="M264:N264"/>
    <mergeCell ref="I265:K265"/>
    <mergeCell ref="M265:N265"/>
    <mergeCell ref="I266:K266"/>
    <mergeCell ref="M266:N266"/>
    <mergeCell ref="I267:K267"/>
    <mergeCell ref="M267:N267"/>
    <mergeCell ref="I268:K268"/>
    <mergeCell ref="M268:N268"/>
  </mergeCells>
  <pageMargins left="0.25" right="0.25" top="0.4" bottom="0.2" header="0.3" footer="0.3"/>
  <pageSetup paperSize="9" scale="97" fitToHeight="0" orientation="landscape" horizontalDpi="300" verticalDpi="300"/>
  <rowBreaks count="4" manualBreakCount="4">
    <brk id="38" max="14" man="1"/>
    <brk id="77" max="14" man="1"/>
    <brk id="116" max="14" man="1"/>
    <brk id="138" max="14" man="1"/>
  </rowBreaks>
  <colBreaks count="1" manualBreakCount="1">
    <brk id="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2" zoomScaleNormal="82" workbookViewId="0"/>
  </sheetViews>
  <sheetFormatPr defaultColWidth="10.28515625" defaultRowHeight="1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G242"/>
  <sheetViews>
    <sheetView zoomScale="85" zoomScaleNormal="85" workbookViewId="0">
      <selection activeCell="H8" sqref="H8:H75"/>
    </sheetView>
  </sheetViews>
  <sheetFormatPr defaultColWidth="9" defaultRowHeight="15"/>
  <cols>
    <col min="1" max="1" width="15.5703125" customWidth="1"/>
    <col min="2" max="2" width="7" hidden="1" customWidth="1"/>
    <col min="3" max="3" width="12.42578125" customWidth="1"/>
    <col min="4" max="4" width="15.7109375" customWidth="1"/>
    <col min="5" max="5" width="15.28515625" customWidth="1"/>
    <col min="6" max="6" width="23.5703125" customWidth="1"/>
    <col min="7" max="7" width="11.7109375" customWidth="1"/>
    <col min="8" max="8" width="21.28515625" customWidth="1"/>
    <col min="9" max="14" width="9.7109375" customWidth="1"/>
    <col min="15" max="16" width="9" customWidth="1"/>
    <col min="17" max="17" width="16" customWidth="1"/>
    <col min="18" max="18" width="10" customWidth="1"/>
    <col min="19" max="19" width="10.28515625" customWidth="1"/>
    <col min="20" max="20" width="25.140625" customWidth="1"/>
    <col min="21" max="21" width="38.7109375" customWidth="1"/>
    <col min="22" max="23" width="18.42578125" customWidth="1"/>
    <col min="24" max="24" width="15.28515625" customWidth="1"/>
    <col min="28" max="28" width="11" customWidth="1"/>
    <col min="31" max="31" width="13.5703125" customWidth="1"/>
    <col min="32" max="32" width="16.140625" customWidth="1"/>
  </cols>
  <sheetData>
    <row r="1" spans="1:32" ht="15" customHeight="1">
      <c r="A1" s="623" t="s">
        <v>742</v>
      </c>
      <c r="B1" s="624"/>
      <c r="C1" s="624"/>
      <c r="D1" s="624"/>
      <c r="E1" s="624"/>
      <c r="F1" s="624"/>
      <c r="G1" s="624"/>
      <c r="H1" s="624"/>
      <c r="I1" s="624"/>
      <c r="J1" s="624"/>
      <c r="K1" s="624"/>
      <c r="L1" s="624"/>
      <c r="M1" s="624"/>
      <c r="N1" s="624"/>
      <c r="O1" s="624"/>
      <c r="P1" s="624"/>
      <c r="Q1" s="624"/>
      <c r="R1" s="212"/>
      <c r="S1" s="212"/>
      <c r="T1" s="212"/>
      <c r="U1" s="212"/>
      <c r="V1" s="212"/>
      <c r="W1" s="213"/>
    </row>
    <row r="2" spans="1:32" ht="15" customHeight="1">
      <c r="A2" s="625"/>
      <c r="B2" s="626"/>
      <c r="C2" s="626"/>
      <c r="D2" s="626"/>
      <c r="E2" s="626"/>
      <c r="F2" s="626"/>
      <c r="G2" s="626"/>
      <c r="H2" s="626"/>
      <c r="I2" s="626"/>
      <c r="J2" s="626"/>
      <c r="K2" s="626"/>
      <c r="L2" s="626"/>
      <c r="M2" s="626"/>
      <c r="N2" s="626"/>
      <c r="O2" s="626"/>
      <c r="P2" s="626"/>
      <c r="Q2" s="626"/>
      <c r="R2" s="213"/>
      <c r="S2" s="213"/>
      <c r="T2" s="213"/>
      <c r="U2" s="213"/>
      <c r="V2" s="213"/>
      <c r="W2" s="213"/>
    </row>
    <row r="3" spans="1:32" ht="18" customHeight="1">
      <c r="A3" s="627"/>
      <c r="B3" s="628"/>
      <c r="C3" s="628"/>
      <c r="D3" s="628"/>
      <c r="E3" s="628"/>
      <c r="F3" s="628"/>
      <c r="G3" s="628"/>
      <c r="H3" s="628"/>
      <c r="I3" s="628"/>
      <c r="J3" s="628"/>
      <c r="K3" s="628"/>
      <c r="L3" s="628"/>
      <c r="M3" s="628"/>
      <c r="N3" s="628"/>
      <c r="O3" s="628"/>
      <c r="P3" s="628"/>
      <c r="Q3" s="628"/>
      <c r="R3" s="214"/>
      <c r="S3" s="214"/>
      <c r="T3" s="214"/>
      <c r="U3" s="214"/>
      <c r="V3" s="214"/>
      <c r="W3" s="213"/>
    </row>
    <row r="4" spans="1:32" ht="33.75" customHeight="1">
      <c r="A4" s="630" t="s">
        <v>448</v>
      </c>
      <c r="B4" s="210" t="s">
        <v>743</v>
      </c>
      <c r="C4" s="632" t="s">
        <v>180</v>
      </c>
      <c r="D4" s="632" t="s">
        <v>13</v>
      </c>
      <c r="E4" s="632" t="s">
        <v>181</v>
      </c>
      <c r="F4" s="634" t="s">
        <v>449</v>
      </c>
      <c r="G4" s="632" t="s">
        <v>744</v>
      </c>
      <c r="H4" s="632" t="s">
        <v>184</v>
      </c>
      <c r="I4" s="211"/>
      <c r="J4" s="211"/>
      <c r="K4" s="211"/>
      <c r="L4" s="211"/>
      <c r="M4" s="211"/>
      <c r="N4" s="211"/>
      <c r="O4" s="211"/>
      <c r="P4" s="211"/>
      <c r="Q4" s="632" t="s">
        <v>745</v>
      </c>
      <c r="R4" s="215" t="s">
        <v>746</v>
      </c>
      <c r="S4" s="215" t="s">
        <v>747</v>
      </c>
      <c r="T4" s="215" t="s">
        <v>748</v>
      </c>
      <c r="U4" s="215" t="s">
        <v>749</v>
      </c>
      <c r="V4" s="216" t="s">
        <v>750</v>
      </c>
      <c r="W4" s="186"/>
    </row>
    <row r="5" spans="1:32" ht="18.75" customHeight="1">
      <c r="A5" s="631"/>
      <c r="B5" s="210"/>
      <c r="C5" s="633"/>
      <c r="D5" s="633"/>
      <c r="E5" s="633"/>
      <c r="F5" s="635"/>
      <c r="G5" s="633"/>
      <c r="H5" s="633"/>
      <c r="I5" s="210" t="s">
        <v>751</v>
      </c>
      <c r="J5" s="210" t="s">
        <v>752</v>
      </c>
      <c r="K5" s="210" t="s">
        <v>753</v>
      </c>
      <c r="L5" s="210" t="s">
        <v>754</v>
      </c>
      <c r="M5" s="210" t="s">
        <v>755</v>
      </c>
      <c r="N5" s="210" t="s">
        <v>756</v>
      </c>
      <c r="O5" s="210"/>
      <c r="P5" s="210"/>
      <c r="Q5" s="633"/>
      <c r="R5" s="217"/>
      <c r="S5" s="217"/>
      <c r="T5" s="217"/>
      <c r="U5" s="217"/>
      <c r="V5" s="218"/>
      <c r="W5" s="186"/>
      <c r="X5" s="219" t="s">
        <v>757</v>
      </c>
      <c r="Y5" s="225" t="s">
        <v>758</v>
      </c>
      <c r="Z5" s="225" t="s">
        <v>751</v>
      </c>
      <c r="AA5" s="225" t="s">
        <v>752</v>
      </c>
      <c r="AB5" s="225" t="s">
        <v>753</v>
      </c>
      <c r="AC5" s="225" t="s">
        <v>754</v>
      </c>
      <c r="AD5" s="225" t="s">
        <v>755</v>
      </c>
      <c r="AE5" s="225" t="s">
        <v>756</v>
      </c>
      <c r="AF5" s="225" t="s">
        <v>759</v>
      </c>
    </row>
    <row r="6" spans="1:32" ht="18.75" hidden="1">
      <c r="A6" s="19">
        <v>1</v>
      </c>
      <c r="B6" s="19"/>
      <c r="C6" s="19" t="s">
        <v>595</v>
      </c>
      <c r="D6" s="19" t="s">
        <v>259</v>
      </c>
      <c r="E6" s="19" t="s">
        <v>769</v>
      </c>
      <c r="F6" s="20"/>
      <c r="G6" s="19">
        <v>63</v>
      </c>
      <c r="H6" s="19">
        <v>197</v>
      </c>
      <c r="I6" s="19"/>
      <c r="J6" s="19"/>
      <c r="K6" s="19"/>
      <c r="L6" s="19"/>
      <c r="M6" s="19"/>
      <c r="N6" s="19"/>
      <c r="O6" s="19"/>
      <c r="P6" s="19"/>
      <c r="Q6" s="19">
        <f>+H6</f>
        <v>197</v>
      </c>
      <c r="R6" s="20" t="s">
        <v>760</v>
      </c>
      <c r="S6" s="20">
        <v>1.8</v>
      </c>
      <c r="T6" s="20" t="s">
        <v>761</v>
      </c>
      <c r="U6" s="220" t="s">
        <v>762</v>
      </c>
      <c r="V6" s="221"/>
      <c r="W6" s="222"/>
      <c r="X6" s="153" t="s">
        <v>763</v>
      </c>
      <c r="Y6" s="18">
        <f>+SUMIF(E$6:E$76,$X6,H$6:H$76)</f>
        <v>19</v>
      </c>
      <c r="Z6" s="18">
        <f t="shared" ref="Z6:AE9" si="0">+SUMIF($E$6:$E$76,$X6,I$6:I$76)</f>
        <v>0</v>
      </c>
      <c r="AA6" s="18">
        <f t="shared" si="0"/>
        <v>7</v>
      </c>
      <c r="AB6" s="18">
        <f t="shared" si="0"/>
        <v>6</v>
      </c>
      <c r="AC6" s="18">
        <f t="shared" si="0"/>
        <v>0</v>
      </c>
      <c r="AD6" s="18">
        <f t="shared" si="0"/>
        <v>0</v>
      </c>
      <c r="AE6" s="18">
        <f t="shared" si="0"/>
        <v>0</v>
      </c>
      <c r="AF6" s="18">
        <f>+SUM(Y6:AE6)</f>
        <v>32</v>
      </c>
    </row>
    <row r="7" spans="1:32" ht="18.75" hidden="1">
      <c r="A7" s="19">
        <f t="shared" ref="A7:A38" si="1">1+A6</f>
        <v>2</v>
      </c>
      <c r="B7" s="19"/>
      <c r="C7" s="19" t="s">
        <v>259</v>
      </c>
      <c r="D7" s="19" t="s">
        <v>568</v>
      </c>
      <c r="E7" s="19" t="s">
        <v>769</v>
      </c>
      <c r="F7" s="20"/>
      <c r="G7" s="19">
        <v>63</v>
      </c>
      <c r="H7" s="19">
        <v>40</v>
      </c>
      <c r="I7" s="19"/>
      <c r="J7" s="19"/>
      <c r="K7" s="19"/>
      <c r="L7" s="19"/>
      <c r="M7" s="19"/>
      <c r="N7" s="19"/>
      <c r="O7" s="19"/>
      <c r="P7" s="19"/>
      <c r="Q7" s="19">
        <f t="shared" ref="Q7:Q38" si="2">+Q6+H7</f>
        <v>237</v>
      </c>
      <c r="R7" s="20" t="s">
        <v>760</v>
      </c>
      <c r="S7" s="20">
        <v>1.8</v>
      </c>
      <c r="T7" s="20" t="s">
        <v>761</v>
      </c>
      <c r="U7" s="220"/>
      <c r="V7" s="221"/>
      <c r="W7" s="222"/>
      <c r="X7" s="20" t="s">
        <v>764</v>
      </c>
      <c r="Y7" s="18">
        <f>+SUMIF(E$6:E$76,$X7,H$6:H$76)</f>
        <v>173</v>
      </c>
      <c r="Z7" s="18">
        <f t="shared" si="0"/>
        <v>0</v>
      </c>
      <c r="AA7" s="18">
        <f t="shared" si="0"/>
        <v>5</v>
      </c>
      <c r="AB7" s="18">
        <f t="shared" si="0"/>
        <v>0</v>
      </c>
      <c r="AC7" s="18">
        <f t="shared" si="0"/>
        <v>0</v>
      </c>
      <c r="AD7" s="18">
        <f t="shared" si="0"/>
        <v>0</v>
      </c>
      <c r="AE7" s="18">
        <f t="shared" si="0"/>
        <v>0</v>
      </c>
      <c r="AF7" s="18">
        <f>+SUM(Y7:AE7)</f>
        <v>178</v>
      </c>
    </row>
    <row r="8" spans="1:32" ht="18.75" hidden="1">
      <c r="A8" s="19">
        <f t="shared" si="1"/>
        <v>3</v>
      </c>
      <c r="B8" s="19"/>
      <c r="C8" s="19" t="s">
        <v>259</v>
      </c>
      <c r="D8" s="19" t="s">
        <v>568</v>
      </c>
      <c r="E8" s="19" t="s">
        <v>771</v>
      </c>
      <c r="F8" s="19">
        <v>0.39</v>
      </c>
      <c r="G8" s="19">
        <v>63</v>
      </c>
      <c r="H8" s="19">
        <v>3</v>
      </c>
      <c r="I8" s="19"/>
      <c r="J8" s="19"/>
      <c r="K8" s="19"/>
      <c r="L8" s="19"/>
      <c r="M8" s="19"/>
      <c r="N8" s="19"/>
      <c r="O8" s="19"/>
      <c r="P8" s="19"/>
      <c r="Q8" s="19">
        <f t="shared" si="2"/>
        <v>240</v>
      </c>
      <c r="R8" s="20"/>
      <c r="S8" s="20"/>
      <c r="T8" s="20" t="s">
        <v>761</v>
      </c>
      <c r="U8" s="220"/>
      <c r="V8" s="221"/>
      <c r="W8" s="222"/>
      <c r="X8" s="153" t="s">
        <v>45</v>
      </c>
      <c r="Y8" s="18">
        <f>+SUMIF(E$6:E$76,$X8,H$6:H$76)</f>
        <v>661</v>
      </c>
      <c r="Z8" s="18">
        <f t="shared" si="0"/>
        <v>66</v>
      </c>
      <c r="AA8" s="18">
        <f t="shared" si="0"/>
        <v>0</v>
      </c>
      <c r="AB8" s="18">
        <f t="shared" si="0"/>
        <v>243</v>
      </c>
      <c r="AC8" s="18">
        <f t="shared" si="0"/>
        <v>0</v>
      </c>
      <c r="AD8" s="18">
        <f t="shared" si="0"/>
        <v>0</v>
      </c>
      <c r="AE8" s="18">
        <f t="shared" si="0"/>
        <v>0</v>
      </c>
      <c r="AF8" s="18">
        <f>+SUM(Y8:AE8)</f>
        <v>970</v>
      </c>
    </row>
    <row r="9" spans="1:32" ht="18.75" hidden="1">
      <c r="A9" s="19">
        <f t="shared" si="1"/>
        <v>4</v>
      </c>
      <c r="B9" s="19"/>
      <c r="C9" s="19" t="s">
        <v>259</v>
      </c>
      <c r="D9" s="19" t="s">
        <v>375</v>
      </c>
      <c r="E9" s="19" t="s">
        <v>769</v>
      </c>
      <c r="F9" s="20"/>
      <c r="G9" s="19">
        <v>63</v>
      </c>
      <c r="H9" s="19">
        <v>250</v>
      </c>
      <c r="I9" s="19"/>
      <c r="J9" s="19"/>
      <c r="K9" s="19"/>
      <c r="L9" s="19"/>
      <c r="M9" s="19"/>
      <c r="N9" s="19"/>
      <c r="O9" s="19"/>
      <c r="P9" s="19"/>
      <c r="Q9" s="19">
        <f t="shared" si="2"/>
        <v>490</v>
      </c>
      <c r="R9" s="20" t="s">
        <v>760</v>
      </c>
      <c r="S9" s="20">
        <v>1.8</v>
      </c>
      <c r="T9" s="20" t="s">
        <v>761</v>
      </c>
      <c r="U9" s="220"/>
      <c r="V9" s="221"/>
      <c r="W9" s="222"/>
      <c r="X9" s="153" t="s">
        <v>765</v>
      </c>
      <c r="Y9" s="18">
        <f>+SUMIF(E$6:E$76,$X9,H$6:H$76)</f>
        <v>311</v>
      </c>
      <c r="Z9" s="18">
        <f t="shared" si="0"/>
        <v>0</v>
      </c>
      <c r="AA9" s="18">
        <f t="shared" si="0"/>
        <v>217</v>
      </c>
      <c r="AB9" s="18">
        <f t="shared" si="0"/>
        <v>60</v>
      </c>
      <c r="AC9" s="18">
        <f t="shared" si="0"/>
        <v>0</v>
      </c>
      <c r="AD9" s="18">
        <f t="shared" si="0"/>
        <v>0</v>
      </c>
      <c r="AE9" s="18">
        <f t="shared" si="0"/>
        <v>0</v>
      </c>
      <c r="AF9" s="18">
        <f>+SUM(Y9:AE9)</f>
        <v>588</v>
      </c>
    </row>
    <row r="10" spans="1:32" ht="18.75" hidden="1">
      <c r="A10" s="19">
        <f t="shared" si="1"/>
        <v>5</v>
      </c>
      <c r="B10" s="19"/>
      <c r="C10" s="19" t="s">
        <v>375</v>
      </c>
      <c r="D10" s="19" t="s">
        <v>344</v>
      </c>
      <c r="E10" s="19" t="s">
        <v>769</v>
      </c>
      <c r="F10" s="20"/>
      <c r="G10" s="19">
        <v>63</v>
      </c>
      <c r="H10" s="19">
        <v>72</v>
      </c>
      <c r="I10" s="19"/>
      <c r="J10" s="19"/>
      <c r="K10" s="19"/>
      <c r="L10" s="19"/>
      <c r="M10" s="19"/>
      <c r="N10" s="19"/>
      <c r="O10" s="19"/>
      <c r="P10" s="19"/>
      <c r="Q10" s="19">
        <f t="shared" si="2"/>
        <v>562</v>
      </c>
      <c r="R10" s="20" t="s">
        <v>766</v>
      </c>
      <c r="S10" s="20">
        <v>1.5</v>
      </c>
      <c r="T10" s="20" t="s">
        <v>761</v>
      </c>
      <c r="U10" s="220" t="s">
        <v>767</v>
      </c>
      <c r="V10" s="221"/>
      <c r="W10" s="222"/>
      <c r="X10" s="223"/>
      <c r="Y10" s="8"/>
      <c r="Z10" s="8"/>
      <c r="AA10" s="8"/>
      <c r="AB10" s="8"/>
      <c r="AC10" s="8"/>
      <c r="AD10" s="8"/>
      <c r="AE10" s="8"/>
      <c r="AF10" s="8"/>
    </row>
    <row r="11" spans="1:32" ht="18.75" hidden="1">
      <c r="A11" s="19">
        <f t="shared" si="1"/>
        <v>6</v>
      </c>
      <c r="B11" s="19"/>
      <c r="C11" s="19" t="s">
        <v>375</v>
      </c>
      <c r="D11" s="19" t="s">
        <v>344</v>
      </c>
      <c r="E11" s="19" t="s">
        <v>763</v>
      </c>
      <c r="F11" s="19">
        <v>0.39</v>
      </c>
      <c r="G11" s="19">
        <v>63</v>
      </c>
      <c r="H11" s="19">
        <v>3</v>
      </c>
      <c r="I11" s="19"/>
      <c r="J11" s="19"/>
      <c r="K11" s="19"/>
      <c r="L11" s="19"/>
      <c r="M11" s="19"/>
      <c r="N11" s="19"/>
      <c r="O11" s="19"/>
      <c r="P11" s="19"/>
      <c r="Q11" s="19">
        <f t="shared" si="2"/>
        <v>565</v>
      </c>
      <c r="R11" s="20"/>
      <c r="S11" s="20"/>
      <c r="T11" s="20" t="s">
        <v>761</v>
      </c>
      <c r="U11" s="220"/>
      <c r="V11" s="221"/>
      <c r="W11" s="222"/>
    </row>
    <row r="12" spans="1:32" ht="18.75" hidden="1">
      <c r="A12" s="19">
        <f t="shared" si="1"/>
        <v>7</v>
      </c>
      <c r="B12" s="19"/>
      <c r="C12" s="19" t="s">
        <v>418</v>
      </c>
      <c r="D12" s="19" t="s">
        <v>346</v>
      </c>
      <c r="E12" s="19" t="s">
        <v>769</v>
      </c>
      <c r="F12" s="20"/>
      <c r="G12" s="19">
        <v>63</v>
      </c>
      <c r="H12" s="19">
        <v>54</v>
      </c>
      <c r="I12" s="19"/>
      <c r="J12" s="19"/>
      <c r="K12" s="19"/>
      <c r="L12" s="19"/>
      <c r="M12" s="19"/>
      <c r="N12" s="19"/>
      <c r="O12" s="19"/>
      <c r="P12" s="19"/>
      <c r="Q12" s="19">
        <f t="shared" si="2"/>
        <v>619</v>
      </c>
      <c r="R12" s="20"/>
      <c r="S12" s="20"/>
      <c r="T12" s="20" t="s">
        <v>761</v>
      </c>
      <c r="U12" s="220" t="s">
        <v>768</v>
      </c>
      <c r="V12" s="221"/>
      <c r="W12" s="222"/>
    </row>
    <row r="13" spans="1:32" ht="18.75" hidden="1">
      <c r="A13" s="19">
        <f t="shared" si="1"/>
        <v>8</v>
      </c>
      <c r="B13" s="19"/>
      <c r="C13" s="19" t="s">
        <v>418</v>
      </c>
      <c r="D13" s="19" t="s">
        <v>346</v>
      </c>
      <c r="E13" s="19" t="s">
        <v>764</v>
      </c>
      <c r="F13" s="19">
        <v>0.39</v>
      </c>
      <c r="G13" s="19">
        <v>63</v>
      </c>
      <c r="H13" s="19">
        <v>45</v>
      </c>
      <c r="I13" s="19"/>
      <c r="J13" s="19"/>
      <c r="K13" s="19"/>
      <c r="L13" s="19"/>
      <c r="M13" s="19"/>
      <c r="N13" s="19"/>
      <c r="O13" s="19"/>
      <c r="P13" s="19"/>
      <c r="Q13" s="19">
        <f t="shared" si="2"/>
        <v>664</v>
      </c>
      <c r="R13" s="20"/>
      <c r="S13" s="20"/>
      <c r="T13" s="20" t="s">
        <v>761</v>
      </c>
      <c r="U13" s="220"/>
      <c r="V13" s="221"/>
      <c r="W13" s="222"/>
    </row>
    <row r="14" spans="1:32" ht="18.75" hidden="1">
      <c r="A14" s="19">
        <f t="shared" si="1"/>
        <v>9</v>
      </c>
      <c r="B14" s="19"/>
      <c r="C14" s="19" t="s">
        <v>363</v>
      </c>
      <c r="D14" s="19" t="s">
        <v>198</v>
      </c>
      <c r="E14" s="19" t="s">
        <v>764</v>
      </c>
      <c r="F14" s="19">
        <v>0.39</v>
      </c>
      <c r="G14" s="19">
        <v>63</v>
      </c>
      <c r="H14" s="19">
        <v>106</v>
      </c>
      <c r="I14" s="19"/>
      <c r="J14" s="19"/>
      <c r="K14" s="19"/>
      <c r="L14" s="19"/>
      <c r="M14" s="19"/>
      <c r="N14" s="19"/>
      <c r="O14" s="19"/>
      <c r="P14" s="19"/>
      <c r="Q14" s="19">
        <f t="shared" si="2"/>
        <v>770</v>
      </c>
      <c r="R14" s="20"/>
      <c r="S14" s="20"/>
      <c r="T14" s="20" t="s">
        <v>761</v>
      </c>
      <c r="U14" s="220"/>
      <c r="V14" s="221"/>
      <c r="W14" s="222"/>
    </row>
    <row r="15" spans="1:32" ht="18.75" hidden="1">
      <c r="A15" s="19">
        <f t="shared" si="1"/>
        <v>10</v>
      </c>
      <c r="B15" s="19"/>
      <c r="C15" s="19" t="s">
        <v>363</v>
      </c>
      <c r="D15" s="19" t="s">
        <v>198</v>
      </c>
      <c r="E15" s="19" t="s">
        <v>45</v>
      </c>
      <c r="F15" s="19">
        <v>0.39</v>
      </c>
      <c r="G15" s="19">
        <v>63</v>
      </c>
      <c r="H15" s="19">
        <f>129-106</f>
        <v>23</v>
      </c>
      <c r="I15" s="19"/>
      <c r="J15" s="19"/>
      <c r="K15" s="19"/>
      <c r="L15" s="19"/>
      <c r="M15" s="19"/>
      <c r="N15" s="19"/>
      <c r="O15" s="19"/>
      <c r="P15" s="19"/>
      <c r="Q15" s="19">
        <f t="shared" si="2"/>
        <v>793</v>
      </c>
      <c r="R15" s="20"/>
      <c r="S15" s="20"/>
      <c r="T15" s="20" t="s">
        <v>761</v>
      </c>
      <c r="U15" s="220"/>
      <c r="V15" s="221">
        <v>23</v>
      </c>
      <c r="W15" s="222"/>
    </row>
    <row r="16" spans="1:32" ht="18.75" hidden="1">
      <c r="A16" s="19">
        <f t="shared" si="1"/>
        <v>11</v>
      </c>
      <c r="B16" s="19"/>
      <c r="C16" s="19" t="s">
        <v>198</v>
      </c>
      <c r="D16" s="19" t="s">
        <v>572</v>
      </c>
      <c r="E16" s="19" t="s">
        <v>45</v>
      </c>
      <c r="F16" s="19">
        <v>0.39</v>
      </c>
      <c r="G16" s="19">
        <v>63</v>
      </c>
      <c r="H16" s="19">
        <v>44</v>
      </c>
      <c r="I16" s="19"/>
      <c r="J16" s="19"/>
      <c r="K16" s="19"/>
      <c r="L16" s="19"/>
      <c r="M16" s="19"/>
      <c r="N16" s="19"/>
      <c r="O16" s="19"/>
      <c r="P16" s="19"/>
      <c r="Q16" s="19">
        <f t="shared" si="2"/>
        <v>837</v>
      </c>
      <c r="R16" s="20"/>
      <c r="S16" s="20"/>
      <c r="T16" s="20" t="s">
        <v>761</v>
      </c>
      <c r="U16" s="220" t="s">
        <v>770</v>
      </c>
      <c r="V16" s="221">
        <v>44</v>
      </c>
      <c r="W16" s="222"/>
    </row>
    <row r="17" spans="1:23" ht="18.75" hidden="1">
      <c r="A17" s="19">
        <f t="shared" si="1"/>
        <v>12</v>
      </c>
      <c r="B17" s="19"/>
      <c r="C17" s="19" t="s">
        <v>198</v>
      </c>
      <c r="D17" s="19" t="s">
        <v>572</v>
      </c>
      <c r="E17" s="19" t="s">
        <v>764</v>
      </c>
      <c r="F17" s="19">
        <v>0.39</v>
      </c>
      <c r="G17" s="19">
        <v>63</v>
      </c>
      <c r="H17" s="19">
        <v>3</v>
      </c>
      <c r="I17" s="19"/>
      <c r="J17" s="19"/>
      <c r="K17" s="19"/>
      <c r="L17" s="19"/>
      <c r="M17" s="19"/>
      <c r="N17" s="19"/>
      <c r="O17" s="19"/>
      <c r="P17" s="19"/>
      <c r="Q17" s="19">
        <f t="shared" si="2"/>
        <v>840</v>
      </c>
      <c r="R17" s="20"/>
      <c r="S17" s="20"/>
      <c r="T17" s="20" t="s">
        <v>761</v>
      </c>
      <c r="U17" s="220"/>
      <c r="V17" s="221"/>
      <c r="W17" s="222"/>
    </row>
    <row r="18" spans="1:23" ht="18.75" hidden="1">
      <c r="A18" s="19">
        <f t="shared" si="1"/>
        <v>13</v>
      </c>
      <c r="B18" s="19"/>
      <c r="C18" s="19" t="s">
        <v>357</v>
      </c>
      <c r="D18" s="19" t="s">
        <v>406</v>
      </c>
      <c r="E18" s="19" t="s">
        <v>769</v>
      </c>
      <c r="F18" s="20"/>
      <c r="G18" s="19">
        <v>63</v>
      </c>
      <c r="H18" s="19">
        <v>101</v>
      </c>
      <c r="I18" s="19"/>
      <c r="J18" s="19"/>
      <c r="K18" s="19"/>
      <c r="L18" s="19"/>
      <c r="M18" s="19"/>
      <c r="N18" s="19"/>
      <c r="O18" s="19"/>
      <c r="P18" s="19"/>
      <c r="Q18" s="19">
        <f t="shared" si="2"/>
        <v>941</v>
      </c>
      <c r="R18" s="20"/>
      <c r="S18" s="20"/>
      <c r="T18" s="20" t="s">
        <v>761</v>
      </c>
      <c r="U18" s="220" t="s">
        <v>772</v>
      </c>
      <c r="V18" s="221"/>
      <c r="W18" s="222"/>
    </row>
    <row r="19" spans="1:23" ht="18.75" hidden="1">
      <c r="A19" s="19">
        <f t="shared" si="1"/>
        <v>14</v>
      </c>
      <c r="B19" s="19"/>
      <c r="C19" s="19" t="s">
        <v>406</v>
      </c>
      <c r="D19" s="19" t="s">
        <v>288</v>
      </c>
      <c r="E19" s="19" t="s">
        <v>769</v>
      </c>
      <c r="F19" s="20"/>
      <c r="G19" s="19">
        <v>63</v>
      </c>
      <c r="H19" s="19">
        <v>44</v>
      </c>
      <c r="I19" s="19"/>
      <c r="J19" s="19"/>
      <c r="K19" s="19"/>
      <c r="L19" s="19"/>
      <c r="M19" s="19"/>
      <c r="N19" s="19"/>
      <c r="O19" s="19"/>
      <c r="P19" s="19"/>
      <c r="Q19" s="19">
        <f t="shared" si="2"/>
        <v>985</v>
      </c>
      <c r="R19" s="20"/>
      <c r="S19" s="20"/>
      <c r="T19" s="20" t="s">
        <v>761</v>
      </c>
      <c r="U19" s="220" t="s">
        <v>773</v>
      </c>
      <c r="V19" s="221"/>
      <c r="W19" s="222"/>
    </row>
    <row r="20" spans="1:23" ht="18.75" hidden="1">
      <c r="A20" s="19">
        <f t="shared" si="1"/>
        <v>15</v>
      </c>
      <c r="B20" s="19"/>
      <c r="C20" s="19" t="s">
        <v>406</v>
      </c>
      <c r="D20" s="19" t="s">
        <v>338</v>
      </c>
      <c r="E20" s="19" t="s">
        <v>769</v>
      </c>
      <c r="F20" s="20"/>
      <c r="G20" s="19">
        <v>63</v>
      </c>
      <c r="H20" s="19">
        <v>74</v>
      </c>
      <c r="I20" s="19"/>
      <c r="J20" s="19"/>
      <c r="K20" s="19"/>
      <c r="L20" s="19"/>
      <c r="M20" s="19"/>
      <c r="N20" s="19"/>
      <c r="O20" s="19"/>
      <c r="P20" s="19"/>
      <c r="Q20" s="19">
        <f t="shared" si="2"/>
        <v>1059</v>
      </c>
      <c r="R20" s="20"/>
      <c r="S20" s="20"/>
      <c r="T20" s="20" t="s">
        <v>761</v>
      </c>
      <c r="U20" s="220" t="s">
        <v>774</v>
      </c>
      <c r="V20" s="221"/>
      <c r="W20" s="222"/>
    </row>
    <row r="21" spans="1:23" ht="18.75" hidden="1">
      <c r="A21" s="19">
        <f t="shared" si="1"/>
        <v>16</v>
      </c>
      <c r="B21" s="19"/>
      <c r="C21" s="19" t="s">
        <v>277</v>
      </c>
      <c r="D21" s="19" t="s">
        <v>325</v>
      </c>
      <c r="E21" s="19" t="s">
        <v>769</v>
      </c>
      <c r="F21" s="20"/>
      <c r="G21" s="19">
        <v>63</v>
      </c>
      <c r="H21" s="19">
        <v>90</v>
      </c>
      <c r="I21" s="19"/>
      <c r="J21" s="19"/>
      <c r="K21" s="19"/>
      <c r="L21" s="226"/>
      <c r="M21" s="19"/>
      <c r="N21" s="19"/>
      <c r="O21" s="19"/>
      <c r="P21" s="19"/>
      <c r="Q21" s="19">
        <f t="shared" si="2"/>
        <v>1149</v>
      </c>
      <c r="R21" s="20"/>
      <c r="S21" s="20"/>
      <c r="T21" s="20" t="s">
        <v>761</v>
      </c>
      <c r="U21" s="224" t="s">
        <v>775</v>
      </c>
      <c r="V21" s="221"/>
      <c r="W21" s="222"/>
    </row>
    <row r="22" spans="1:23" ht="18.75" hidden="1">
      <c r="A22" s="19">
        <f t="shared" si="1"/>
        <v>17</v>
      </c>
      <c r="B22" s="19"/>
      <c r="C22" s="19" t="s">
        <v>279</v>
      </c>
      <c r="D22" s="19" t="s">
        <v>717</v>
      </c>
      <c r="E22" s="19" t="s">
        <v>769</v>
      </c>
      <c r="F22" s="20"/>
      <c r="G22" s="19">
        <v>63</v>
      </c>
      <c r="H22" s="19">
        <v>36</v>
      </c>
      <c r="I22" s="19"/>
      <c r="J22" s="19"/>
      <c r="K22" s="19"/>
      <c r="L22" s="19"/>
      <c r="M22" s="19"/>
      <c r="N22" s="19"/>
      <c r="O22" s="19"/>
      <c r="P22" s="19"/>
      <c r="Q22" s="19">
        <f t="shared" si="2"/>
        <v>1185</v>
      </c>
      <c r="R22" s="20"/>
      <c r="S22" s="20"/>
      <c r="T22" s="20" t="s">
        <v>761</v>
      </c>
      <c r="U22" s="220" t="s">
        <v>776</v>
      </c>
      <c r="V22" s="221"/>
      <c r="W22" s="222"/>
    </row>
    <row r="23" spans="1:23" ht="18.75" hidden="1">
      <c r="A23" s="19">
        <f t="shared" si="1"/>
        <v>18</v>
      </c>
      <c r="B23" s="19"/>
      <c r="C23" s="19" t="s">
        <v>279</v>
      </c>
      <c r="D23" s="19" t="s">
        <v>432</v>
      </c>
      <c r="E23" s="19" t="s">
        <v>769</v>
      </c>
      <c r="F23" s="20"/>
      <c r="G23" s="19">
        <v>63</v>
      </c>
      <c r="H23" s="19">
        <v>65</v>
      </c>
      <c r="I23" s="19"/>
      <c r="J23" s="19"/>
      <c r="K23" s="19"/>
      <c r="L23" s="19"/>
      <c r="M23" s="19"/>
      <c r="N23" s="19"/>
      <c r="O23" s="19"/>
      <c r="P23" s="19"/>
      <c r="Q23" s="19">
        <f t="shared" si="2"/>
        <v>1250</v>
      </c>
      <c r="R23" s="20"/>
      <c r="S23" s="20"/>
      <c r="T23" s="20" t="s">
        <v>761</v>
      </c>
      <c r="U23" s="220" t="s">
        <v>776</v>
      </c>
      <c r="V23" s="221"/>
      <c r="W23" s="222"/>
    </row>
    <row r="24" spans="1:23" ht="18.75" hidden="1">
      <c r="A24" s="19">
        <f t="shared" si="1"/>
        <v>19</v>
      </c>
      <c r="B24" s="19"/>
      <c r="C24" s="19" t="s">
        <v>255</v>
      </c>
      <c r="D24" s="19" t="s">
        <v>225</v>
      </c>
      <c r="E24" s="19" t="s">
        <v>769</v>
      </c>
      <c r="F24" s="20"/>
      <c r="G24" s="19">
        <v>63</v>
      </c>
      <c r="H24" s="19">
        <v>64</v>
      </c>
      <c r="I24" s="19"/>
      <c r="J24" s="19"/>
      <c r="K24" s="19"/>
      <c r="L24" s="19"/>
      <c r="M24" s="19"/>
      <c r="N24" s="19"/>
      <c r="O24" s="19"/>
      <c r="P24" s="19"/>
      <c r="Q24" s="19">
        <f t="shared" si="2"/>
        <v>1314</v>
      </c>
      <c r="R24" s="20"/>
      <c r="S24" s="20"/>
      <c r="T24" s="20" t="s">
        <v>761</v>
      </c>
      <c r="U24" s="220" t="s">
        <v>777</v>
      </c>
      <c r="V24" s="221"/>
      <c r="W24" s="222"/>
    </row>
    <row r="25" spans="1:23" ht="18.75" hidden="1">
      <c r="A25" s="19">
        <f t="shared" si="1"/>
        <v>20</v>
      </c>
      <c r="B25" s="19"/>
      <c r="C25" s="19" t="s">
        <v>255</v>
      </c>
      <c r="D25" s="19" t="s">
        <v>225</v>
      </c>
      <c r="E25" s="19" t="s">
        <v>45</v>
      </c>
      <c r="F25" s="19">
        <v>0.39</v>
      </c>
      <c r="G25" s="19">
        <v>63</v>
      </c>
      <c r="H25" s="19">
        <v>10</v>
      </c>
      <c r="I25" s="19"/>
      <c r="J25" s="19"/>
      <c r="K25" s="19"/>
      <c r="L25" s="19"/>
      <c r="M25" s="19"/>
      <c r="N25" s="19"/>
      <c r="O25" s="19"/>
      <c r="P25" s="19"/>
      <c r="Q25" s="19">
        <f t="shared" si="2"/>
        <v>1324</v>
      </c>
      <c r="R25" s="20"/>
      <c r="S25" s="20"/>
      <c r="T25" s="20" t="s">
        <v>761</v>
      </c>
      <c r="U25" s="220"/>
      <c r="V25" s="221">
        <v>10</v>
      </c>
      <c r="W25" s="222"/>
    </row>
    <row r="26" spans="1:23" ht="18.75" hidden="1">
      <c r="A26" s="19">
        <f t="shared" si="1"/>
        <v>21</v>
      </c>
      <c r="B26" s="19"/>
      <c r="C26" s="19" t="s">
        <v>270</v>
      </c>
      <c r="D26" s="19" t="s">
        <v>295</v>
      </c>
      <c r="E26" s="19" t="s">
        <v>45</v>
      </c>
      <c r="F26" s="19">
        <v>0.39</v>
      </c>
      <c r="G26" s="19">
        <v>63</v>
      </c>
      <c r="H26" s="19">
        <v>50</v>
      </c>
      <c r="I26" s="19"/>
      <c r="J26" s="19"/>
      <c r="K26" s="19"/>
      <c r="L26" s="19"/>
      <c r="M26" s="19"/>
      <c r="N26" s="19"/>
      <c r="O26" s="19"/>
      <c r="P26" s="19"/>
      <c r="Q26" s="19">
        <f t="shared" si="2"/>
        <v>1374</v>
      </c>
      <c r="R26" s="20"/>
      <c r="S26" s="20"/>
      <c r="T26" s="20" t="s">
        <v>761</v>
      </c>
      <c r="U26" s="220" t="s">
        <v>778</v>
      </c>
      <c r="V26" s="221">
        <v>50</v>
      </c>
      <c r="W26" s="222"/>
    </row>
    <row r="27" spans="1:23" ht="18.75" hidden="1">
      <c r="A27" s="19">
        <f t="shared" si="1"/>
        <v>22</v>
      </c>
      <c r="B27" s="19"/>
      <c r="C27" s="19" t="s">
        <v>253</v>
      </c>
      <c r="D27" s="19" t="s">
        <v>616</v>
      </c>
      <c r="E27" s="19" t="s">
        <v>769</v>
      </c>
      <c r="F27" s="20"/>
      <c r="G27" s="19">
        <v>63</v>
      </c>
      <c r="H27" s="19">
        <v>138</v>
      </c>
      <c r="I27" s="19"/>
      <c r="J27" s="19"/>
      <c r="K27" s="19"/>
      <c r="L27" s="19"/>
      <c r="M27" s="19"/>
      <c r="N27" s="19"/>
      <c r="O27" s="19"/>
      <c r="P27" s="19"/>
      <c r="Q27" s="19">
        <f t="shared" si="2"/>
        <v>1512</v>
      </c>
      <c r="R27" s="20"/>
      <c r="S27" s="20"/>
      <c r="T27" s="20" t="s">
        <v>761</v>
      </c>
      <c r="U27" s="220" t="s">
        <v>779</v>
      </c>
      <c r="V27" s="221"/>
      <c r="W27" s="222"/>
    </row>
    <row r="28" spans="1:23" ht="18.75" hidden="1">
      <c r="A28" s="19">
        <f t="shared" si="1"/>
        <v>23</v>
      </c>
      <c r="B28" s="19"/>
      <c r="C28" s="19" t="s">
        <v>358</v>
      </c>
      <c r="D28" s="19" t="s">
        <v>580</v>
      </c>
      <c r="E28" s="19" t="s">
        <v>769</v>
      </c>
      <c r="F28" s="20"/>
      <c r="G28" s="19">
        <v>63</v>
      </c>
      <c r="H28" s="19">
        <v>33</v>
      </c>
      <c r="I28" s="19"/>
      <c r="J28" s="19"/>
      <c r="K28" s="19"/>
      <c r="L28" s="19"/>
      <c r="M28" s="19"/>
      <c r="N28" s="19"/>
      <c r="O28" s="19"/>
      <c r="P28" s="19"/>
      <c r="Q28" s="19">
        <f t="shared" si="2"/>
        <v>1545</v>
      </c>
      <c r="R28" s="20"/>
      <c r="S28" s="20"/>
      <c r="T28" s="20" t="s">
        <v>761</v>
      </c>
      <c r="U28" s="220" t="s">
        <v>778</v>
      </c>
      <c r="V28" s="221"/>
      <c r="W28" s="222"/>
    </row>
    <row r="29" spans="1:23" ht="18.75" hidden="1">
      <c r="A29" s="19">
        <f t="shared" si="1"/>
        <v>24</v>
      </c>
      <c r="B29" s="19"/>
      <c r="C29" s="19" t="s">
        <v>360</v>
      </c>
      <c r="D29" s="19" t="s">
        <v>339</v>
      </c>
      <c r="E29" s="19" t="s">
        <v>763</v>
      </c>
      <c r="F29" s="19">
        <v>0.39</v>
      </c>
      <c r="G29" s="19">
        <v>63</v>
      </c>
      <c r="H29" s="19">
        <v>3</v>
      </c>
      <c r="I29" s="19"/>
      <c r="J29" s="19"/>
      <c r="K29" s="19"/>
      <c r="L29" s="19"/>
      <c r="M29" s="19"/>
      <c r="N29" s="19"/>
      <c r="O29" s="19"/>
      <c r="P29" s="19"/>
      <c r="Q29" s="19">
        <f t="shared" si="2"/>
        <v>1548</v>
      </c>
      <c r="R29" s="20"/>
      <c r="S29" s="20"/>
      <c r="T29" s="20" t="s">
        <v>761</v>
      </c>
      <c r="U29" s="220"/>
      <c r="V29" s="221">
        <v>3</v>
      </c>
      <c r="W29" s="222"/>
    </row>
    <row r="30" spans="1:23" ht="18.75" hidden="1">
      <c r="A30" s="19">
        <f t="shared" si="1"/>
        <v>25</v>
      </c>
      <c r="B30" s="19"/>
      <c r="C30" s="19" t="s">
        <v>360</v>
      </c>
      <c r="D30" s="19" t="s">
        <v>339</v>
      </c>
      <c r="E30" s="19" t="s">
        <v>769</v>
      </c>
      <c r="F30" s="20"/>
      <c r="G30" s="19">
        <v>63</v>
      </c>
      <c r="H30" s="19">
        <v>39</v>
      </c>
      <c r="I30" s="19"/>
      <c r="J30" s="19"/>
      <c r="K30" s="19"/>
      <c r="L30" s="19"/>
      <c r="M30" s="19"/>
      <c r="N30" s="19"/>
      <c r="O30" s="19"/>
      <c r="P30" s="19"/>
      <c r="Q30" s="19">
        <f t="shared" si="2"/>
        <v>1587</v>
      </c>
      <c r="R30" s="20"/>
      <c r="S30" s="20"/>
      <c r="T30" s="20" t="s">
        <v>761</v>
      </c>
      <c r="U30" s="220" t="s">
        <v>778</v>
      </c>
      <c r="V30" s="221"/>
      <c r="W30" s="222"/>
    </row>
    <row r="31" spans="1:23" ht="18.75" hidden="1">
      <c r="A31" s="19">
        <f t="shared" si="1"/>
        <v>26</v>
      </c>
      <c r="B31" s="19"/>
      <c r="C31" s="19" t="s">
        <v>443</v>
      </c>
      <c r="D31" s="19" t="s">
        <v>565</v>
      </c>
      <c r="E31" s="19" t="s">
        <v>769</v>
      </c>
      <c r="F31" s="20"/>
      <c r="G31" s="19">
        <v>63</v>
      </c>
      <c r="H31" s="19">
        <v>46</v>
      </c>
      <c r="I31" s="19"/>
      <c r="J31" s="19"/>
      <c r="K31" s="19"/>
      <c r="L31" s="19"/>
      <c r="M31" s="19"/>
      <c r="N31" s="19"/>
      <c r="O31" s="19"/>
      <c r="P31" s="19"/>
      <c r="Q31" s="19">
        <f t="shared" si="2"/>
        <v>1633</v>
      </c>
      <c r="R31" s="20"/>
      <c r="S31" s="20"/>
      <c r="T31" s="20" t="s">
        <v>761</v>
      </c>
      <c r="U31" s="220" t="s">
        <v>778</v>
      </c>
      <c r="V31" s="221"/>
      <c r="W31" s="222"/>
    </row>
    <row r="32" spans="1:23" ht="18.75" hidden="1">
      <c r="A32" s="19">
        <f t="shared" si="1"/>
        <v>27</v>
      </c>
      <c r="B32" s="19"/>
      <c r="C32" s="19" t="s">
        <v>362</v>
      </c>
      <c r="D32" s="19" t="s">
        <v>256</v>
      </c>
      <c r="E32" s="19" t="s">
        <v>769</v>
      </c>
      <c r="F32" s="20"/>
      <c r="G32" s="19">
        <v>63</v>
      </c>
      <c r="H32" s="19">
        <v>49</v>
      </c>
      <c r="I32" s="19"/>
      <c r="J32" s="19"/>
      <c r="K32" s="19"/>
      <c r="L32" s="19"/>
      <c r="M32" s="19"/>
      <c r="N32" s="19"/>
      <c r="O32" s="19"/>
      <c r="P32" s="19"/>
      <c r="Q32" s="19">
        <f t="shared" si="2"/>
        <v>1682</v>
      </c>
      <c r="R32" s="20"/>
      <c r="S32" s="20"/>
      <c r="T32" s="20" t="s">
        <v>761</v>
      </c>
      <c r="U32" s="220"/>
      <c r="V32" s="221"/>
      <c r="W32" s="222"/>
    </row>
    <row r="33" spans="1:23" ht="18.75" hidden="1">
      <c r="A33" s="19">
        <f t="shared" si="1"/>
        <v>28</v>
      </c>
      <c r="B33" s="19"/>
      <c r="C33" s="19" t="s">
        <v>256</v>
      </c>
      <c r="D33" s="19" t="s">
        <v>239</v>
      </c>
      <c r="E33" s="19" t="s">
        <v>45</v>
      </c>
      <c r="F33" s="19">
        <v>0.39</v>
      </c>
      <c r="G33" s="19">
        <v>63</v>
      </c>
      <c r="H33" s="19">
        <v>40</v>
      </c>
      <c r="I33" s="19"/>
      <c r="J33" s="19"/>
      <c r="K33" s="19"/>
      <c r="L33" s="19"/>
      <c r="M33" s="19"/>
      <c r="N33" s="19"/>
      <c r="O33" s="19"/>
      <c r="P33" s="19"/>
      <c r="Q33" s="19">
        <f t="shared" si="2"/>
        <v>1722</v>
      </c>
      <c r="R33" s="20"/>
      <c r="S33" s="20"/>
      <c r="T33" s="20" t="s">
        <v>761</v>
      </c>
      <c r="U33" s="220"/>
      <c r="V33" s="221">
        <v>40</v>
      </c>
      <c r="W33" s="222"/>
    </row>
    <row r="34" spans="1:23" ht="18.75" hidden="1">
      <c r="A34" s="19">
        <f t="shared" si="1"/>
        <v>29</v>
      </c>
      <c r="B34" s="19"/>
      <c r="C34" s="19" t="s">
        <v>362</v>
      </c>
      <c r="D34" s="19" t="s">
        <v>356</v>
      </c>
      <c r="E34" s="19" t="s">
        <v>769</v>
      </c>
      <c r="F34" s="20"/>
      <c r="G34" s="19">
        <v>63</v>
      </c>
      <c r="H34" s="19">
        <v>420</v>
      </c>
      <c r="I34" s="19"/>
      <c r="J34" s="19"/>
      <c r="K34" s="19"/>
      <c r="L34" s="19"/>
      <c r="M34" s="19"/>
      <c r="N34" s="19"/>
      <c r="O34" s="19"/>
      <c r="P34" s="19"/>
      <c r="Q34" s="19">
        <f t="shared" si="2"/>
        <v>2142</v>
      </c>
      <c r="R34" s="20"/>
      <c r="S34" s="20"/>
      <c r="T34" s="20" t="s">
        <v>761</v>
      </c>
      <c r="U34" s="220" t="s">
        <v>776</v>
      </c>
      <c r="V34" s="221"/>
      <c r="W34" s="222"/>
    </row>
    <row r="35" spans="1:23" ht="18.75" hidden="1">
      <c r="A35" s="19">
        <f t="shared" si="1"/>
        <v>30</v>
      </c>
      <c r="B35" s="19"/>
      <c r="C35" s="19" t="s">
        <v>281</v>
      </c>
      <c r="D35" s="19" t="s">
        <v>416</v>
      </c>
      <c r="E35" s="19" t="s">
        <v>769</v>
      </c>
      <c r="F35" s="20"/>
      <c r="G35" s="19">
        <v>63</v>
      </c>
      <c r="H35" s="19">
        <v>104</v>
      </c>
      <c r="I35" s="19"/>
      <c r="J35" s="19"/>
      <c r="K35" s="19"/>
      <c r="L35" s="19"/>
      <c r="M35" s="19"/>
      <c r="N35" s="19"/>
      <c r="O35" s="19"/>
      <c r="P35" s="19"/>
      <c r="Q35" s="19">
        <f t="shared" si="2"/>
        <v>2246</v>
      </c>
      <c r="R35" s="20"/>
      <c r="S35" s="20"/>
      <c r="T35" s="20" t="s">
        <v>761</v>
      </c>
      <c r="U35" s="220" t="s">
        <v>776</v>
      </c>
      <c r="V35" s="221"/>
      <c r="W35" s="222"/>
    </row>
    <row r="36" spans="1:23" ht="18.75" hidden="1">
      <c r="A36" s="19">
        <f t="shared" si="1"/>
        <v>31</v>
      </c>
      <c r="B36" s="19"/>
      <c r="C36" s="19" t="s">
        <v>272</v>
      </c>
      <c r="D36" s="19" t="s">
        <v>197</v>
      </c>
      <c r="E36" s="19" t="s">
        <v>769</v>
      </c>
      <c r="F36" s="20"/>
      <c r="G36" s="19">
        <v>63</v>
      </c>
      <c r="H36" s="19">
        <v>78</v>
      </c>
      <c r="I36" s="227"/>
      <c r="J36" s="19"/>
      <c r="K36" s="19"/>
      <c r="L36" s="19"/>
      <c r="M36" s="19"/>
      <c r="N36" s="19"/>
      <c r="O36" s="19"/>
      <c r="P36" s="19"/>
      <c r="Q36" s="19">
        <f t="shared" si="2"/>
        <v>2324</v>
      </c>
      <c r="R36" s="20"/>
      <c r="S36" s="20"/>
      <c r="T36" s="20" t="s">
        <v>761</v>
      </c>
      <c r="U36" s="220" t="s">
        <v>780</v>
      </c>
      <c r="V36" s="221"/>
      <c r="W36" s="222"/>
    </row>
    <row r="37" spans="1:23" ht="18.75" hidden="1">
      <c r="A37" s="19">
        <f t="shared" si="1"/>
        <v>32</v>
      </c>
      <c r="B37" s="19"/>
      <c r="C37" s="19" t="s">
        <v>253</v>
      </c>
      <c r="D37" s="19" t="s">
        <v>197</v>
      </c>
      <c r="E37" s="19" t="s">
        <v>769</v>
      </c>
      <c r="F37" s="20"/>
      <c r="G37" s="19">
        <v>63</v>
      </c>
      <c r="H37" s="19">
        <v>17</v>
      </c>
      <c r="I37" s="227"/>
      <c r="J37" s="19"/>
      <c r="K37" s="19"/>
      <c r="L37" s="19"/>
      <c r="M37" s="19"/>
      <c r="N37" s="19"/>
      <c r="O37" s="19"/>
      <c r="P37" s="19"/>
      <c r="Q37" s="19">
        <f t="shared" si="2"/>
        <v>2341</v>
      </c>
      <c r="R37" s="20"/>
      <c r="S37" s="20"/>
      <c r="T37" s="20" t="s">
        <v>761</v>
      </c>
      <c r="U37" s="220" t="s">
        <v>781</v>
      </c>
      <c r="V37" s="221"/>
      <c r="W37" s="222"/>
    </row>
    <row r="38" spans="1:23" ht="18.75" hidden="1">
      <c r="A38" s="19">
        <f t="shared" si="1"/>
        <v>33</v>
      </c>
      <c r="B38" s="19"/>
      <c r="C38" s="19" t="s">
        <v>197</v>
      </c>
      <c r="D38" s="19" t="s">
        <v>245</v>
      </c>
      <c r="E38" s="19" t="s">
        <v>45</v>
      </c>
      <c r="F38" s="19">
        <v>0.39</v>
      </c>
      <c r="G38" s="19">
        <v>63</v>
      </c>
      <c r="H38" s="19">
        <v>50</v>
      </c>
      <c r="I38" s="19"/>
      <c r="J38" s="19"/>
      <c r="K38" s="19"/>
      <c r="L38" s="19"/>
      <c r="M38" s="19"/>
      <c r="N38" s="19"/>
      <c r="O38" s="19"/>
      <c r="P38" s="19"/>
      <c r="Q38" s="19">
        <f t="shared" si="2"/>
        <v>2391</v>
      </c>
      <c r="R38" s="20"/>
      <c r="S38" s="20"/>
      <c r="T38" s="20" t="s">
        <v>761</v>
      </c>
      <c r="U38" s="220"/>
      <c r="V38" s="221">
        <v>50</v>
      </c>
      <c r="W38" s="222"/>
    </row>
    <row r="39" spans="1:23" ht="18.75" hidden="1">
      <c r="A39" s="19">
        <f t="shared" ref="A39:A60" si="3">1+A38</f>
        <v>34</v>
      </c>
      <c r="B39" s="19"/>
      <c r="C39" s="19" t="s">
        <v>245</v>
      </c>
      <c r="D39" s="19" t="s">
        <v>315</v>
      </c>
      <c r="E39" s="19" t="s">
        <v>769</v>
      </c>
      <c r="F39" s="20"/>
      <c r="G39" s="19">
        <v>63</v>
      </c>
      <c r="H39" s="19">
        <f>80-H40</f>
        <v>66</v>
      </c>
      <c r="I39" s="19"/>
      <c r="J39" s="19"/>
      <c r="K39" s="19"/>
      <c r="L39" s="19"/>
      <c r="M39" s="19"/>
      <c r="N39" s="19"/>
      <c r="O39" s="19"/>
      <c r="P39" s="19"/>
      <c r="Q39" s="19">
        <f t="shared" ref="Q39:Q60" si="4">+Q38+H39</f>
        <v>2457</v>
      </c>
      <c r="R39" s="20"/>
      <c r="S39" s="20"/>
      <c r="T39" s="20" t="s">
        <v>761</v>
      </c>
      <c r="U39" s="220" t="s">
        <v>782</v>
      </c>
      <c r="V39" s="221"/>
      <c r="W39" s="222"/>
    </row>
    <row r="40" spans="1:23" ht="18.75" hidden="1">
      <c r="A40" s="19">
        <f t="shared" si="3"/>
        <v>35</v>
      </c>
      <c r="B40" s="19"/>
      <c r="C40" s="19" t="s">
        <v>245</v>
      </c>
      <c r="D40" s="19" t="s">
        <v>315</v>
      </c>
      <c r="E40" s="19" t="s">
        <v>764</v>
      </c>
      <c r="F40" s="19">
        <v>0.39</v>
      </c>
      <c r="G40" s="19">
        <v>63</v>
      </c>
      <c r="H40" s="19">
        <v>14</v>
      </c>
      <c r="I40" s="19"/>
      <c r="J40" s="19"/>
      <c r="K40" s="19"/>
      <c r="L40" s="19"/>
      <c r="M40" s="19"/>
      <c r="N40" s="19"/>
      <c r="O40" s="19"/>
      <c r="P40" s="19"/>
      <c r="Q40" s="19">
        <f t="shared" si="4"/>
        <v>2471</v>
      </c>
      <c r="R40" s="20"/>
      <c r="S40" s="20"/>
      <c r="T40" s="20" t="s">
        <v>761</v>
      </c>
      <c r="U40" s="220"/>
      <c r="V40" s="221">
        <v>14</v>
      </c>
      <c r="W40" s="222"/>
    </row>
    <row r="41" spans="1:23" ht="18.75" hidden="1">
      <c r="A41" s="19">
        <f t="shared" si="3"/>
        <v>36</v>
      </c>
      <c r="B41" s="19"/>
      <c r="C41" s="19" t="s">
        <v>315</v>
      </c>
      <c r="D41" s="19" t="s">
        <v>788</v>
      </c>
      <c r="E41" s="19" t="s">
        <v>45</v>
      </c>
      <c r="F41" s="19">
        <v>0.39</v>
      </c>
      <c r="G41" s="19">
        <v>63</v>
      </c>
      <c r="H41" s="19">
        <v>135</v>
      </c>
      <c r="I41" s="19"/>
      <c r="J41" s="19"/>
      <c r="K41" s="19"/>
      <c r="L41" s="19"/>
      <c r="M41" s="19"/>
      <c r="N41" s="19"/>
      <c r="O41" s="19"/>
      <c r="P41" s="19"/>
      <c r="Q41" s="19">
        <f t="shared" si="4"/>
        <v>2606</v>
      </c>
      <c r="R41" s="20"/>
      <c r="S41" s="20"/>
      <c r="T41" s="20" t="s">
        <v>761</v>
      </c>
      <c r="U41" s="220" t="s">
        <v>783</v>
      </c>
      <c r="V41" s="221">
        <v>135</v>
      </c>
      <c r="W41" s="222"/>
    </row>
    <row r="42" spans="1:23" ht="18.75">
      <c r="A42" s="19">
        <f t="shared" si="3"/>
        <v>37</v>
      </c>
      <c r="B42" s="19"/>
      <c r="C42" s="19" t="s">
        <v>315</v>
      </c>
      <c r="D42" s="19" t="s">
        <v>788</v>
      </c>
      <c r="E42" s="19" t="s">
        <v>765</v>
      </c>
      <c r="F42" s="19">
        <v>0.39</v>
      </c>
      <c r="G42" s="19">
        <v>63</v>
      </c>
      <c r="H42" s="19">
        <v>34</v>
      </c>
      <c r="I42" s="19"/>
      <c r="J42" s="19"/>
      <c r="K42" s="19"/>
      <c r="L42" s="19"/>
      <c r="M42" s="19"/>
      <c r="N42" s="19"/>
      <c r="O42" s="19"/>
      <c r="P42" s="19"/>
      <c r="Q42" s="19">
        <f t="shared" si="4"/>
        <v>2640</v>
      </c>
      <c r="R42" s="20"/>
      <c r="S42" s="20"/>
      <c r="T42" s="20" t="s">
        <v>761</v>
      </c>
      <c r="U42" s="220"/>
      <c r="V42" s="221">
        <v>34</v>
      </c>
      <c r="W42" s="222"/>
    </row>
    <row r="43" spans="1:23" ht="18.75" hidden="1">
      <c r="A43" s="19">
        <f t="shared" si="3"/>
        <v>38</v>
      </c>
      <c r="B43" s="19"/>
      <c r="C43" s="19" t="s">
        <v>258</v>
      </c>
      <c r="D43" s="19" t="s">
        <v>575</v>
      </c>
      <c r="E43" s="19" t="s">
        <v>769</v>
      </c>
      <c r="F43" s="20"/>
      <c r="G43" s="19">
        <v>63</v>
      </c>
      <c r="H43" s="19">
        <v>13</v>
      </c>
      <c r="I43" s="19"/>
      <c r="J43" s="19"/>
      <c r="K43" s="19"/>
      <c r="L43" s="19"/>
      <c r="M43" s="19"/>
      <c r="N43" s="19"/>
      <c r="O43" s="19"/>
      <c r="P43" s="19"/>
      <c r="Q43" s="19">
        <f t="shared" si="4"/>
        <v>2653</v>
      </c>
      <c r="R43" s="20"/>
      <c r="S43" s="20"/>
      <c r="T43" s="20" t="s">
        <v>761</v>
      </c>
      <c r="U43" s="220"/>
      <c r="V43" s="221"/>
      <c r="W43" s="222"/>
    </row>
    <row r="44" spans="1:23" ht="18.75" hidden="1">
      <c r="A44" s="19">
        <f t="shared" si="3"/>
        <v>39</v>
      </c>
      <c r="B44" s="19"/>
      <c r="C44" s="19" t="s">
        <v>364</v>
      </c>
      <c r="D44" s="19" t="s">
        <v>357</v>
      </c>
      <c r="E44" s="19" t="s">
        <v>769</v>
      </c>
      <c r="F44" s="20"/>
      <c r="G44" s="19">
        <v>75</v>
      </c>
      <c r="H44" s="19">
        <v>257</v>
      </c>
      <c r="I44" s="19">
        <v>257</v>
      </c>
      <c r="J44" s="19"/>
      <c r="K44" s="19"/>
      <c r="L44" s="19"/>
      <c r="M44" s="19"/>
      <c r="N44" s="19"/>
      <c r="O44" s="19"/>
      <c r="P44" s="19"/>
      <c r="Q44" s="19">
        <f t="shared" si="4"/>
        <v>2910</v>
      </c>
      <c r="R44" s="20"/>
      <c r="S44" s="20"/>
      <c r="T44" s="20" t="s">
        <v>761</v>
      </c>
      <c r="U44" s="220" t="s">
        <v>784</v>
      </c>
      <c r="V44" s="221"/>
      <c r="W44" s="222"/>
    </row>
    <row r="45" spans="1:23" ht="18.75" hidden="1">
      <c r="A45" s="19">
        <f t="shared" si="3"/>
        <v>40</v>
      </c>
      <c r="B45" s="19"/>
      <c r="C45" s="19" t="s">
        <v>268</v>
      </c>
      <c r="D45" s="19" t="s">
        <v>279</v>
      </c>
      <c r="E45" s="19" t="s">
        <v>769</v>
      </c>
      <c r="F45" s="20"/>
      <c r="G45" s="19">
        <v>75</v>
      </c>
      <c r="H45" s="19">
        <v>202</v>
      </c>
      <c r="I45" s="19">
        <v>202</v>
      </c>
      <c r="J45" s="19"/>
      <c r="K45" s="19"/>
      <c r="L45" s="19"/>
      <c r="M45" s="19"/>
      <c r="N45" s="19"/>
      <c r="O45" s="19"/>
      <c r="P45" s="19"/>
      <c r="Q45" s="19">
        <f t="shared" si="4"/>
        <v>3112</v>
      </c>
      <c r="R45" s="20"/>
      <c r="S45" s="20"/>
      <c r="T45" s="20" t="s">
        <v>761</v>
      </c>
      <c r="U45" s="220" t="s">
        <v>785</v>
      </c>
      <c r="V45" s="221"/>
      <c r="W45" s="222"/>
    </row>
    <row r="46" spans="1:23" ht="18.75" hidden="1">
      <c r="A46" s="19">
        <f t="shared" si="3"/>
        <v>41</v>
      </c>
      <c r="B46" s="19"/>
      <c r="C46" s="19" t="s">
        <v>355</v>
      </c>
      <c r="D46" s="19" t="s">
        <v>235</v>
      </c>
      <c r="E46" s="19" t="s">
        <v>769</v>
      </c>
      <c r="F46" s="20"/>
      <c r="G46" s="19">
        <v>75</v>
      </c>
      <c r="H46" s="19">
        <v>98</v>
      </c>
      <c r="I46" s="19">
        <v>98</v>
      </c>
      <c r="J46" s="19"/>
      <c r="K46" s="19"/>
      <c r="L46" s="19"/>
      <c r="M46" s="19"/>
      <c r="N46" s="19"/>
      <c r="O46" s="19"/>
      <c r="P46" s="19"/>
      <c r="Q46" s="19">
        <f t="shared" si="4"/>
        <v>3210</v>
      </c>
      <c r="R46" s="20"/>
      <c r="S46" s="20"/>
      <c r="T46" s="20" t="s">
        <v>761</v>
      </c>
      <c r="U46" s="220" t="s">
        <v>776</v>
      </c>
      <c r="V46" s="221"/>
      <c r="W46" s="222"/>
    </row>
    <row r="47" spans="1:23" ht="18.75" hidden="1">
      <c r="A47" s="19">
        <f t="shared" si="3"/>
        <v>42</v>
      </c>
      <c r="B47" s="19"/>
      <c r="C47" s="19" t="s">
        <v>349</v>
      </c>
      <c r="D47" s="19" t="s">
        <v>394</v>
      </c>
      <c r="E47" s="19" t="s">
        <v>45</v>
      </c>
      <c r="F47" s="19">
        <v>0.39</v>
      </c>
      <c r="G47" s="19">
        <v>75</v>
      </c>
      <c r="H47" s="19">
        <v>66</v>
      </c>
      <c r="I47" s="19">
        <v>66</v>
      </c>
      <c r="J47" s="19"/>
      <c r="K47" s="19"/>
      <c r="L47" s="19"/>
      <c r="M47" s="19"/>
      <c r="N47" s="19"/>
      <c r="O47" s="19"/>
      <c r="P47" s="19"/>
      <c r="Q47" s="19">
        <f t="shared" si="4"/>
        <v>3276</v>
      </c>
      <c r="R47" s="20"/>
      <c r="S47" s="20"/>
      <c r="T47" s="20" t="s">
        <v>761</v>
      </c>
      <c r="U47" s="220" t="s">
        <v>786</v>
      </c>
      <c r="V47" s="221">
        <v>66</v>
      </c>
      <c r="W47" s="222"/>
    </row>
    <row r="48" spans="1:23" ht="18.75" hidden="1">
      <c r="A48" s="19">
        <f t="shared" si="3"/>
        <v>43</v>
      </c>
      <c r="B48" s="19"/>
      <c r="C48" s="19" t="s">
        <v>349</v>
      </c>
      <c r="D48" s="19" t="s">
        <v>394</v>
      </c>
      <c r="E48" s="19" t="s">
        <v>769</v>
      </c>
      <c r="F48" s="20"/>
      <c r="G48" s="19">
        <v>75</v>
      </c>
      <c r="H48" s="19">
        <f>95-H47</f>
        <v>29</v>
      </c>
      <c r="I48" s="19">
        <f>95-I47</f>
        <v>29</v>
      </c>
      <c r="J48" s="19"/>
      <c r="K48" s="19"/>
      <c r="L48" s="19"/>
      <c r="M48" s="19"/>
      <c r="N48" s="19"/>
      <c r="O48" s="19"/>
      <c r="P48" s="19"/>
      <c r="Q48" s="19">
        <f t="shared" si="4"/>
        <v>3305</v>
      </c>
      <c r="R48" s="20"/>
      <c r="S48" s="20"/>
      <c r="T48" s="20" t="s">
        <v>761</v>
      </c>
      <c r="U48" s="220"/>
      <c r="V48" s="221"/>
      <c r="W48" s="222"/>
    </row>
    <row r="49" spans="1:23" ht="18.75" hidden="1">
      <c r="A49" s="19">
        <f t="shared" si="3"/>
        <v>44</v>
      </c>
      <c r="B49" s="19"/>
      <c r="C49" s="19" t="s">
        <v>394</v>
      </c>
      <c r="D49" s="19" t="s">
        <v>234</v>
      </c>
      <c r="E49" s="19" t="s">
        <v>769</v>
      </c>
      <c r="F49" s="20"/>
      <c r="G49" s="19">
        <v>75</v>
      </c>
      <c r="H49" s="19">
        <v>66</v>
      </c>
      <c r="I49" s="19">
        <v>66</v>
      </c>
      <c r="J49" s="19"/>
      <c r="K49" s="19"/>
      <c r="L49" s="19"/>
      <c r="M49" s="19"/>
      <c r="N49" s="19"/>
      <c r="O49" s="19"/>
      <c r="P49" s="19"/>
      <c r="Q49" s="19">
        <f t="shared" si="4"/>
        <v>3371</v>
      </c>
      <c r="R49" s="20"/>
      <c r="S49" s="20"/>
      <c r="T49" s="20" t="s">
        <v>761</v>
      </c>
      <c r="U49" s="220" t="s">
        <v>787</v>
      </c>
      <c r="V49" s="221"/>
      <c r="W49" s="222"/>
    </row>
    <row r="50" spans="1:23" ht="18.75" hidden="1">
      <c r="A50" s="19">
        <f t="shared" si="3"/>
        <v>45</v>
      </c>
      <c r="B50" s="19"/>
      <c r="C50" s="19" t="s">
        <v>315</v>
      </c>
      <c r="D50" s="19" t="s">
        <v>506</v>
      </c>
      <c r="E50" s="19" t="s">
        <v>769</v>
      </c>
      <c r="F50" s="20"/>
      <c r="G50" s="19">
        <v>75</v>
      </c>
      <c r="H50" s="19">
        <v>233</v>
      </c>
      <c r="I50" s="19">
        <v>233</v>
      </c>
      <c r="J50" s="19"/>
      <c r="K50" s="19"/>
      <c r="L50" s="19"/>
      <c r="M50" s="19"/>
      <c r="N50" s="19"/>
      <c r="O50" s="19"/>
      <c r="P50" s="19"/>
      <c r="Q50" s="19">
        <f t="shared" si="4"/>
        <v>3604</v>
      </c>
      <c r="R50" s="20"/>
      <c r="S50" s="20"/>
      <c r="T50" s="20" t="s">
        <v>761</v>
      </c>
      <c r="U50" s="220"/>
      <c r="V50" s="221"/>
      <c r="W50" s="222"/>
    </row>
    <row r="51" spans="1:23" ht="18.75" hidden="1">
      <c r="A51" s="19">
        <f t="shared" si="3"/>
        <v>46</v>
      </c>
      <c r="B51" s="19"/>
      <c r="C51" s="19" t="s">
        <v>375</v>
      </c>
      <c r="D51" s="19" t="s">
        <v>418</v>
      </c>
      <c r="E51" s="19" t="s">
        <v>769</v>
      </c>
      <c r="F51" s="20"/>
      <c r="G51" s="19">
        <v>90</v>
      </c>
      <c r="H51" s="19">
        <v>94</v>
      </c>
      <c r="I51" s="19"/>
      <c r="J51" s="19">
        <v>94</v>
      </c>
      <c r="K51" s="19"/>
      <c r="L51" s="19"/>
      <c r="M51" s="19"/>
      <c r="N51" s="19"/>
      <c r="O51" s="19"/>
      <c r="P51" s="19"/>
      <c r="Q51" s="19">
        <f t="shared" si="4"/>
        <v>3698</v>
      </c>
      <c r="R51" s="20" t="s">
        <v>766</v>
      </c>
      <c r="S51" s="20">
        <v>1.5</v>
      </c>
      <c r="T51" s="20" t="s">
        <v>761</v>
      </c>
      <c r="U51" s="220" t="s">
        <v>789</v>
      </c>
      <c r="V51" s="221"/>
      <c r="W51" s="222"/>
    </row>
    <row r="52" spans="1:23" ht="18.75" hidden="1">
      <c r="A52" s="19">
        <f t="shared" si="3"/>
        <v>47</v>
      </c>
      <c r="B52" s="19"/>
      <c r="C52" s="19" t="s">
        <v>418</v>
      </c>
      <c r="D52" s="19" t="s">
        <v>363</v>
      </c>
      <c r="E52" s="19" t="s">
        <v>769</v>
      </c>
      <c r="F52" s="20"/>
      <c r="G52" s="19">
        <v>90</v>
      </c>
      <c r="H52" s="19">
        <v>48</v>
      </c>
      <c r="I52" s="19"/>
      <c r="J52" s="19">
        <v>48</v>
      </c>
      <c r="K52" s="19"/>
      <c r="L52" s="19"/>
      <c r="M52" s="19"/>
      <c r="N52" s="19"/>
      <c r="O52" s="19"/>
      <c r="P52" s="19"/>
      <c r="Q52" s="19">
        <f t="shared" si="4"/>
        <v>3746</v>
      </c>
      <c r="R52" s="20"/>
      <c r="S52" s="20"/>
      <c r="T52" s="20" t="s">
        <v>761</v>
      </c>
      <c r="U52" s="220" t="s">
        <v>790</v>
      </c>
      <c r="V52" s="221"/>
      <c r="W52" s="222"/>
    </row>
    <row r="53" spans="1:23" ht="18.75" hidden="1">
      <c r="A53" s="19">
        <f t="shared" si="3"/>
        <v>48</v>
      </c>
      <c r="B53" s="19"/>
      <c r="C53" s="19" t="s">
        <v>363</v>
      </c>
      <c r="D53" s="19" t="s">
        <v>364</v>
      </c>
      <c r="E53" s="19" t="s">
        <v>769</v>
      </c>
      <c r="F53" s="20"/>
      <c r="G53" s="19">
        <v>90</v>
      </c>
      <c r="H53" s="19">
        <f>168-H54</f>
        <v>163</v>
      </c>
      <c r="I53" s="19"/>
      <c r="J53" s="19">
        <f>168-J54</f>
        <v>163</v>
      </c>
      <c r="K53" s="19"/>
      <c r="L53" s="19"/>
      <c r="M53" s="19"/>
      <c r="N53" s="19"/>
      <c r="O53" s="19"/>
      <c r="P53" s="19"/>
      <c r="Q53" s="19">
        <f t="shared" si="4"/>
        <v>3909</v>
      </c>
      <c r="R53" s="20"/>
      <c r="S53" s="20"/>
      <c r="T53" s="20" t="s">
        <v>761</v>
      </c>
      <c r="U53" s="220" t="s">
        <v>791</v>
      </c>
      <c r="V53" s="221"/>
      <c r="W53" s="222"/>
    </row>
    <row r="54" spans="1:23" ht="18.75" hidden="1">
      <c r="A54" s="19">
        <f t="shared" si="3"/>
        <v>49</v>
      </c>
      <c r="B54" s="19"/>
      <c r="C54" s="19" t="s">
        <v>363</v>
      </c>
      <c r="D54" s="19" t="s">
        <v>364</v>
      </c>
      <c r="E54" s="19" t="s">
        <v>764</v>
      </c>
      <c r="F54" s="19">
        <v>0.39</v>
      </c>
      <c r="G54" s="19">
        <v>90</v>
      </c>
      <c r="H54" s="19">
        <v>5</v>
      </c>
      <c r="I54" s="19"/>
      <c r="J54" s="19">
        <v>5</v>
      </c>
      <c r="K54" s="19"/>
      <c r="L54" s="8"/>
      <c r="M54" s="19"/>
      <c r="N54" s="19"/>
      <c r="O54" s="19"/>
      <c r="P54" s="19"/>
      <c r="Q54" s="19">
        <f t="shared" si="4"/>
        <v>3914</v>
      </c>
      <c r="R54" s="20"/>
      <c r="S54" s="20"/>
      <c r="T54" s="20" t="s">
        <v>761</v>
      </c>
      <c r="U54" s="220"/>
      <c r="V54" s="221"/>
      <c r="W54" s="222"/>
    </row>
    <row r="55" spans="1:23" ht="18.75" hidden="1">
      <c r="A55" s="19">
        <f t="shared" si="3"/>
        <v>50</v>
      </c>
      <c r="B55" s="19"/>
      <c r="C55" s="19" t="s">
        <v>364</v>
      </c>
      <c r="D55" s="19" t="s">
        <v>277</v>
      </c>
      <c r="E55" s="19" t="s">
        <v>769</v>
      </c>
      <c r="F55" s="20"/>
      <c r="G55" s="19">
        <v>90</v>
      </c>
      <c r="H55" s="19">
        <v>7</v>
      </c>
      <c r="I55" s="19"/>
      <c r="J55" s="19">
        <v>7</v>
      </c>
      <c r="K55" s="19"/>
      <c r="L55" s="19"/>
      <c r="M55" s="19"/>
      <c r="N55" s="19"/>
      <c r="O55" s="19"/>
      <c r="P55" s="19"/>
      <c r="Q55" s="19">
        <f t="shared" si="4"/>
        <v>3921</v>
      </c>
      <c r="R55" s="20"/>
      <c r="S55" s="20"/>
      <c r="T55" s="20" t="s">
        <v>761</v>
      </c>
      <c r="U55" s="220"/>
      <c r="V55" s="221"/>
      <c r="W55" s="222"/>
    </row>
    <row r="56" spans="1:23" ht="18.75" hidden="1">
      <c r="A56" s="19">
        <f t="shared" si="3"/>
        <v>51</v>
      </c>
      <c r="B56" s="19"/>
      <c r="C56" s="19" t="s">
        <v>277</v>
      </c>
      <c r="D56" s="19" t="s">
        <v>268</v>
      </c>
      <c r="E56" s="19" t="s">
        <v>763</v>
      </c>
      <c r="F56" s="19">
        <v>0.39</v>
      </c>
      <c r="G56" s="19">
        <v>90</v>
      </c>
      <c r="H56" s="19">
        <v>7</v>
      </c>
      <c r="I56" s="19"/>
      <c r="J56" s="19">
        <v>7</v>
      </c>
      <c r="K56" s="19"/>
      <c r="L56" s="19"/>
      <c r="M56" s="19"/>
      <c r="N56" s="19"/>
      <c r="O56" s="19"/>
      <c r="P56" s="19"/>
      <c r="Q56" s="19">
        <f t="shared" si="4"/>
        <v>3928</v>
      </c>
      <c r="R56" s="20"/>
      <c r="S56" s="20"/>
      <c r="T56" s="20" t="s">
        <v>761</v>
      </c>
      <c r="U56" s="220"/>
      <c r="V56" s="221"/>
      <c r="W56" s="222"/>
    </row>
    <row r="57" spans="1:23" ht="18.75" hidden="1">
      <c r="A57" s="19">
        <f t="shared" si="3"/>
        <v>52</v>
      </c>
      <c r="B57" s="19"/>
      <c r="C57" s="19" t="s">
        <v>277</v>
      </c>
      <c r="D57" s="19" t="s">
        <v>355</v>
      </c>
      <c r="E57" s="19" t="s">
        <v>769</v>
      </c>
      <c r="F57" s="20"/>
      <c r="G57" s="19">
        <v>90</v>
      </c>
      <c r="H57" s="19">
        <v>107</v>
      </c>
      <c r="I57" s="19"/>
      <c r="J57" s="19">
        <v>107</v>
      </c>
      <c r="K57" s="19"/>
      <c r="L57" s="19"/>
      <c r="M57" s="19"/>
      <c r="N57" s="19"/>
      <c r="O57" s="19"/>
      <c r="P57" s="19"/>
      <c r="Q57" s="19">
        <f t="shared" si="4"/>
        <v>4035</v>
      </c>
      <c r="R57" s="20"/>
      <c r="S57" s="20"/>
      <c r="T57" s="20" t="s">
        <v>761</v>
      </c>
      <c r="U57" s="220" t="s">
        <v>792</v>
      </c>
      <c r="V57" s="221"/>
      <c r="W57" s="222"/>
    </row>
    <row r="58" spans="1:23" ht="18.75" hidden="1">
      <c r="A58" s="19">
        <f t="shared" si="3"/>
        <v>53</v>
      </c>
      <c r="B58" s="19"/>
      <c r="C58" s="19" t="s">
        <v>355</v>
      </c>
      <c r="D58" s="19" t="s">
        <v>250</v>
      </c>
      <c r="E58" s="19" t="s">
        <v>769</v>
      </c>
      <c r="F58" s="20"/>
      <c r="G58" s="19">
        <v>90</v>
      </c>
      <c r="H58" s="19">
        <v>402</v>
      </c>
      <c r="I58" s="19"/>
      <c r="J58" s="19">
        <v>402</v>
      </c>
      <c r="K58" s="19"/>
      <c r="L58" s="19"/>
      <c r="M58" s="19"/>
      <c r="N58" s="19"/>
      <c r="O58" s="19"/>
      <c r="P58" s="19"/>
      <c r="Q58" s="19">
        <f t="shared" si="4"/>
        <v>4437</v>
      </c>
      <c r="R58" s="20"/>
      <c r="S58" s="20"/>
      <c r="T58" s="20" t="s">
        <v>761</v>
      </c>
      <c r="U58" s="220"/>
      <c r="V58" s="221"/>
      <c r="W58" s="222"/>
    </row>
    <row r="59" spans="1:23" ht="18.75">
      <c r="A59" s="19">
        <f t="shared" si="3"/>
        <v>54</v>
      </c>
      <c r="B59" s="19"/>
      <c r="C59" s="19" t="s">
        <v>258</v>
      </c>
      <c r="D59" s="19" t="s">
        <v>269</v>
      </c>
      <c r="E59" s="19" t="s">
        <v>765</v>
      </c>
      <c r="F59" s="19">
        <v>0.39</v>
      </c>
      <c r="G59" s="19">
        <v>90</v>
      </c>
      <c r="H59" s="19">
        <v>50</v>
      </c>
      <c r="I59" s="19"/>
      <c r="J59" s="19">
        <v>50</v>
      </c>
      <c r="K59" s="19"/>
      <c r="L59" s="19"/>
      <c r="M59" s="19"/>
      <c r="N59" s="19"/>
      <c r="O59" s="19"/>
      <c r="P59" s="19"/>
      <c r="Q59" s="19">
        <f t="shared" si="4"/>
        <v>4487</v>
      </c>
      <c r="R59" s="20"/>
      <c r="S59" s="20"/>
      <c r="T59" s="20" t="s">
        <v>761</v>
      </c>
      <c r="U59" s="220"/>
      <c r="V59" s="221">
        <v>50</v>
      </c>
      <c r="W59" s="222"/>
    </row>
    <row r="60" spans="1:23" ht="18.75">
      <c r="A60" s="19">
        <f t="shared" si="3"/>
        <v>55</v>
      </c>
      <c r="B60" s="19"/>
      <c r="C60" s="19" t="s">
        <v>251</v>
      </c>
      <c r="D60" s="19" t="s">
        <v>225</v>
      </c>
      <c r="E60" s="19" t="s">
        <v>765</v>
      </c>
      <c r="F60" s="19">
        <v>0.39</v>
      </c>
      <c r="G60" s="19">
        <v>90</v>
      </c>
      <c r="H60" s="19">
        <v>167</v>
      </c>
      <c r="I60" s="19"/>
      <c r="J60" s="19">
        <v>167</v>
      </c>
      <c r="K60" s="19"/>
      <c r="L60" s="19"/>
      <c r="M60" s="19"/>
      <c r="N60" s="19"/>
      <c r="O60" s="19"/>
      <c r="P60" s="19"/>
      <c r="Q60" s="19">
        <f t="shared" si="4"/>
        <v>4654</v>
      </c>
      <c r="R60" s="20"/>
      <c r="S60" s="20"/>
      <c r="T60" s="20" t="s">
        <v>761</v>
      </c>
      <c r="U60" s="220"/>
      <c r="V60" s="221">
        <v>167</v>
      </c>
      <c r="W60" s="222"/>
    </row>
    <row r="61" spans="1:23" ht="18.75" hidden="1">
      <c r="A61" s="19">
        <f>1+A60</f>
        <v>56</v>
      </c>
      <c r="B61" s="19"/>
      <c r="C61" s="19" t="s">
        <v>234</v>
      </c>
      <c r="D61" s="19" t="s">
        <v>255</v>
      </c>
      <c r="E61" s="19" t="s">
        <v>45</v>
      </c>
      <c r="F61" s="19">
        <v>0.44</v>
      </c>
      <c r="G61" s="19">
        <v>110</v>
      </c>
      <c r="H61" s="19">
        <v>68</v>
      </c>
      <c r="I61" s="19"/>
      <c r="J61" s="19"/>
      <c r="K61" s="19">
        <v>68</v>
      </c>
      <c r="L61" s="19"/>
      <c r="M61" s="19"/>
      <c r="N61" s="19"/>
      <c r="O61" s="19"/>
      <c r="P61" s="19"/>
      <c r="Q61" s="19">
        <f>+Q60+H61</f>
        <v>4722</v>
      </c>
      <c r="R61" s="20"/>
      <c r="S61" s="20"/>
      <c r="T61" s="20" t="s">
        <v>761</v>
      </c>
      <c r="U61" s="220" t="s">
        <v>793</v>
      </c>
      <c r="V61" s="221">
        <v>68</v>
      </c>
      <c r="W61" s="222"/>
    </row>
    <row r="62" spans="1:23" ht="18.75" hidden="1">
      <c r="A62" s="19">
        <f t="shared" ref="A62:A70" si="5">1+A61</f>
        <v>57</v>
      </c>
      <c r="B62" s="19"/>
      <c r="C62" s="19" t="s">
        <v>255</v>
      </c>
      <c r="D62" s="19" t="s">
        <v>794</v>
      </c>
      <c r="E62" s="19" t="s">
        <v>45</v>
      </c>
      <c r="F62" s="19">
        <v>0.44</v>
      </c>
      <c r="G62" s="19">
        <v>110</v>
      </c>
      <c r="H62" s="19">
        <v>44</v>
      </c>
      <c r="I62" s="19"/>
      <c r="J62" s="19"/>
      <c r="K62" s="19">
        <v>44</v>
      </c>
      <c r="L62" s="19"/>
      <c r="M62" s="19"/>
      <c r="N62" s="19"/>
      <c r="O62" s="19"/>
      <c r="P62" s="19"/>
      <c r="Q62" s="19">
        <f t="shared" ref="Q62:Q71" si="6">+Q61+H62</f>
        <v>4766</v>
      </c>
      <c r="R62" s="20"/>
      <c r="S62" s="20"/>
      <c r="T62" s="20" t="s">
        <v>761</v>
      </c>
      <c r="U62" s="220" t="s">
        <v>795</v>
      </c>
      <c r="V62" s="221">
        <v>44</v>
      </c>
      <c r="W62" s="222"/>
    </row>
    <row r="63" spans="1:23" ht="18.75" hidden="1">
      <c r="A63" s="19">
        <f t="shared" si="5"/>
        <v>58</v>
      </c>
      <c r="B63" s="19"/>
      <c r="C63" s="19" t="s">
        <v>234</v>
      </c>
      <c r="D63" s="19" t="s">
        <v>235</v>
      </c>
      <c r="E63" s="19" t="s">
        <v>45</v>
      </c>
      <c r="F63" s="19">
        <v>0.44</v>
      </c>
      <c r="G63" s="19">
        <v>110</v>
      </c>
      <c r="H63" s="19">
        <v>11</v>
      </c>
      <c r="I63" s="19"/>
      <c r="J63" s="19"/>
      <c r="K63" s="19">
        <v>11</v>
      </c>
      <c r="L63" s="19"/>
      <c r="M63" s="19"/>
      <c r="N63" s="19"/>
      <c r="O63" s="19"/>
      <c r="P63" s="19"/>
      <c r="Q63" s="19">
        <f t="shared" si="6"/>
        <v>4777</v>
      </c>
      <c r="R63" s="20"/>
      <c r="S63" s="20"/>
      <c r="T63" s="20" t="s">
        <v>761</v>
      </c>
      <c r="U63" s="220" t="s">
        <v>796</v>
      </c>
      <c r="V63" s="221">
        <v>11</v>
      </c>
      <c r="W63" s="222"/>
    </row>
    <row r="64" spans="1:23" ht="18.75" hidden="1">
      <c r="A64" s="19">
        <f t="shared" si="5"/>
        <v>59</v>
      </c>
      <c r="B64" s="19"/>
      <c r="C64" s="19" t="s">
        <v>235</v>
      </c>
      <c r="D64" s="19" t="s">
        <v>270</v>
      </c>
      <c r="E64" s="19" t="s">
        <v>45</v>
      </c>
      <c r="F64" s="19">
        <v>0.44</v>
      </c>
      <c r="G64" s="19">
        <v>110</v>
      </c>
      <c r="H64" s="19">
        <v>83</v>
      </c>
      <c r="I64" s="19"/>
      <c r="J64" s="19"/>
      <c r="K64" s="19">
        <v>83</v>
      </c>
      <c r="L64" s="19"/>
      <c r="M64" s="19"/>
      <c r="N64" s="19"/>
      <c r="O64" s="19"/>
      <c r="P64" s="19"/>
      <c r="Q64" s="19">
        <f t="shared" si="6"/>
        <v>4860</v>
      </c>
      <c r="R64" s="20"/>
      <c r="S64" s="20"/>
      <c r="T64" s="20" t="s">
        <v>761</v>
      </c>
      <c r="U64" s="220" t="s">
        <v>793</v>
      </c>
      <c r="V64" s="221">
        <v>83</v>
      </c>
      <c r="W64" s="222"/>
    </row>
    <row r="65" spans="1:32" ht="18.75" hidden="1">
      <c r="A65" s="19">
        <f t="shared" si="5"/>
        <v>60</v>
      </c>
      <c r="B65" s="19"/>
      <c r="C65" s="19" t="s">
        <v>270</v>
      </c>
      <c r="D65" s="19" t="s">
        <v>253</v>
      </c>
      <c r="E65" s="19" t="s">
        <v>769</v>
      </c>
      <c r="F65" s="20"/>
      <c r="G65" s="19">
        <v>110</v>
      </c>
      <c r="H65" s="19">
        <v>176</v>
      </c>
      <c r="I65" s="19"/>
      <c r="J65" s="19"/>
      <c r="K65" s="19">
        <v>176</v>
      </c>
      <c r="L65" s="19"/>
      <c r="M65" s="19"/>
      <c r="N65" s="19"/>
      <c r="O65" s="19"/>
      <c r="P65" s="19"/>
      <c r="Q65" s="19">
        <f t="shared" si="6"/>
        <v>5036</v>
      </c>
      <c r="R65" s="20"/>
      <c r="S65" s="20"/>
      <c r="T65" s="20" t="s">
        <v>761</v>
      </c>
      <c r="U65" s="220"/>
      <c r="V65" s="221"/>
      <c r="W65" s="222"/>
    </row>
    <row r="66" spans="1:32" ht="18.75" hidden="1">
      <c r="A66" s="19">
        <f t="shared" si="5"/>
        <v>61</v>
      </c>
      <c r="B66" s="19"/>
      <c r="C66" s="19" t="s">
        <v>253</v>
      </c>
      <c r="D66" s="19" t="s">
        <v>272</v>
      </c>
      <c r="E66" s="19" t="s">
        <v>769</v>
      </c>
      <c r="F66" s="20"/>
      <c r="G66" s="19">
        <v>110</v>
      </c>
      <c r="H66" s="19">
        <v>57</v>
      </c>
      <c r="I66" s="19"/>
      <c r="J66" s="19"/>
      <c r="K66" s="19">
        <v>57</v>
      </c>
      <c r="L66" s="19"/>
      <c r="M66" s="19"/>
      <c r="N66" s="19"/>
      <c r="O66" s="19"/>
      <c r="P66" s="19"/>
      <c r="Q66" s="19">
        <f t="shared" si="6"/>
        <v>5093</v>
      </c>
      <c r="R66" s="20"/>
      <c r="S66" s="20"/>
      <c r="T66" s="20" t="s">
        <v>761</v>
      </c>
      <c r="U66" s="220" t="s">
        <v>793</v>
      </c>
      <c r="V66" s="221"/>
      <c r="W66" s="222"/>
    </row>
    <row r="67" spans="1:32" ht="18.75">
      <c r="A67" s="19">
        <f t="shared" si="5"/>
        <v>62</v>
      </c>
      <c r="B67" s="19"/>
      <c r="C67" s="19" t="s">
        <v>272</v>
      </c>
      <c r="D67" s="19" t="s">
        <v>358</v>
      </c>
      <c r="E67" s="19" t="s">
        <v>765</v>
      </c>
      <c r="F67" s="19">
        <v>0.44</v>
      </c>
      <c r="G67" s="19">
        <v>110</v>
      </c>
      <c r="H67" s="19">
        <v>31</v>
      </c>
      <c r="I67" s="19"/>
      <c r="J67" s="19"/>
      <c r="K67" s="19">
        <v>31</v>
      </c>
      <c r="L67" s="19"/>
      <c r="M67" s="19"/>
      <c r="N67" s="19"/>
      <c r="O67" s="19"/>
      <c r="P67" s="19"/>
      <c r="Q67" s="19">
        <f t="shared" si="6"/>
        <v>5124</v>
      </c>
      <c r="R67" s="20"/>
      <c r="S67" s="20"/>
      <c r="T67" s="20" t="s">
        <v>761</v>
      </c>
      <c r="U67" s="220" t="s">
        <v>793</v>
      </c>
      <c r="V67" s="221">
        <v>31</v>
      </c>
      <c r="W67" s="222"/>
    </row>
    <row r="68" spans="1:32" ht="18.75" hidden="1">
      <c r="A68" s="19">
        <f t="shared" si="5"/>
        <v>63</v>
      </c>
      <c r="B68" s="19"/>
      <c r="C68" s="19" t="s">
        <v>358</v>
      </c>
      <c r="D68" s="19" t="s">
        <v>360</v>
      </c>
      <c r="E68" s="19" t="s">
        <v>45</v>
      </c>
      <c r="F68" s="19">
        <v>0.44</v>
      </c>
      <c r="G68" s="19">
        <v>110</v>
      </c>
      <c r="H68" s="19">
        <v>37</v>
      </c>
      <c r="I68" s="19"/>
      <c r="J68" s="19"/>
      <c r="K68" s="19">
        <v>37</v>
      </c>
      <c r="L68" s="19"/>
      <c r="M68" s="19"/>
      <c r="N68" s="19"/>
      <c r="O68" s="19"/>
      <c r="P68" s="19"/>
      <c r="Q68" s="19">
        <f t="shared" si="6"/>
        <v>5161</v>
      </c>
      <c r="R68" s="20"/>
      <c r="S68" s="20"/>
      <c r="T68" s="20" t="s">
        <v>761</v>
      </c>
      <c r="U68" s="220" t="s">
        <v>793</v>
      </c>
      <c r="V68" s="221">
        <v>37</v>
      </c>
      <c r="W68" s="222"/>
    </row>
    <row r="69" spans="1:32" ht="18.75">
      <c r="A69" s="19">
        <f t="shared" si="5"/>
        <v>64</v>
      </c>
      <c r="B69" s="19"/>
      <c r="C69" s="19" t="s">
        <v>358</v>
      </c>
      <c r="D69" s="19" t="s">
        <v>360</v>
      </c>
      <c r="E69" s="19" t="s">
        <v>765</v>
      </c>
      <c r="F69" s="19">
        <v>0.44</v>
      </c>
      <c r="G69" s="19">
        <v>110</v>
      </c>
      <c r="H69" s="19">
        <v>29</v>
      </c>
      <c r="I69" s="19"/>
      <c r="J69" s="19"/>
      <c r="K69" s="19">
        <v>29</v>
      </c>
      <c r="L69" s="19"/>
      <c r="M69" s="19"/>
      <c r="N69" s="19"/>
      <c r="O69" s="19"/>
      <c r="P69" s="19"/>
      <c r="Q69" s="19">
        <f t="shared" si="6"/>
        <v>5190</v>
      </c>
      <c r="R69" s="20"/>
      <c r="S69" s="20"/>
      <c r="T69" s="20" t="s">
        <v>761</v>
      </c>
      <c r="U69" s="220"/>
      <c r="V69" s="221">
        <v>29</v>
      </c>
      <c r="W69" s="222"/>
    </row>
    <row r="70" spans="1:32" ht="18.75" hidden="1">
      <c r="A70" s="19">
        <f t="shared" si="5"/>
        <v>65</v>
      </c>
      <c r="B70" s="19"/>
      <c r="C70" s="19" t="s">
        <v>360</v>
      </c>
      <c r="D70" s="19" t="s">
        <v>443</v>
      </c>
      <c r="E70" s="19" t="s">
        <v>769</v>
      </c>
      <c r="F70" s="20"/>
      <c r="G70" s="19">
        <v>110</v>
      </c>
      <c r="H70" s="19">
        <v>47</v>
      </c>
      <c r="I70" s="19"/>
      <c r="J70" s="19"/>
      <c r="K70" s="19">
        <v>47</v>
      </c>
      <c r="L70" s="19"/>
      <c r="M70" s="19"/>
      <c r="N70" s="19"/>
      <c r="O70" s="19"/>
      <c r="P70" s="19"/>
      <c r="Q70" s="19">
        <f t="shared" si="6"/>
        <v>5237</v>
      </c>
      <c r="R70" s="20"/>
      <c r="S70" s="20"/>
      <c r="T70" s="20" t="s">
        <v>761</v>
      </c>
      <c r="U70" s="220" t="s">
        <v>793</v>
      </c>
      <c r="V70" s="221"/>
      <c r="W70" s="222"/>
    </row>
    <row r="71" spans="1:32" ht="18.75" hidden="1">
      <c r="A71" s="19">
        <f t="shared" ref="A71:A76" si="7">1+A70</f>
        <v>66</v>
      </c>
      <c r="B71" s="19"/>
      <c r="C71" s="19" t="s">
        <v>443</v>
      </c>
      <c r="D71" s="19" t="s">
        <v>362</v>
      </c>
      <c r="E71" s="19" t="s">
        <v>769</v>
      </c>
      <c r="F71" s="20"/>
      <c r="G71" s="19">
        <v>110</v>
      </c>
      <c r="H71" s="19">
        <v>73</v>
      </c>
      <c r="I71" s="19"/>
      <c r="J71" s="19"/>
      <c r="K71" s="19">
        <v>73</v>
      </c>
      <c r="L71" s="19"/>
      <c r="M71" s="19"/>
      <c r="N71" s="19"/>
      <c r="O71" s="19"/>
      <c r="P71" s="19"/>
      <c r="Q71" s="19">
        <f t="shared" si="6"/>
        <v>5310</v>
      </c>
      <c r="R71" s="20"/>
      <c r="S71" s="20"/>
      <c r="T71" s="20" t="s">
        <v>761</v>
      </c>
      <c r="U71" s="220" t="s">
        <v>797</v>
      </c>
      <c r="V71" s="221"/>
      <c r="W71" s="222"/>
    </row>
    <row r="72" spans="1:32" ht="18.75" hidden="1">
      <c r="A72" s="19">
        <f t="shared" si="7"/>
        <v>67</v>
      </c>
      <c r="B72" s="19"/>
      <c r="C72" s="19" t="s">
        <v>443</v>
      </c>
      <c r="D72" s="19" t="s">
        <v>362</v>
      </c>
      <c r="E72" s="19" t="s">
        <v>763</v>
      </c>
      <c r="F72" s="19">
        <v>0.39</v>
      </c>
      <c r="G72" s="19">
        <v>110</v>
      </c>
      <c r="H72" s="19">
        <v>3</v>
      </c>
      <c r="I72" s="19"/>
      <c r="J72" s="19"/>
      <c r="K72" s="19">
        <v>3</v>
      </c>
      <c r="L72" s="19"/>
      <c r="M72" s="19"/>
      <c r="N72" s="19"/>
      <c r="O72" s="19"/>
      <c r="P72" s="19"/>
      <c r="Q72" s="19">
        <f t="shared" ref="Q72:Q76" si="8">+Q71+H72</f>
        <v>5313</v>
      </c>
      <c r="R72" s="20"/>
      <c r="S72" s="20"/>
      <c r="T72" s="20" t="s">
        <v>761</v>
      </c>
      <c r="U72" s="220"/>
      <c r="V72" s="221"/>
      <c r="W72" s="222"/>
    </row>
    <row r="73" spans="1:32" ht="18.75" hidden="1">
      <c r="A73" s="19">
        <f t="shared" si="7"/>
        <v>68</v>
      </c>
      <c r="B73" s="19"/>
      <c r="C73" s="19" t="s">
        <v>362</v>
      </c>
      <c r="D73" s="19" t="s">
        <v>281</v>
      </c>
      <c r="E73" s="19" t="s">
        <v>769</v>
      </c>
      <c r="F73" s="20"/>
      <c r="G73" s="19">
        <v>110</v>
      </c>
      <c r="H73" s="19">
        <v>109</v>
      </c>
      <c r="I73" s="19"/>
      <c r="J73" s="19"/>
      <c r="K73" s="19">
        <v>109</v>
      </c>
      <c r="L73" s="19"/>
      <c r="M73" s="19"/>
      <c r="N73" s="19"/>
      <c r="O73" s="19"/>
      <c r="P73" s="19"/>
      <c r="Q73" s="19">
        <f t="shared" si="8"/>
        <v>5422</v>
      </c>
      <c r="R73" s="20"/>
      <c r="S73" s="20"/>
      <c r="T73" s="20" t="s">
        <v>761</v>
      </c>
      <c r="U73" s="220" t="s">
        <v>798</v>
      </c>
      <c r="V73" s="221"/>
      <c r="W73" s="222"/>
    </row>
    <row r="74" spans="1:32" ht="18.75" hidden="1">
      <c r="A74" s="19">
        <f t="shared" si="7"/>
        <v>69</v>
      </c>
      <c r="B74" s="19"/>
      <c r="C74" s="19" t="s">
        <v>281</v>
      </c>
      <c r="D74" s="19" t="s">
        <v>521</v>
      </c>
      <c r="E74" s="19" t="s">
        <v>769</v>
      </c>
      <c r="F74" s="20"/>
      <c r="G74" s="19">
        <v>110</v>
      </c>
      <c r="H74" s="19">
        <v>170</v>
      </c>
      <c r="I74" s="19"/>
      <c r="J74" s="19"/>
      <c r="K74" s="19">
        <v>170</v>
      </c>
      <c r="L74" s="19"/>
      <c r="M74" s="19"/>
      <c r="N74" s="19"/>
      <c r="O74" s="19"/>
      <c r="P74" s="19"/>
      <c r="Q74" s="19">
        <f t="shared" si="8"/>
        <v>5592</v>
      </c>
      <c r="R74" s="20"/>
      <c r="S74" s="20"/>
      <c r="T74" s="20" t="s">
        <v>761</v>
      </c>
      <c r="U74" s="220"/>
      <c r="V74" s="221"/>
      <c r="W74" s="222"/>
    </row>
    <row r="75" spans="1:32" ht="18.75" hidden="1">
      <c r="A75" s="19">
        <f t="shared" si="7"/>
        <v>70</v>
      </c>
      <c r="B75" s="19"/>
      <c r="C75" s="19" t="s">
        <v>281</v>
      </c>
      <c r="D75" s="19" t="s">
        <v>521</v>
      </c>
      <c r="E75" s="19" t="s">
        <v>763</v>
      </c>
      <c r="F75" s="19">
        <v>0.44</v>
      </c>
      <c r="G75" s="19">
        <v>110</v>
      </c>
      <c r="H75" s="19">
        <v>3</v>
      </c>
      <c r="I75" s="19"/>
      <c r="J75" s="19"/>
      <c r="K75" s="19">
        <v>3</v>
      </c>
      <c r="L75" s="19"/>
      <c r="M75" s="19"/>
      <c r="N75" s="19"/>
      <c r="O75" s="19"/>
      <c r="P75" s="19"/>
      <c r="Q75" s="19">
        <f t="shared" si="8"/>
        <v>5595</v>
      </c>
      <c r="R75" s="20"/>
      <c r="S75" s="20"/>
      <c r="T75" s="20" t="s">
        <v>761</v>
      </c>
      <c r="U75" s="220"/>
      <c r="V75" s="221"/>
      <c r="W75" s="222"/>
    </row>
    <row r="76" spans="1:32" ht="18.75" hidden="1">
      <c r="A76" s="228">
        <f t="shared" si="7"/>
        <v>71</v>
      </c>
      <c r="B76" s="228"/>
      <c r="C76" s="228" t="s">
        <v>521</v>
      </c>
      <c r="D76" s="228" t="s">
        <v>625</v>
      </c>
      <c r="E76" s="228" t="s">
        <v>769</v>
      </c>
      <c r="F76" s="20"/>
      <c r="G76" s="19">
        <v>110</v>
      </c>
      <c r="H76" s="19">
        <v>53</v>
      </c>
      <c r="I76" s="19"/>
      <c r="J76" s="19"/>
      <c r="K76" s="19">
        <v>53</v>
      </c>
      <c r="L76" s="19"/>
      <c r="M76" s="19"/>
      <c r="N76" s="19"/>
      <c r="O76" s="228"/>
      <c r="P76" s="228"/>
      <c r="Q76" s="19">
        <f t="shared" si="8"/>
        <v>5648</v>
      </c>
      <c r="R76" s="20"/>
      <c r="S76" s="20"/>
      <c r="T76" s="20" t="s">
        <v>761</v>
      </c>
      <c r="U76" s="220" t="s">
        <v>799</v>
      </c>
      <c r="V76" s="221"/>
      <c r="W76" s="222"/>
      <c r="Z76" s="195">
        <v>8788</v>
      </c>
      <c r="AA76" s="195">
        <v>3444</v>
      </c>
      <c r="AB76" s="195">
        <v>2620</v>
      </c>
      <c r="AC76" s="257">
        <v>1493</v>
      </c>
      <c r="AD76" s="195">
        <v>48</v>
      </c>
      <c r="AE76" s="195">
        <v>3486</v>
      </c>
      <c r="AF76" s="195">
        <v>43</v>
      </c>
    </row>
    <row r="77" spans="1:32" ht="15.75" hidden="1">
      <c r="A77" s="229"/>
      <c r="B77" s="230"/>
      <c r="C77" s="230"/>
      <c r="D77" s="230"/>
      <c r="E77" s="230"/>
      <c r="F77" s="230"/>
      <c r="G77" s="231"/>
      <c r="R77" s="19">
        <f>+SUM(B79:H79)</f>
        <v>9594</v>
      </c>
      <c r="S77" s="19">
        <f>+SUM(C79:I79)</f>
        <v>8643</v>
      </c>
      <c r="T77" s="19">
        <f>+SUM(D79:I79)</f>
        <v>7692</v>
      </c>
      <c r="U77" s="250">
        <f>+SUM(L77:R77)</f>
        <v>9594</v>
      </c>
      <c r="V77" s="222"/>
      <c r="W77" s="222"/>
    </row>
    <row r="78" spans="1:32" ht="15.75" hidden="1">
      <c r="A78" s="6">
        <v>63</v>
      </c>
      <c r="B78" s="6">
        <v>75</v>
      </c>
      <c r="C78" s="6">
        <v>75</v>
      </c>
      <c r="D78" s="6">
        <v>90</v>
      </c>
      <c r="E78" s="6">
        <v>110</v>
      </c>
      <c r="F78" s="19">
        <v>140</v>
      </c>
      <c r="G78" s="6">
        <v>160</v>
      </c>
      <c r="H78" s="8"/>
      <c r="R78" s="60"/>
      <c r="S78" s="60"/>
      <c r="T78" s="60"/>
      <c r="U78" s="60"/>
      <c r="V78" s="222"/>
      <c r="W78" s="222"/>
    </row>
    <row r="79" spans="1:32" ht="18.75" hidden="1">
      <c r="A79" s="20">
        <f t="shared" ref="A79:G79" si="9">+SUMIF($G$6:$G$76,A78,$H$6:$H$76)</f>
        <v>2653</v>
      </c>
      <c r="B79" s="20">
        <f t="shared" si="9"/>
        <v>951</v>
      </c>
      <c r="C79" s="20">
        <f t="shared" si="9"/>
        <v>951</v>
      </c>
      <c r="D79" s="20">
        <f t="shared" si="9"/>
        <v>1050</v>
      </c>
      <c r="E79" s="20">
        <f t="shared" si="9"/>
        <v>994</v>
      </c>
      <c r="F79" s="20">
        <f t="shared" si="9"/>
        <v>0</v>
      </c>
      <c r="G79" s="20">
        <f t="shared" si="9"/>
        <v>0</v>
      </c>
      <c r="H79" s="19">
        <f>A79+C79++D79+E79+F79</f>
        <v>5648</v>
      </c>
      <c r="I79" s="244"/>
      <c r="M79" s="245"/>
      <c r="N79" s="245"/>
      <c r="O79" s="245"/>
      <c r="P79" s="245"/>
      <c r="Q79" s="226"/>
      <c r="R79" s="60"/>
      <c r="S79" s="60"/>
      <c r="T79" s="60"/>
      <c r="U79" s="60"/>
      <c r="V79" s="222"/>
      <c r="W79" s="222"/>
    </row>
    <row r="80" spans="1:32" ht="18" hidden="1">
      <c r="A80" s="232">
        <v>8788</v>
      </c>
      <c r="B80" s="232">
        <v>3444</v>
      </c>
      <c r="C80" s="232">
        <v>3444</v>
      </c>
      <c r="D80" s="232">
        <v>2620</v>
      </c>
      <c r="E80" s="232">
        <v>1493</v>
      </c>
      <c r="F80" s="232">
        <v>3486</v>
      </c>
      <c r="G80" s="232">
        <v>43</v>
      </c>
      <c r="H80" s="19">
        <f>+A80+C80+D80+E80+F80+G80</f>
        <v>19874</v>
      </c>
      <c r="I80" s="245"/>
      <c r="M80" s="245"/>
      <c r="N80" s="245"/>
      <c r="O80" s="245"/>
      <c r="P80" s="245"/>
      <c r="Q80" s="226"/>
      <c r="R80" s="60"/>
      <c r="S80" s="60"/>
      <c r="T80" s="60"/>
      <c r="U80" s="60"/>
      <c r="V80" s="222"/>
      <c r="W80" s="222"/>
      <c r="Y80">
        <v>63</v>
      </c>
      <c r="Z80">
        <f>+Z76</f>
        <v>8788</v>
      </c>
      <c r="AA80">
        <f>+A79+A154+A230</f>
        <v>5910</v>
      </c>
      <c r="AB80">
        <f>+Z80-AA80</f>
        <v>2878</v>
      </c>
    </row>
    <row r="81" spans="1:33" ht="18" hidden="1">
      <c r="A81" s="8" t="s">
        <v>366</v>
      </c>
      <c r="B81" s="8"/>
      <c r="C81" s="8"/>
      <c r="D81" s="8"/>
      <c r="E81" s="8"/>
      <c r="F81" s="8" t="s">
        <v>367</v>
      </c>
      <c r="G81" s="8"/>
      <c r="H81" s="8"/>
      <c r="I81" s="8"/>
      <c r="J81" s="78" t="s">
        <v>367</v>
      </c>
      <c r="K81" s="78"/>
      <c r="L81" s="78"/>
      <c r="M81" s="78"/>
      <c r="N81" s="245"/>
      <c r="O81" s="245"/>
      <c r="P81" s="245"/>
      <c r="Q81" s="226"/>
      <c r="R81" s="60"/>
      <c r="S81" s="60"/>
      <c r="T81" s="60"/>
      <c r="U81" s="60"/>
      <c r="V81" s="222"/>
      <c r="W81" s="222"/>
      <c r="Y81">
        <v>75</v>
      </c>
      <c r="Z81">
        <f>+AA76</f>
        <v>3444</v>
      </c>
      <c r="AA81">
        <f>+C79+C154+C230</f>
        <v>2952</v>
      </c>
      <c r="AB81">
        <f t="shared" ref="AB81:AB86" si="10">+Z81-AA81</f>
        <v>492</v>
      </c>
    </row>
    <row r="82" spans="1:33" ht="18" hidden="1">
      <c r="A82" s="8" t="s">
        <v>368</v>
      </c>
      <c r="B82" s="79"/>
      <c r="C82" s="10"/>
      <c r="D82" s="29"/>
      <c r="E82" s="11"/>
      <c r="F82" s="8" t="s">
        <v>368</v>
      </c>
      <c r="G82" s="79"/>
      <c r="H82" s="5"/>
      <c r="I82" s="154"/>
      <c r="J82" s="8" t="s">
        <v>368</v>
      </c>
      <c r="K82" s="8"/>
      <c r="L82" s="10"/>
      <c r="M82" s="154"/>
      <c r="N82" s="245"/>
      <c r="O82" s="245"/>
      <c r="P82" s="245"/>
      <c r="Q82" s="226"/>
      <c r="R82" s="60"/>
      <c r="S82" s="60"/>
      <c r="T82" s="60"/>
      <c r="U82" s="60"/>
      <c r="V82" s="222"/>
      <c r="W82" s="222"/>
      <c r="Y82">
        <v>90</v>
      </c>
      <c r="Z82">
        <f>+AB76</f>
        <v>2620</v>
      </c>
      <c r="AA82">
        <f>+D79+D154+D230</f>
        <v>2476</v>
      </c>
      <c r="AB82">
        <f t="shared" si="10"/>
        <v>144</v>
      </c>
    </row>
    <row r="83" spans="1:33" ht="18" hidden="1">
      <c r="A83" s="8" t="s">
        <v>369</v>
      </c>
      <c r="B83" s="79"/>
      <c r="C83" s="10"/>
      <c r="D83" s="29"/>
      <c r="E83" s="11"/>
      <c r="F83" s="8" t="s">
        <v>369</v>
      </c>
      <c r="G83" s="10"/>
      <c r="H83" s="5"/>
      <c r="I83" s="11"/>
      <c r="J83" s="8" t="s">
        <v>369</v>
      </c>
      <c r="K83" s="10"/>
      <c r="L83" s="29"/>
      <c r="M83" s="11"/>
      <c r="N83" s="245"/>
      <c r="O83" s="245"/>
      <c r="P83" s="245"/>
      <c r="Q83" s="226"/>
      <c r="R83" s="60"/>
      <c r="S83" s="60"/>
      <c r="T83" s="60"/>
      <c r="U83" s="60"/>
      <c r="V83" s="222"/>
      <c r="W83" s="222"/>
      <c r="Y83">
        <v>110</v>
      </c>
      <c r="Z83">
        <f>+AC76</f>
        <v>1493</v>
      </c>
      <c r="AA83">
        <f>+E79+E230</f>
        <v>1086</v>
      </c>
      <c r="AB83">
        <f t="shared" si="10"/>
        <v>407</v>
      </c>
    </row>
    <row r="84" spans="1:33" ht="18" hidden="1">
      <c r="A84" s="8" t="s">
        <v>370</v>
      </c>
      <c r="B84" s="79"/>
      <c r="C84" s="10"/>
      <c r="D84" s="29"/>
      <c r="E84" s="11"/>
      <c r="F84" s="8" t="s">
        <v>370</v>
      </c>
      <c r="G84" s="79"/>
      <c r="H84" s="5"/>
      <c r="I84" s="11"/>
      <c r="J84" s="8" t="s">
        <v>370</v>
      </c>
      <c r="K84" s="8"/>
      <c r="L84" s="10"/>
      <c r="M84" s="11"/>
      <c r="N84" s="245"/>
      <c r="O84" s="245"/>
      <c r="P84" s="245"/>
      <c r="Q84" s="226"/>
      <c r="R84" s="60"/>
      <c r="S84" s="60"/>
      <c r="T84" s="60"/>
      <c r="U84" s="60"/>
      <c r="V84" s="222"/>
      <c r="W84" s="222"/>
      <c r="Y84">
        <v>125</v>
      </c>
      <c r="Z84">
        <f>+AD76</f>
        <v>48</v>
      </c>
      <c r="AA84">
        <f>+F230</f>
        <v>48</v>
      </c>
      <c r="AB84">
        <f t="shared" si="10"/>
        <v>0</v>
      </c>
    </row>
    <row r="85" spans="1:33">
      <c r="A85" s="60"/>
      <c r="B85" s="60"/>
      <c r="C85" s="60"/>
      <c r="D85" s="60"/>
      <c r="E85" s="60"/>
      <c r="F85" s="60"/>
      <c r="G85" s="60"/>
      <c r="H85" s="60"/>
      <c r="I85" s="60"/>
      <c r="J85" s="60"/>
      <c r="K85" s="60"/>
      <c r="L85" s="60"/>
      <c r="M85" s="60"/>
      <c r="N85" s="60"/>
      <c r="O85" s="60"/>
      <c r="P85" s="60"/>
      <c r="Q85" s="60"/>
      <c r="R85" s="60"/>
      <c r="S85" s="60"/>
      <c r="T85" s="60"/>
      <c r="U85" s="60"/>
      <c r="V85" s="60"/>
      <c r="W85" s="60"/>
      <c r="Y85">
        <v>140</v>
      </c>
      <c r="Z85">
        <f>+AE76</f>
        <v>3486</v>
      </c>
      <c r="AA85">
        <f>+F154+G230</f>
        <v>3402</v>
      </c>
      <c r="AB85">
        <f t="shared" si="10"/>
        <v>84</v>
      </c>
    </row>
    <row r="86" spans="1:33">
      <c r="N86" s="60"/>
      <c r="O86" s="60"/>
      <c r="P86" s="60"/>
      <c r="Q86" s="60"/>
      <c r="R86" s="60"/>
      <c r="S86" s="60"/>
      <c r="T86" s="60"/>
      <c r="U86" s="60"/>
      <c r="V86" s="60"/>
      <c r="W86" s="60"/>
      <c r="Y86">
        <v>160</v>
      </c>
      <c r="Z86">
        <f>+AF76</f>
        <v>43</v>
      </c>
      <c r="AB86">
        <f t="shared" si="10"/>
        <v>43</v>
      </c>
    </row>
    <row r="87" spans="1:33" ht="15.75">
      <c r="A87" s="233" t="s">
        <v>757</v>
      </c>
      <c r="B87" s="225" t="s">
        <v>758</v>
      </c>
      <c r="C87" s="225">
        <v>63</v>
      </c>
      <c r="D87" s="225">
        <v>75</v>
      </c>
      <c r="E87" s="225">
        <v>110</v>
      </c>
      <c r="F87" s="225">
        <v>125</v>
      </c>
      <c r="G87" s="225">
        <v>140</v>
      </c>
      <c r="H87" s="225">
        <v>160</v>
      </c>
      <c r="I87" s="225" t="s">
        <v>759</v>
      </c>
      <c r="N87" s="60"/>
      <c r="O87" s="60"/>
      <c r="P87" s="60"/>
      <c r="Q87" s="226"/>
      <c r="R87" s="60"/>
      <c r="S87" s="60"/>
      <c r="T87" s="60"/>
      <c r="U87" s="60"/>
      <c r="V87" s="60"/>
      <c r="W87" s="60"/>
    </row>
    <row r="88" spans="1:33" ht="15.75">
      <c r="A88" s="19" t="s">
        <v>765</v>
      </c>
      <c r="B88" s="8"/>
      <c r="C88" s="8">
        <f t="shared" ref="C88:H88" si="11">+SUMIFS($H$6:$H$76,$E$6:$E$76,$A$88,$G$6:$G$76,C87)</f>
        <v>34</v>
      </c>
      <c r="D88" s="8">
        <f t="shared" si="11"/>
        <v>0</v>
      </c>
      <c r="E88" s="8">
        <f t="shared" si="11"/>
        <v>60</v>
      </c>
      <c r="F88" s="8">
        <f t="shared" si="11"/>
        <v>0</v>
      </c>
      <c r="G88" s="8">
        <f t="shared" si="11"/>
        <v>0</v>
      </c>
      <c r="H88" s="8">
        <f t="shared" si="11"/>
        <v>0</v>
      </c>
      <c r="N88" s="60"/>
      <c r="O88" s="60"/>
      <c r="P88" s="60"/>
      <c r="Q88" s="60"/>
      <c r="R88" s="60"/>
      <c r="S88" s="60"/>
      <c r="T88" s="60"/>
      <c r="U88" s="60"/>
      <c r="V88" s="60"/>
      <c r="W88" s="60"/>
    </row>
    <row r="89" spans="1:33" ht="18.75">
      <c r="A89" s="19" t="s">
        <v>763</v>
      </c>
      <c r="B89" s="8"/>
      <c r="C89" s="8">
        <f t="shared" ref="C89:H89" si="12">+SUMIFS($H$6:$H$76,$E$6:$E$76,$A$89,$G$6:$G$76,C87)</f>
        <v>6</v>
      </c>
      <c r="D89" s="8">
        <f t="shared" si="12"/>
        <v>0</v>
      </c>
      <c r="E89" s="8">
        <f t="shared" si="12"/>
        <v>6</v>
      </c>
      <c r="F89" s="8">
        <f t="shared" si="12"/>
        <v>0</v>
      </c>
      <c r="G89" s="8">
        <f t="shared" si="12"/>
        <v>0</v>
      </c>
      <c r="H89" s="8">
        <f t="shared" si="12"/>
        <v>0</v>
      </c>
      <c r="N89" s="60"/>
      <c r="O89" s="60"/>
      <c r="P89" s="60"/>
      <c r="Q89" s="60"/>
      <c r="R89" s="60"/>
      <c r="S89" s="60"/>
      <c r="T89" s="60"/>
      <c r="U89" s="60"/>
      <c r="V89" s="60"/>
      <c r="W89" s="60"/>
      <c r="AB89" s="629" t="s">
        <v>742</v>
      </c>
      <c r="AC89" s="629"/>
      <c r="AD89" s="629"/>
      <c r="AE89" s="629"/>
    </row>
    <row r="90" spans="1:33" ht="72">
      <c r="A90" s="19" t="s">
        <v>45</v>
      </c>
      <c r="B90" s="234"/>
      <c r="C90" s="8">
        <f t="shared" ref="C90:H90" si="13">+SUMIFS($H$6:$H$76,$E$6:$E$76,$A$90,$G$6:$G$76,C87)</f>
        <v>352</v>
      </c>
      <c r="D90" s="8">
        <f t="shared" si="13"/>
        <v>66</v>
      </c>
      <c r="E90" s="8">
        <f t="shared" si="13"/>
        <v>243</v>
      </c>
      <c r="F90" s="8">
        <f t="shared" si="13"/>
        <v>0</v>
      </c>
      <c r="G90" s="8">
        <f t="shared" si="13"/>
        <v>0</v>
      </c>
      <c r="H90" s="8">
        <f t="shared" si="13"/>
        <v>0</v>
      </c>
      <c r="I90" s="60"/>
      <c r="J90" s="60"/>
      <c r="K90" s="60"/>
      <c r="L90" s="60"/>
      <c r="M90" s="60"/>
      <c r="N90" s="60"/>
      <c r="O90" s="60"/>
      <c r="P90" s="60"/>
      <c r="Q90" s="60"/>
      <c r="R90" s="60"/>
      <c r="S90" s="60"/>
      <c r="T90" s="60"/>
      <c r="U90" s="60"/>
      <c r="V90" s="60"/>
      <c r="W90" s="60"/>
      <c r="Y90" s="258" t="s">
        <v>448</v>
      </c>
      <c r="Z90" s="259" t="s">
        <v>180</v>
      </c>
      <c r="AA90" s="259" t="s">
        <v>13</v>
      </c>
      <c r="AB90" s="259" t="s">
        <v>181</v>
      </c>
      <c r="AC90" s="27" t="s">
        <v>449</v>
      </c>
      <c r="AD90" s="259" t="s">
        <v>744</v>
      </c>
      <c r="AE90" s="249" t="s">
        <v>184</v>
      </c>
      <c r="AF90" s="249" t="s">
        <v>800</v>
      </c>
      <c r="AG90" s="237" t="s">
        <v>745</v>
      </c>
    </row>
    <row r="91" spans="1:33" ht="15.75" hidden="1">
      <c r="A91" s="60"/>
      <c r="B91" s="60"/>
      <c r="C91" s="8">
        <f>+SUMIFS($H$6:$H$76,$E$6:$E$76,$A$90,$G$6:$G$76,C88)</f>
        <v>0</v>
      </c>
      <c r="D91" s="235" t="s">
        <v>758</v>
      </c>
      <c r="E91" s="235" t="s">
        <v>751</v>
      </c>
      <c r="F91" s="235" t="s">
        <v>752</v>
      </c>
      <c r="G91" s="235" t="s">
        <v>753</v>
      </c>
      <c r="H91" s="235" t="s">
        <v>754</v>
      </c>
      <c r="I91" s="246" t="s">
        <v>755</v>
      </c>
      <c r="J91" s="246" t="s">
        <v>756</v>
      </c>
      <c r="K91" s="246" t="s">
        <v>759</v>
      </c>
      <c r="L91" s="60"/>
      <c r="M91" s="60"/>
      <c r="N91" s="60"/>
      <c r="O91" s="60"/>
      <c r="P91" s="60"/>
      <c r="Q91" s="60"/>
      <c r="R91" s="60"/>
      <c r="S91" s="60"/>
      <c r="T91" s="60"/>
      <c r="U91" s="60"/>
      <c r="V91" s="60"/>
      <c r="W91" s="60"/>
      <c r="Y91" s="5"/>
      <c r="Z91" s="5"/>
      <c r="AA91" s="5"/>
      <c r="AB91" s="5"/>
      <c r="AC91" s="5"/>
      <c r="AD91" s="5"/>
      <c r="AE91" s="5"/>
      <c r="AF91" s="8"/>
    </row>
    <row r="92" spans="1:33" hidden="1">
      <c r="A92" s="60"/>
      <c r="B92" s="60"/>
      <c r="C92" s="8">
        <f>+SUMIFS($H$6:$H$76,$E$6:$E$76,$A$90,$G$6:$G$76,C89)</f>
        <v>0</v>
      </c>
      <c r="D92" s="70">
        <f t="shared" ref="D92:J95" si="14">+SUMIF($E$6:$E$76,$C92,H$6:H$76)</f>
        <v>0</v>
      </c>
      <c r="E92" s="70">
        <f t="shared" si="14"/>
        <v>0</v>
      </c>
      <c r="F92" s="70">
        <f t="shared" si="14"/>
        <v>0</v>
      </c>
      <c r="G92" s="70">
        <f t="shared" si="14"/>
        <v>0</v>
      </c>
      <c r="H92" s="70">
        <f t="shared" si="14"/>
        <v>0</v>
      </c>
      <c r="I92" s="70">
        <f t="shared" si="14"/>
        <v>0</v>
      </c>
      <c r="J92" s="70">
        <f t="shared" si="14"/>
        <v>0</v>
      </c>
      <c r="K92" s="70">
        <f>+SUM(D92:J92)</f>
        <v>0</v>
      </c>
      <c r="L92" s="60"/>
      <c r="M92" s="60"/>
      <c r="N92" s="60"/>
      <c r="O92" s="60"/>
      <c r="P92" s="60"/>
      <c r="Q92" s="60"/>
      <c r="R92" s="60"/>
      <c r="S92" s="60"/>
      <c r="T92" s="60"/>
      <c r="U92" s="60"/>
      <c r="V92" s="60"/>
      <c r="W92" s="60"/>
      <c r="Y92" s="5"/>
      <c r="Z92" s="5"/>
      <c r="AA92" s="5"/>
      <c r="AB92" s="5"/>
      <c r="AC92" s="5"/>
      <c r="AD92" s="5"/>
      <c r="AE92" s="5"/>
      <c r="AF92" s="8"/>
    </row>
    <row r="93" spans="1:33" hidden="1">
      <c r="A93" s="60"/>
      <c r="B93" s="60"/>
      <c r="C93" s="8">
        <f>+SUMIFS($H$6:$H$76,$E$6:$E$76,$A$90,$G$6:$G$76,C90)</f>
        <v>0</v>
      </c>
      <c r="D93" s="70">
        <f t="shared" si="14"/>
        <v>0</v>
      </c>
      <c r="E93" s="70">
        <f t="shared" si="14"/>
        <v>0</v>
      </c>
      <c r="F93" s="70">
        <f t="shared" si="14"/>
        <v>0</v>
      </c>
      <c r="G93" s="70">
        <f t="shared" si="14"/>
        <v>0</v>
      </c>
      <c r="H93" s="70">
        <f t="shared" si="14"/>
        <v>0</v>
      </c>
      <c r="I93" s="70">
        <f t="shared" si="14"/>
        <v>0</v>
      </c>
      <c r="J93" s="70">
        <f t="shared" si="14"/>
        <v>0</v>
      </c>
      <c r="K93" s="70">
        <f>+SUM(D93:J93)</f>
        <v>0</v>
      </c>
      <c r="L93" s="60"/>
      <c r="M93" s="60"/>
      <c r="N93" s="60"/>
      <c r="O93" s="60"/>
      <c r="P93" s="60"/>
      <c r="Q93" s="60"/>
      <c r="R93" s="60"/>
      <c r="S93" s="60"/>
      <c r="T93" s="60"/>
      <c r="U93" s="60"/>
      <c r="V93" s="60"/>
      <c r="W93" s="60"/>
      <c r="Y93" s="5"/>
      <c r="Z93" s="5"/>
      <c r="AA93" s="5"/>
      <c r="AB93" s="5"/>
      <c r="AC93" s="5"/>
      <c r="AD93" s="5"/>
      <c r="AE93" s="5"/>
      <c r="AF93" s="8"/>
    </row>
    <row r="94" spans="1:33" hidden="1">
      <c r="A94" s="60"/>
      <c r="B94" s="60"/>
      <c r="C94" s="8">
        <f>+SUMIFS($H$6:$H$76,$E$6:$E$76,$A$90,$G$6:$G$76,C91)</f>
        <v>0</v>
      </c>
      <c r="D94" s="70">
        <f t="shared" si="14"/>
        <v>0</v>
      </c>
      <c r="E94" s="70">
        <f t="shared" si="14"/>
        <v>0</v>
      </c>
      <c r="F94" s="70">
        <f t="shared" si="14"/>
        <v>0</v>
      </c>
      <c r="G94" s="70">
        <f t="shared" si="14"/>
        <v>0</v>
      </c>
      <c r="H94" s="70">
        <f t="shared" si="14"/>
        <v>0</v>
      </c>
      <c r="I94" s="70">
        <f t="shared" si="14"/>
        <v>0</v>
      </c>
      <c r="J94" s="70">
        <f t="shared" si="14"/>
        <v>0</v>
      </c>
      <c r="K94" s="70">
        <f>+SUM(D94:J94)</f>
        <v>0</v>
      </c>
      <c r="L94" s="60"/>
      <c r="M94" s="60"/>
      <c r="N94" s="60"/>
      <c r="O94" s="60"/>
      <c r="P94" s="60"/>
      <c r="Q94" s="60"/>
      <c r="R94" s="60"/>
      <c r="S94" s="60"/>
      <c r="T94" s="60"/>
      <c r="U94" s="60"/>
      <c r="V94" s="60"/>
      <c r="W94" s="60"/>
      <c r="Y94" s="5"/>
      <c r="Z94" s="5"/>
      <c r="AA94" s="5"/>
      <c r="AB94" s="5"/>
      <c r="AC94" s="5"/>
      <c r="AD94" s="5"/>
      <c r="AE94" s="5"/>
      <c r="AF94" s="8"/>
    </row>
    <row r="95" spans="1:33" hidden="1">
      <c r="A95" s="60"/>
      <c r="B95" s="60"/>
      <c r="C95" s="8">
        <f>+SUMIFS($H$6:$H$76,$E$6:$E$76,$A$90,$G$6:$G$76,C92)</f>
        <v>0</v>
      </c>
      <c r="D95" s="70">
        <f t="shared" si="14"/>
        <v>0</v>
      </c>
      <c r="E95" s="70">
        <f t="shared" si="14"/>
        <v>0</v>
      </c>
      <c r="F95" s="70">
        <f t="shared" si="14"/>
        <v>0</v>
      </c>
      <c r="G95" s="70">
        <f t="shared" si="14"/>
        <v>0</v>
      </c>
      <c r="H95" s="70">
        <f t="shared" si="14"/>
        <v>0</v>
      </c>
      <c r="I95" s="70">
        <f t="shared" si="14"/>
        <v>0</v>
      </c>
      <c r="J95" s="70">
        <f t="shared" si="14"/>
        <v>0</v>
      </c>
      <c r="K95" s="70">
        <f>+SUM(D95:J95)</f>
        <v>0</v>
      </c>
      <c r="L95" s="60"/>
      <c r="M95" s="60"/>
      <c r="N95" s="60"/>
      <c r="O95" s="60"/>
      <c r="P95" s="60"/>
      <c r="Q95" s="60"/>
      <c r="R95" s="60"/>
      <c r="S95" s="60"/>
      <c r="T95" s="60"/>
      <c r="U95" s="60"/>
      <c r="V95" s="60"/>
      <c r="W95" s="60"/>
      <c r="Y95" s="5"/>
      <c r="Z95" s="5"/>
      <c r="AA95" s="5"/>
      <c r="AB95" s="5"/>
      <c r="AC95" s="5"/>
      <c r="AD95" s="5"/>
      <c r="AE95" s="5"/>
      <c r="AF95" s="8"/>
    </row>
    <row r="96" spans="1:33" ht="15.75">
      <c r="A96" s="19" t="s">
        <v>764</v>
      </c>
      <c r="C96" s="8">
        <f t="shared" ref="C96:H96" si="15">+SUMIFS($H$6:$H$76,$E$6:$E$76,$A$96,$G$6:$G$76,C87)</f>
        <v>168</v>
      </c>
      <c r="D96" s="8">
        <f t="shared" si="15"/>
        <v>0</v>
      </c>
      <c r="E96" s="8">
        <f t="shared" si="15"/>
        <v>0</v>
      </c>
      <c r="F96" s="8">
        <f t="shared" si="15"/>
        <v>0</v>
      </c>
      <c r="G96" s="8">
        <f t="shared" si="15"/>
        <v>0</v>
      </c>
      <c r="H96" s="8">
        <f t="shared" si="15"/>
        <v>0</v>
      </c>
      <c r="Y96" s="5">
        <v>1</v>
      </c>
      <c r="Z96" s="19" t="s">
        <v>234</v>
      </c>
      <c r="AA96" s="19" t="s">
        <v>255</v>
      </c>
      <c r="AB96" s="19" t="s">
        <v>45</v>
      </c>
      <c r="AC96" s="19">
        <v>0.44</v>
      </c>
      <c r="AD96" s="19">
        <v>110</v>
      </c>
      <c r="AE96" s="19">
        <v>68</v>
      </c>
      <c r="AF96" s="19">
        <v>68</v>
      </c>
    </row>
    <row r="97" spans="1:32" ht="15.75">
      <c r="Y97" s="5">
        <f>1+Y96</f>
        <v>2</v>
      </c>
      <c r="Z97" s="19" t="s">
        <v>255</v>
      </c>
      <c r="AA97" s="19" t="s">
        <v>794</v>
      </c>
      <c r="AB97" s="19" t="s">
        <v>45</v>
      </c>
      <c r="AC97" s="19">
        <v>0.44</v>
      </c>
      <c r="AD97" s="19">
        <v>110</v>
      </c>
      <c r="AE97" s="19">
        <v>44</v>
      </c>
      <c r="AF97" s="5">
        <f>+AF96+AE97</f>
        <v>112</v>
      </c>
    </row>
    <row r="98" spans="1:32" ht="15.75">
      <c r="Y98" s="5">
        <f t="shared" ref="Y98:Y130" si="16">1+Y97</f>
        <v>3</v>
      </c>
      <c r="Z98" s="19" t="s">
        <v>234</v>
      </c>
      <c r="AA98" s="19" t="s">
        <v>235</v>
      </c>
      <c r="AB98" s="19" t="s">
        <v>45</v>
      </c>
      <c r="AC98" s="19">
        <v>0.44</v>
      </c>
      <c r="AD98" s="19">
        <v>110</v>
      </c>
      <c r="AE98" s="19">
        <v>11</v>
      </c>
      <c r="AF98" s="5">
        <f t="shared" ref="AF98:AF130" si="17">+AF97+AE98</f>
        <v>123</v>
      </c>
    </row>
    <row r="99" spans="1:32" ht="15" customHeight="1">
      <c r="A99" s="617" t="s">
        <v>742</v>
      </c>
      <c r="B99" s="618"/>
      <c r="C99" s="618"/>
      <c r="D99" s="618"/>
      <c r="E99" s="618"/>
      <c r="F99" s="618"/>
      <c r="G99" s="618"/>
      <c r="H99" s="618"/>
      <c r="I99" s="618"/>
      <c r="J99" s="618"/>
      <c r="K99" s="618"/>
      <c r="L99" s="618"/>
      <c r="M99" s="618"/>
      <c r="N99" s="618"/>
      <c r="O99" s="618"/>
      <c r="P99" s="618"/>
      <c r="Q99" s="618"/>
      <c r="R99" s="251"/>
      <c r="S99" s="251"/>
      <c r="T99" s="251"/>
      <c r="U99" s="251"/>
      <c r="V99" s="251"/>
      <c r="W99" s="252"/>
      <c r="Y99" s="5">
        <f t="shared" si="16"/>
        <v>4</v>
      </c>
      <c r="Z99" s="19" t="s">
        <v>235</v>
      </c>
      <c r="AA99" s="19" t="s">
        <v>270</v>
      </c>
      <c r="AB99" s="19" t="s">
        <v>45</v>
      </c>
      <c r="AC99" s="19">
        <v>0.44</v>
      </c>
      <c r="AD99" s="19">
        <v>110</v>
      </c>
      <c r="AE99" s="19">
        <v>83</v>
      </c>
      <c r="AF99" s="5">
        <f t="shared" si="17"/>
        <v>206</v>
      </c>
    </row>
    <row r="100" spans="1:32" ht="15" customHeight="1">
      <c r="A100" s="619"/>
      <c r="B100" s="620"/>
      <c r="C100" s="620"/>
      <c r="D100" s="620"/>
      <c r="E100" s="620"/>
      <c r="F100" s="620"/>
      <c r="G100" s="620"/>
      <c r="H100" s="620"/>
      <c r="I100" s="620"/>
      <c r="J100" s="620"/>
      <c r="K100" s="620"/>
      <c r="L100" s="620"/>
      <c r="M100" s="620"/>
      <c r="N100" s="620"/>
      <c r="O100" s="620"/>
      <c r="P100" s="620"/>
      <c r="Q100" s="620"/>
      <c r="R100" s="252"/>
      <c r="S100" s="252"/>
      <c r="T100" s="252"/>
      <c r="U100" s="252"/>
      <c r="V100" s="252"/>
      <c r="W100" s="252"/>
      <c r="Y100" s="5">
        <f t="shared" si="16"/>
        <v>5</v>
      </c>
      <c r="Z100" s="19" t="s">
        <v>270</v>
      </c>
      <c r="AA100" s="19" t="s">
        <v>253</v>
      </c>
      <c r="AB100" s="19" t="s">
        <v>769</v>
      </c>
      <c r="AC100" s="20"/>
      <c r="AD100" s="19">
        <v>110</v>
      </c>
      <c r="AE100" s="19">
        <v>176</v>
      </c>
      <c r="AF100" s="5">
        <f t="shared" si="17"/>
        <v>382</v>
      </c>
    </row>
    <row r="101" spans="1:32" ht="18" customHeight="1">
      <c r="A101" s="621"/>
      <c r="B101" s="622"/>
      <c r="C101" s="622"/>
      <c r="D101" s="622"/>
      <c r="E101" s="622"/>
      <c r="F101" s="622"/>
      <c r="G101" s="622"/>
      <c r="H101" s="622"/>
      <c r="I101" s="622"/>
      <c r="J101" s="622"/>
      <c r="K101" s="622"/>
      <c r="L101" s="622"/>
      <c r="M101" s="622"/>
      <c r="N101" s="622"/>
      <c r="O101" s="622"/>
      <c r="P101" s="622"/>
      <c r="Q101" s="622"/>
      <c r="R101" s="253"/>
      <c r="S101" s="253"/>
      <c r="T101" s="253"/>
      <c r="U101" s="253"/>
      <c r="V101" s="253"/>
      <c r="W101" s="252"/>
      <c r="Y101" s="5">
        <f t="shared" si="16"/>
        <v>6</v>
      </c>
      <c r="Z101" s="19" t="s">
        <v>253</v>
      </c>
      <c r="AA101" s="19" t="s">
        <v>272</v>
      </c>
      <c r="AB101" s="19" t="s">
        <v>769</v>
      </c>
      <c r="AC101" s="20"/>
      <c r="AD101" s="19">
        <v>110</v>
      </c>
      <c r="AE101" s="19">
        <v>57</v>
      </c>
      <c r="AF101" s="5">
        <f t="shared" si="17"/>
        <v>439</v>
      </c>
    </row>
    <row r="102" spans="1:32" ht="18" customHeight="1">
      <c r="A102" s="236" t="s">
        <v>448</v>
      </c>
      <c r="B102" s="236" t="s">
        <v>743</v>
      </c>
      <c r="C102" s="237" t="s">
        <v>180</v>
      </c>
      <c r="D102" s="237" t="s">
        <v>13</v>
      </c>
      <c r="E102" s="237" t="s">
        <v>181</v>
      </c>
      <c r="F102" s="238" t="s">
        <v>449</v>
      </c>
      <c r="G102" s="237" t="s">
        <v>744</v>
      </c>
      <c r="H102" s="239" t="s">
        <v>184</v>
      </c>
      <c r="I102" s="247"/>
      <c r="J102" s="247"/>
      <c r="K102" s="247"/>
      <c r="L102" s="247"/>
      <c r="M102" s="247"/>
      <c r="N102" s="248"/>
      <c r="O102" s="249"/>
      <c r="P102" s="249"/>
      <c r="Q102" s="237" t="s">
        <v>745</v>
      </c>
      <c r="R102" s="237" t="s">
        <v>746</v>
      </c>
      <c r="S102" s="237" t="s">
        <v>747</v>
      </c>
      <c r="T102" s="237" t="s">
        <v>748</v>
      </c>
      <c r="U102" s="237" t="s">
        <v>749</v>
      </c>
      <c r="V102" s="254" t="s">
        <v>750</v>
      </c>
      <c r="W102" s="255"/>
      <c r="Y102" s="5">
        <f t="shared" si="16"/>
        <v>7</v>
      </c>
      <c r="Z102" s="19" t="s">
        <v>272</v>
      </c>
      <c r="AA102" s="19" t="s">
        <v>358</v>
      </c>
      <c r="AB102" s="19" t="s">
        <v>765</v>
      </c>
      <c r="AC102" s="19">
        <v>0.44</v>
      </c>
      <c r="AD102" s="19">
        <v>110</v>
      </c>
      <c r="AE102" s="19">
        <v>31</v>
      </c>
      <c r="AF102" s="5">
        <f t="shared" si="17"/>
        <v>470</v>
      </c>
    </row>
    <row r="103" spans="1:32" ht="18">
      <c r="A103" s="240"/>
      <c r="B103" s="240"/>
      <c r="C103" s="241"/>
      <c r="D103" s="241"/>
      <c r="E103" s="241"/>
      <c r="F103" s="242"/>
      <c r="G103" s="241"/>
      <c r="H103" s="243"/>
      <c r="I103" s="243" t="s">
        <v>751</v>
      </c>
      <c r="J103" s="243" t="s">
        <v>752</v>
      </c>
      <c r="K103" s="243" t="s">
        <v>753</v>
      </c>
      <c r="L103" s="243" t="s">
        <v>754</v>
      </c>
      <c r="M103" s="243" t="s">
        <v>755</v>
      </c>
      <c r="N103" s="243" t="s">
        <v>756</v>
      </c>
      <c r="O103" s="243"/>
      <c r="P103" s="243"/>
      <c r="Q103" s="241"/>
      <c r="R103" s="241"/>
      <c r="S103" s="241"/>
      <c r="T103" s="241"/>
      <c r="U103" s="241"/>
      <c r="V103" s="256"/>
      <c r="W103" s="255"/>
      <c r="Y103" s="5">
        <f t="shared" si="16"/>
        <v>8</v>
      </c>
      <c r="Z103" s="19" t="s">
        <v>358</v>
      </c>
      <c r="AA103" s="19" t="s">
        <v>360</v>
      </c>
      <c r="AB103" s="19" t="s">
        <v>45</v>
      </c>
      <c r="AC103" s="19">
        <v>0.44</v>
      </c>
      <c r="AD103" s="19">
        <v>110</v>
      </c>
      <c r="AE103" s="19">
        <v>37</v>
      </c>
      <c r="AF103" s="5">
        <f t="shared" si="17"/>
        <v>507</v>
      </c>
    </row>
    <row r="104" spans="1:32" ht="15.75">
      <c r="A104" s="21">
        <f t="shared" ref="A104:A151" si="18">1+A103</f>
        <v>1</v>
      </c>
      <c r="B104" s="21"/>
      <c r="C104" s="21" t="s">
        <v>261</v>
      </c>
      <c r="D104" s="21" t="s">
        <v>229</v>
      </c>
      <c r="E104" s="21" t="s">
        <v>769</v>
      </c>
      <c r="F104" s="21"/>
      <c r="G104" s="21">
        <v>63</v>
      </c>
      <c r="H104" s="21">
        <v>71</v>
      </c>
      <c r="I104" s="21"/>
      <c r="J104" s="21"/>
      <c r="K104" s="21"/>
      <c r="L104" s="21"/>
      <c r="M104" s="21"/>
      <c r="N104" s="21"/>
      <c r="O104" s="21"/>
      <c r="P104" s="21"/>
      <c r="Q104" s="21">
        <f>+Q103+H104+I104+J104+K104+L104+M104+N104</f>
        <v>71</v>
      </c>
      <c r="R104" s="8"/>
      <c r="S104" s="8"/>
      <c r="T104" s="8"/>
      <c r="U104" s="79"/>
      <c r="V104" s="55"/>
      <c r="W104" s="96"/>
      <c r="Y104" s="5">
        <f t="shared" si="16"/>
        <v>9</v>
      </c>
      <c r="Z104" s="19" t="s">
        <v>358</v>
      </c>
      <c r="AA104" s="19" t="s">
        <v>360</v>
      </c>
      <c r="AB104" s="19" t="s">
        <v>765</v>
      </c>
      <c r="AC104" s="19">
        <v>0.44</v>
      </c>
      <c r="AD104" s="19">
        <v>110</v>
      </c>
      <c r="AE104" s="19">
        <v>29</v>
      </c>
      <c r="AF104" s="5">
        <f t="shared" si="17"/>
        <v>536</v>
      </c>
    </row>
    <row r="105" spans="1:32" ht="18.75">
      <c r="A105" s="21">
        <f t="shared" si="18"/>
        <v>2</v>
      </c>
      <c r="B105" s="21"/>
      <c r="C105" s="21" t="s">
        <v>249</v>
      </c>
      <c r="D105" s="21" t="s">
        <v>247</v>
      </c>
      <c r="E105" s="21" t="s">
        <v>45</v>
      </c>
      <c r="F105" s="21">
        <v>0.39</v>
      </c>
      <c r="G105" s="21">
        <v>63</v>
      </c>
      <c r="H105" s="21">
        <v>254</v>
      </c>
      <c r="I105" s="21"/>
      <c r="J105" s="21"/>
      <c r="K105" s="21"/>
      <c r="L105" s="21"/>
      <c r="M105" s="21"/>
      <c r="N105" s="21"/>
      <c r="O105" s="21"/>
      <c r="P105" s="21"/>
      <c r="Q105" s="21">
        <f>Q104+H105</f>
        <v>325</v>
      </c>
      <c r="R105" s="8"/>
      <c r="S105" s="8"/>
      <c r="T105" s="8"/>
      <c r="U105" s="79"/>
      <c r="V105" s="55">
        <v>254</v>
      </c>
      <c r="W105" s="96"/>
      <c r="Y105" s="5">
        <f t="shared" si="16"/>
        <v>10</v>
      </c>
      <c r="Z105" s="19" t="s">
        <v>360</v>
      </c>
      <c r="AA105" s="19" t="s">
        <v>443</v>
      </c>
      <c r="AB105" s="19" t="s">
        <v>769</v>
      </c>
      <c r="AC105" s="20"/>
      <c r="AD105" s="19">
        <v>110</v>
      </c>
      <c r="AE105" s="19">
        <v>47</v>
      </c>
      <c r="AF105" s="5">
        <f t="shared" si="17"/>
        <v>583</v>
      </c>
    </row>
    <row r="106" spans="1:32" ht="18.75">
      <c r="A106" s="21">
        <f t="shared" si="18"/>
        <v>3</v>
      </c>
      <c r="B106" s="21"/>
      <c r="C106" s="21" t="s">
        <v>306</v>
      </c>
      <c r="D106" s="21" t="s">
        <v>217</v>
      </c>
      <c r="E106" s="21" t="s">
        <v>769</v>
      </c>
      <c r="F106" s="21"/>
      <c r="G106" s="21">
        <v>63</v>
      </c>
      <c r="H106" s="21">
        <v>36</v>
      </c>
      <c r="I106" s="21"/>
      <c r="J106" s="21"/>
      <c r="K106" s="21"/>
      <c r="L106" s="21"/>
      <c r="M106" s="21"/>
      <c r="N106" s="21"/>
      <c r="O106" s="21"/>
      <c r="P106" s="21"/>
      <c r="Q106" s="21">
        <f t="shared" ref="Q106:Q151" si="19">Q105+H106</f>
        <v>361</v>
      </c>
      <c r="R106" s="8"/>
      <c r="S106" s="8"/>
      <c r="T106" s="8"/>
      <c r="U106" s="79"/>
      <c r="V106" s="55"/>
      <c r="W106" s="96"/>
      <c r="Y106" s="5">
        <f t="shared" si="16"/>
        <v>11</v>
      </c>
      <c r="Z106" s="19" t="s">
        <v>443</v>
      </c>
      <c r="AA106" s="19" t="s">
        <v>362</v>
      </c>
      <c r="AB106" s="19" t="s">
        <v>769</v>
      </c>
      <c r="AC106" s="20"/>
      <c r="AD106" s="19">
        <v>110</v>
      </c>
      <c r="AE106" s="19">
        <v>73</v>
      </c>
      <c r="AF106" s="5">
        <f t="shared" si="17"/>
        <v>656</v>
      </c>
    </row>
    <row r="107" spans="1:32" ht="15.75">
      <c r="A107" s="21">
        <f t="shared" si="18"/>
        <v>4</v>
      </c>
      <c r="B107" s="21"/>
      <c r="C107" s="21" t="s">
        <v>306</v>
      </c>
      <c r="D107" s="21" t="s">
        <v>217</v>
      </c>
      <c r="E107" s="21" t="s">
        <v>764</v>
      </c>
      <c r="F107" s="21">
        <v>0.39</v>
      </c>
      <c r="G107" s="21">
        <v>63</v>
      </c>
      <c r="H107" s="21">
        <v>3</v>
      </c>
      <c r="I107" s="21"/>
      <c r="J107" s="21"/>
      <c r="K107" s="21"/>
      <c r="L107" s="21"/>
      <c r="M107" s="21"/>
      <c r="N107" s="21"/>
      <c r="O107" s="21"/>
      <c r="P107" s="21"/>
      <c r="Q107" s="21">
        <f t="shared" si="19"/>
        <v>364</v>
      </c>
      <c r="R107" s="8"/>
      <c r="S107" s="8"/>
      <c r="T107" s="8"/>
      <c r="U107" s="79"/>
      <c r="V107" s="55">
        <v>3</v>
      </c>
      <c r="W107" s="96"/>
      <c r="Y107" s="5">
        <f t="shared" si="16"/>
        <v>12</v>
      </c>
      <c r="Z107" s="19" t="s">
        <v>443</v>
      </c>
      <c r="AA107" s="19" t="s">
        <v>362</v>
      </c>
      <c r="AB107" s="19" t="s">
        <v>763</v>
      </c>
      <c r="AC107" s="19">
        <v>0.39</v>
      </c>
      <c r="AD107" s="19">
        <v>110</v>
      </c>
      <c r="AE107" s="19">
        <v>3</v>
      </c>
      <c r="AF107" s="5">
        <f t="shared" si="17"/>
        <v>659</v>
      </c>
    </row>
    <row r="108" spans="1:32" ht="18.75">
      <c r="A108" s="21">
        <f t="shared" si="18"/>
        <v>5</v>
      </c>
      <c r="B108" s="21"/>
      <c r="C108" s="21" t="s">
        <v>318</v>
      </c>
      <c r="D108" s="21" t="s">
        <v>576</v>
      </c>
      <c r="E108" s="21" t="s">
        <v>769</v>
      </c>
      <c r="F108" s="21"/>
      <c r="G108" s="21">
        <v>63</v>
      </c>
      <c r="H108" s="21">
        <v>23</v>
      </c>
      <c r="I108" s="21"/>
      <c r="J108" s="21"/>
      <c r="K108" s="21"/>
      <c r="L108" s="21"/>
      <c r="M108" s="21"/>
      <c r="N108" s="21"/>
      <c r="O108" s="21"/>
      <c r="P108" s="21"/>
      <c r="Q108" s="21">
        <f t="shared" si="19"/>
        <v>387</v>
      </c>
      <c r="R108" s="8"/>
      <c r="S108" s="8"/>
      <c r="T108" s="8"/>
      <c r="U108" s="79"/>
      <c r="V108" s="79"/>
      <c r="Y108" s="5">
        <f t="shared" si="16"/>
        <v>13</v>
      </c>
      <c r="Z108" s="19" t="s">
        <v>362</v>
      </c>
      <c r="AA108" s="19" t="s">
        <v>281</v>
      </c>
      <c r="AB108" s="19" t="s">
        <v>769</v>
      </c>
      <c r="AC108" s="20"/>
      <c r="AD108" s="19">
        <v>110</v>
      </c>
      <c r="AE108" s="19">
        <v>109</v>
      </c>
      <c r="AF108" s="5">
        <f t="shared" si="17"/>
        <v>768</v>
      </c>
    </row>
    <row r="109" spans="1:32" ht="18.75">
      <c r="A109" s="21">
        <f t="shared" si="18"/>
        <v>6</v>
      </c>
      <c r="B109" s="21"/>
      <c r="C109" s="21" t="s">
        <v>318</v>
      </c>
      <c r="D109" s="21" t="s">
        <v>260</v>
      </c>
      <c r="E109" s="21" t="s">
        <v>769</v>
      </c>
      <c r="F109" s="21"/>
      <c r="G109" s="21">
        <v>63</v>
      </c>
      <c r="H109" s="21">
        <v>240</v>
      </c>
      <c r="I109" s="21"/>
      <c r="J109" s="21"/>
      <c r="K109" s="21"/>
      <c r="L109" s="21"/>
      <c r="M109" s="21"/>
      <c r="N109" s="21"/>
      <c r="O109" s="21"/>
      <c r="P109" s="21"/>
      <c r="Q109" s="21">
        <f t="shared" si="19"/>
        <v>627</v>
      </c>
      <c r="R109" s="8"/>
      <c r="S109" s="8"/>
      <c r="T109" s="8"/>
      <c r="U109" s="79"/>
      <c r="V109" s="79"/>
      <c r="Y109" s="5">
        <f t="shared" si="16"/>
        <v>14</v>
      </c>
      <c r="Z109" s="19" t="s">
        <v>281</v>
      </c>
      <c r="AA109" s="19" t="s">
        <v>521</v>
      </c>
      <c r="AB109" s="19" t="s">
        <v>769</v>
      </c>
      <c r="AC109" s="20"/>
      <c r="AD109" s="19">
        <v>110</v>
      </c>
      <c r="AE109" s="19">
        <v>170</v>
      </c>
      <c r="AF109" s="5">
        <f t="shared" si="17"/>
        <v>938</v>
      </c>
    </row>
    <row r="110" spans="1:32" ht="15.75">
      <c r="A110" s="21">
        <f t="shared" si="18"/>
        <v>7</v>
      </c>
      <c r="B110" s="21"/>
      <c r="C110" s="21" t="s">
        <v>266</v>
      </c>
      <c r="D110" s="21" t="s">
        <v>252</v>
      </c>
      <c r="E110" s="21" t="s">
        <v>769</v>
      </c>
      <c r="F110" s="21"/>
      <c r="G110" s="21">
        <v>63</v>
      </c>
      <c r="H110" s="21">
        <v>168</v>
      </c>
      <c r="I110" s="21"/>
      <c r="J110" s="21"/>
      <c r="K110" s="21"/>
      <c r="L110" s="21"/>
      <c r="M110" s="21"/>
      <c r="N110" s="21"/>
      <c r="O110" s="21"/>
      <c r="P110" s="21"/>
      <c r="Q110" s="21">
        <f t="shared" si="19"/>
        <v>795</v>
      </c>
      <c r="R110" s="8"/>
      <c r="S110" s="8"/>
      <c r="T110" s="8"/>
      <c r="U110" s="79"/>
      <c r="V110" s="79"/>
      <c r="Y110" s="5">
        <f t="shared" si="16"/>
        <v>15</v>
      </c>
      <c r="Z110" s="19" t="s">
        <v>281</v>
      </c>
      <c r="AA110" s="19" t="s">
        <v>521</v>
      </c>
      <c r="AB110" s="19" t="s">
        <v>763</v>
      </c>
      <c r="AC110" s="19">
        <v>0.44</v>
      </c>
      <c r="AD110" s="19">
        <v>110</v>
      </c>
      <c r="AE110" s="19">
        <v>3</v>
      </c>
      <c r="AF110" s="5">
        <f t="shared" si="17"/>
        <v>941</v>
      </c>
    </row>
    <row r="111" spans="1:32" ht="18.75">
      <c r="A111" s="21">
        <f t="shared" si="18"/>
        <v>8</v>
      </c>
      <c r="B111" s="21"/>
      <c r="C111" s="21" t="s">
        <v>255</v>
      </c>
      <c r="D111" s="21" t="s">
        <v>591</v>
      </c>
      <c r="E111" s="21" t="s">
        <v>769</v>
      </c>
      <c r="F111" s="21"/>
      <c r="G111" s="21">
        <v>63</v>
      </c>
      <c r="H111" s="21">
        <v>30</v>
      </c>
      <c r="I111" s="21"/>
      <c r="J111" s="21"/>
      <c r="K111" s="21"/>
      <c r="L111" s="21"/>
      <c r="M111" s="21"/>
      <c r="N111" s="21"/>
      <c r="O111" s="21"/>
      <c r="P111" s="21"/>
      <c r="Q111" s="21">
        <f t="shared" si="19"/>
        <v>825</v>
      </c>
      <c r="R111" s="8"/>
      <c r="S111" s="8"/>
      <c r="T111" s="8"/>
      <c r="U111" s="79"/>
      <c r="V111" s="79"/>
      <c r="Y111" s="5">
        <f t="shared" si="16"/>
        <v>16</v>
      </c>
      <c r="Z111" s="19" t="s">
        <v>521</v>
      </c>
      <c r="AA111" s="19" t="s">
        <v>625</v>
      </c>
      <c r="AB111" s="19" t="s">
        <v>769</v>
      </c>
      <c r="AC111" s="20"/>
      <c r="AD111" s="19">
        <v>110</v>
      </c>
      <c r="AE111" s="19">
        <v>53</v>
      </c>
      <c r="AF111" s="5">
        <f t="shared" si="17"/>
        <v>994</v>
      </c>
    </row>
    <row r="112" spans="1:32" ht="15.75">
      <c r="A112" s="21">
        <f t="shared" si="18"/>
        <v>9</v>
      </c>
      <c r="B112" s="21"/>
      <c r="C112" s="21" t="s">
        <v>262</v>
      </c>
      <c r="D112" s="21" t="s">
        <v>289</v>
      </c>
      <c r="E112" s="21" t="s">
        <v>45</v>
      </c>
      <c r="F112" s="21">
        <v>0.39</v>
      </c>
      <c r="G112" s="21">
        <v>63</v>
      </c>
      <c r="H112" s="21">
        <v>27</v>
      </c>
      <c r="I112" s="21"/>
      <c r="J112" s="21"/>
      <c r="K112" s="21"/>
      <c r="L112" s="21"/>
      <c r="M112" s="21"/>
      <c r="N112" s="21"/>
      <c r="O112" s="21"/>
      <c r="P112" s="21"/>
      <c r="Q112" s="21">
        <f t="shared" si="19"/>
        <v>852</v>
      </c>
      <c r="R112" s="8"/>
      <c r="S112" s="8"/>
      <c r="T112" s="8"/>
      <c r="U112" s="79"/>
      <c r="V112" s="79"/>
      <c r="Y112" s="5">
        <f t="shared" si="16"/>
        <v>17</v>
      </c>
      <c r="Z112" s="21" t="s">
        <v>349</v>
      </c>
      <c r="AA112" s="21" t="s">
        <v>285</v>
      </c>
      <c r="AB112" s="21" t="s">
        <v>769</v>
      </c>
      <c r="AC112" s="21"/>
      <c r="AD112" s="21">
        <v>140</v>
      </c>
      <c r="AE112" s="21">
        <v>105</v>
      </c>
      <c r="AF112" s="5">
        <f t="shared" si="17"/>
        <v>1099</v>
      </c>
    </row>
    <row r="113" spans="1:32" ht="15.75">
      <c r="A113" s="21">
        <f t="shared" si="18"/>
        <v>10</v>
      </c>
      <c r="B113" s="21"/>
      <c r="C113" s="21" t="s">
        <v>314</v>
      </c>
      <c r="D113" s="21" t="s">
        <v>382</v>
      </c>
      <c r="E113" s="21" t="s">
        <v>45</v>
      </c>
      <c r="F113" s="21">
        <v>0.39</v>
      </c>
      <c r="G113" s="21">
        <v>63</v>
      </c>
      <c r="H113" s="21">
        <v>166</v>
      </c>
      <c r="I113" s="21"/>
      <c r="J113" s="21"/>
      <c r="K113" s="21"/>
      <c r="L113" s="21"/>
      <c r="M113" s="21"/>
      <c r="N113" s="21"/>
      <c r="O113" s="21"/>
      <c r="P113" s="21"/>
      <c r="Q113" s="21">
        <f t="shared" si="19"/>
        <v>1018</v>
      </c>
      <c r="R113" s="8"/>
      <c r="S113" s="8"/>
      <c r="T113" s="8"/>
      <c r="U113" s="79"/>
      <c r="V113" s="79"/>
      <c r="Y113" s="5">
        <f t="shared" si="16"/>
        <v>18</v>
      </c>
      <c r="Z113" s="21" t="s">
        <v>285</v>
      </c>
      <c r="AA113" s="21" t="s">
        <v>323</v>
      </c>
      <c r="AB113" s="21" t="s">
        <v>769</v>
      </c>
      <c r="AC113" s="21"/>
      <c r="AD113" s="21">
        <v>140</v>
      </c>
      <c r="AE113" s="21">
        <v>18</v>
      </c>
      <c r="AF113" s="5">
        <f t="shared" si="17"/>
        <v>1117</v>
      </c>
    </row>
    <row r="114" spans="1:32" ht="15.75">
      <c r="A114" s="21">
        <f t="shared" si="18"/>
        <v>11</v>
      </c>
      <c r="B114" s="21"/>
      <c r="C114" s="21" t="s">
        <v>314</v>
      </c>
      <c r="D114" s="21" t="s">
        <v>382</v>
      </c>
      <c r="E114" s="21" t="s">
        <v>769</v>
      </c>
      <c r="F114" s="21"/>
      <c r="G114" s="21">
        <v>63</v>
      </c>
      <c r="H114" s="21">
        <f>343-H113</f>
        <v>177</v>
      </c>
      <c r="I114" s="21"/>
      <c r="J114" s="21"/>
      <c r="K114" s="21"/>
      <c r="L114" s="21"/>
      <c r="M114" s="21"/>
      <c r="N114" s="21"/>
      <c r="O114" s="21"/>
      <c r="P114" s="21"/>
      <c r="Q114" s="21">
        <f t="shared" si="19"/>
        <v>1195</v>
      </c>
      <c r="R114" s="8"/>
      <c r="S114" s="8"/>
      <c r="T114" s="8"/>
      <c r="U114" s="79"/>
      <c r="V114" s="79"/>
      <c r="Y114" s="5">
        <f t="shared" si="16"/>
        <v>19</v>
      </c>
      <c r="Z114" s="21" t="s">
        <v>323</v>
      </c>
      <c r="AA114" s="21" t="s">
        <v>654</v>
      </c>
      <c r="AB114" s="21" t="s">
        <v>769</v>
      </c>
      <c r="AC114" s="21"/>
      <c r="AD114" s="21">
        <v>140</v>
      </c>
      <c r="AE114" s="21">
        <v>42</v>
      </c>
      <c r="AF114" s="5">
        <f t="shared" si="17"/>
        <v>1159</v>
      </c>
    </row>
    <row r="115" spans="1:32" ht="15.75">
      <c r="A115" s="21">
        <f t="shared" si="18"/>
        <v>12</v>
      </c>
      <c r="B115" s="21"/>
      <c r="C115" s="21" t="s">
        <v>359</v>
      </c>
      <c r="D115" s="21" t="s">
        <v>205</v>
      </c>
      <c r="E115" s="21" t="s">
        <v>769</v>
      </c>
      <c r="F115" s="21"/>
      <c r="G115" s="21">
        <v>63</v>
      </c>
      <c r="H115" s="21">
        <v>21</v>
      </c>
      <c r="I115" s="21"/>
      <c r="J115" s="21"/>
      <c r="K115" s="21"/>
      <c r="L115" s="21"/>
      <c r="M115" s="21"/>
      <c r="N115" s="21"/>
      <c r="O115" s="21"/>
      <c r="P115" s="21"/>
      <c r="Q115" s="21">
        <f t="shared" si="19"/>
        <v>1216</v>
      </c>
      <c r="R115" s="8"/>
      <c r="S115" s="8"/>
      <c r="T115" s="8"/>
      <c r="U115" s="79"/>
      <c r="V115" s="79"/>
      <c r="Y115" s="5">
        <f t="shared" si="16"/>
        <v>20</v>
      </c>
      <c r="Z115" s="21" t="s">
        <v>654</v>
      </c>
      <c r="AA115" s="21" t="s">
        <v>255</v>
      </c>
      <c r="AB115" s="21" t="s">
        <v>769</v>
      </c>
      <c r="AC115" s="21"/>
      <c r="AD115" s="21">
        <v>140</v>
      </c>
      <c r="AE115" s="21">
        <v>7</v>
      </c>
      <c r="AF115" s="5">
        <f t="shared" si="17"/>
        <v>1166</v>
      </c>
    </row>
    <row r="116" spans="1:32" ht="15.75">
      <c r="A116" s="21">
        <f t="shared" si="18"/>
        <v>13</v>
      </c>
      <c r="B116" s="21"/>
      <c r="C116" s="21" t="s">
        <v>296</v>
      </c>
      <c r="D116" s="21" t="s">
        <v>218</v>
      </c>
      <c r="E116" s="21" t="s">
        <v>769</v>
      </c>
      <c r="F116" s="21"/>
      <c r="G116" s="21">
        <v>63</v>
      </c>
      <c r="H116" s="21">
        <v>58</v>
      </c>
      <c r="I116" s="21"/>
      <c r="J116" s="21"/>
      <c r="K116" s="21"/>
      <c r="L116" s="21"/>
      <c r="M116" s="21"/>
      <c r="N116" s="21"/>
      <c r="O116" s="21"/>
      <c r="P116" s="21"/>
      <c r="Q116" s="21">
        <f t="shared" si="19"/>
        <v>1274</v>
      </c>
      <c r="R116" s="8"/>
      <c r="S116" s="8"/>
      <c r="T116" s="8"/>
      <c r="U116" s="79"/>
      <c r="V116" s="79"/>
      <c r="Y116" s="5">
        <f t="shared" si="16"/>
        <v>21</v>
      </c>
      <c r="Z116" s="21" t="s">
        <v>255</v>
      </c>
      <c r="AA116" s="21" t="s">
        <v>262</v>
      </c>
      <c r="AB116" s="21" t="s">
        <v>769</v>
      </c>
      <c r="AC116" s="21"/>
      <c r="AD116" s="21">
        <v>140</v>
      </c>
      <c r="AE116" s="21">
        <v>78</v>
      </c>
      <c r="AF116" s="5">
        <f t="shared" si="17"/>
        <v>1244</v>
      </c>
    </row>
    <row r="117" spans="1:32" ht="15.75">
      <c r="A117" s="21">
        <f t="shared" si="18"/>
        <v>14</v>
      </c>
      <c r="B117" s="21"/>
      <c r="C117" s="21" t="s">
        <v>400</v>
      </c>
      <c r="D117" s="21" t="s">
        <v>293</v>
      </c>
      <c r="E117" s="21" t="s">
        <v>769</v>
      </c>
      <c r="F117" s="21"/>
      <c r="G117" s="21">
        <v>63</v>
      </c>
      <c r="H117" s="21">
        <v>57</v>
      </c>
      <c r="I117" s="21"/>
      <c r="J117" s="21"/>
      <c r="K117" s="21"/>
      <c r="L117" s="21"/>
      <c r="M117" s="21"/>
      <c r="N117" s="21"/>
      <c r="O117" s="21"/>
      <c r="P117" s="21"/>
      <c r="Q117" s="21">
        <f t="shared" si="19"/>
        <v>1331</v>
      </c>
      <c r="R117" s="8"/>
      <c r="S117" s="8"/>
      <c r="T117" s="8"/>
      <c r="U117" s="79"/>
      <c r="V117" s="79"/>
      <c r="Y117" s="5">
        <f t="shared" si="16"/>
        <v>22</v>
      </c>
      <c r="Z117" s="21" t="s">
        <v>262</v>
      </c>
      <c r="AA117" s="21" t="s">
        <v>251</v>
      </c>
      <c r="AB117" s="21" t="s">
        <v>769</v>
      </c>
      <c r="AC117" s="21"/>
      <c r="AD117" s="21">
        <v>140</v>
      </c>
      <c r="AE117" s="21">
        <v>88</v>
      </c>
      <c r="AF117" s="5">
        <f t="shared" si="17"/>
        <v>1332</v>
      </c>
    </row>
    <row r="118" spans="1:32" ht="15.75">
      <c r="A118" s="21">
        <f t="shared" si="18"/>
        <v>15</v>
      </c>
      <c r="B118" s="21"/>
      <c r="C118" s="21" t="s">
        <v>293</v>
      </c>
      <c r="D118" s="21" t="s">
        <v>801</v>
      </c>
      <c r="E118" s="21" t="s">
        <v>769</v>
      </c>
      <c r="F118" s="21"/>
      <c r="G118" s="21">
        <v>63</v>
      </c>
      <c r="H118" s="21">
        <v>66</v>
      </c>
      <c r="I118" s="21"/>
      <c r="J118" s="21"/>
      <c r="K118" s="21"/>
      <c r="L118" s="21"/>
      <c r="M118" s="21"/>
      <c r="N118" s="21"/>
      <c r="O118" s="21"/>
      <c r="P118" s="21"/>
      <c r="Q118" s="21">
        <f t="shared" si="19"/>
        <v>1397</v>
      </c>
      <c r="R118" s="8"/>
      <c r="S118" s="8"/>
      <c r="T118" s="8"/>
      <c r="U118" s="79"/>
      <c r="V118" s="79"/>
      <c r="Y118" s="5">
        <f t="shared" si="16"/>
        <v>23</v>
      </c>
      <c r="Z118" s="21" t="s">
        <v>251</v>
      </c>
      <c r="AA118" s="21" t="s">
        <v>314</v>
      </c>
      <c r="AB118" s="21" t="s">
        <v>769</v>
      </c>
      <c r="AC118" s="21"/>
      <c r="AD118" s="21">
        <v>140</v>
      </c>
      <c r="AE118" s="21">
        <v>18</v>
      </c>
      <c r="AF118" s="5">
        <f t="shared" si="17"/>
        <v>1350</v>
      </c>
    </row>
    <row r="119" spans="1:32" ht="15.75">
      <c r="A119" s="21">
        <f t="shared" si="18"/>
        <v>16</v>
      </c>
      <c r="B119" s="21"/>
      <c r="C119" s="21" t="s">
        <v>249</v>
      </c>
      <c r="D119" s="21" t="s">
        <v>417</v>
      </c>
      <c r="E119" s="21" t="s">
        <v>764</v>
      </c>
      <c r="F119" s="21">
        <v>0.39</v>
      </c>
      <c r="G119" s="21">
        <v>75</v>
      </c>
      <c r="H119" s="21">
        <v>5</v>
      </c>
      <c r="I119" s="21">
        <v>5</v>
      </c>
      <c r="J119" s="21"/>
      <c r="K119" s="21"/>
      <c r="L119" s="21"/>
      <c r="M119" s="21"/>
      <c r="N119" s="21"/>
      <c r="O119" s="21"/>
      <c r="P119" s="21"/>
      <c r="Q119" s="21">
        <f t="shared" si="19"/>
        <v>1402</v>
      </c>
      <c r="R119" s="8"/>
      <c r="S119" s="8"/>
      <c r="T119" s="8"/>
      <c r="U119" s="79"/>
      <c r="V119" s="55">
        <v>5</v>
      </c>
      <c r="W119" s="96"/>
      <c r="Y119" s="5">
        <f t="shared" si="16"/>
        <v>24</v>
      </c>
      <c r="Z119" s="21" t="s">
        <v>314</v>
      </c>
      <c r="AA119" s="21" t="s">
        <v>271</v>
      </c>
      <c r="AB119" s="21" t="s">
        <v>769</v>
      </c>
      <c r="AC119" s="21"/>
      <c r="AD119" s="21">
        <v>140</v>
      </c>
      <c r="AE119" s="21">
        <v>77</v>
      </c>
      <c r="AF119" s="5">
        <f t="shared" si="17"/>
        <v>1427</v>
      </c>
    </row>
    <row r="120" spans="1:32" ht="15.75">
      <c r="A120" s="21">
        <f t="shared" si="18"/>
        <v>17</v>
      </c>
      <c r="B120" s="21"/>
      <c r="C120" s="21" t="s">
        <v>249</v>
      </c>
      <c r="D120" s="21" t="s">
        <v>417</v>
      </c>
      <c r="E120" s="21" t="s">
        <v>45</v>
      </c>
      <c r="F120" s="21">
        <v>0.39</v>
      </c>
      <c r="G120" s="21">
        <v>75</v>
      </c>
      <c r="H120" s="21">
        <v>151</v>
      </c>
      <c r="I120" s="21">
        <v>151</v>
      </c>
      <c r="J120" s="21"/>
      <c r="K120" s="21"/>
      <c r="L120" s="21"/>
      <c r="M120" s="21"/>
      <c r="N120" s="21"/>
      <c r="O120" s="21"/>
      <c r="P120" s="21"/>
      <c r="Q120" s="21">
        <f t="shared" si="19"/>
        <v>1553</v>
      </c>
      <c r="R120" s="8"/>
      <c r="S120" s="8"/>
      <c r="T120" s="8"/>
      <c r="U120" s="79"/>
      <c r="V120" s="55">
        <v>151</v>
      </c>
      <c r="W120" s="96"/>
      <c r="Y120" s="5">
        <f t="shared" si="16"/>
        <v>25</v>
      </c>
      <c r="Z120" s="21" t="s">
        <v>506</v>
      </c>
      <c r="AA120" s="21" t="s">
        <v>617</v>
      </c>
      <c r="AB120" s="21" t="s">
        <v>769</v>
      </c>
      <c r="AC120" s="21"/>
      <c r="AD120" s="21">
        <v>140</v>
      </c>
      <c r="AE120" s="21">
        <v>515</v>
      </c>
      <c r="AF120" s="5">
        <f t="shared" si="17"/>
        <v>1942</v>
      </c>
    </row>
    <row r="121" spans="1:32" ht="15.75">
      <c r="A121" s="21">
        <f t="shared" si="18"/>
        <v>18</v>
      </c>
      <c r="B121" s="21"/>
      <c r="C121" s="21" t="s">
        <v>249</v>
      </c>
      <c r="D121" s="21" t="s">
        <v>417</v>
      </c>
      <c r="E121" s="21" t="s">
        <v>769</v>
      </c>
      <c r="F121" s="21"/>
      <c r="G121" s="21">
        <v>75</v>
      </c>
      <c r="H121" s="21">
        <f>210-156</f>
        <v>54</v>
      </c>
      <c r="I121" s="21">
        <f>210-156</f>
        <v>54</v>
      </c>
      <c r="J121" s="21"/>
      <c r="K121" s="21"/>
      <c r="L121" s="21"/>
      <c r="M121" s="21"/>
      <c r="N121" s="21"/>
      <c r="O121" s="21"/>
      <c r="P121" s="21"/>
      <c r="Q121" s="21">
        <f t="shared" si="19"/>
        <v>1607</v>
      </c>
      <c r="R121" s="8"/>
      <c r="S121" s="8"/>
      <c r="T121" s="8"/>
      <c r="U121" s="79"/>
      <c r="V121" s="55"/>
      <c r="W121" s="96"/>
      <c r="Y121" s="5">
        <f t="shared" si="16"/>
        <v>26</v>
      </c>
      <c r="Z121" s="21" t="s">
        <v>617</v>
      </c>
      <c r="AA121" s="21" t="s">
        <v>802</v>
      </c>
      <c r="AB121" s="21" t="s">
        <v>769</v>
      </c>
      <c r="AC121" s="21"/>
      <c r="AD121" s="21">
        <v>140</v>
      </c>
      <c r="AE121" s="21">
        <v>260</v>
      </c>
      <c r="AF121" s="5">
        <f t="shared" si="17"/>
        <v>2202</v>
      </c>
    </row>
    <row r="122" spans="1:32" ht="15.75">
      <c r="A122" s="21">
        <f t="shared" si="18"/>
        <v>19</v>
      </c>
      <c r="B122" s="21"/>
      <c r="C122" s="21" t="s">
        <v>417</v>
      </c>
      <c r="D122" s="21" t="s">
        <v>538</v>
      </c>
      <c r="E122" s="21" t="s">
        <v>769</v>
      </c>
      <c r="F122" s="21"/>
      <c r="G122" s="21">
        <v>75</v>
      </c>
      <c r="H122" s="21">
        <v>44</v>
      </c>
      <c r="I122" s="21">
        <v>44</v>
      </c>
      <c r="J122" s="21"/>
      <c r="K122" s="21"/>
      <c r="L122" s="21"/>
      <c r="M122" s="21"/>
      <c r="N122" s="21"/>
      <c r="O122" s="21"/>
      <c r="P122" s="21"/>
      <c r="Q122" s="21">
        <f t="shared" si="19"/>
        <v>1651</v>
      </c>
      <c r="R122" s="8"/>
      <c r="S122" s="8"/>
      <c r="T122" s="8"/>
      <c r="U122" s="79"/>
      <c r="V122" s="55"/>
      <c r="W122" s="96"/>
      <c r="Y122" s="5">
        <f t="shared" si="16"/>
        <v>27</v>
      </c>
      <c r="Z122" s="21" t="s">
        <v>802</v>
      </c>
      <c r="AA122" s="21" t="s">
        <v>216</v>
      </c>
      <c r="AB122" s="21" t="s">
        <v>769</v>
      </c>
      <c r="AC122" s="21"/>
      <c r="AD122" s="21">
        <v>140</v>
      </c>
      <c r="AE122" s="21">
        <v>641</v>
      </c>
      <c r="AF122" s="5">
        <f t="shared" si="17"/>
        <v>2843</v>
      </c>
    </row>
    <row r="123" spans="1:32" ht="15.75">
      <c r="A123" s="21">
        <f t="shared" si="18"/>
        <v>20</v>
      </c>
      <c r="B123" s="21"/>
      <c r="C123" s="21" t="s">
        <v>306</v>
      </c>
      <c r="D123" s="21" t="s">
        <v>417</v>
      </c>
      <c r="E123" s="21" t="s">
        <v>769</v>
      </c>
      <c r="F123" s="21"/>
      <c r="G123" s="21">
        <v>75</v>
      </c>
      <c r="H123" s="21">
        <v>15</v>
      </c>
      <c r="I123" s="21">
        <v>15</v>
      </c>
      <c r="J123" s="21"/>
      <c r="K123" s="21"/>
      <c r="L123" s="21"/>
      <c r="M123" s="21"/>
      <c r="N123" s="21"/>
      <c r="O123" s="21"/>
      <c r="P123" s="21"/>
      <c r="Q123" s="21">
        <f t="shared" si="19"/>
        <v>1666</v>
      </c>
      <c r="R123" s="8"/>
      <c r="S123" s="8"/>
      <c r="T123" s="8"/>
      <c r="U123" s="79"/>
      <c r="V123" s="55"/>
      <c r="W123" s="96"/>
      <c r="Y123" s="5">
        <f t="shared" si="16"/>
        <v>28</v>
      </c>
      <c r="Z123" s="21" t="s">
        <v>396</v>
      </c>
      <c r="AA123" s="21" t="s">
        <v>317</v>
      </c>
      <c r="AB123" s="21" t="s">
        <v>769</v>
      </c>
      <c r="AC123" s="21"/>
      <c r="AD123" s="21">
        <v>140</v>
      </c>
      <c r="AE123" s="21">
        <v>92</v>
      </c>
      <c r="AF123" s="5">
        <f t="shared" si="17"/>
        <v>2935</v>
      </c>
    </row>
    <row r="124" spans="1:32" ht="15.75">
      <c r="A124" s="21">
        <f t="shared" si="18"/>
        <v>21</v>
      </c>
      <c r="B124" s="21"/>
      <c r="C124" s="21" t="s">
        <v>266</v>
      </c>
      <c r="D124" s="21" t="s">
        <v>418</v>
      </c>
      <c r="E124" s="21" t="s">
        <v>769</v>
      </c>
      <c r="F124" s="21"/>
      <c r="G124" s="21">
        <v>75</v>
      </c>
      <c r="H124" s="21">
        <v>47</v>
      </c>
      <c r="I124" s="21">
        <v>47</v>
      </c>
      <c r="J124" s="21"/>
      <c r="K124" s="21"/>
      <c r="L124" s="21"/>
      <c r="M124" s="21"/>
      <c r="N124" s="21"/>
      <c r="O124" s="21"/>
      <c r="P124" s="21"/>
      <c r="Q124" s="21">
        <f t="shared" si="19"/>
        <v>1713</v>
      </c>
      <c r="R124" s="8"/>
      <c r="S124" s="8"/>
      <c r="T124" s="8"/>
      <c r="U124" s="79"/>
      <c r="V124" s="79"/>
      <c r="Y124" s="5">
        <f t="shared" si="16"/>
        <v>29</v>
      </c>
      <c r="Z124" s="21" t="s">
        <v>317</v>
      </c>
      <c r="AA124" s="21" t="s">
        <v>267</v>
      </c>
      <c r="AB124" s="21" t="s">
        <v>769</v>
      </c>
      <c r="AC124" s="21"/>
      <c r="AD124" s="21">
        <v>140</v>
      </c>
      <c r="AE124" s="21">
        <v>261</v>
      </c>
      <c r="AF124" s="5">
        <f t="shared" si="17"/>
        <v>3196</v>
      </c>
    </row>
    <row r="125" spans="1:32" ht="15.75">
      <c r="A125" s="21">
        <f t="shared" si="18"/>
        <v>22</v>
      </c>
      <c r="B125" s="21"/>
      <c r="C125" s="21" t="s">
        <v>538</v>
      </c>
      <c r="D125" s="21" t="s">
        <v>803</v>
      </c>
      <c r="E125" s="21" t="s">
        <v>769</v>
      </c>
      <c r="F125" s="21"/>
      <c r="G125" s="21">
        <v>75</v>
      </c>
      <c r="H125" s="21">
        <v>100</v>
      </c>
      <c r="I125" s="21">
        <v>100</v>
      </c>
      <c r="J125" s="21"/>
      <c r="K125" s="21"/>
      <c r="L125" s="21"/>
      <c r="M125" s="21"/>
      <c r="N125" s="21"/>
      <c r="O125" s="21"/>
      <c r="P125" s="21"/>
      <c r="Q125" s="21">
        <f t="shared" si="19"/>
        <v>1813</v>
      </c>
      <c r="R125" s="8"/>
      <c r="S125" s="8"/>
      <c r="T125" s="8"/>
      <c r="U125" s="79"/>
      <c r="V125" s="79"/>
      <c r="Y125" s="5">
        <f t="shared" si="16"/>
        <v>30</v>
      </c>
      <c r="Z125" s="21" t="s">
        <v>267</v>
      </c>
      <c r="AA125" s="21" t="s">
        <v>446</v>
      </c>
      <c r="AB125" s="21" t="s">
        <v>769</v>
      </c>
      <c r="AC125" s="21"/>
      <c r="AD125" s="21">
        <v>140</v>
      </c>
      <c r="AE125" s="21">
        <v>64</v>
      </c>
      <c r="AF125" s="5">
        <f t="shared" si="17"/>
        <v>3260</v>
      </c>
    </row>
    <row r="126" spans="1:32" ht="15.75">
      <c r="A126" s="21">
        <f t="shared" si="18"/>
        <v>23</v>
      </c>
      <c r="B126" s="21"/>
      <c r="C126" s="21" t="s">
        <v>396</v>
      </c>
      <c r="D126" s="21" t="s">
        <v>359</v>
      </c>
      <c r="E126" s="21" t="s">
        <v>769</v>
      </c>
      <c r="F126" s="21"/>
      <c r="G126" s="21">
        <v>75</v>
      </c>
      <c r="H126" s="21">
        <v>125</v>
      </c>
      <c r="I126" s="21">
        <v>125</v>
      </c>
      <c r="J126" s="21"/>
      <c r="K126" s="21"/>
      <c r="L126" s="21"/>
      <c r="M126" s="21"/>
      <c r="N126" s="21"/>
      <c r="O126" s="21"/>
      <c r="P126" s="21"/>
      <c r="Q126" s="21">
        <f t="shared" si="19"/>
        <v>1938</v>
      </c>
      <c r="R126" s="8"/>
      <c r="S126" s="8"/>
      <c r="T126" s="8"/>
      <c r="U126" s="79"/>
      <c r="V126" s="79"/>
      <c r="Y126" s="5">
        <f t="shared" si="16"/>
        <v>31</v>
      </c>
      <c r="Z126" s="21">
        <v>102</v>
      </c>
      <c r="AA126" s="21">
        <v>137</v>
      </c>
      <c r="AB126" s="21" t="s">
        <v>769</v>
      </c>
      <c r="AC126" s="21"/>
      <c r="AD126" s="21">
        <v>140</v>
      </c>
      <c r="AE126" s="21">
        <v>140</v>
      </c>
      <c r="AF126" s="5">
        <f t="shared" si="17"/>
        <v>3400</v>
      </c>
    </row>
    <row r="127" spans="1:32" ht="15.75">
      <c r="A127" s="21">
        <f t="shared" si="18"/>
        <v>24</v>
      </c>
      <c r="B127" s="21"/>
      <c r="C127" s="21" t="s">
        <v>359</v>
      </c>
      <c r="D127" s="21" t="s">
        <v>461</v>
      </c>
      <c r="E127" s="21" t="s">
        <v>769</v>
      </c>
      <c r="F127" s="21"/>
      <c r="G127" s="21">
        <v>75</v>
      </c>
      <c r="H127" s="21">
        <v>87</v>
      </c>
      <c r="I127" s="21">
        <v>87</v>
      </c>
      <c r="J127" s="21"/>
      <c r="K127" s="21"/>
      <c r="L127" s="21"/>
      <c r="M127" s="21"/>
      <c r="N127" s="21"/>
      <c r="O127" s="21"/>
      <c r="P127" s="21"/>
      <c r="Q127" s="21">
        <f t="shared" si="19"/>
        <v>2025</v>
      </c>
      <c r="R127" s="8"/>
      <c r="S127" s="8"/>
      <c r="T127" s="8"/>
      <c r="U127" s="79"/>
      <c r="V127" s="79"/>
      <c r="Y127" s="5">
        <f t="shared" si="16"/>
        <v>32</v>
      </c>
      <c r="Z127" s="21">
        <v>137</v>
      </c>
      <c r="AA127" s="21">
        <v>67</v>
      </c>
      <c r="AB127" s="21" t="s">
        <v>769</v>
      </c>
      <c r="AC127" s="21"/>
      <c r="AD127" s="21">
        <v>140</v>
      </c>
      <c r="AE127" s="21">
        <v>28</v>
      </c>
      <c r="AF127" s="5">
        <f t="shared" si="17"/>
        <v>3428</v>
      </c>
    </row>
    <row r="128" spans="1:32" ht="15.75">
      <c r="A128" s="21">
        <f t="shared" si="18"/>
        <v>25</v>
      </c>
      <c r="B128" s="21"/>
      <c r="C128" s="21" t="s">
        <v>317</v>
      </c>
      <c r="D128" s="21" t="s">
        <v>296</v>
      </c>
      <c r="E128" s="21" t="s">
        <v>769</v>
      </c>
      <c r="F128" s="21"/>
      <c r="G128" s="21">
        <v>75</v>
      </c>
      <c r="H128" s="21">
        <v>47</v>
      </c>
      <c r="I128" s="21">
        <v>47</v>
      </c>
      <c r="J128" s="21"/>
      <c r="K128" s="21"/>
      <c r="L128" s="21"/>
      <c r="M128" s="21"/>
      <c r="N128" s="21"/>
      <c r="O128" s="21"/>
      <c r="P128" s="21"/>
      <c r="Q128" s="21">
        <f t="shared" si="19"/>
        <v>2072</v>
      </c>
      <c r="R128" s="8"/>
      <c r="S128" s="8"/>
      <c r="T128" s="8"/>
      <c r="U128" s="79"/>
      <c r="V128" s="79"/>
      <c r="Y128" s="5">
        <f t="shared" si="16"/>
        <v>33</v>
      </c>
      <c r="Z128" s="21">
        <v>67</v>
      </c>
      <c r="AA128" s="21">
        <v>24</v>
      </c>
      <c r="AB128" s="21" t="s">
        <v>769</v>
      </c>
      <c r="AC128" s="21"/>
      <c r="AD128" s="21">
        <v>140</v>
      </c>
      <c r="AE128" s="21">
        <v>196</v>
      </c>
      <c r="AF128" s="5">
        <f t="shared" si="17"/>
        <v>3624</v>
      </c>
    </row>
    <row r="129" spans="1:32" ht="15.75">
      <c r="A129" s="21">
        <f t="shared" si="18"/>
        <v>26</v>
      </c>
      <c r="B129" s="21"/>
      <c r="C129" s="21" t="s">
        <v>296</v>
      </c>
      <c r="D129" s="21" t="s">
        <v>400</v>
      </c>
      <c r="E129" s="21" t="s">
        <v>769</v>
      </c>
      <c r="F129" s="21"/>
      <c r="G129" s="21">
        <v>75</v>
      </c>
      <c r="H129" s="21">
        <v>195</v>
      </c>
      <c r="I129" s="21">
        <v>195</v>
      </c>
      <c r="J129" s="21"/>
      <c r="K129" s="21"/>
      <c r="L129" s="21"/>
      <c r="M129" s="21"/>
      <c r="N129" s="21"/>
      <c r="O129" s="21"/>
      <c r="P129" s="21"/>
      <c r="Q129" s="21">
        <f t="shared" si="19"/>
        <v>2267</v>
      </c>
      <c r="R129" s="8"/>
      <c r="S129" s="8"/>
      <c r="T129" s="8"/>
      <c r="U129" s="79"/>
      <c r="V129" s="79"/>
      <c r="Y129" s="5">
        <f t="shared" si="16"/>
        <v>34</v>
      </c>
      <c r="Z129" s="21">
        <v>24</v>
      </c>
      <c r="AA129" s="21">
        <v>38</v>
      </c>
      <c r="AB129" s="21" t="s">
        <v>769</v>
      </c>
      <c r="AC129" s="21"/>
      <c r="AD129" s="21">
        <v>140</v>
      </c>
      <c r="AE129" s="21">
        <v>288</v>
      </c>
      <c r="AF129" s="5">
        <f t="shared" si="17"/>
        <v>3912</v>
      </c>
    </row>
    <row r="130" spans="1:32" ht="15.75">
      <c r="A130" s="21">
        <f t="shared" si="18"/>
        <v>27</v>
      </c>
      <c r="B130" s="21"/>
      <c r="C130" s="21" t="s">
        <v>267</v>
      </c>
      <c r="D130" s="21" t="s">
        <v>309</v>
      </c>
      <c r="E130" s="21" t="s">
        <v>769</v>
      </c>
      <c r="F130" s="21"/>
      <c r="G130" s="21">
        <v>75</v>
      </c>
      <c r="H130" s="21">
        <v>68</v>
      </c>
      <c r="I130" s="21">
        <v>68</v>
      </c>
      <c r="J130" s="21"/>
      <c r="K130" s="21"/>
      <c r="L130" s="21"/>
      <c r="M130" s="21"/>
      <c r="N130" s="21"/>
      <c r="O130" s="21"/>
      <c r="P130" s="21"/>
      <c r="Q130" s="21">
        <f t="shared" si="19"/>
        <v>2335</v>
      </c>
      <c r="R130" s="8"/>
      <c r="S130" s="8"/>
      <c r="T130" s="8"/>
      <c r="U130" s="79"/>
      <c r="V130" s="79"/>
      <c r="Y130" s="5">
        <f t="shared" si="16"/>
        <v>35</v>
      </c>
      <c r="Z130" s="21">
        <v>38</v>
      </c>
      <c r="AA130" s="174">
        <v>167</v>
      </c>
      <c r="AB130" s="174" t="s">
        <v>769</v>
      </c>
      <c r="AC130" s="21"/>
      <c r="AD130" s="21">
        <v>140</v>
      </c>
      <c r="AE130" s="21">
        <v>484</v>
      </c>
      <c r="AF130" s="5">
        <f t="shared" si="17"/>
        <v>4396</v>
      </c>
    </row>
    <row r="131" spans="1:32" ht="15.75">
      <c r="A131" s="21">
        <f t="shared" si="18"/>
        <v>28</v>
      </c>
      <c r="B131" s="21"/>
      <c r="C131" s="21" t="s">
        <v>309</v>
      </c>
      <c r="D131" s="21" t="s">
        <v>413</v>
      </c>
      <c r="E131" s="21" t="s">
        <v>769</v>
      </c>
      <c r="F131" s="21"/>
      <c r="G131" s="21">
        <v>75</v>
      </c>
      <c r="H131" s="21">
        <v>40</v>
      </c>
      <c r="I131" s="21">
        <v>40</v>
      </c>
      <c r="J131" s="21"/>
      <c r="K131" s="21"/>
      <c r="L131" s="21"/>
      <c r="M131" s="21"/>
      <c r="N131" s="21"/>
      <c r="O131" s="21"/>
      <c r="P131" s="21"/>
      <c r="Q131" s="21">
        <f t="shared" si="19"/>
        <v>2375</v>
      </c>
      <c r="R131" s="8"/>
      <c r="S131" s="8"/>
      <c r="T131" s="8"/>
      <c r="U131" s="79"/>
      <c r="V131" s="79"/>
      <c r="Y131" s="8"/>
      <c r="Z131" s="79"/>
      <c r="AA131" s="276">
        <v>110</v>
      </c>
      <c r="AB131" s="119">
        <v>140</v>
      </c>
      <c r="AC131" s="81"/>
      <c r="AD131" s="8"/>
      <c r="AE131" s="8"/>
      <c r="AF131" s="8"/>
    </row>
    <row r="132" spans="1:32" ht="15.75">
      <c r="A132" s="21">
        <f t="shared" si="18"/>
        <v>29</v>
      </c>
      <c r="B132" s="21"/>
      <c r="C132" s="21" t="s">
        <v>413</v>
      </c>
      <c r="D132" s="21" t="s">
        <v>302</v>
      </c>
      <c r="E132" s="21" t="s">
        <v>769</v>
      </c>
      <c r="F132" s="21"/>
      <c r="G132" s="21">
        <v>75</v>
      </c>
      <c r="H132" s="21">
        <v>62</v>
      </c>
      <c r="I132" s="21">
        <v>62</v>
      </c>
      <c r="J132" s="21"/>
      <c r="K132" s="21"/>
      <c r="L132" s="21"/>
      <c r="M132" s="21"/>
      <c r="N132" s="21"/>
      <c r="O132" s="21"/>
      <c r="P132" s="21"/>
      <c r="Q132" s="21">
        <f t="shared" si="19"/>
        <v>2437</v>
      </c>
      <c r="R132" s="8"/>
      <c r="S132" s="8"/>
      <c r="T132" s="8"/>
      <c r="U132" s="79"/>
      <c r="V132" s="79"/>
      <c r="Y132" s="8"/>
      <c r="Z132" s="79"/>
      <c r="AA132" s="277">
        <f>+SUMIF($AD$96:$AD$130,$AA$131,$AE$96:$AE$130)</f>
        <v>994</v>
      </c>
      <c r="AB132" s="120">
        <f>+SUMIF($AD$96:$AD$130,$AB$131,$AE$96:$AE$130)</f>
        <v>3402</v>
      </c>
      <c r="AC132" s="81"/>
      <c r="AD132" s="8"/>
      <c r="AE132" s="8"/>
      <c r="AF132" s="8"/>
    </row>
    <row r="133" spans="1:32" ht="18.75">
      <c r="A133" s="21">
        <f t="shared" si="18"/>
        <v>30</v>
      </c>
      <c r="B133" s="21"/>
      <c r="C133" s="21" t="s">
        <v>625</v>
      </c>
      <c r="D133" s="21" t="s">
        <v>398</v>
      </c>
      <c r="E133" s="21" t="s">
        <v>45</v>
      </c>
      <c r="F133" s="21">
        <v>0.39</v>
      </c>
      <c r="G133" s="21">
        <v>90</v>
      </c>
      <c r="H133" s="21">
        <v>155</v>
      </c>
      <c r="I133" s="21"/>
      <c r="J133" s="21">
        <v>155</v>
      </c>
      <c r="K133" s="21"/>
      <c r="L133" s="21"/>
      <c r="M133" s="21"/>
      <c r="N133" s="21"/>
      <c r="O133" s="21"/>
      <c r="P133" s="21"/>
      <c r="Q133" s="21">
        <f t="shared" si="19"/>
        <v>2592</v>
      </c>
      <c r="R133" s="8"/>
      <c r="S133" s="8"/>
      <c r="T133" s="8"/>
      <c r="U133" s="79"/>
      <c r="V133" s="55">
        <v>155</v>
      </c>
      <c r="W133" s="96"/>
      <c r="Y133" s="8"/>
      <c r="Z133" s="79"/>
      <c r="AA133" s="278">
        <v>1493</v>
      </c>
      <c r="AB133" s="121">
        <v>3486</v>
      </c>
      <c r="AC133" s="81"/>
      <c r="AD133" s="8"/>
      <c r="AE133" s="8"/>
      <c r="AF133" s="8"/>
    </row>
    <row r="134" spans="1:32" ht="15.75">
      <c r="A134" s="21">
        <f t="shared" si="18"/>
        <v>31</v>
      </c>
      <c r="B134" s="21"/>
      <c r="C134" s="21" t="s">
        <v>625</v>
      </c>
      <c r="D134" s="21" t="s">
        <v>398</v>
      </c>
      <c r="E134" s="21" t="s">
        <v>763</v>
      </c>
      <c r="F134" s="21">
        <v>0.39</v>
      </c>
      <c r="G134" s="21">
        <v>90</v>
      </c>
      <c r="H134" s="21">
        <v>11</v>
      </c>
      <c r="I134" s="21"/>
      <c r="J134" s="21">
        <v>11</v>
      </c>
      <c r="K134" s="21"/>
      <c r="L134" s="21"/>
      <c r="M134" s="21"/>
      <c r="N134" s="21"/>
      <c r="O134" s="21"/>
      <c r="P134" s="21"/>
      <c r="Q134" s="21">
        <f t="shared" si="19"/>
        <v>2603</v>
      </c>
      <c r="R134" s="8"/>
      <c r="S134" s="8"/>
      <c r="T134" s="8"/>
      <c r="U134" s="79"/>
      <c r="V134" s="55">
        <v>11</v>
      </c>
      <c r="W134" s="96"/>
      <c r="Y134" s="8" t="s">
        <v>366</v>
      </c>
      <c r="Z134" s="8"/>
      <c r="AA134" s="78"/>
      <c r="AB134" s="78"/>
      <c r="AC134" s="8"/>
      <c r="AD134" s="8" t="s">
        <v>367</v>
      </c>
      <c r="AE134" s="79"/>
      <c r="AF134" s="8"/>
    </row>
    <row r="135" spans="1:32" ht="15.75">
      <c r="A135" s="21">
        <f t="shared" si="18"/>
        <v>32</v>
      </c>
      <c r="B135" s="21"/>
      <c r="C135" s="21" t="s">
        <v>276</v>
      </c>
      <c r="D135" s="21" t="s">
        <v>249</v>
      </c>
      <c r="E135" s="21" t="s">
        <v>45</v>
      </c>
      <c r="F135" s="21">
        <v>0.39</v>
      </c>
      <c r="G135" s="21">
        <v>90</v>
      </c>
      <c r="H135" s="21">
        <v>88</v>
      </c>
      <c r="I135" s="21"/>
      <c r="J135" s="21">
        <v>88</v>
      </c>
      <c r="K135" s="21"/>
      <c r="L135" s="21"/>
      <c r="M135" s="21"/>
      <c r="N135" s="21"/>
      <c r="O135" s="21"/>
      <c r="P135" s="21"/>
      <c r="Q135" s="21">
        <f t="shared" si="19"/>
        <v>2691</v>
      </c>
      <c r="R135" s="8"/>
      <c r="S135" s="8"/>
      <c r="T135" s="8"/>
      <c r="U135" s="79"/>
      <c r="V135" s="55">
        <v>88</v>
      </c>
      <c r="W135" s="96"/>
      <c r="Y135" s="8" t="s">
        <v>368</v>
      </c>
      <c r="Z135" s="79"/>
      <c r="AA135" s="10"/>
      <c r="AB135" s="29"/>
      <c r="AC135" s="11"/>
      <c r="AD135" s="8" t="s">
        <v>368</v>
      </c>
      <c r="AE135" s="79"/>
      <c r="AF135" s="5"/>
    </row>
    <row r="136" spans="1:32" ht="15.75">
      <c r="A136" s="21">
        <f t="shared" si="18"/>
        <v>33</v>
      </c>
      <c r="B136" s="21"/>
      <c r="C136" s="21" t="s">
        <v>276</v>
      </c>
      <c r="D136" s="21" t="s">
        <v>249</v>
      </c>
      <c r="E136" s="21" t="s">
        <v>769</v>
      </c>
      <c r="F136" s="21"/>
      <c r="G136" s="21">
        <v>90</v>
      </c>
      <c r="H136" s="21">
        <f>138-H135</f>
        <v>50</v>
      </c>
      <c r="I136" s="21"/>
      <c r="J136" s="21">
        <f>138-J135</f>
        <v>50</v>
      </c>
      <c r="K136" s="21"/>
      <c r="L136" s="21"/>
      <c r="M136" s="21"/>
      <c r="N136" s="21"/>
      <c r="O136" s="21"/>
      <c r="P136" s="21"/>
      <c r="Q136" s="21">
        <f t="shared" si="19"/>
        <v>2741</v>
      </c>
      <c r="R136" s="8"/>
      <c r="S136" s="8"/>
      <c r="T136" s="8"/>
      <c r="U136" s="79"/>
      <c r="V136" s="55"/>
      <c r="W136" s="96"/>
      <c r="Y136" s="8" t="s">
        <v>369</v>
      </c>
      <c r="Z136" s="79"/>
      <c r="AA136" s="10"/>
      <c r="AB136" s="29"/>
      <c r="AC136" s="11"/>
      <c r="AD136" s="8" t="s">
        <v>369</v>
      </c>
      <c r="AE136" s="10"/>
      <c r="AF136" s="5"/>
    </row>
    <row r="137" spans="1:32" ht="15.75">
      <c r="A137" s="21">
        <f t="shared" si="18"/>
        <v>34</v>
      </c>
      <c r="B137" s="21"/>
      <c r="C137" s="21" t="s">
        <v>306</v>
      </c>
      <c r="D137" s="21" t="s">
        <v>402</v>
      </c>
      <c r="E137" s="21" t="s">
        <v>764</v>
      </c>
      <c r="F137" s="21">
        <v>0.39</v>
      </c>
      <c r="G137" s="21">
        <v>90</v>
      </c>
      <c r="H137" s="21">
        <v>20</v>
      </c>
      <c r="I137" s="21"/>
      <c r="J137" s="21">
        <v>20</v>
      </c>
      <c r="K137" s="21"/>
      <c r="L137" s="21"/>
      <c r="M137" s="21"/>
      <c r="N137" s="21"/>
      <c r="O137" s="21"/>
      <c r="P137" s="21"/>
      <c r="Q137" s="21">
        <f t="shared" si="19"/>
        <v>2761</v>
      </c>
      <c r="R137" s="8"/>
      <c r="S137" s="8"/>
      <c r="T137" s="8"/>
      <c r="U137" s="79"/>
      <c r="V137" s="55">
        <v>20</v>
      </c>
      <c r="W137" s="96"/>
      <c r="Y137" s="8" t="s">
        <v>370</v>
      </c>
      <c r="Z137" s="79"/>
      <c r="AA137" s="10"/>
      <c r="AB137" s="29"/>
      <c r="AC137" s="11"/>
      <c r="AD137" s="8" t="s">
        <v>370</v>
      </c>
      <c r="AE137" s="79"/>
      <c r="AF137" s="5"/>
    </row>
    <row r="138" spans="1:32" ht="15.75">
      <c r="A138" s="21">
        <f t="shared" si="18"/>
        <v>35</v>
      </c>
      <c r="B138" s="21"/>
      <c r="C138" s="21" t="s">
        <v>306</v>
      </c>
      <c r="D138" s="21" t="s">
        <v>402</v>
      </c>
      <c r="E138" s="21" t="s">
        <v>769</v>
      </c>
      <c r="F138" s="21"/>
      <c r="G138" s="21">
        <v>90</v>
      </c>
      <c r="H138" s="21">
        <f>78-20</f>
        <v>58</v>
      </c>
      <c r="I138" s="21"/>
      <c r="J138" s="21">
        <f>78-20</f>
        <v>58</v>
      </c>
      <c r="K138" s="21"/>
      <c r="L138" s="21"/>
      <c r="M138" s="21"/>
      <c r="N138" s="21"/>
      <c r="O138" s="21"/>
      <c r="P138" s="21"/>
      <c r="Q138" s="21">
        <f t="shared" si="19"/>
        <v>2819</v>
      </c>
      <c r="R138" s="8"/>
      <c r="S138" s="8"/>
      <c r="T138" s="8"/>
      <c r="U138" s="79"/>
      <c r="V138" s="79"/>
    </row>
    <row r="139" spans="1:32" ht="15.75">
      <c r="A139" s="21">
        <f t="shared" si="18"/>
        <v>36</v>
      </c>
      <c r="B139" s="21"/>
      <c r="C139" s="21" t="s">
        <v>349</v>
      </c>
      <c r="D139" s="21" t="s">
        <v>285</v>
      </c>
      <c r="E139" s="21" t="s">
        <v>769</v>
      </c>
      <c r="F139" s="21"/>
      <c r="G139" s="21">
        <v>140</v>
      </c>
      <c r="H139" s="21">
        <v>105</v>
      </c>
      <c r="I139" s="21"/>
      <c r="J139" s="21"/>
      <c r="K139" s="21"/>
      <c r="L139" s="21"/>
      <c r="M139" s="21">
        <v>105</v>
      </c>
      <c r="N139" s="21"/>
      <c r="O139" s="21"/>
      <c r="P139" s="21"/>
      <c r="Q139" s="21">
        <f t="shared" si="19"/>
        <v>2924</v>
      </c>
      <c r="R139" s="8"/>
      <c r="S139" s="8"/>
      <c r="T139" s="8"/>
      <c r="U139" s="79"/>
      <c r="V139" s="79"/>
    </row>
    <row r="140" spans="1:32" ht="15.75">
      <c r="A140" s="21">
        <f t="shared" si="18"/>
        <v>37</v>
      </c>
      <c r="B140" s="21"/>
      <c r="C140" s="21" t="s">
        <v>285</v>
      </c>
      <c r="D140" s="21" t="s">
        <v>323</v>
      </c>
      <c r="E140" s="21" t="s">
        <v>769</v>
      </c>
      <c r="F140" s="21"/>
      <c r="G140" s="21">
        <v>140</v>
      </c>
      <c r="H140" s="21">
        <v>18</v>
      </c>
      <c r="I140" s="21"/>
      <c r="J140" s="21"/>
      <c r="K140" s="21"/>
      <c r="L140" s="21"/>
      <c r="M140" s="21">
        <v>18</v>
      </c>
      <c r="N140" s="21"/>
      <c r="O140" s="21"/>
      <c r="P140" s="21"/>
      <c r="Q140" s="21">
        <f t="shared" si="19"/>
        <v>2942</v>
      </c>
      <c r="R140" s="8"/>
      <c r="S140" s="8"/>
      <c r="T140" s="8"/>
      <c r="U140" s="79"/>
      <c r="V140" s="79"/>
    </row>
    <row r="141" spans="1:32" ht="15.75">
      <c r="A141" s="21">
        <f t="shared" si="18"/>
        <v>38</v>
      </c>
      <c r="B141" s="21"/>
      <c r="C141" s="21" t="s">
        <v>323</v>
      </c>
      <c r="D141" s="21" t="s">
        <v>654</v>
      </c>
      <c r="E141" s="21" t="s">
        <v>769</v>
      </c>
      <c r="F141" s="21"/>
      <c r="G141" s="21">
        <v>140</v>
      </c>
      <c r="H141" s="21">
        <v>42</v>
      </c>
      <c r="I141" s="21"/>
      <c r="J141" s="21"/>
      <c r="K141" s="21"/>
      <c r="L141" s="21"/>
      <c r="M141" s="21">
        <v>42</v>
      </c>
      <c r="N141" s="21"/>
      <c r="O141" s="21"/>
      <c r="P141" s="21"/>
      <c r="Q141" s="21">
        <f t="shared" si="19"/>
        <v>2984</v>
      </c>
      <c r="R141" s="8"/>
      <c r="S141" s="8"/>
      <c r="T141" s="8"/>
      <c r="U141" s="79"/>
      <c r="V141" s="79"/>
    </row>
    <row r="142" spans="1:32" ht="15.75">
      <c r="A142" s="21">
        <f t="shared" si="18"/>
        <v>39</v>
      </c>
      <c r="B142" s="21"/>
      <c r="C142" s="21" t="s">
        <v>654</v>
      </c>
      <c r="D142" s="21" t="s">
        <v>255</v>
      </c>
      <c r="E142" s="21" t="s">
        <v>769</v>
      </c>
      <c r="F142" s="21"/>
      <c r="G142" s="21">
        <v>140</v>
      </c>
      <c r="H142" s="21">
        <v>7</v>
      </c>
      <c r="I142" s="21"/>
      <c r="J142" s="21"/>
      <c r="K142" s="21"/>
      <c r="L142" s="21"/>
      <c r="M142" s="21">
        <v>7</v>
      </c>
      <c r="N142" s="21"/>
      <c r="O142" s="21"/>
      <c r="P142" s="21"/>
      <c r="Q142" s="21">
        <f t="shared" si="19"/>
        <v>2991</v>
      </c>
      <c r="R142" s="8"/>
      <c r="S142" s="8"/>
      <c r="T142" s="8"/>
      <c r="U142" s="79"/>
      <c r="V142" s="79"/>
    </row>
    <row r="143" spans="1:32" ht="15.75">
      <c r="A143" s="21">
        <f t="shared" si="18"/>
        <v>40</v>
      </c>
      <c r="B143" s="21"/>
      <c r="C143" s="21" t="s">
        <v>255</v>
      </c>
      <c r="D143" s="21" t="s">
        <v>262</v>
      </c>
      <c r="E143" s="21" t="s">
        <v>769</v>
      </c>
      <c r="F143" s="21"/>
      <c r="G143" s="21">
        <v>140</v>
      </c>
      <c r="H143" s="21">
        <v>78</v>
      </c>
      <c r="I143" s="21"/>
      <c r="J143" s="21"/>
      <c r="K143" s="21"/>
      <c r="L143" s="21"/>
      <c r="M143" s="21">
        <v>78</v>
      </c>
      <c r="N143" s="21"/>
      <c r="O143" s="21"/>
      <c r="P143" s="21"/>
      <c r="Q143" s="21">
        <f t="shared" si="19"/>
        <v>3069</v>
      </c>
      <c r="R143" s="8"/>
      <c r="S143" s="8"/>
      <c r="T143" s="8"/>
      <c r="U143" s="79"/>
      <c r="V143" s="79"/>
    </row>
    <row r="144" spans="1:32" ht="15.75">
      <c r="A144" s="21">
        <f t="shared" si="18"/>
        <v>41</v>
      </c>
      <c r="B144" s="21"/>
      <c r="C144" s="21" t="s">
        <v>262</v>
      </c>
      <c r="D144" s="21" t="s">
        <v>251</v>
      </c>
      <c r="E144" s="21" t="s">
        <v>769</v>
      </c>
      <c r="F144" s="21"/>
      <c r="G144" s="21">
        <v>140</v>
      </c>
      <c r="H144" s="21">
        <v>88</v>
      </c>
      <c r="I144" s="21"/>
      <c r="J144" s="21"/>
      <c r="K144" s="21"/>
      <c r="L144" s="21"/>
      <c r="M144" s="21">
        <v>88</v>
      </c>
      <c r="N144" s="21"/>
      <c r="O144" s="21"/>
      <c r="P144" s="21"/>
      <c r="Q144" s="21">
        <f t="shared" si="19"/>
        <v>3157</v>
      </c>
      <c r="R144" s="8"/>
      <c r="S144" s="8"/>
      <c r="T144" s="8"/>
      <c r="U144" s="79"/>
      <c r="V144" s="79"/>
    </row>
    <row r="145" spans="1:22" ht="15.75">
      <c r="A145" s="21">
        <f t="shared" si="18"/>
        <v>42</v>
      </c>
      <c r="B145" s="21"/>
      <c r="C145" s="21" t="s">
        <v>251</v>
      </c>
      <c r="D145" s="21" t="s">
        <v>314</v>
      </c>
      <c r="E145" s="21" t="s">
        <v>769</v>
      </c>
      <c r="F145" s="21"/>
      <c r="G145" s="21">
        <v>140</v>
      </c>
      <c r="H145" s="21">
        <v>18</v>
      </c>
      <c r="I145" s="21"/>
      <c r="J145" s="21"/>
      <c r="K145" s="21"/>
      <c r="L145" s="21"/>
      <c r="M145" s="21">
        <v>18</v>
      </c>
      <c r="N145" s="21"/>
      <c r="O145" s="21"/>
      <c r="P145" s="21"/>
      <c r="Q145" s="21">
        <f t="shared" si="19"/>
        <v>3175</v>
      </c>
      <c r="R145" s="8"/>
      <c r="S145" s="8"/>
      <c r="T145" s="8"/>
      <c r="U145" s="79"/>
      <c r="V145" s="79"/>
    </row>
    <row r="146" spans="1:22" ht="15.75">
      <c r="A146" s="21">
        <f t="shared" si="18"/>
        <v>43</v>
      </c>
      <c r="B146" s="21"/>
      <c r="C146" s="21" t="s">
        <v>314</v>
      </c>
      <c r="D146" s="21" t="s">
        <v>271</v>
      </c>
      <c r="E146" s="21" t="s">
        <v>769</v>
      </c>
      <c r="F146" s="21"/>
      <c r="G146" s="21">
        <v>140</v>
      </c>
      <c r="H146" s="21">
        <v>77</v>
      </c>
      <c r="I146" s="21"/>
      <c r="J146" s="21"/>
      <c r="K146" s="21"/>
      <c r="L146" s="21"/>
      <c r="M146" s="21">
        <v>77</v>
      </c>
      <c r="N146" s="21"/>
      <c r="O146" s="21"/>
      <c r="P146" s="21"/>
      <c r="Q146" s="21">
        <f t="shared" si="19"/>
        <v>3252</v>
      </c>
      <c r="R146" s="8"/>
      <c r="S146" s="8"/>
      <c r="T146" s="8"/>
      <c r="U146" s="79"/>
      <c r="V146" s="79"/>
    </row>
    <row r="147" spans="1:22" ht="15.75">
      <c r="A147" s="21">
        <f t="shared" si="18"/>
        <v>44</v>
      </c>
      <c r="B147" s="21"/>
      <c r="C147" s="21" t="s">
        <v>506</v>
      </c>
      <c r="D147" s="21" t="s">
        <v>617</v>
      </c>
      <c r="E147" s="21" t="s">
        <v>769</v>
      </c>
      <c r="F147" s="21"/>
      <c r="G147" s="21">
        <v>140</v>
      </c>
      <c r="H147" s="21">
        <v>515</v>
      </c>
      <c r="I147" s="21"/>
      <c r="J147" s="21"/>
      <c r="K147" s="21"/>
      <c r="L147" s="21"/>
      <c r="M147" s="21">
        <v>515</v>
      </c>
      <c r="N147" s="21"/>
      <c r="O147" s="21"/>
      <c r="P147" s="21"/>
      <c r="Q147" s="21">
        <f t="shared" si="19"/>
        <v>3767</v>
      </c>
      <c r="R147" s="8"/>
      <c r="S147" s="8"/>
      <c r="T147" s="8"/>
      <c r="U147" s="79"/>
      <c r="V147" s="79"/>
    </row>
    <row r="148" spans="1:22" ht="15.75">
      <c r="A148" s="21">
        <f t="shared" si="18"/>
        <v>45</v>
      </c>
      <c r="B148" s="21"/>
      <c r="C148" s="21" t="s">
        <v>617</v>
      </c>
      <c r="D148" s="21" t="s">
        <v>802</v>
      </c>
      <c r="E148" s="21" t="s">
        <v>769</v>
      </c>
      <c r="F148" s="21"/>
      <c r="G148" s="21">
        <v>140</v>
      </c>
      <c r="H148" s="21">
        <v>260</v>
      </c>
      <c r="I148" s="21"/>
      <c r="J148" s="21"/>
      <c r="K148" s="21"/>
      <c r="L148" s="21"/>
      <c r="M148" s="21">
        <v>260</v>
      </c>
      <c r="N148" s="21"/>
      <c r="O148" s="21"/>
      <c r="P148" s="21"/>
      <c r="Q148" s="21">
        <f t="shared" si="19"/>
        <v>4027</v>
      </c>
      <c r="R148" s="8"/>
      <c r="S148" s="8"/>
      <c r="T148" s="8"/>
      <c r="U148" s="79"/>
      <c r="V148" s="79"/>
    </row>
    <row r="149" spans="1:22" ht="15.75">
      <c r="A149" s="21">
        <f t="shared" si="18"/>
        <v>46</v>
      </c>
      <c r="B149" s="21"/>
      <c r="C149" s="21" t="s">
        <v>802</v>
      </c>
      <c r="D149" s="21" t="s">
        <v>216</v>
      </c>
      <c r="E149" s="21" t="s">
        <v>769</v>
      </c>
      <c r="F149" s="21"/>
      <c r="G149" s="21">
        <v>140</v>
      </c>
      <c r="H149" s="21">
        <v>641</v>
      </c>
      <c r="I149" s="21"/>
      <c r="J149" s="21"/>
      <c r="K149" s="21"/>
      <c r="L149" s="21"/>
      <c r="M149" s="21">
        <v>641</v>
      </c>
      <c r="N149" s="21"/>
      <c r="O149" s="21"/>
      <c r="P149" s="21"/>
      <c r="Q149" s="21">
        <f t="shared" si="19"/>
        <v>4668</v>
      </c>
      <c r="R149" s="8"/>
      <c r="S149" s="8"/>
      <c r="T149" s="8"/>
      <c r="U149" s="79"/>
      <c r="V149" s="79"/>
    </row>
    <row r="150" spans="1:22" ht="15.75">
      <c r="A150" s="21">
        <f t="shared" si="18"/>
        <v>47</v>
      </c>
      <c r="B150" s="21"/>
      <c r="C150" s="21" t="s">
        <v>396</v>
      </c>
      <c r="D150" s="21" t="s">
        <v>317</v>
      </c>
      <c r="E150" s="21" t="s">
        <v>769</v>
      </c>
      <c r="F150" s="21"/>
      <c r="G150" s="21">
        <v>140</v>
      </c>
      <c r="H150" s="21">
        <v>92</v>
      </c>
      <c r="I150" s="21"/>
      <c r="J150" s="21"/>
      <c r="K150" s="21"/>
      <c r="L150" s="21"/>
      <c r="M150" s="21">
        <v>92</v>
      </c>
      <c r="N150" s="21"/>
      <c r="O150" s="21"/>
      <c r="P150" s="21"/>
      <c r="Q150" s="21">
        <f t="shared" si="19"/>
        <v>4760</v>
      </c>
      <c r="R150" s="8"/>
      <c r="S150" s="8"/>
      <c r="T150" s="8"/>
      <c r="U150" s="79"/>
      <c r="V150" s="79"/>
    </row>
    <row r="151" spans="1:22" ht="15.75">
      <c r="A151" s="21">
        <f t="shared" si="18"/>
        <v>48</v>
      </c>
      <c r="B151" s="21"/>
      <c r="C151" s="21" t="s">
        <v>317</v>
      </c>
      <c r="D151" s="21" t="s">
        <v>267</v>
      </c>
      <c r="E151" s="21" t="s">
        <v>769</v>
      </c>
      <c r="F151" s="21"/>
      <c r="G151" s="21">
        <v>140</v>
      </c>
      <c r="H151" s="21">
        <v>261</v>
      </c>
      <c r="I151" s="21"/>
      <c r="J151" s="21"/>
      <c r="K151" s="21"/>
      <c r="L151" s="21"/>
      <c r="M151" s="21">
        <v>261</v>
      </c>
      <c r="N151" s="21"/>
      <c r="O151" s="21"/>
      <c r="P151" s="21"/>
      <c r="Q151" s="21">
        <f t="shared" si="19"/>
        <v>5021</v>
      </c>
      <c r="R151" s="8"/>
      <c r="S151" s="8"/>
      <c r="T151" s="8"/>
      <c r="U151" s="79"/>
      <c r="V151" s="79"/>
    </row>
    <row r="152" spans="1:22" ht="15.75">
      <c r="A152" s="206"/>
      <c r="B152" s="206"/>
      <c r="C152" s="206"/>
      <c r="D152" s="206"/>
      <c r="E152" s="206"/>
      <c r="F152" s="206"/>
      <c r="G152" s="206"/>
      <c r="H152" s="7"/>
      <c r="I152" s="206"/>
      <c r="J152" s="206"/>
      <c r="K152" s="206"/>
      <c r="L152" s="206"/>
      <c r="M152" s="206"/>
      <c r="N152" s="206"/>
      <c r="O152" s="206"/>
      <c r="P152" s="206"/>
      <c r="Q152" s="206"/>
      <c r="R152" s="8"/>
      <c r="S152" s="8"/>
      <c r="T152" s="8"/>
      <c r="U152" s="79"/>
      <c r="V152" s="79"/>
    </row>
    <row r="153" spans="1:22" ht="15.75">
      <c r="A153" s="92">
        <v>63</v>
      </c>
      <c r="B153" s="92">
        <v>75</v>
      </c>
      <c r="C153" s="92">
        <v>75</v>
      </c>
      <c r="D153" s="92">
        <v>90</v>
      </c>
      <c r="E153" s="92">
        <v>125</v>
      </c>
      <c r="F153" s="92">
        <v>140</v>
      </c>
      <c r="G153" s="92">
        <v>160</v>
      </c>
      <c r="H153" s="7"/>
      <c r="I153" s="271"/>
      <c r="L153" s="271"/>
      <c r="M153" s="271"/>
      <c r="N153" s="271"/>
      <c r="O153" s="271"/>
      <c r="P153" s="271"/>
      <c r="Q153" s="272"/>
      <c r="R153" s="81"/>
      <c r="S153" s="8"/>
      <c r="T153" s="8"/>
      <c r="U153" s="79"/>
      <c r="V153" s="79"/>
    </row>
    <row r="154" spans="1:22" ht="18.75">
      <c r="A154" s="260">
        <f>+SUMIF($G$104:$G$151,A153,$H$104:$H$151)</f>
        <v>1397</v>
      </c>
      <c r="B154" s="260">
        <f t="shared" ref="B154:G154" si="20">+SUMIF($G$104:$G$151,B153,$H$104:$H$151)</f>
        <v>1040</v>
      </c>
      <c r="C154" s="260">
        <f t="shared" si="20"/>
        <v>1040</v>
      </c>
      <c r="D154" s="260">
        <f t="shared" si="20"/>
        <v>382</v>
      </c>
      <c r="E154" s="260">
        <f t="shared" si="20"/>
        <v>0</v>
      </c>
      <c r="F154" s="260">
        <f t="shared" si="20"/>
        <v>2202</v>
      </c>
      <c r="G154" s="260">
        <f t="shared" si="20"/>
        <v>0</v>
      </c>
      <c r="H154" s="261">
        <f>+A154+C154+D154+E154+F154</f>
        <v>5021</v>
      </c>
      <c r="I154" s="244"/>
      <c r="M154" s="271"/>
      <c r="N154" s="271"/>
      <c r="O154" s="271"/>
      <c r="P154" s="271"/>
      <c r="Q154" s="272"/>
      <c r="R154" s="81"/>
      <c r="S154" s="8"/>
      <c r="T154" s="8"/>
      <c r="U154" s="79"/>
      <c r="V154" s="79"/>
    </row>
    <row r="155" spans="1:22" ht="18.75">
      <c r="A155" s="146">
        <v>8788</v>
      </c>
      <c r="B155" s="146">
        <v>3444</v>
      </c>
      <c r="C155" s="146">
        <v>3444</v>
      </c>
      <c r="D155" s="262">
        <v>2620</v>
      </c>
      <c r="E155" s="146">
        <v>48</v>
      </c>
      <c r="F155" s="146">
        <v>3486</v>
      </c>
      <c r="G155" s="146">
        <v>43</v>
      </c>
      <c r="H155" s="263">
        <f>+A155+C155+D155+E155+F155+G155</f>
        <v>18429</v>
      </c>
      <c r="I155" s="245"/>
      <c r="M155" s="271"/>
      <c r="N155" s="271"/>
      <c r="O155" s="271"/>
      <c r="P155" s="271"/>
      <c r="Q155" s="272"/>
      <c r="R155" s="81"/>
      <c r="S155" s="8"/>
      <c r="T155" s="8"/>
      <c r="U155" s="79"/>
      <c r="V155" s="79"/>
    </row>
    <row r="156" spans="1:22">
      <c r="A156" s="264" t="s">
        <v>804</v>
      </c>
      <c r="B156" s="265"/>
      <c r="C156" s="265"/>
      <c r="D156" s="265"/>
      <c r="E156" s="265"/>
      <c r="F156" s="265"/>
      <c r="G156" s="266"/>
      <c r="R156" s="81"/>
      <c r="S156" s="8"/>
      <c r="T156" s="8"/>
      <c r="U156" s="79"/>
      <c r="V156" s="79"/>
    </row>
    <row r="157" spans="1:22">
      <c r="A157" s="267"/>
      <c r="B157" s="268"/>
      <c r="C157" s="268"/>
      <c r="D157" s="268"/>
      <c r="E157" s="269"/>
      <c r="F157" s="269"/>
      <c r="G157" s="268"/>
      <c r="R157" s="81"/>
      <c r="S157" s="8"/>
      <c r="T157" s="8"/>
      <c r="U157" s="79"/>
      <c r="V157" s="79"/>
    </row>
    <row r="158" spans="1:22">
      <c r="A158" s="8" t="s">
        <v>366</v>
      </c>
      <c r="B158" s="8"/>
      <c r="C158" s="8"/>
      <c r="D158" s="8"/>
      <c r="E158" s="8"/>
      <c r="F158" s="8" t="s">
        <v>367</v>
      </c>
      <c r="G158" s="8"/>
      <c r="H158" s="8"/>
      <c r="I158" s="78"/>
      <c r="J158" s="78" t="s">
        <v>367</v>
      </c>
      <c r="K158" s="78"/>
      <c r="L158" s="78"/>
      <c r="M158" s="78"/>
      <c r="R158" s="81"/>
      <c r="S158" s="8"/>
      <c r="T158" s="8"/>
      <c r="U158" s="79"/>
    </row>
    <row r="159" spans="1:22">
      <c r="A159" s="8" t="s">
        <v>368</v>
      </c>
      <c r="B159" s="79"/>
      <c r="C159" s="10"/>
      <c r="D159" s="29"/>
      <c r="E159" s="11"/>
      <c r="F159" s="8" t="s">
        <v>368</v>
      </c>
      <c r="G159" s="8"/>
      <c r="H159" s="10"/>
      <c r="I159" s="81"/>
      <c r="J159" s="8" t="s">
        <v>368</v>
      </c>
      <c r="K159" s="8"/>
      <c r="L159" s="79"/>
      <c r="M159" s="81"/>
      <c r="R159" s="81"/>
      <c r="S159" s="8"/>
      <c r="T159" s="8"/>
      <c r="U159" s="79"/>
    </row>
    <row r="160" spans="1:22">
      <c r="A160" s="8" t="s">
        <v>369</v>
      </c>
      <c r="B160" s="79"/>
      <c r="C160" s="10"/>
      <c r="D160" s="29"/>
      <c r="E160" s="11"/>
      <c r="F160" s="8" t="s">
        <v>369</v>
      </c>
      <c r="G160" s="10"/>
      <c r="H160" s="29"/>
      <c r="I160" s="81"/>
      <c r="J160" s="8" t="s">
        <v>369</v>
      </c>
      <c r="K160" s="79"/>
      <c r="L160" s="80"/>
      <c r="M160" s="81"/>
      <c r="R160" s="81"/>
      <c r="S160" s="8"/>
      <c r="T160" s="8"/>
      <c r="U160" s="79"/>
    </row>
    <row r="161" spans="1:25">
      <c r="A161" s="8" t="s">
        <v>370</v>
      </c>
      <c r="B161" s="79"/>
      <c r="C161" s="10"/>
      <c r="D161" s="29"/>
      <c r="E161" s="11"/>
      <c r="F161" s="8" t="s">
        <v>370</v>
      </c>
      <c r="G161" s="8"/>
      <c r="H161" s="10"/>
      <c r="I161" s="81"/>
      <c r="J161" s="8" t="s">
        <v>370</v>
      </c>
      <c r="K161" s="8"/>
      <c r="L161" s="79"/>
      <c r="M161" s="81"/>
      <c r="R161" s="81"/>
      <c r="S161" s="8"/>
      <c r="T161" s="8"/>
      <c r="U161" s="79"/>
    </row>
    <row r="162" spans="1:25">
      <c r="R162" s="81"/>
      <c r="S162" s="8"/>
      <c r="T162" s="8"/>
      <c r="U162" s="79"/>
    </row>
    <row r="163" spans="1:25">
      <c r="R163" s="273"/>
      <c r="S163" s="77"/>
      <c r="T163" s="77"/>
      <c r="U163" s="274"/>
    </row>
    <row r="164" spans="1:25" ht="15.75">
      <c r="A164" s="233" t="s">
        <v>757</v>
      </c>
      <c r="B164" s="225" t="s">
        <v>758</v>
      </c>
      <c r="C164" s="225">
        <v>63</v>
      </c>
      <c r="D164" s="225">
        <v>75</v>
      </c>
      <c r="E164" s="225">
        <v>90</v>
      </c>
      <c r="F164" s="225">
        <v>125</v>
      </c>
      <c r="G164" s="225">
        <v>140</v>
      </c>
      <c r="H164" s="225">
        <v>160</v>
      </c>
      <c r="R164" s="273"/>
      <c r="S164" s="77"/>
      <c r="T164" s="77"/>
      <c r="U164" s="274"/>
    </row>
    <row r="165" spans="1:25" ht="15.75">
      <c r="A165" s="19" t="s">
        <v>765</v>
      </c>
      <c r="B165" s="8"/>
      <c r="C165" s="8">
        <f>+SUMIFS($H$104:$H$151,$E$104:$E$151,$A$165,$G$104:$G$151,C164)</f>
        <v>0</v>
      </c>
      <c r="D165" s="8">
        <f t="shared" ref="D165:H165" si="21">+SUMIFS($H$104:$H$151,$E$104:$E$151,$A$165,$G$104:$G$151,D164)</f>
        <v>0</v>
      </c>
      <c r="E165" s="8">
        <f t="shared" si="21"/>
        <v>0</v>
      </c>
      <c r="F165" s="8">
        <f t="shared" si="21"/>
        <v>0</v>
      </c>
      <c r="G165" s="8">
        <f t="shared" si="21"/>
        <v>0</v>
      </c>
      <c r="H165" s="8">
        <f t="shared" si="21"/>
        <v>0</v>
      </c>
      <c r="R165" s="273"/>
      <c r="S165" s="77"/>
      <c r="T165" s="77"/>
      <c r="U165" s="274"/>
    </row>
    <row r="166" spans="1:25" ht="15.75">
      <c r="A166" s="19" t="s">
        <v>763</v>
      </c>
      <c r="B166" s="8"/>
      <c r="C166" s="8">
        <f>+SUMIFS($H$104:$H$151,$E$104:$E$151,$A$166,$G$104:$G$151,C164)</f>
        <v>0</v>
      </c>
      <c r="D166" s="8">
        <f t="shared" ref="D166:H166" si="22">+SUMIFS($H$104:$H$151,$E$104:$E$151,$A$166,$G$104:$G$151,D164)</f>
        <v>0</v>
      </c>
      <c r="E166" s="8">
        <f t="shared" si="22"/>
        <v>11</v>
      </c>
      <c r="F166" s="8">
        <f t="shared" si="22"/>
        <v>0</v>
      </c>
      <c r="G166" s="8">
        <f t="shared" si="22"/>
        <v>0</v>
      </c>
      <c r="H166" s="8">
        <f t="shared" si="22"/>
        <v>0</v>
      </c>
      <c r="R166" s="273"/>
      <c r="S166" s="77"/>
      <c r="T166" s="77"/>
      <c r="U166" s="274"/>
    </row>
    <row r="167" spans="1:25" ht="15.75">
      <c r="A167" s="19" t="s">
        <v>45</v>
      </c>
      <c r="B167" s="234"/>
      <c r="C167" s="8">
        <f>+SUMIFS($H$104:$H$151,$E$104:$E$151,$A$167,$G$104:$G$151,C164)</f>
        <v>447</v>
      </c>
      <c r="D167" s="8">
        <f t="shared" ref="D167:H167" si="23">+SUMIFS($H$104:$H$151,$E$104:$E$151,$A$167,$G$104:$G$151,D164)</f>
        <v>151</v>
      </c>
      <c r="E167" s="8">
        <f t="shared" si="23"/>
        <v>243</v>
      </c>
      <c r="F167" s="8">
        <f t="shared" si="23"/>
        <v>0</v>
      </c>
      <c r="G167" s="8">
        <f t="shared" si="23"/>
        <v>0</v>
      </c>
      <c r="H167" s="8">
        <f t="shared" si="23"/>
        <v>0</v>
      </c>
      <c r="R167" s="273"/>
      <c r="S167" s="77"/>
      <c r="T167" s="77"/>
      <c r="U167" s="274"/>
    </row>
    <row r="168" spans="1:25" ht="15.75">
      <c r="A168" s="21" t="s">
        <v>764</v>
      </c>
      <c r="C168" s="8">
        <f>+SUMIFS($H$104:$H$151,$E$104:$E$151,$A$168,$G$104:$G$151,C164)</f>
        <v>3</v>
      </c>
      <c r="D168" s="8">
        <f t="shared" ref="D168:H168" si="24">+SUMIFS($H$104:$H$151,$E$104:$E$151,$A$168,$G$104:$G$151,D164)</f>
        <v>5</v>
      </c>
      <c r="E168" s="8">
        <f t="shared" si="24"/>
        <v>20</v>
      </c>
      <c r="F168" s="8">
        <f t="shared" si="24"/>
        <v>0</v>
      </c>
      <c r="G168" s="8">
        <f t="shared" si="24"/>
        <v>0</v>
      </c>
      <c r="H168" s="8">
        <f t="shared" si="24"/>
        <v>0</v>
      </c>
      <c r="R168" s="273"/>
      <c r="S168" s="77"/>
      <c r="T168" s="77"/>
      <c r="U168" s="274"/>
    </row>
    <row r="169" spans="1:25">
      <c r="R169" s="273"/>
      <c r="S169" s="77"/>
      <c r="T169" s="77"/>
      <c r="U169" s="274"/>
    </row>
    <row r="170" spans="1:25">
      <c r="R170" s="273"/>
      <c r="S170" s="77"/>
      <c r="T170" s="77"/>
      <c r="U170" s="274"/>
      <c r="Y170">
        <v>651</v>
      </c>
    </row>
    <row r="171" spans="1:25">
      <c r="R171" s="273"/>
      <c r="S171" s="77"/>
      <c r="T171" s="77"/>
      <c r="U171" s="274"/>
      <c r="Y171">
        <v>880</v>
      </c>
    </row>
    <row r="172" spans="1:25" ht="15" customHeight="1">
      <c r="A172" s="617" t="s">
        <v>742</v>
      </c>
      <c r="B172" s="618"/>
      <c r="C172" s="618"/>
      <c r="D172" s="618"/>
      <c r="E172" s="618"/>
      <c r="F172" s="618"/>
      <c r="G172" s="618"/>
      <c r="H172" s="618"/>
      <c r="I172" s="618"/>
      <c r="J172" s="618"/>
      <c r="K172" s="618"/>
      <c r="L172" s="618"/>
      <c r="M172" s="618"/>
      <c r="N172" s="618"/>
      <c r="O172" s="618"/>
      <c r="P172" s="618"/>
      <c r="Q172" s="618"/>
      <c r="R172" s="251"/>
      <c r="S172" s="251"/>
      <c r="T172" s="251"/>
      <c r="U172" s="251"/>
      <c r="V172" s="251"/>
      <c r="W172" s="252"/>
      <c r="Y172">
        <v>935</v>
      </c>
    </row>
    <row r="173" spans="1:25" ht="15" customHeight="1">
      <c r="A173" s="619"/>
      <c r="B173" s="620"/>
      <c r="C173" s="620"/>
      <c r="D173" s="620"/>
      <c r="E173" s="620"/>
      <c r="F173" s="620"/>
      <c r="G173" s="620"/>
      <c r="H173" s="620"/>
      <c r="I173" s="620"/>
      <c r="J173" s="620"/>
      <c r="K173" s="620"/>
      <c r="L173" s="620"/>
      <c r="M173" s="620"/>
      <c r="N173" s="620"/>
      <c r="O173" s="620"/>
      <c r="P173" s="620"/>
      <c r="Q173" s="620"/>
      <c r="R173" s="252"/>
      <c r="S173" s="252"/>
      <c r="T173" s="252"/>
      <c r="U173" s="252"/>
      <c r="V173" s="252"/>
      <c r="W173" s="252"/>
    </row>
    <row r="174" spans="1:25" ht="18" customHeight="1">
      <c r="A174" s="621"/>
      <c r="B174" s="622"/>
      <c r="C174" s="622"/>
      <c r="D174" s="622"/>
      <c r="E174" s="622"/>
      <c r="F174" s="622"/>
      <c r="G174" s="622"/>
      <c r="H174" s="622"/>
      <c r="I174" s="622"/>
      <c r="J174" s="622"/>
      <c r="K174" s="622"/>
      <c r="L174" s="622"/>
      <c r="M174" s="622"/>
      <c r="N174" s="622"/>
      <c r="O174" s="622"/>
      <c r="P174" s="622"/>
      <c r="Q174" s="622"/>
      <c r="R174" s="253"/>
      <c r="S174" s="253"/>
      <c r="T174" s="253"/>
      <c r="U174" s="253"/>
      <c r="V174" s="253"/>
      <c r="W174" s="252"/>
    </row>
    <row r="175" spans="1:25" ht="18" customHeight="1">
      <c r="A175" s="236" t="s">
        <v>448</v>
      </c>
      <c r="B175" s="236" t="s">
        <v>743</v>
      </c>
      <c r="C175" s="237" t="s">
        <v>180</v>
      </c>
      <c r="D175" s="237" t="s">
        <v>13</v>
      </c>
      <c r="E175" s="237" t="s">
        <v>181</v>
      </c>
      <c r="F175" s="238" t="s">
        <v>449</v>
      </c>
      <c r="G175" s="237" t="s">
        <v>744</v>
      </c>
      <c r="H175" s="239" t="s">
        <v>184</v>
      </c>
      <c r="I175" s="247"/>
      <c r="J175" s="247"/>
      <c r="K175" s="247"/>
      <c r="L175" s="247"/>
      <c r="M175" s="247"/>
      <c r="N175" s="248"/>
      <c r="O175" s="249"/>
      <c r="P175" s="249"/>
      <c r="Q175" s="237" t="s">
        <v>745</v>
      </c>
      <c r="R175" s="237" t="s">
        <v>746</v>
      </c>
      <c r="S175" s="237" t="s">
        <v>747</v>
      </c>
      <c r="T175" s="237" t="s">
        <v>748</v>
      </c>
      <c r="U175" s="237" t="s">
        <v>749</v>
      </c>
      <c r="V175" s="254" t="s">
        <v>750</v>
      </c>
      <c r="W175" s="255"/>
    </row>
    <row r="176" spans="1:25" ht="18">
      <c r="A176" s="240"/>
      <c r="B176" s="240"/>
      <c r="C176" s="241"/>
      <c r="D176" s="241"/>
      <c r="E176" s="241"/>
      <c r="F176" s="242"/>
      <c r="G176" s="241"/>
      <c r="H176" s="270"/>
      <c r="I176" s="270" t="s">
        <v>751</v>
      </c>
      <c r="J176" s="270" t="s">
        <v>752</v>
      </c>
      <c r="K176" s="270" t="s">
        <v>753</v>
      </c>
      <c r="L176" s="270" t="s">
        <v>754</v>
      </c>
      <c r="M176" s="270" t="s">
        <v>755</v>
      </c>
      <c r="N176" s="270" t="s">
        <v>756</v>
      </c>
      <c r="O176" s="270"/>
      <c r="P176" s="270"/>
      <c r="Q176" s="241"/>
      <c r="R176" s="275"/>
      <c r="S176" s="275"/>
      <c r="T176" s="275"/>
      <c r="U176" s="275"/>
      <c r="V176" s="256"/>
      <c r="W176" s="255"/>
    </row>
    <row r="177" spans="1:23" ht="15.75">
      <c r="A177" s="21">
        <f t="shared" ref="A177:A208" si="25">1+A176</f>
        <v>1</v>
      </c>
      <c r="B177" s="21"/>
      <c r="C177" s="21" t="s">
        <v>347</v>
      </c>
      <c r="D177" s="21" t="s">
        <v>286</v>
      </c>
      <c r="E177" s="21" t="s">
        <v>769</v>
      </c>
      <c r="F177" s="21"/>
      <c r="G177" s="21">
        <v>63</v>
      </c>
      <c r="H177" s="21">
        <v>102</v>
      </c>
      <c r="I177" s="21"/>
      <c r="J177" s="21"/>
      <c r="K177" s="21"/>
      <c r="L177" s="21"/>
      <c r="M177" s="21"/>
      <c r="N177" s="21"/>
      <c r="O177" s="21"/>
      <c r="P177" s="21"/>
      <c r="Q177" s="21">
        <f>+H177</f>
        <v>102</v>
      </c>
      <c r="V177" s="55"/>
      <c r="W177" s="96"/>
    </row>
    <row r="178" spans="1:23" ht="15.75">
      <c r="A178" s="21">
        <f t="shared" si="25"/>
        <v>2</v>
      </c>
      <c r="B178" s="21"/>
      <c r="C178" s="21" t="s">
        <v>347</v>
      </c>
      <c r="D178" s="21" t="s">
        <v>286</v>
      </c>
      <c r="E178" s="21" t="s">
        <v>765</v>
      </c>
      <c r="F178" s="21">
        <v>0.39</v>
      </c>
      <c r="G178" s="21">
        <v>63</v>
      </c>
      <c r="H178" s="21">
        <v>22</v>
      </c>
      <c r="I178" s="21"/>
      <c r="J178" s="21"/>
      <c r="K178" s="21"/>
      <c r="L178" s="21"/>
      <c r="M178" s="21"/>
      <c r="N178" s="21"/>
      <c r="O178" s="21"/>
      <c r="P178" s="21"/>
      <c r="Q178" s="21">
        <f>+Q177+H178</f>
        <v>124</v>
      </c>
      <c r="V178" s="55">
        <v>22</v>
      </c>
      <c r="W178" s="96"/>
    </row>
    <row r="179" spans="1:23" ht="15.75">
      <c r="A179" s="21">
        <f t="shared" si="25"/>
        <v>3</v>
      </c>
      <c r="B179" s="21"/>
      <c r="C179" s="21" t="s">
        <v>286</v>
      </c>
      <c r="D179" s="21" t="s">
        <v>458</v>
      </c>
      <c r="E179" s="21" t="s">
        <v>769</v>
      </c>
      <c r="F179" s="21"/>
      <c r="G179" s="21">
        <v>63</v>
      </c>
      <c r="H179" s="21">
        <v>76</v>
      </c>
      <c r="I179" s="21"/>
      <c r="J179" s="21"/>
      <c r="K179" s="21"/>
      <c r="L179" s="21"/>
      <c r="M179" s="21"/>
      <c r="N179" s="21"/>
      <c r="O179" s="21"/>
      <c r="P179" s="21"/>
      <c r="Q179" s="21">
        <f t="shared" ref="Q179:Q227" si="26">+Q178+H179</f>
        <v>200</v>
      </c>
      <c r="V179" s="55"/>
      <c r="W179" s="96"/>
    </row>
    <row r="180" spans="1:23" ht="15.75">
      <c r="A180" s="21">
        <f t="shared" si="25"/>
        <v>4</v>
      </c>
      <c r="B180" s="21"/>
      <c r="C180" s="21">
        <v>24</v>
      </c>
      <c r="D180" s="21">
        <v>192</v>
      </c>
      <c r="E180" s="21" t="s">
        <v>45</v>
      </c>
      <c r="F180" s="21">
        <v>0.39</v>
      </c>
      <c r="G180" s="21">
        <v>63</v>
      </c>
      <c r="H180" s="21">
        <v>200</v>
      </c>
      <c r="I180" s="21"/>
      <c r="J180" s="21"/>
      <c r="K180" s="21"/>
      <c r="L180" s="21"/>
      <c r="M180" s="21"/>
      <c r="N180" s="21"/>
      <c r="O180" s="21"/>
      <c r="P180" s="21"/>
      <c r="Q180" s="21">
        <f t="shared" si="26"/>
        <v>400</v>
      </c>
      <c r="V180" s="55">
        <v>200</v>
      </c>
      <c r="W180" s="96"/>
    </row>
    <row r="181" spans="1:23" ht="15.75">
      <c r="A181" s="21">
        <f t="shared" si="25"/>
        <v>5</v>
      </c>
      <c r="B181" s="21"/>
      <c r="C181" s="21">
        <v>24</v>
      </c>
      <c r="D181" s="21">
        <v>192</v>
      </c>
      <c r="E181" s="21" t="s">
        <v>769</v>
      </c>
      <c r="F181" s="21"/>
      <c r="G181" s="21">
        <v>63</v>
      </c>
      <c r="H181" s="21">
        <v>200</v>
      </c>
      <c r="I181" s="21"/>
      <c r="J181" s="21"/>
      <c r="K181" s="21"/>
      <c r="L181" s="21"/>
      <c r="M181" s="21"/>
      <c r="N181" s="21"/>
      <c r="O181" s="21"/>
      <c r="P181" s="21"/>
      <c r="Q181" s="21">
        <f t="shared" si="26"/>
        <v>600</v>
      </c>
      <c r="V181" s="55"/>
      <c r="W181" s="96"/>
    </row>
    <row r="182" spans="1:23" ht="15.75">
      <c r="A182" s="21">
        <f t="shared" si="25"/>
        <v>6</v>
      </c>
      <c r="B182" s="21"/>
      <c r="C182" s="21">
        <v>27</v>
      </c>
      <c r="D182" s="21">
        <v>84</v>
      </c>
      <c r="E182" s="21" t="s">
        <v>769</v>
      </c>
      <c r="F182" s="21"/>
      <c r="G182" s="21">
        <v>63</v>
      </c>
      <c r="H182" s="21">
        <v>280</v>
      </c>
      <c r="I182" s="21"/>
      <c r="J182" s="21"/>
      <c r="K182" s="21"/>
      <c r="L182" s="21"/>
      <c r="M182" s="21"/>
      <c r="N182" s="21"/>
      <c r="O182" s="21"/>
      <c r="P182" s="21"/>
      <c r="Q182" s="21">
        <f t="shared" si="26"/>
        <v>880</v>
      </c>
      <c r="V182" s="55"/>
      <c r="W182" s="96"/>
    </row>
    <row r="183" spans="1:23" ht="15.75">
      <c r="A183" s="21">
        <f t="shared" si="25"/>
        <v>7</v>
      </c>
      <c r="B183" s="21"/>
      <c r="C183" s="21">
        <v>54</v>
      </c>
      <c r="D183" s="21">
        <v>112</v>
      </c>
      <c r="E183" s="21" t="s">
        <v>769</v>
      </c>
      <c r="F183" s="21"/>
      <c r="G183" s="21">
        <v>63</v>
      </c>
      <c r="H183" s="21">
        <v>198</v>
      </c>
      <c r="I183" s="21"/>
      <c r="J183" s="21"/>
      <c r="K183" s="21"/>
      <c r="L183" s="21"/>
      <c r="M183" s="21"/>
      <c r="N183" s="21"/>
      <c r="O183" s="21"/>
      <c r="P183" s="21"/>
      <c r="Q183" s="21">
        <f t="shared" si="26"/>
        <v>1078</v>
      </c>
      <c r="V183" s="55"/>
      <c r="W183" s="96"/>
    </row>
    <row r="184" spans="1:23" ht="15.75">
      <c r="A184" s="21">
        <f t="shared" si="25"/>
        <v>8</v>
      </c>
      <c r="B184" s="21"/>
      <c r="C184" s="21">
        <v>54</v>
      </c>
      <c r="D184" s="21">
        <v>160</v>
      </c>
      <c r="E184" s="21" t="s">
        <v>769</v>
      </c>
      <c r="F184" s="21"/>
      <c r="G184" s="21">
        <v>63</v>
      </c>
      <c r="H184" s="21">
        <v>97</v>
      </c>
      <c r="I184" s="21"/>
      <c r="J184" s="21"/>
      <c r="K184" s="21"/>
      <c r="L184" s="21"/>
      <c r="M184" s="21"/>
      <c r="N184" s="21"/>
      <c r="O184" s="21"/>
      <c r="P184" s="21"/>
      <c r="Q184" s="21">
        <f t="shared" si="26"/>
        <v>1175</v>
      </c>
      <c r="V184" s="55"/>
      <c r="W184" s="96"/>
    </row>
    <row r="185" spans="1:23" ht="15.75">
      <c r="A185" s="21">
        <f t="shared" si="25"/>
        <v>9</v>
      </c>
      <c r="B185" s="21"/>
      <c r="C185" s="21">
        <v>160</v>
      </c>
      <c r="D185" s="21">
        <v>207</v>
      </c>
      <c r="E185" s="21" t="s">
        <v>769</v>
      </c>
      <c r="F185" s="21"/>
      <c r="G185" s="21">
        <v>63</v>
      </c>
      <c r="H185" s="21">
        <v>44</v>
      </c>
      <c r="I185" s="21"/>
      <c r="J185" s="21"/>
      <c r="K185" s="21"/>
      <c r="L185" s="21"/>
      <c r="M185" s="21"/>
      <c r="N185" s="21"/>
      <c r="O185" s="21"/>
      <c r="P185" s="21"/>
      <c r="Q185" s="21">
        <f t="shared" si="26"/>
        <v>1219</v>
      </c>
      <c r="V185" s="55"/>
      <c r="W185" s="96"/>
    </row>
    <row r="186" spans="1:23" ht="15.75">
      <c r="A186" s="21">
        <f t="shared" si="25"/>
        <v>10</v>
      </c>
      <c r="B186" s="21"/>
      <c r="C186" s="21">
        <v>160</v>
      </c>
      <c r="D186" s="21">
        <v>185</v>
      </c>
      <c r="E186" s="21" t="s">
        <v>769</v>
      </c>
      <c r="F186" s="21"/>
      <c r="G186" s="21">
        <v>63</v>
      </c>
      <c r="H186" s="21">
        <v>97</v>
      </c>
      <c r="I186" s="21"/>
      <c r="J186" s="21"/>
      <c r="K186" s="21"/>
      <c r="L186" s="21"/>
      <c r="M186" s="21"/>
      <c r="N186" s="21"/>
      <c r="O186" s="21"/>
      <c r="P186" s="21"/>
      <c r="Q186" s="21">
        <f t="shared" si="26"/>
        <v>1316</v>
      </c>
      <c r="V186" s="55"/>
      <c r="W186" s="96"/>
    </row>
    <row r="187" spans="1:23" ht="15.75">
      <c r="A187" s="21">
        <f t="shared" si="25"/>
        <v>11</v>
      </c>
      <c r="B187" s="21"/>
      <c r="C187" s="21">
        <v>110</v>
      </c>
      <c r="D187" s="21">
        <v>226</v>
      </c>
      <c r="E187" s="21" t="s">
        <v>769</v>
      </c>
      <c r="F187" s="21"/>
      <c r="G187" s="21">
        <v>63</v>
      </c>
      <c r="H187" s="21">
        <v>119</v>
      </c>
      <c r="I187" s="21"/>
      <c r="J187" s="21"/>
      <c r="K187" s="21"/>
      <c r="L187" s="21"/>
      <c r="M187" s="21"/>
      <c r="N187" s="21"/>
      <c r="O187" s="21"/>
      <c r="P187" s="21"/>
      <c r="Q187" s="21">
        <f t="shared" si="26"/>
        <v>1435</v>
      </c>
      <c r="V187" s="55"/>
      <c r="W187" s="96"/>
    </row>
    <row r="188" spans="1:23" ht="15.75">
      <c r="A188" s="21">
        <f t="shared" si="25"/>
        <v>12</v>
      </c>
      <c r="B188" s="21"/>
      <c r="C188" s="21">
        <v>110</v>
      </c>
      <c r="D188" s="21">
        <v>217</v>
      </c>
      <c r="E188" s="21" t="s">
        <v>769</v>
      </c>
      <c r="F188" s="21"/>
      <c r="G188" s="21">
        <v>63</v>
      </c>
      <c r="H188" s="21">
        <v>58</v>
      </c>
      <c r="I188" s="21"/>
      <c r="J188" s="21"/>
      <c r="K188" s="21"/>
      <c r="L188" s="21"/>
      <c r="M188" s="21"/>
      <c r="N188" s="21"/>
      <c r="O188" s="21"/>
      <c r="P188" s="21"/>
      <c r="Q188" s="21">
        <f t="shared" si="26"/>
        <v>1493</v>
      </c>
      <c r="V188" s="55"/>
      <c r="W188" s="96"/>
    </row>
    <row r="189" spans="1:23" ht="15.75">
      <c r="A189" s="21">
        <f t="shared" si="25"/>
        <v>13</v>
      </c>
      <c r="B189" s="21"/>
      <c r="C189" s="21">
        <v>117</v>
      </c>
      <c r="D189" s="21">
        <v>169</v>
      </c>
      <c r="E189" s="21" t="s">
        <v>769</v>
      </c>
      <c r="F189" s="21"/>
      <c r="G189" s="21">
        <v>63</v>
      </c>
      <c r="H189" s="21">
        <v>86</v>
      </c>
      <c r="I189" s="21"/>
      <c r="J189" s="21"/>
      <c r="K189" s="21"/>
      <c r="L189" s="21"/>
      <c r="M189" s="21"/>
      <c r="N189" s="21"/>
      <c r="O189" s="21"/>
      <c r="P189" s="21"/>
      <c r="Q189" s="21">
        <f t="shared" si="26"/>
        <v>1579</v>
      </c>
      <c r="V189" s="55"/>
      <c r="W189" s="96"/>
    </row>
    <row r="190" spans="1:23" ht="15.75">
      <c r="A190" s="21">
        <f t="shared" si="25"/>
        <v>14</v>
      </c>
      <c r="B190" s="21"/>
      <c r="C190" s="21">
        <v>117</v>
      </c>
      <c r="D190" s="21">
        <v>169</v>
      </c>
      <c r="E190" s="21" t="s">
        <v>764</v>
      </c>
      <c r="F190" s="21">
        <v>0.39</v>
      </c>
      <c r="G190" s="21">
        <v>63</v>
      </c>
      <c r="H190" s="21">
        <v>2</v>
      </c>
      <c r="I190" s="21"/>
      <c r="J190" s="21"/>
      <c r="K190" s="21"/>
      <c r="L190" s="21"/>
      <c r="M190" s="21"/>
      <c r="N190" s="21"/>
      <c r="O190" s="21"/>
      <c r="P190" s="21"/>
      <c r="Q190" s="21">
        <f t="shared" si="26"/>
        <v>1581</v>
      </c>
      <c r="V190" s="55">
        <v>2</v>
      </c>
      <c r="W190" s="96"/>
    </row>
    <row r="191" spans="1:23" ht="15.75">
      <c r="A191" s="21">
        <f t="shared" si="25"/>
        <v>15</v>
      </c>
      <c r="B191" s="21"/>
      <c r="C191" s="21">
        <v>18</v>
      </c>
      <c r="D191" s="21" t="s">
        <v>805</v>
      </c>
      <c r="E191" s="21" t="s">
        <v>769</v>
      </c>
      <c r="F191" s="21"/>
      <c r="G191" s="21">
        <v>63</v>
      </c>
      <c r="H191" s="21">
        <f>89-H192</f>
        <v>47</v>
      </c>
      <c r="I191" s="21"/>
      <c r="J191" s="21"/>
      <c r="K191" s="21"/>
      <c r="L191" s="21"/>
      <c r="M191" s="21"/>
      <c r="N191" s="21"/>
      <c r="O191" s="21"/>
      <c r="P191" s="21"/>
      <c r="Q191" s="21">
        <f t="shared" si="26"/>
        <v>1628</v>
      </c>
      <c r="V191" s="55"/>
      <c r="W191" s="96"/>
    </row>
    <row r="192" spans="1:23" ht="15.75">
      <c r="A192" s="21">
        <f t="shared" si="25"/>
        <v>16</v>
      </c>
      <c r="B192" s="21"/>
      <c r="C192" s="21">
        <v>18</v>
      </c>
      <c r="D192" s="21" t="s">
        <v>805</v>
      </c>
      <c r="E192" s="21" t="s">
        <v>765</v>
      </c>
      <c r="F192" s="21">
        <v>0.39</v>
      </c>
      <c r="G192" s="21">
        <v>63</v>
      </c>
      <c r="H192" s="21">
        <v>42</v>
      </c>
      <c r="I192" s="21"/>
      <c r="J192" s="21"/>
      <c r="K192" s="21"/>
      <c r="L192" s="21"/>
      <c r="M192" s="21"/>
      <c r="N192" s="21"/>
      <c r="O192" s="21"/>
      <c r="P192" s="21"/>
      <c r="Q192" s="21">
        <f t="shared" si="26"/>
        <v>1670</v>
      </c>
      <c r="V192" s="55">
        <v>42</v>
      </c>
      <c r="W192" s="96"/>
    </row>
    <row r="193" spans="1:23" ht="15.75">
      <c r="A193" s="21">
        <f t="shared" si="25"/>
        <v>17</v>
      </c>
      <c r="B193" s="21"/>
      <c r="C193" s="21">
        <v>18</v>
      </c>
      <c r="D193" s="21">
        <v>95</v>
      </c>
      <c r="E193" s="21" t="s">
        <v>45</v>
      </c>
      <c r="F193" s="21">
        <v>0.39</v>
      </c>
      <c r="G193" s="21">
        <v>63</v>
      </c>
      <c r="H193" s="21">
        <v>40</v>
      </c>
      <c r="I193" s="21"/>
      <c r="J193" s="21"/>
      <c r="K193" s="21"/>
      <c r="L193" s="21"/>
      <c r="M193" s="21"/>
      <c r="N193" s="21"/>
      <c r="O193" s="21"/>
      <c r="P193" s="21"/>
      <c r="Q193" s="21">
        <f t="shared" si="26"/>
        <v>1710</v>
      </c>
      <c r="V193" s="55">
        <v>40</v>
      </c>
      <c r="W193" s="96"/>
    </row>
    <row r="194" spans="1:23" ht="15.75">
      <c r="A194" s="21">
        <f t="shared" si="25"/>
        <v>18</v>
      </c>
      <c r="B194" s="21"/>
      <c r="C194" s="21">
        <v>18</v>
      </c>
      <c r="D194" s="21">
        <v>95</v>
      </c>
      <c r="E194" s="21" t="s">
        <v>769</v>
      </c>
      <c r="F194" s="21"/>
      <c r="G194" s="21">
        <v>63</v>
      </c>
      <c r="H194" s="21">
        <f>190-40</f>
        <v>150</v>
      </c>
      <c r="I194" s="21"/>
      <c r="J194" s="21"/>
      <c r="K194" s="21"/>
      <c r="L194" s="21"/>
      <c r="M194" s="21"/>
      <c r="N194" s="21"/>
      <c r="O194" s="21"/>
      <c r="P194" s="21"/>
      <c r="Q194" s="21">
        <f t="shared" si="26"/>
        <v>1860</v>
      </c>
      <c r="V194" s="55"/>
      <c r="W194" s="96"/>
    </row>
    <row r="195" spans="1:23" ht="15.75">
      <c r="A195" s="21">
        <f t="shared" si="25"/>
        <v>19</v>
      </c>
      <c r="B195" s="21"/>
      <c r="C195" s="21" t="s">
        <v>413</v>
      </c>
      <c r="D195" s="21" t="s">
        <v>347</v>
      </c>
      <c r="E195" s="21" t="s">
        <v>765</v>
      </c>
      <c r="F195" s="21">
        <v>0.39</v>
      </c>
      <c r="G195" s="21">
        <v>75</v>
      </c>
      <c r="H195" s="21">
        <v>25</v>
      </c>
      <c r="I195" s="21">
        <v>25</v>
      </c>
      <c r="J195" s="21"/>
      <c r="K195" s="21"/>
      <c r="L195" s="21"/>
      <c r="M195" s="21"/>
      <c r="N195" s="21"/>
      <c r="O195" s="21"/>
      <c r="P195" s="21"/>
      <c r="Q195" s="21">
        <f t="shared" si="26"/>
        <v>1885</v>
      </c>
      <c r="V195" s="55">
        <v>25</v>
      </c>
      <c r="W195" s="96"/>
    </row>
    <row r="196" spans="1:23" ht="15.75">
      <c r="A196" s="21">
        <f t="shared" si="25"/>
        <v>20</v>
      </c>
      <c r="B196" s="21"/>
      <c r="C196" s="21" t="s">
        <v>413</v>
      </c>
      <c r="D196" s="21" t="s">
        <v>347</v>
      </c>
      <c r="E196" s="21" t="s">
        <v>769</v>
      </c>
      <c r="F196" s="21"/>
      <c r="G196" s="21">
        <v>75</v>
      </c>
      <c r="H196" s="21">
        <f>85-25</f>
        <v>60</v>
      </c>
      <c r="I196" s="21">
        <f>85-25</f>
        <v>60</v>
      </c>
      <c r="J196" s="21"/>
      <c r="K196" s="21"/>
      <c r="L196" s="21"/>
      <c r="M196" s="21"/>
      <c r="N196" s="21"/>
      <c r="O196" s="21"/>
      <c r="P196" s="21"/>
      <c r="Q196" s="21">
        <f t="shared" si="26"/>
        <v>1945</v>
      </c>
      <c r="V196" s="55"/>
      <c r="W196" s="96"/>
    </row>
    <row r="197" spans="1:23" ht="15.75">
      <c r="A197" s="21">
        <f t="shared" si="25"/>
        <v>21</v>
      </c>
      <c r="B197" s="21"/>
      <c r="C197" s="21" t="s">
        <v>446</v>
      </c>
      <c r="D197" s="21" t="s">
        <v>308</v>
      </c>
      <c r="E197" s="21" t="s">
        <v>769</v>
      </c>
      <c r="F197" s="21"/>
      <c r="G197" s="21">
        <v>75</v>
      </c>
      <c r="H197" s="21">
        <v>32</v>
      </c>
      <c r="I197" s="21">
        <v>32</v>
      </c>
      <c r="J197" s="21"/>
      <c r="K197" s="21"/>
      <c r="L197" s="21"/>
      <c r="M197" s="21"/>
      <c r="N197" s="21"/>
      <c r="O197" s="21"/>
      <c r="P197" s="21"/>
      <c r="Q197" s="21">
        <f t="shared" si="26"/>
        <v>1977</v>
      </c>
      <c r="V197" s="55"/>
      <c r="W197" s="96"/>
    </row>
    <row r="198" spans="1:23" ht="15.75">
      <c r="A198" s="21">
        <f t="shared" si="25"/>
        <v>22</v>
      </c>
      <c r="B198" s="21"/>
      <c r="C198" s="21">
        <v>137</v>
      </c>
      <c r="D198" s="21">
        <v>100</v>
      </c>
      <c r="E198" s="21" t="s">
        <v>769</v>
      </c>
      <c r="F198" s="21"/>
      <c r="G198" s="21">
        <v>75</v>
      </c>
      <c r="H198" s="21">
        <v>72</v>
      </c>
      <c r="I198" s="21">
        <v>72</v>
      </c>
      <c r="J198" s="21"/>
      <c r="K198" s="21"/>
      <c r="L198" s="21"/>
      <c r="M198" s="21"/>
      <c r="N198" s="21"/>
      <c r="O198" s="21"/>
      <c r="P198" s="21"/>
      <c r="Q198" s="21">
        <f t="shared" si="26"/>
        <v>2049</v>
      </c>
      <c r="V198" s="55"/>
      <c r="W198" s="96"/>
    </row>
    <row r="199" spans="1:23" ht="15.75">
      <c r="A199" s="21">
        <f t="shared" si="25"/>
        <v>23</v>
      </c>
      <c r="B199" s="21"/>
      <c r="C199" s="21">
        <v>100</v>
      </c>
      <c r="D199" s="21">
        <v>102</v>
      </c>
      <c r="E199" s="21" t="s">
        <v>769</v>
      </c>
      <c r="F199" s="21"/>
      <c r="G199" s="21">
        <v>75</v>
      </c>
      <c r="H199" s="21">
        <v>29</v>
      </c>
      <c r="I199" s="21">
        <v>29</v>
      </c>
      <c r="J199" s="21"/>
      <c r="K199" s="21"/>
      <c r="L199" s="21"/>
      <c r="M199" s="21"/>
      <c r="N199" s="21"/>
      <c r="O199" s="21"/>
      <c r="P199" s="21"/>
      <c r="Q199" s="21">
        <f t="shared" si="26"/>
        <v>2078</v>
      </c>
      <c r="V199" s="55"/>
      <c r="W199" s="96"/>
    </row>
    <row r="200" spans="1:23" ht="15.75">
      <c r="A200" s="21">
        <f t="shared" si="25"/>
        <v>24</v>
      </c>
      <c r="B200" s="21"/>
      <c r="C200" s="21">
        <v>100</v>
      </c>
      <c r="D200" s="21">
        <v>175</v>
      </c>
      <c r="E200" s="21" t="s">
        <v>769</v>
      </c>
      <c r="F200" s="21"/>
      <c r="G200" s="21">
        <v>75</v>
      </c>
      <c r="H200" s="21">
        <v>41</v>
      </c>
      <c r="I200" s="21">
        <v>41</v>
      </c>
      <c r="J200" s="21"/>
      <c r="K200" s="21"/>
      <c r="L200" s="21"/>
      <c r="M200" s="21"/>
      <c r="N200" s="21"/>
      <c r="O200" s="21"/>
      <c r="P200" s="21"/>
      <c r="Q200" s="21">
        <f t="shared" si="26"/>
        <v>2119</v>
      </c>
      <c r="V200" s="55"/>
      <c r="W200" s="96"/>
    </row>
    <row r="201" spans="1:23" ht="15.75">
      <c r="A201" s="21">
        <f t="shared" si="25"/>
        <v>25</v>
      </c>
      <c r="B201" s="21"/>
      <c r="C201" s="21">
        <v>67</v>
      </c>
      <c r="D201" s="21">
        <v>137</v>
      </c>
      <c r="E201" s="21" t="s">
        <v>769</v>
      </c>
      <c r="F201" s="21"/>
      <c r="G201" s="21">
        <v>75</v>
      </c>
      <c r="H201" s="21">
        <v>120</v>
      </c>
      <c r="I201" s="21">
        <v>120</v>
      </c>
      <c r="J201" s="21"/>
      <c r="K201" s="21"/>
      <c r="L201" s="21"/>
      <c r="M201" s="21"/>
      <c r="N201" s="21"/>
      <c r="O201" s="21"/>
      <c r="P201" s="21"/>
      <c r="Q201" s="21">
        <f t="shared" si="26"/>
        <v>2239</v>
      </c>
      <c r="V201" s="55"/>
      <c r="W201" s="96"/>
    </row>
    <row r="202" spans="1:23" ht="15.75">
      <c r="A202" s="21">
        <f t="shared" si="25"/>
        <v>26</v>
      </c>
      <c r="B202" s="21"/>
      <c r="C202" s="21">
        <v>38</v>
      </c>
      <c r="D202" s="21">
        <v>202</v>
      </c>
      <c r="E202" s="21" t="s">
        <v>769</v>
      </c>
      <c r="F202" s="21"/>
      <c r="G202" s="21">
        <v>75</v>
      </c>
      <c r="H202" s="21">
        <v>45</v>
      </c>
      <c r="I202" s="21">
        <v>45</v>
      </c>
      <c r="J202" s="21"/>
      <c r="K202" s="21"/>
      <c r="L202" s="21"/>
      <c r="M202" s="21"/>
      <c r="N202" s="21"/>
      <c r="O202" s="21"/>
      <c r="P202" s="21"/>
      <c r="Q202" s="21">
        <f t="shared" si="26"/>
        <v>2284</v>
      </c>
      <c r="V202" s="55"/>
      <c r="W202" s="96"/>
    </row>
    <row r="203" spans="1:23" ht="15.75">
      <c r="A203" s="21">
        <f t="shared" si="25"/>
        <v>27</v>
      </c>
      <c r="B203" s="21"/>
      <c r="C203" s="21">
        <v>144</v>
      </c>
      <c r="D203" s="21">
        <v>54</v>
      </c>
      <c r="E203" s="21" t="s">
        <v>769</v>
      </c>
      <c r="F203" s="21"/>
      <c r="G203" s="21">
        <v>75</v>
      </c>
      <c r="H203" s="21">
        <v>106</v>
      </c>
      <c r="I203" s="21">
        <v>106</v>
      </c>
      <c r="J203" s="21"/>
      <c r="K203" s="21"/>
      <c r="L203" s="21"/>
      <c r="M203" s="21"/>
      <c r="N203" s="21"/>
      <c r="O203" s="21"/>
      <c r="P203" s="21"/>
      <c r="Q203" s="21">
        <f t="shared" si="26"/>
        <v>2390</v>
      </c>
      <c r="V203" s="55"/>
      <c r="W203" s="96"/>
    </row>
    <row r="204" spans="1:23" ht="15.75">
      <c r="A204" s="21">
        <f t="shared" si="25"/>
        <v>28</v>
      </c>
      <c r="B204" s="21"/>
      <c r="C204" s="21">
        <v>185</v>
      </c>
      <c r="D204" s="21">
        <v>103</v>
      </c>
      <c r="E204" s="21" t="s">
        <v>765</v>
      </c>
      <c r="F204" s="21">
        <v>0.39</v>
      </c>
      <c r="G204" s="21">
        <v>75</v>
      </c>
      <c r="H204" s="21">
        <v>86</v>
      </c>
      <c r="I204" s="21">
        <v>86</v>
      </c>
      <c r="J204" s="21"/>
      <c r="K204" s="21"/>
      <c r="L204" s="21"/>
      <c r="M204" s="21"/>
      <c r="N204" s="21"/>
      <c r="O204" s="21"/>
      <c r="P204" s="21"/>
      <c r="Q204" s="21">
        <f t="shared" si="26"/>
        <v>2476</v>
      </c>
      <c r="V204" s="55">
        <v>86</v>
      </c>
      <c r="W204" s="96"/>
    </row>
    <row r="205" spans="1:23" ht="15.75">
      <c r="A205" s="21">
        <f t="shared" si="25"/>
        <v>29</v>
      </c>
      <c r="B205" s="21"/>
      <c r="C205" s="21">
        <v>103</v>
      </c>
      <c r="D205" s="21">
        <v>140</v>
      </c>
      <c r="E205" s="21" t="s">
        <v>45</v>
      </c>
      <c r="F205" s="21">
        <v>0.39</v>
      </c>
      <c r="G205" s="21">
        <v>75</v>
      </c>
      <c r="H205" s="21">
        <v>39</v>
      </c>
      <c r="I205" s="21">
        <v>39</v>
      </c>
      <c r="J205" s="21"/>
      <c r="K205" s="21"/>
      <c r="L205" s="21"/>
      <c r="M205" s="21"/>
      <c r="N205" s="21"/>
      <c r="O205" s="21"/>
      <c r="P205" s="21"/>
      <c r="Q205" s="21">
        <f t="shared" si="26"/>
        <v>2515</v>
      </c>
      <c r="V205" s="55">
        <v>39</v>
      </c>
      <c r="W205" s="96"/>
    </row>
    <row r="206" spans="1:23" ht="15.75">
      <c r="A206" s="21">
        <f t="shared" si="25"/>
        <v>30</v>
      </c>
      <c r="B206" s="21"/>
      <c r="C206" s="21">
        <v>140</v>
      </c>
      <c r="D206" s="21">
        <v>118</v>
      </c>
      <c r="E206" s="21" t="s">
        <v>769</v>
      </c>
      <c r="F206" s="21"/>
      <c r="G206" s="21">
        <v>75</v>
      </c>
      <c r="H206" s="21">
        <v>54</v>
      </c>
      <c r="I206" s="21">
        <v>54</v>
      </c>
      <c r="J206" s="21"/>
      <c r="K206" s="21"/>
      <c r="L206" s="21"/>
      <c r="M206" s="21"/>
      <c r="N206" s="21"/>
      <c r="O206" s="21"/>
      <c r="P206" s="21"/>
      <c r="Q206" s="21">
        <f t="shared" si="26"/>
        <v>2569</v>
      </c>
      <c r="V206" s="55"/>
      <c r="W206" s="96"/>
    </row>
    <row r="207" spans="1:23" ht="15.75">
      <c r="A207" s="21">
        <f t="shared" si="25"/>
        <v>31</v>
      </c>
      <c r="B207" s="21"/>
      <c r="C207" s="21">
        <v>103</v>
      </c>
      <c r="D207" s="21">
        <v>110</v>
      </c>
      <c r="E207" s="21" t="s">
        <v>769</v>
      </c>
      <c r="F207" s="21"/>
      <c r="G207" s="21">
        <v>75</v>
      </c>
      <c r="H207" s="21">
        <v>75</v>
      </c>
      <c r="I207" s="21">
        <v>75</v>
      </c>
      <c r="J207" s="21"/>
      <c r="K207" s="21"/>
      <c r="L207" s="21"/>
      <c r="M207" s="21"/>
      <c r="N207" s="21"/>
      <c r="O207" s="21"/>
      <c r="P207" s="21"/>
      <c r="Q207" s="21">
        <f t="shared" si="26"/>
        <v>2644</v>
      </c>
      <c r="V207" s="55"/>
      <c r="W207" s="96"/>
    </row>
    <row r="208" spans="1:23" ht="15.75">
      <c r="A208" s="21">
        <f t="shared" si="25"/>
        <v>32</v>
      </c>
      <c r="B208" s="21"/>
      <c r="C208" s="21">
        <v>217</v>
      </c>
      <c r="D208" s="23" t="s">
        <v>806</v>
      </c>
      <c r="E208" s="21" t="s">
        <v>769</v>
      </c>
      <c r="F208" s="21"/>
      <c r="G208" s="21">
        <v>75</v>
      </c>
      <c r="H208" s="21">
        <v>48</v>
      </c>
      <c r="I208" s="21">
        <v>48</v>
      </c>
      <c r="J208" s="21"/>
      <c r="K208" s="21"/>
      <c r="L208" s="21"/>
      <c r="M208" s="21"/>
      <c r="N208" s="21"/>
      <c r="O208" s="21"/>
      <c r="P208" s="21"/>
      <c r="Q208" s="21">
        <f t="shared" si="26"/>
        <v>2692</v>
      </c>
      <c r="V208" s="55"/>
      <c r="W208" s="96"/>
    </row>
    <row r="209" spans="1:23" ht="15.75">
      <c r="A209" s="21">
        <f t="shared" ref="A209:A227" si="27">1+A208</f>
        <v>33</v>
      </c>
      <c r="B209" s="21"/>
      <c r="C209" s="21">
        <v>117</v>
      </c>
      <c r="D209" s="21">
        <v>65</v>
      </c>
      <c r="E209" s="21" t="s">
        <v>769</v>
      </c>
      <c r="F209" s="21"/>
      <c r="G209" s="21">
        <v>75</v>
      </c>
      <c r="H209" s="21">
        <f>129-H210</f>
        <v>79</v>
      </c>
      <c r="I209" s="21">
        <f>129-I210</f>
        <v>79</v>
      </c>
      <c r="J209" s="21"/>
      <c r="K209" s="21"/>
      <c r="L209" s="21"/>
      <c r="M209" s="21"/>
      <c r="N209" s="21"/>
      <c r="O209" s="21"/>
      <c r="P209" s="21"/>
      <c r="Q209" s="21">
        <f t="shared" si="26"/>
        <v>2771</v>
      </c>
      <c r="V209" s="55"/>
      <c r="W209" s="96"/>
    </row>
    <row r="210" spans="1:23" ht="15.75">
      <c r="A210" s="21">
        <f t="shared" si="27"/>
        <v>34</v>
      </c>
      <c r="B210" s="21"/>
      <c r="C210" s="21">
        <v>117</v>
      </c>
      <c r="D210" s="21">
        <v>65</v>
      </c>
      <c r="E210" s="21" t="s">
        <v>764</v>
      </c>
      <c r="F210" s="21">
        <v>0.39</v>
      </c>
      <c r="G210" s="21">
        <v>75</v>
      </c>
      <c r="H210" s="21">
        <v>50</v>
      </c>
      <c r="I210" s="21">
        <v>50</v>
      </c>
      <c r="J210" s="21"/>
      <c r="K210" s="21"/>
      <c r="L210" s="21"/>
      <c r="M210" s="21"/>
      <c r="N210" s="21"/>
      <c r="O210" s="21"/>
      <c r="P210" s="21"/>
      <c r="Q210" s="21">
        <f t="shared" si="26"/>
        <v>2821</v>
      </c>
      <c r="V210" s="55">
        <v>50</v>
      </c>
      <c r="W210" s="96"/>
    </row>
    <row r="211" spans="1:23" ht="15.75">
      <c r="A211" s="21">
        <f t="shared" si="27"/>
        <v>35</v>
      </c>
      <c r="B211" s="21"/>
      <c r="C211" s="21">
        <v>20</v>
      </c>
      <c r="D211" s="21">
        <v>18</v>
      </c>
      <c r="E211" s="21" t="s">
        <v>769</v>
      </c>
      <c r="F211" s="21"/>
      <c r="G211" s="21">
        <v>90</v>
      </c>
      <c r="H211" s="21">
        <v>179</v>
      </c>
      <c r="I211" s="21"/>
      <c r="J211" s="21">
        <v>179</v>
      </c>
      <c r="K211" s="21"/>
      <c r="L211" s="21"/>
      <c r="M211" s="21"/>
      <c r="N211" s="21"/>
      <c r="O211" s="21"/>
      <c r="P211" s="21"/>
      <c r="Q211" s="21">
        <f t="shared" si="26"/>
        <v>3000</v>
      </c>
      <c r="V211" s="55"/>
      <c r="W211" s="96"/>
    </row>
    <row r="212" spans="1:23" ht="15.75">
      <c r="A212" s="21">
        <f t="shared" si="27"/>
        <v>36</v>
      </c>
      <c r="B212" s="21"/>
      <c r="C212" s="21">
        <v>18</v>
      </c>
      <c r="D212" s="21">
        <v>139</v>
      </c>
      <c r="E212" s="21" t="s">
        <v>769</v>
      </c>
      <c r="F212" s="21"/>
      <c r="G212" s="21">
        <v>90</v>
      </c>
      <c r="H212" s="21">
        <v>23</v>
      </c>
      <c r="I212" s="21"/>
      <c r="J212" s="21">
        <v>23</v>
      </c>
      <c r="K212" s="21"/>
      <c r="L212" s="21"/>
      <c r="M212" s="21"/>
      <c r="N212" s="21"/>
      <c r="O212" s="21"/>
      <c r="P212" s="21"/>
      <c r="Q212" s="21">
        <f t="shared" si="26"/>
        <v>3023</v>
      </c>
      <c r="V212" s="55"/>
      <c r="W212" s="96"/>
    </row>
    <row r="213" spans="1:23" ht="15.75">
      <c r="A213" s="21">
        <f t="shared" si="27"/>
        <v>37</v>
      </c>
      <c r="B213" s="21"/>
      <c r="C213" s="21">
        <v>113</v>
      </c>
      <c r="D213" s="21">
        <v>65</v>
      </c>
      <c r="E213" s="21" t="s">
        <v>769</v>
      </c>
      <c r="F213" s="21"/>
      <c r="G213" s="21">
        <v>90</v>
      </c>
      <c r="H213" s="21">
        <v>88</v>
      </c>
      <c r="I213" s="21"/>
      <c r="J213" s="21">
        <v>88</v>
      </c>
      <c r="K213" s="21"/>
      <c r="L213" s="21"/>
      <c r="M213" s="21"/>
      <c r="N213" s="21"/>
      <c r="O213" s="21"/>
      <c r="P213" s="21"/>
      <c r="Q213" s="21">
        <f t="shared" si="26"/>
        <v>3111</v>
      </c>
      <c r="V213" s="55"/>
      <c r="W213" s="96"/>
    </row>
    <row r="214" spans="1:23" ht="15.75">
      <c r="A214" s="21">
        <f t="shared" si="27"/>
        <v>38</v>
      </c>
      <c r="B214" s="21"/>
      <c r="C214" s="21">
        <v>65</v>
      </c>
      <c r="D214" s="21">
        <v>27</v>
      </c>
      <c r="E214" s="21" t="s">
        <v>769</v>
      </c>
      <c r="F214" s="21"/>
      <c r="G214" s="21">
        <v>90</v>
      </c>
      <c r="H214" s="21">
        <v>121</v>
      </c>
      <c r="I214" s="21"/>
      <c r="J214" s="21">
        <v>121</v>
      </c>
      <c r="K214" s="21"/>
      <c r="L214" s="21"/>
      <c r="M214" s="21"/>
      <c r="N214" s="21"/>
      <c r="O214" s="21"/>
      <c r="P214" s="21"/>
      <c r="Q214" s="21">
        <f t="shared" si="26"/>
        <v>3232</v>
      </c>
      <c r="V214" s="55"/>
      <c r="W214" s="96"/>
    </row>
    <row r="215" spans="1:23" ht="15.75">
      <c r="A215" s="21">
        <f t="shared" si="27"/>
        <v>39</v>
      </c>
      <c r="B215" s="21"/>
      <c r="C215" s="21">
        <v>20</v>
      </c>
      <c r="D215" s="21">
        <v>40</v>
      </c>
      <c r="E215" s="21" t="s">
        <v>769</v>
      </c>
      <c r="F215" s="21"/>
      <c r="G215" s="21">
        <v>90</v>
      </c>
      <c r="H215" s="21">
        <v>314</v>
      </c>
      <c r="I215" s="21"/>
      <c r="J215" s="21">
        <v>314</v>
      </c>
      <c r="K215" s="21"/>
      <c r="L215" s="21"/>
      <c r="M215" s="21"/>
      <c r="N215" s="21"/>
      <c r="O215" s="21"/>
      <c r="P215" s="21"/>
      <c r="Q215" s="21">
        <f t="shared" si="26"/>
        <v>3546</v>
      </c>
      <c r="V215" s="55"/>
      <c r="W215" s="96"/>
    </row>
    <row r="216" spans="1:23" ht="15.75">
      <c r="A216" s="21">
        <f t="shared" si="27"/>
        <v>40</v>
      </c>
      <c r="B216" s="21"/>
      <c r="C216" s="21">
        <v>40</v>
      </c>
      <c r="D216" s="21">
        <v>144</v>
      </c>
      <c r="E216" s="21" t="s">
        <v>769</v>
      </c>
      <c r="F216" s="21"/>
      <c r="G216" s="21">
        <v>90</v>
      </c>
      <c r="H216" s="21">
        <v>59</v>
      </c>
      <c r="I216" s="21"/>
      <c r="J216" s="21">
        <v>59</v>
      </c>
      <c r="K216" s="21"/>
      <c r="L216" s="21"/>
      <c r="M216" s="21"/>
      <c r="N216" s="21"/>
      <c r="O216" s="21"/>
      <c r="P216" s="21"/>
      <c r="Q216" s="21">
        <f t="shared" si="26"/>
        <v>3605</v>
      </c>
      <c r="V216" s="55"/>
      <c r="W216" s="96"/>
    </row>
    <row r="217" spans="1:23" ht="15.75">
      <c r="A217" s="21">
        <f t="shared" si="27"/>
        <v>41</v>
      </c>
      <c r="B217" s="21"/>
      <c r="C217" s="21">
        <v>18</v>
      </c>
      <c r="D217" s="21" t="s">
        <v>807</v>
      </c>
      <c r="E217" s="21" t="s">
        <v>769</v>
      </c>
      <c r="F217" s="21"/>
      <c r="G217" s="21">
        <v>90</v>
      </c>
      <c r="H217" s="21">
        <f>260-H218</f>
        <v>115</v>
      </c>
      <c r="I217" s="21"/>
      <c r="J217" s="21">
        <f>260-J218</f>
        <v>115</v>
      </c>
      <c r="K217" s="21"/>
      <c r="L217" s="21"/>
      <c r="M217" s="21"/>
      <c r="N217" s="21"/>
      <c r="O217" s="21"/>
      <c r="P217" s="21"/>
      <c r="Q217" s="21">
        <f t="shared" si="26"/>
        <v>3720</v>
      </c>
      <c r="V217" s="55"/>
      <c r="W217" s="96"/>
    </row>
    <row r="218" spans="1:23" ht="15.75">
      <c r="A218" s="21">
        <f t="shared" si="27"/>
        <v>42</v>
      </c>
      <c r="B218" s="21"/>
      <c r="C218" s="21">
        <v>18</v>
      </c>
      <c r="D218" s="21" t="s">
        <v>807</v>
      </c>
      <c r="E218" s="21" t="s">
        <v>45</v>
      </c>
      <c r="F218" s="21">
        <v>0.39</v>
      </c>
      <c r="G218" s="21">
        <v>90</v>
      </c>
      <c r="H218" s="21">
        <v>145</v>
      </c>
      <c r="I218" s="21"/>
      <c r="J218" s="21">
        <v>145</v>
      </c>
      <c r="K218" s="21"/>
      <c r="L218" s="21"/>
      <c r="M218" s="21"/>
      <c r="N218" s="21"/>
      <c r="O218" s="21"/>
      <c r="P218" s="21"/>
      <c r="Q218" s="21">
        <f t="shared" si="26"/>
        <v>3865</v>
      </c>
      <c r="V218" s="55">
        <v>145</v>
      </c>
      <c r="W218" s="96"/>
    </row>
    <row r="219" spans="1:23" ht="15.75">
      <c r="A219" s="21">
        <f t="shared" si="27"/>
        <v>43</v>
      </c>
      <c r="B219" s="21"/>
      <c r="C219" s="21" t="s">
        <v>722</v>
      </c>
      <c r="D219" s="21">
        <v>30</v>
      </c>
      <c r="E219" s="21" t="s">
        <v>763</v>
      </c>
      <c r="F219" s="21">
        <v>0.44</v>
      </c>
      <c r="G219" s="21">
        <v>110</v>
      </c>
      <c r="H219" s="21">
        <v>3</v>
      </c>
      <c r="I219" s="21"/>
      <c r="J219" s="21"/>
      <c r="K219" s="21">
        <v>3</v>
      </c>
      <c r="L219" s="21"/>
      <c r="M219" s="21"/>
      <c r="N219" s="21"/>
      <c r="O219" s="21"/>
      <c r="P219" s="21"/>
      <c r="Q219" s="21">
        <f t="shared" si="26"/>
        <v>3868</v>
      </c>
      <c r="V219" s="55">
        <v>3</v>
      </c>
      <c r="W219" s="96"/>
    </row>
    <row r="220" spans="1:23" ht="15.75">
      <c r="A220" s="21">
        <f t="shared" si="27"/>
        <v>44</v>
      </c>
      <c r="B220" s="21"/>
      <c r="C220" s="21" t="s">
        <v>722</v>
      </c>
      <c r="D220" s="21">
        <v>30</v>
      </c>
      <c r="E220" s="21" t="s">
        <v>769</v>
      </c>
      <c r="F220" s="21"/>
      <c r="G220" s="21">
        <v>110</v>
      </c>
      <c r="H220" s="21">
        <v>89</v>
      </c>
      <c r="I220" s="21"/>
      <c r="J220" s="21"/>
      <c r="K220" s="21">
        <v>89</v>
      </c>
      <c r="L220" s="21"/>
      <c r="M220" s="21"/>
      <c r="N220" s="21"/>
      <c r="O220" s="21"/>
      <c r="P220" s="21"/>
      <c r="Q220" s="21">
        <f t="shared" si="26"/>
        <v>3957</v>
      </c>
      <c r="V220" s="55"/>
      <c r="W220" s="96"/>
    </row>
    <row r="221" spans="1:23" ht="15.75">
      <c r="A221" s="21">
        <f t="shared" si="27"/>
        <v>45</v>
      </c>
      <c r="B221" s="21"/>
      <c r="C221" s="21">
        <v>167</v>
      </c>
      <c r="D221" s="21">
        <v>20</v>
      </c>
      <c r="E221" s="21" t="s">
        <v>769</v>
      </c>
      <c r="F221" s="21"/>
      <c r="G221" s="21">
        <v>125</v>
      </c>
      <c r="H221" s="21">
        <v>48</v>
      </c>
      <c r="I221" s="21"/>
      <c r="J221" s="21"/>
      <c r="K221" s="21"/>
      <c r="L221" s="21">
        <v>48</v>
      </c>
      <c r="M221" s="21"/>
      <c r="N221" s="21"/>
      <c r="O221" s="21"/>
      <c r="P221" s="21"/>
      <c r="Q221" s="21">
        <f t="shared" si="26"/>
        <v>4005</v>
      </c>
      <c r="V221" s="55"/>
      <c r="W221" s="96"/>
    </row>
    <row r="222" spans="1:23" ht="15.75">
      <c r="A222" s="21">
        <f t="shared" si="27"/>
        <v>46</v>
      </c>
      <c r="B222" s="21"/>
      <c r="C222" s="21" t="s">
        <v>267</v>
      </c>
      <c r="D222" s="21" t="s">
        <v>446</v>
      </c>
      <c r="E222" s="21" t="s">
        <v>769</v>
      </c>
      <c r="F222" s="21"/>
      <c r="G222" s="21">
        <v>140</v>
      </c>
      <c r="H222" s="21">
        <v>64</v>
      </c>
      <c r="I222" s="21"/>
      <c r="J222" s="21"/>
      <c r="K222" s="21"/>
      <c r="L222" s="21"/>
      <c r="M222" s="21">
        <v>64</v>
      </c>
      <c r="N222" s="21"/>
      <c r="O222" s="21"/>
      <c r="P222" s="21"/>
      <c r="Q222" s="21">
        <f t="shared" si="26"/>
        <v>4069</v>
      </c>
      <c r="V222" s="55"/>
      <c r="W222" s="96"/>
    </row>
    <row r="223" spans="1:23" ht="15.75">
      <c r="A223" s="21">
        <f t="shared" si="27"/>
        <v>47</v>
      </c>
      <c r="B223" s="21"/>
      <c r="C223" s="21">
        <v>102</v>
      </c>
      <c r="D223" s="21">
        <v>137</v>
      </c>
      <c r="E223" s="21" t="s">
        <v>769</v>
      </c>
      <c r="F223" s="21"/>
      <c r="G223" s="21">
        <v>140</v>
      </c>
      <c r="H223" s="21">
        <v>140</v>
      </c>
      <c r="I223" s="21"/>
      <c r="J223" s="21"/>
      <c r="K223" s="21"/>
      <c r="L223" s="21"/>
      <c r="M223" s="21">
        <v>140</v>
      </c>
      <c r="N223" s="21"/>
      <c r="O223" s="21"/>
      <c r="P223" s="21"/>
      <c r="Q223" s="21">
        <f t="shared" si="26"/>
        <v>4209</v>
      </c>
      <c r="V223" s="55"/>
      <c r="W223" s="96"/>
    </row>
    <row r="224" spans="1:23" ht="15.75">
      <c r="A224" s="21">
        <f t="shared" si="27"/>
        <v>48</v>
      </c>
      <c r="B224" s="21"/>
      <c r="C224" s="21">
        <v>137</v>
      </c>
      <c r="D224" s="21">
        <v>67</v>
      </c>
      <c r="E224" s="21" t="s">
        <v>769</v>
      </c>
      <c r="F224" s="21"/>
      <c r="G224" s="21">
        <v>140</v>
      </c>
      <c r="H224" s="21">
        <v>28</v>
      </c>
      <c r="I224" s="21"/>
      <c r="J224" s="21"/>
      <c r="K224" s="21"/>
      <c r="L224" s="21"/>
      <c r="M224" s="21">
        <v>28</v>
      </c>
      <c r="N224" s="21"/>
      <c r="O224" s="21"/>
      <c r="P224" s="21"/>
      <c r="Q224" s="21">
        <f t="shared" si="26"/>
        <v>4237</v>
      </c>
      <c r="V224" s="55"/>
      <c r="W224" s="96"/>
    </row>
    <row r="225" spans="1:27" ht="15.75">
      <c r="A225" s="21">
        <f t="shared" si="27"/>
        <v>49</v>
      </c>
      <c r="B225" s="21"/>
      <c r="C225" s="21">
        <v>67</v>
      </c>
      <c r="D225" s="21">
        <v>24</v>
      </c>
      <c r="E225" s="21" t="s">
        <v>769</v>
      </c>
      <c r="F225" s="21"/>
      <c r="G225" s="21">
        <v>140</v>
      </c>
      <c r="H225" s="21">
        <v>196</v>
      </c>
      <c r="I225" s="21"/>
      <c r="J225" s="21"/>
      <c r="K225" s="21"/>
      <c r="L225" s="21"/>
      <c r="M225" s="21">
        <v>196</v>
      </c>
      <c r="N225" s="21"/>
      <c r="O225" s="21"/>
      <c r="P225" s="21"/>
      <c r="Q225" s="21">
        <f t="shared" si="26"/>
        <v>4433</v>
      </c>
      <c r="V225" s="55"/>
      <c r="W225" s="96"/>
    </row>
    <row r="226" spans="1:27" ht="15.75">
      <c r="A226" s="21">
        <f t="shared" si="27"/>
        <v>50</v>
      </c>
      <c r="B226" s="21"/>
      <c r="C226" s="21">
        <v>24</v>
      </c>
      <c r="D226" s="21">
        <v>38</v>
      </c>
      <c r="E226" s="21" t="s">
        <v>769</v>
      </c>
      <c r="F226" s="21"/>
      <c r="G226" s="21">
        <v>140</v>
      </c>
      <c r="H226" s="21">
        <v>288</v>
      </c>
      <c r="I226" s="21"/>
      <c r="J226" s="21"/>
      <c r="K226" s="21"/>
      <c r="L226" s="21"/>
      <c r="M226" s="21">
        <v>288</v>
      </c>
      <c r="N226" s="21"/>
      <c r="O226" s="21"/>
      <c r="P226" s="21"/>
      <c r="Q226" s="21">
        <f t="shared" si="26"/>
        <v>4721</v>
      </c>
      <c r="V226" s="55"/>
      <c r="W226" s="96"/>
      <c r="AA226">
        <f>28+15</f>
        <v>43</v>
      </c>
    </row>
    <row r="227" spans="1:27" ht="15.75">
      <c r="A227" s="21">
        <f t="shared" si="27"/>
        <v>51</v>
      </c>
      <c r="B227" s="21"/>
      <c r="C227" s="21">
        <v>38</v>
      </c>
      <c r="D227" s="21">
        <v>167</v>
      </c>
      <c r="E227" s="21" t="s">
        <v>769</v>
      </c>
      <c r="F227" s="21"/>
      <c r="G227" s="21">
        <v>140</v>
      </c>
      <c r="H227" s="21">
        <v>484</v>
      </c>
      <c r="I227" s="21"/>
      <c r="J227" s="21"/>
      <c r="K227" s="21"/>
      <c r="L227" s="21"/>
      <c r="M227" s="21">
        <v>484</v>
      </c>
      <c r="N227" s="21"/>
      <c r="O227" s="21"/>
      <c r="P227" s="21"/>
      <c r="Q227" s="21">
        <f t="shared" si="26"/>
        <v>5205</v>
      </c>
      <c r="V227" s="55"/>
      <c r="W227" s="96"/>
    </row>
    <row r="228" spans="1:27" ht="15.75">
      <c r="A228" s="206"/>
      <c r="B228" s="206"/>
      <c r="C228" s="206"/>
      <c r="D228" s="206"/>
      <c r="E228" s="206"/>
      <c r="F228" s="206"/>
      <c r="G228" s="206"/>
      <c r="H228" s="7"/>
      <c r="I228" s="7"/>
      <c r="J228" s="7"/>
      <c r="K228" s="7"/>
      <c r="L228" s="7"/>
      <c r="M228" s="7"/>
      <c r="N228" s="7"/>
      <c r="O228" s="7"/>
      <c r="P228" s="7"/>
      <c r="Q228" s="7"/>
      <c r="V228" s="55"/>
      <c r="W228" s="96"/>
    </row>
    <row r="229" spans="1:27" ht="15.75">
      <c r="A229" s="92">
        <v>63</v>
      </c>
      <c r="B229" s="92"/>
      <c r="C229" s="92">
        <v>75</v>
      </c>
      <c r="D229" s="92">
        <v>90</v>
      </c>
      <c r="E229" s="92">
        <v>110</v>
      </c>
      <c r="F229" s="92">
        <v>125</v>
      </c>
      <c r="G229" s="92">
        <v>140</v>
      </c>
      <c r="H229" s="271"/>
      <c r="I229" s="271"/>
      <c r="J229" s="271"/>
      <c r="K229" s="271"/>
      <c r="L229" s="271"/>
      <c r="M229" s="271"/>
      <c r="N229" s="271"/>
      <c r="O229" s="271"/>
      <c r="P229" s="271"/>
      <c r="Q229" s="272"/>
      <c r="V229" s="55"/>
      <c r="W229" s="96"/>
    </row>
    <row r="230" spans="1:27" ht="18.75">
      <c r="A230" s="279">
        <f>SUMIF($G$177:$G$227,A229,$H$177:$H$227)</f>
        <v>1860</v>
      </c>
      <c r="B230" s="279">
        <f t="shared" ref="B230:G230" si="28">SUMIF($G$177:$G$227,B229,$H$177:$H$227)</f>
        <v>0</v>
      </c>
      <c r="C230" s="279">
        <f t="shared" si="28"/>
        <v>961</v>
      </c>
      <c r="D230" s="279">
        <f t="shared" si="28"/>
        <v>1044</v>
      </c>
      <c r="E230" s="279">
        <f t="shared" si="28"/>
        <v>92</v>
      </c>
      <c r="F230" s="279">
        <f t="shared" si="28"/>
        <v>48</v>
      </c>
      <c r="G230" s="279">
        <f t="shared" si="28"/>
        <v>1200</v>
      </c>
      <c r="H230" s="280">
        <f>+SUM(A230:G230)</f>
        <v>5205</v>
      </c>
      <c r="I230" s="280"/>
      <c r="J230" s="281">
        <f>+SUM(A230:G230)</f>
        <v>5205</v>
      </c>
      <c r="K230" s="271"/>
      <c r="L230" s="271"/>
      <c r="M230" s="271"/>
      <c r="N230" s="271"/>
      <c r="O230" s="271"/>
      <c r="P230" s="271"/>
      <c r="Q230" s="272"/>
      <c r="V230" s="55"/>
      <c r="W230" s="96"/>
    </row>
    <row r="231" spans="1:27" ht="18.75">
      <c r="A231" s="146">
        <v>8788</v>
      </c>
      <c r="B231" s="146">
        <v>3444</v>
      </c>
      <c r="C231" s="146">
        <v>2620</v>
      </c>
      <c r="D231" s="262">
        <v>1493</v>
      </c>
      <c r="E231" s="146">
        <v>48</v>
      </c>
      <c r="F231" s="146">
        <v>3486</v>
      </c>
      <c r="G231" s="146">
        <v>43</v>
      </c>
      <c r="H231" s="146">
        <v>19922</v>
      </c>
      <c r="I231" s="146"/>
      <c r="J231" s="282">
        <f>+A231+B231+C231+D231+E231+F231+G231</f>
        <v>19922</v>
      </c>
      <c r="V231" s="79"/>
    </row>
    <row r="232" spans="1:27">
      <c r="A232" s="267"/>
      <c r="B232" s="268"/>
      <c r="C232" s="268"/>
      <c r="D232" s="268"/>
      <c r="E232" s="268"/>
      <c r="F232" s="268"/>
      <c r="G232" s="268"/>
      <c r="V232" s="79"/>
    </row>
    <row r="233" spans="1:27">
      <c r="A233" s="8" t="s">
        <v>366</v>
      </c>
      <c r="B233" s="8"/>
      <c r="C233" s="8"/>
      <c r="D233" s="8"/>
      <c r="E233" s="8"/>
      <c r="F233" s="8" t="s">
        <v>367</v>
      </c>
      <c r="G233" s="8"/>
      <c r="H233" s="8"/>
      <c r="I233" s="78"/>
      <c r="J233" s="78" t="s">
        <v>367</v>
      </c>
      <c r="K233" s="78"/>
      <c r="L233" s="78"/>
      <c r="M233" s="78"/>
    </row>
    <row r="234" spans="1:27">
      <c r="A234" s="8" t="s">
        <v>368</v>
      </c>
      <c r="B234" s="79"/>
      <c r="C234" s="10"/>
      <c r="D234" s="29"/>
      <c r="E234" s="11"/>
      <c r="F234" s="8" t="s">
        <v>368</v>
      </c>
      <c r="G234" s="79"/>
      <c r="H234" s="5"/>
      <c r="I234" s="81"/>
      <c r="J234" s="8" t="s">
        <v>368</v>
      </c>
      <c r="K234" s="8"/>
      <c r="L234" s="79"/>
      <c r="M234" s="81"/>
    </row>
    <row r="235" spans="1:27">
      <c r="A235" s="8" t="s">
        <v>369</v>
      </c>
      <c r="B235" s="79"/>
      <c r="C235" s="10"/>
      <c r="D235" s="29"/>
      <c r="E235" s="11"/>
      <c r="F235" s="8" t="s">
        <v>369</v>
      </c>
      <c r="G235" s="10"/>
      <c r="H235" s="5"/>
      <c r="I235" s="81"/>
      <c r="J235" s="8" t="s">
        <v>369</v>
      </c>
      <c r="K235" s="79"/>
      <c r="L235" s="80"/>
      <c r="M235" s="81"/>
    </row>
    <row r="236" spans="1:27">
      <c r="A236" s="8" t="s">
        <v>370</v>
      </c>
      <c r="B236" s="79"/>
      <c r="C236" s="10"/>
      <c r="D236" s="29"/>
      <c r="E236" s="11"/>
      <c r="F236" s="8" t="s">
        <v>370</v>
      </c>
      <c r="G236" s="79"/>
      <c r="H236" s="5"/>
      <c r="I236" s="81"/>
      <c r="J236" s="8" t="s">
        <v>370</v>
      </c>
      <c r="K236" s="8"/>
      <c r="L236" s="79"/>
      <c r="M236" s="81"/>
    </row>
    <row r="238" spans="1:27" ht="15.75">
      <c r="A238" s="233" t="s">
        <v>757</v>
      </c>
      <c r="B238" s="225" t="s">
        <v>758</v>
      </c>
      <c r="C238" s="225">
        <v>63</v>
      </c>
      <c r="D238" s="225">
        <v>75</v>
      </c>
      <c r="E238" s="225">
        <v>90</v>
      </c>
      <c r="F238" s="225">
        <v>125</v>
      </c>
      <c r="G238" s="225">
        <v>140</v>
      </c>
      <c r="H238" s="225">
        <v>160</v>
      </c>
    </row>
    <row r="239" spans="1:27" ht="15.75">
      <c r="A239" s="19" t="s">
        <v>765</v>
      </c>
      <c r="B239" s="8"/>
      <c r="C239" s="5">
        <f>+SUMIFS($H$177:$H$227,$E$177:$E$227,$A$239,$G$177:$G$227,C238)</f>
        <v>64</v>
      </c>
      <c r="D239" s="5">
        <f t="shared" ref="D239:H239" si="29">+SUMIFS($H$177:$H$227,$E$177:$E$227,$A$239,$G$177:$G$227,D238)</f>
        <v>111</v>
      </c>
      <c r="E239" s="5">
        <f t="shared" si="29"/>
        <v>0</v>
      </c>
      <c r="F239" s="5">
        <f t="shared" si="29"/>
        <v>0</v>
      </c>
      <c r="G239" s="5">
        <f t="shared" si="29"/>
        <v>0</v>
      </c>
      <c r="H239" s="5">
        <f t="shared" si="29"/>
        <v>0</v>
      </c>
    </row>
    <row r="240" spans="1:27" ht="15.75">
      <c r="A240" s="19" t="s">
        <v>763</v>
      </c>
      <c r="B240" s="8"/>
      <c r="C240" s="5">
        <f>+SUMIFS($H$177:$H$227,$E$177:$E$227,$A$240,$G$177:$G$227,C238)</f>
        <v>0</v>
      </c>
      <c r="D240" s="5">
        <f t="shared" ref="D240:H240" si="30">+SUMIFS($H$177:$H$227,$E$177:$E$227,$A$240,$G$177:$G$227,D238)</f>
        <v>0</v>
      </c>
      <c r="E240" s="5">
        <f t="shared" si="30"/>
        <v>0</v>
      </c>
      <c r="F240" s="18">
        <f t="shared" si="30"/>
        <v>0</v>
      </c>
      <c r="G240" s="18">
        <f t="shared" si="30"/>
        <v>0</v>
      </c>
      <c r="H240" s="18">
        <f t="shared" si="30"/>
        <v>0</v>
      </c>
    </row>
    <row r="241" spans="1:8" ht="15.75">
      <c r="A241" s="19" t="s">
        <v>45</v>
      </c>
      <c r="B241" s="234"/>
      <c r="C241" s="5">
        <f>+SUMIFS($H$177:$H$227,$E$177:$E$227,$A$241,$G$177:$G$227,C238)</f>
        <v>240</v>
      </c>
      <c r="D241" s="5">
        <f t="shared" ref="D241:H241" si="31">+SUMIFS($H$177:$H$227,$E$177:$E$227,$A$241,$G$177:$G$227,D238)</f>
        <v>39</v>
      </c>
      <c r="E241" s="5">
        <f t="shared" si="31"/>
        <v>145</v>
      </c>
      <c r="F241" s="18">
        <f t="shared" si="31"/>
        <v>0</v>
      </c>
      <c r="G241" s="18">
        <f t="shared" si="31"/>
        <v>0</v>
      </c>
      <c r="H241" s="18">
        <f t="shared" si="31"/>
        <v>0</v>
      </c>
    </row>
    <row r="242" spans="1:8" ht="15.75">
      <c r="A242" s="21" t="s">
        <v>764</v>
      </c>
      <c r="C242" s="5">
        <f>+SUMIFS($H$177:$H$227,$E$177:$E$227,$A$242,$G$177:$G$227,C238)</f>
        <v>2</v>
      </c>
      <c r="D242" s="5">
        <f t="shared" ref="D242:H242" si="32">+SUMIFS($H$177:$H$227,$E$177:$E$227,$A$242,$G$177:$G$227,D238)</f>
        <v>50</v>
      </c>
      <c r="E242" s="5">
        <f t="shared" si="32"/>
        <v>0</v>
      </c>
      <c r="F242" s="18">
        <f t="shared" si="32"/>
        <v>0</v>
      </c>
      <c r="G242" s="18">
        <f t="shared" si="32"/>
        <v>0</v>
      </c>
      <c r="H242" s="18">
        <f t="shared" si="32"/>
        <v>0</v>
      </c>
    </row>
  </sheetData>
  <autoFilter ref="A5:AO84">
    <filterColumn colId="4">
      <filters>
        <filter val="I.L road"/>
      </filters>
    </filterColumn>
  </autoFilter>
  <mergeCells count="12">
    <mergeCell ref="A172:Q174"/>
    <mergeCell ref="A99:Q101"/>
    <mergeCell ref="A1:Q3"/>
    <mergeCell ref="AB89:AE89"/>
    <mergeCell ref="A4:A5"/>
    <mergeCell ref="C4:C5"/>
    <mergeCell ref="D4:D5"/>
    <mergeCell ref="E4:E5"/>
    <mergeCell ref="F4:F5"/>
    <mergeCell ref="G4:G5"/>
    <mergeCell ref="H4:H5"/>
    <mergeCell ref="Q4:Q5"/>
  </mergeCells>
  <printOptions horizontalCentered="1"/>
  <pageMargins left="0.196850393700787" right="0.196850393700787" top="0.196850393700787" bottom="0.196850393700787" header="0.31496062992126" footer="0.31496062992126"/>
  <pageSetup paperSize="9" scale="82" fitToHeight="0" orientation="portrait"/>
  <rowBreaks count="3" manualBreakCount="3">
    <brk id="60" max="21" man="1"/>
    <brk id="96" max="21" man="1"/>
    <brk id="98"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P147"/>
  <sheetViews>
    <sheetView topLeftCell="B1" workbookViewId="0">
      <selection activeCell="H41" sqref="H41:H136"/>
    </sheetView>
  </sheetViews>
  <sheetFormatPr defaultColWidth="9" defaultRowHeight="15"/>
  <cols>
    <col min="3" max="3" width="13.7109375" customWidth="1"/>
    <col min="4" max="4" width="13.5703125" customWidth="1"/>
    <col min="5" max="5" width="16" customWidth="1"/>
    <col min="6" max="6" width="15.7109375" customWidth="1"/>
    <col min="7" max="7" width="20.28515625" customWidth="1"/>
    <col min="8" max="8" width="19.5703125" customWidth="1"/>
    <col min="9" max="9" width="17.85546875" customWidth="1"/>
    <col min="10" max="10" width="14" customWidth="1"/>
  </cols>
  <sheetData>
    <row r="3" spans="2:12" ht="18.75">
      <c r="B3" s="581" t="s">
        <v>1555</v>
      </c>
      <c r="C3" s="581"/>
      <c r="D3" s="581"/>
      <c r="E3" s="581"/>
      <c r="F3" s="581"/>
      <c r="G3" s="581"/>
      <c r="H3" s="581"/>
      <c r="I3" s="581"/>
      <c r="J3" s="581"/>
      <c r="K3" s="581"/>
      <c r="L3" s="581"/>
    </row>
    <row r="4" spans="2:12" ht="37.5">
      <c r="B4" s="1" t="s">
        <v>448</v>
      </c>
      <c r="C4" s="1" t="s">
        <v>180</v>
      </c>
      <c r="D4" s="1" t="s">
        <v>13</v>
      </c>
      <c r="E4" s="1" t="s">
        <v>181</v>
      </c>
      <c r="F4" s="2" t="s">
        <v>449</v>
      </c>
      <c r="G4" s="1" t="s">
        <v>183</v>
      </c>
      <c r="H4" s="9" t="s">
        <v>184</v>
      </c>
      <c r="I4" s="3" t="s">
        <v>185</v>
      </c>
      <c r="J4" s="3" t="s">
        <v>186</v>
      </c>
      <c r="K4" s="636" t="s">
        <v>187</v>
      </c>
      <c r="L4" s="636"/>
    </row>
    <row r="5" spans="2:12" ht="18.75" hidden="1">
      <c r="B5" s="19">
        <v>1</v>
      </c>
      <c r="C5" s="19" t="s">
        <v>595</v>
      </c>
      <c r="D5" s="19" t="s">
        <v>259</v>
      </c>
      <c r="E5" s="19" t="s">
        <v>769</v>
      </c>
      <c r="F5" s="20"/>
      <c r="G5" s="19">
        <v>63</v>
      </c>
      <c r="H5" s="19">
        <v>197</v>
      </c>
      <c r="I5" s="5">
        <f>+H5</f>
        <v>197</v>
      </c>
      <c r="J5" s="22">
        <f>(1000+G5)/1000</f>
        <v>1.0629999999999999</v>
      </c>
      <c r="K5" s="498"/>
      <c r="L5" s="498"/>
    </row>
    <row r="6" spans="2:12" ht="18.75" hidden="1">
      <c r="B6" s="19">
        <f t="shared" ref="B6:B37" si="0">1+B5</f>
        <v>2</v>
      </c>
      <c r="C6" s="19" t="s">
        <v>259</v>
      </c>
      <c r="D6" s="19" t="s">
        <v>568</v>
      </c>
      <c r="E6" s="19" t="s">
        <v>769</v>
      </c>
      <c r="F6" s="20"/>
      <c r="G6" s="19">
        <v>63</v>
      </c>
      <c r="H6" s="19">
        <v>40</v>
      </c>
      <c r="I6" s="5">
        <f>+I5+H6</f>
        <v>237</v>
      </c>
      <c r="J6" s="22">
        <f t="shared" ref="J6:J69" si="1">(1000+G6)/1000</f>
        <v>1.0629999999999999</v>
      </c>
      <c r="K6" s="498"/>
      <c r="L6" s="498"/>
    </row>
    <row r="7" spans="2:12" ht="15.75" hidden="1">
      <c r="B7" s="19">
        <f t="shared" si="0"/>
        <v>3</v>
      </c>
      <c r="C7" s="19" t="s">
        <v>259</v>
      </c>
      <c r="D7" s="19" t="s">
        <v>568</v>
      </c>
      <c r="E7" s="19" t="s">
        <v>771</v>
      </c>
      <c r="F7" s="19">
        <v>0.36</v>
      </c>
      <c r="G7" s="19">
        <v>63</v>
      </c>
      <c r="H7" s="19">
        <v>3</v>
      </c>
      <c r="I7" s="5">
        <f t="shared" ref="I7:I70" si="2">+I6+H7</f>
        <v>240</v>
      </c>
      <c r="J7" s="22">
        <f t="shared" si="1"/>
        <v>1.0629999999999999</v>
      </c>
      <c r="K7" s="498"/>
      <c r="L7" s="498"/>
    </row>
    <row r="8" spans="2:12" ht="18.75" hidden="1">
      <c r="B8" s="19">
        <f t="shared" si="0"/>
        <v>4</v>
      </c>
      <c r="C8" s="19" t="s">
        <v>259</v>
      </c>
      <c r="D8" s="19" t="s">
        <v>375</v>
      </c>
      <c r="E8" s="19" t="s">
        <v>769</v>
      </c>
      <c r="F8" s="20"/>
      <c r="G8" s="19">
        <v>63</v>
      </c>
      <c r="H8" s="19">
        <v>250</v>
      </c>
      <c r="I8" s="5">
        <f t="shared" si="2"/>
        <v>490</v>
      </c>
      <c r="J8" s="22">
        <f t="shared" si="1"/>
        <v>1.0629999999999999</v>
      </c>
      <c r="K8" s="498"/>
      <c r="L8" s="498"/>
    </row>
    <row r="9" spans="2:12" ht="18.75" hidden="1">
      <c r="B9" s="19">
        <f t="shared" si="0"/>
        <v>5</v>
      </c>
      <c r="C9" s="19" t="s">
        <v>375</v>
      </c>
      <c r="D9" s="19" t="s">
        <v>344</v>
      </c>
      <c r="E9" s="19" t="s">
        <v>769</v>
      </c>
      <c r="F9" s="20"/>
      <c r="G9" s="19">
        <v>63</v>
      </c>
      <c r="H9" s="19">
        <v>72</v>
      </c>
      <c r="I9" s="5">
        <f t="shared" si="2"/>
        <v>562</v>
      </c>
      <c r="J9" s="22">
        <f t="shared" si="1"/>
        <v>1.0629999999999999</v>
      </c>
      <c r="K9" s="498"/>
      <c r="L9" s="498"/>
    </row>
    <row r="10" spans="2:12" ht="15.75" hidden="1">
      <c r="B10" s="19">
        <f t="shared" si="0"/>
        <v>6</v>
      </c>
      <c r="C10" s="19" t="s">
        <v>375</v>
      </c>
      <c r="D10" s="19" t="s">
        <v>344</v>
      </c>
      <c r="E10" s="19" t="s">
        <v>763</v>
      </c>
      <c r="F10" s="19">
        <v>0.36</v>
      </c>
      <c r="G10" s="19">
        <v>63</v>
      </c>
      <c r="H10" s="19">
        <v>3</v>
      </c>
      <c r="I10" s="5">
        <f t="shared" si="2"/>
        <v>565</v>
      </c>
      <c r="J10" s="22">
        <f t="shared" si="1"/>
        <v>1.0629999999999999</v>
      </c>
      <c r="K10" s="498"/>
      <c r="L10" s="498"/>
    </row>
    <row r="11" spans="2:12" ht="18.75" hidden="1">
      <c r="B11" s="19">
        <f t="shared" si="0"/>
        <v>7</v>
      </c>
      <c r="C11" s="19" t="s">
        <v>418</v>
      </c>
      <c r="D11" s="19" t="s">
        <v>346</v>
      </c>
      <c r="E11" s="19" t="s">
        <v>769</v>
      </c>
      <c r="F11" s="20"/>
      <c r="G11" s="19">
        <v>63</v>
      </c>
      <c r="H11" s="19">
        <v>54</v>
      </c>
      <c r="I11" s="5">
        <f t="shared" si="2"/>
        <v>619</v>
      </c>
      <c r="J11" s="22">
        <f t="shared" si="1"/>
        <v>1.0629999999999999</v>
      </c>
      <c r="K11" s="498"/>
      <c r="L11" s="498"/>
    </row>
    <row r="12" spans="2:12" ht="15.75" hidden="1">
      <c r="B12" s="19">
        <f t="shared" si="0"/>
        <v>8</v>
      </c>
      <c r="C12" s="19" t="s">
        <v>418</v>
      </c>
      <c r="D12" s="19" t="s">
        <v>346</v>
      </c>
      <c r="E12" s="19" t="s">
        <v>764</v>
      </c>
      <c r="F12" s="19">
        <v>0.36</v>
      </c>
      <c r="G12" s="19">
        <v>63</v>
      </c>
      <c r="H12" s="19">
        <v>45</v>
      </c>
      <c r="I12" s="5">
        <f t="shared" si="2"/>
        <v>664</v>
      </c>
      <c r="J12" s="22">
        <f t="shared" si="1"/>
        <v>1.0629999999999999</v>
      </c>
      <c r="K12" s="498"/>
      <c r="L12" s="498"/>
    </row>
    <row r="13" spans="2:12" ht="15.75" hidden="1">
      <c r="B13" s="19">
        <f t="shared" si="0"/>
        <v>9</v>
      </c>
      <c r="C13" s="19" t="s">
        <v>363</v>
      </c>
      <c r="D13" s="19" t="s">
        <v>198</v>
      </c>
      <c r="E13" s="19" t="s">
        <v>764</v>
      </c>
      <c r="F13" s="19">
        <v>0.36</v>
      </c>
      <c r="G13" s="19">
        <v>63</v>
      </c>
      <c r="H13" s="19">
        <v>106</v>
      </c>
      <c r="I13" s="5">
        <f t="shared" si="2"/>
        <v>770</v>
      </c>
      <c r="J13" s="22">
        <f t="shared" si="1"/>
        <v>1.0629999999999999</v>
      </c>
      <c r="K13" s="498"/>
      <c r="L13" s="498"/>
    </row>
    <row r="14" spans="2:12" ht="15.75" hidden="1">
      <c r="B14" s="19">
        <f t="shared" si="0"/>
        <v>10</v>
      </c>
      <c r="C14" s="19" t="s">
        <v>363</v>
      </c>
      <c r="D14" s="19" t="s">
        <v>198</v>
      </c>
      <c r="E14" s="19" t="s">
        <v>45</v>
      </c>
      <c r="F14" s="19">
        <v>0.36</v>
      </c>
      <c r="G14" s="19">
        <v>63</v>
      </c>
      <c r="H14" s="19">
        <f>129-106</f>
        <v>23</v>
      </c>
      <c r="I14" s="5">
        <f t="shared" si="2"/>
        <v>793</v>
      </c>
      <c r="J14" s="22">
        <f t="shared" si="1"/>
        <v>1.0629999999999999</v>
      </c>
      <c r="K14" s="498"/>
      <c r="L14" s="498"/>
    </row>
    <row r="15" spans="2:12" ht="15.75" hidden="1">
      <c r="B15" s="19">
        <f t="shared" si="0"/>
        <v>11</v>
      </c>
      <c r="C15" s="19" t="s">
        <v>198</v>
      </c>
      <c r="D15" s="19" t="s">
        <v>572</v>
      </c>
      <c r="E15" s="19" t="s">
        <v>45</v>
      </c>
      <c r="F15" s="19">
        <v>0.36</v>
      </c>
      <c r="G15" s="19">
        <v>63</v>
      </c>
      <c r="H15" s="19">
        <v>44</v>
      </c>
      <c r="I15" s="5">
        <f t="shared" si="2"/>
        <v>837</v>
      </c>
      <c r="J15" s="22">
        <f t="shared" si="1"/>
        <v>1.0629999999999999</v>
      </c>
      <c r="K15" s="498"/>
      <c r="L15" s="498"/>
    </row>
    <row r="16" spans="2:12" ht="15.75" hidden="1">
      <c r="B16" s="19">
        <f t="shared" si="0"/>
        <v>12</v>
      </c>
      <c r="C16" s="19" t="s">
        <v>198</v>
      </c>
      <c r="D16" s="19" t="s">
        <v>572</v>
      </c>
      <c r="E16" s="19" t="s">
        <v>764</v>
      </c>
      <c r="F16" s="19">
        <v>0.36</v>
      </c>
      <c r="G16" s="19">
        <v>63</v>
      </c>
      <c r="H16" s="19">
        <v>3</v>
      </c>
      <c r="I16" s="5">
        <f t="shared" si="2"/>
        <v>840</v>
      </c>
      <c r="J16" s="22">
        <f t="shared" si="1"/>
        <v>1.0629999999999999</v>
      </c>
      <c r="K16" s="498"/>
      <c r="L16" s="498"/>
    </row>
    <row r="17" spans="2:12" ht="18.75" hidden="1">
      <c r="B17" s="19">
        <f t="shared" si="0"/>
        <v>13</v>
      </c>
      <c r="C17" s="19" t="s">
        <v>357</v>
      </c>
      <c r="D17" s="19" t="s">
        <v>406</v>
      </c>
      <c r="E17" s="19" t="s">
        <v>769</v>
      </c>
      <c r="F17" s="20"/>
      <c r="G17" s="19">
        <v>63</v>
      </c>
      <c r="H17" s="19">
        <v>101</v>
      </c>
      <c r="I17" s="5">
        <f t="shared" si="2"/>
        <v>941</v>
      </c>
      <c r="J17" s="22">
        <f t="shared" si="1"/>
        <v>1.0629999999999999</v>
      </c>
      <c r="K17" s="498"/>
      <c r="L17" s="498"/>
    </row>
    <row r="18" spans="2:12" ht="18.75" hidden="1">
      <c r="B18" s="19">
        <f t="shared" si="0"/>
        <v>14</v>
      </c>
      <c r="C18" s="19" t="s">
        <v>406</v>
      </c>
      <c r="D18" s="19" t="s">
        <v>288</v>
      </c>
      <c r="E18" s="19" t="s">
        <v>769</v>
      </c>
      <c r="F18" s="20"/>
      <c r="G18" s="19">
        <v>63</v>
      </c>
      <c r="H18" s="19">
        <v>44</v>
      </c>
      <c r="I18" s="5">
        <f t="shared" si="2"/>
        <v>985</v>
      </c>
      <c r="J18" s="22">
        <f t="shared" si="1"/>
        <v>1.0629999999999999</v>
      </c>
      <c r="K18" s="498"/>
      <c r="L18" s="498"/>
    </row>
    <row r="19" spans="2:12" ht="18.75" hidden="1">
      <c r="B19" s="19">
        <f t="shared" si="0"/>
        <v>15</v>
      </c>
      <c r="C19" s="19" t="s">
        <v>406</v>
      </c>
      <c r="D19" s="19" t="s">
        <v>338</v>
      </c>
      <c r="E19" s="19" t="s">
        <v>769</v>
      </c>
      <c r="F19" s="20"/>
      <c r="G19" s="19">
        <v>63</v>
      </c>
      <c r="H19" s="19">
        <v>74</v>
      </c>
      <c r="I19" s="5">
        <f t="shared" si="2"/>
        <v>1059</v>
      </c>
      <c r="J19" s="22">
        <f t="shared" si="1"/>
        <v>1.0629999999999999</v>
      </c>
      <c r="K19" s="498"/>
      <c r="L19" s="498"/>
    </row>
    <row r="20" spans="2:12" ht="18.75" hidden="1">
      <c r="B20" s="19">
        <f t="shared" si="0"/>
        <v>16</v>
      </c>
      <c r="C20" s="19" t="s">
        <v>277</v>
      </c>
      <c r="D20" s="19" t="s">
        <v>325</v>
      </c>
      <c r="E20" s="19" t="s">
        <v>769</v>
      </c>
      <c r="F20" s="20"/>
      <c r="G20" s="19">
        <v>63</v>
      </c>
      <c r="H20" s="19">
        <v>90</v>
      </c>
      <c r="I20" s="5">
        <f t="shared" si="2"/>
        <v>1149</v>
      </c>
      <c r="J20" s="22">
        <f t="shared" si="1"/>
        <v>1.0629999999999999</v>
      </c>
      <c r="K20" s="498"/>
      <c r="L20" s="498"/>
    </row>
    <row r="21" spans="2:12" ht="18.75" hidden="1">
      <c r="B21" s="19">
        <f t="shared" si="0"/>
        <v>17</v>
      </c>
      <c r="C21" s="19" t="s">
        <v>279</v>
      </c>
      <c r="D21" s="19" t="s">
        <v>717</v>
      </c>
      <c r="E21" s="19" t="s">
        <v>769</v>
      </c>
      <c r="F21" s="20"/>
      <c r="G21" s="19">
        <v>63</v>
      </c>
      <c r="H21" s="19">
        <v>36</v>
      </c>
      <c r="I21" s="5">
        <f t="shared" si="2"/>
        <v>1185</v>
      </c>
      <c r="J21" s="22">
        <f t="shared" si="1"/>
        <v>1.0629999999999999</v>
      </c>
      <c r="K21" s="498"/>
      <c r="L21" s="498"/>
    </row>
    <row r="22" spans="2:12" ht="18.75" hidden="1">
      <c r="B22" s="19">
        <f t="shared" si="0"/>
        <v>18</v>
      </c>
      <c r="C22" s="19" t="s">
        <v>279</v>
      </c>
      <c r="D22" s="19" t="s">
        <v>432</v>
      </c>
      <c r="E22" s="19" t="s">
        <v>769</v>
      </c>
      <c r="F22" s="20"/>
      <c r="G22" s="19">
        <v>63</v>
      </c>
      <c r="H22" s="19">
        <v>65</v>
      </c>
      <c r="I22" s="5">
        <f t="shared" si="2"/>
        <v>1250</v>
      </c>
      <c r="J22" s="22">
        <f t="shared" si="1"/>
        <v>1.0629999999999999</v>
      </c>
      <c r="K22" s="498"/>
      <c r="L22" s="498"/>
    </row>
    <row r="23" spans="2:12" ht="18.75" hidden="1">
      <c r="B23" s="19">
        <f t="shared" si="0"/>
        <v>19</v>
      </c>
      <c r="C23" s="19" t="s">
        <v>255</v>
      </c>
      <c r="D23" s="19" t="s">
        <v>225</v>
      </c>
      <c r="E23" s="19" t="s">
        <v>769</v>
      </c>
      <c r="F23" s="20"/>
      <c r="G23" s="19">
        <v>63</v>
      </c>
      <c r="H23" s="19">
        <v>64</v>
      </c>
      <c r="I23" s="5">
        <f t="shared" si="2"/>
        <v>1314</v>
      </c>
      <c r="J23" s="22">
        <f t="shared" si="1"/>
        <v>1.0629999999999999</v>
      </c>
      <c r="K23" s="498"/>
      <c r="L23" s="498"/>
    </row>
    <row r="24" spans="2:12" ht="15.75" hidden="1">
      <c r="B24" s="19">
        <f t="shared" si="0"/>
        <v>20</v>
      </c>
      <c r="C24" s="19" t="s">
        <v>255</v>
      </c>
      <c r="D24" s="19" t="s">
        <v>225</v>
      </c>
      <c r="E24" s="19" t="s">
        <v>45</v>
      </c>
      <c r="F24" s="19">
        <v>0.36</v>
      </c>
      <c r="G24" s="19">
        <v>63</v>
      </c>
      <c r="H24" s="19">
        <v>10</v>
      </c>
      <c r="I24" s="5">
        <f t="shared" si="2"/>
        <v>1324</v>
      </c>
      <c r="J24" s="22">
        <f t="shared" si="1"/>
        <v>1.0629999999999999</v>
      </c>
      <c r="K24" s="498"/>
      <c r="L24" s="498"/>
    </row>
    <row r="25" spans="2:12" ht="15.75" hidden="1">
      <c r="B25" s="19">
        <f t="shared" si="0"/>
        <v>21</v>
      </c>
      <c r="C25" s="19" t="s">
        <v>270</v>
      </c>
      <c r="D25" s="19" t="s">
        <v>295</v>
      </c>
      <c r="E25" s="19" t="s">
        <v>45</v>
      </c>
      <c r="F25" s="19">
        <v>0.36</v>
      </c>
      <c r="G25" s="19">
        <v>63</v>
      </c>
      <c r="H25" s="19">
        <v>50</v>
      </c>
      <c r="I25" s="5">
        <f t="shared" si="2"/>
        <v>1374</v>
      </c>
      <c r="J25" s="22">
        <f t="shared" si="1"/>
        <v>1.0629999999999999</v>
      </c>
      <c r="K25" s="498"/>
      <c r="L25" s="498"/>
    </row>
    <row r="26" spans="2:12" ht="18.75" hidden="1">
      <c r="B26" s="19">
        <f t="shared" si="0"/>
        <v>22</v>
      </c>
      <c r="C26" s="19" t="s">
        <v>253</v>
      </c>
      <c r="D26" s="19" t="s">
        <v>616</v>
      </c>
      <c r="E26" s="19" t="s">
        <v>769</v>
      </c>
      <c r="F26" s="20"/>
      <c r="G26" s="19">
        <v>63</v>
      </c>
      <c r="H26" s="19">
        <v>138</v>
      </c>
      <c r="I26" s="5">
        <f t="shared" si="2"/>
        <v>1512</v>
      </c>
      <c r="J26" s="22">
        <f t="shared" si="1"/>
        <v>1.0629999999999999</v>
      </c>
      <c r="K26" s="498"/>
      <c r="L26" s="498"/>
    </row>
    <row r="27" spans="2:12" ht="18.75" hidden="1">
      <c r="B27" s="19">
        <f t="shared" si="0"/>
        <v>23</v>
      </c>
      <c r="C27" s="19" t="s">
        <v>358</v>
      </c>
      <c r="D27" s="19" t="s">
        <v>580</v>
      </c>
      <c r="E27" s="19" t="s">
        <v>769</v>
      </c>
      <c r="F27" s="20"/>
      <c r="G27" s="19">
        <v>63</v>
      </c>
      <c r="H27" s="19">
        <v>33</v>
      </c>
      <c r="I27" s="5">
        <f t="shared" si="2"/>
        <v>1545</v>
      </c>
      <c r="J27" s="22">
        <f t="shared" si="1"/>
        <v>1.0629999999999999</v>
      </c>
      <c r="K27" s="498"/>
      <c r="L27" s="498"/>
    </row>
    <row r="28" spans="2:12" ht="15.75" hidden="1">
      <c r="B28" s="19">
        <f t="shared" si="0"/>
        <v>24</v>
      </c>
      <c r="C28" s="19" t="s">
        <v>360</v>
      </c>
      <c r="D28" s="19" t="s">
        <v>339</v>
      </c>
      <c r="E28" s="19" t="s">
        <v>763</v>
      </c>
      <c r="F28" s="19">
        <v>0.36</v>
      </c>
      <c r="G28" s="19">
        <v>63</v>
      </c>
      <c r="H28" s="19">
        <v>3</v>
      </c>
      <c r="I28" s="5">
        <f t="shared" si="2"/>
        <v>1548</v>
      </c>
      <c r="J28" s="22">
        <f t="shared" si="1"/>
        <v>1.0629999999999999</v>
      </c>
      <c r="K28" s="498"/>
      <c r="L28" s="498"/>
    </row>
    <row r="29" spans="2:12" ht="18.75" hidden="1">
      <c r="B29" s="19">
        <f t="shared" si="0"/>
        <v>25</v>
      </c>
      <c r="C29" s="19" t="s">
        <v>360</v>
      </c>
      <c r="D29" s="19" t="s">
        <v>339</v>
      </c>
      <c r="E29" s="19" t="s">
        <v>769</v>
      </c>
      <c r="F29" s="20"/>
      <c r="G29" s="19">
        <v>63</v>
      </c>
      <c r="H29" s="19">
        <v>39</v>
      </c>
      <c r="I29" s="5">
        <f t="shared" si="2"/>
        <v>1587</v>
      </c>
      <c r="J29" s="22">
        <f t="shared" si="1"/>
        <v>1.0629999999999999</v>
      </c>
      <c r="K29" s="498"/>
      <c r="L29" s="498"/>
    </row>
    <row r="30" spans="2:12" ht="18.75" hidden="1">
      <c r="B30" s="19">
        <f t="shared" si="0"/>
        <v>26</v>
      </c>
      <c r="C30" s="19" t="s">
        <v>443</v>
      </c>
      <c r="D30" s="19" t="s">
        <v>565</v>
      </c>
      <c r="E30" s="19" t="s">
        <v>769</v>
      </c>
      <c r="F30" s="20"/>
      <c r="G30" s="19">
        <v>63</v>
      </c>
      <c r="H30" s="19">
        <v>46</v>
      </c>
      <c r="I30" s="5">
        <f t="shared" si="2"/>
        <v>1633</v>
      </c>
      <c r="J30" s="22">
        <f t="shared" si="1"/>
        <v>1.0629999999999999</v>
      </c>
      <c r="K30" s="498"/>
      <c r="L30" s="498"/>
    </row>
    <row r="31" spans="2:12" ht="18.75" hidden="1">
      <c r="B31" s="19">
        <f t="shared" si="0"/>
        <v>27</v>
      </c>
      <c r="C31" s="19" t="s">
        <v>362</v>
      </c>
      <c r="D31" s="19" t="s">
        <v>256</v>
      </c>
      <c r="E31" s="19" t="s">
        <v>769</v>
      </c>
      <c r="F31" s="20"/>
      <c r="G31" s="19">
        <v>63</v>
      </c>
      <c r="H31" s="19">
        <v>49</v>
      </c>
      <c r="I31" s="5">
        <f t="shared" si="2"/>
        <v>1682</v>
      </c>
      <c r="J31" s="22">
        <f t="shared" si="1"/>
        <v>1.0629999999999999</v>
      </c>
      <c r="K31" s="498"/>
      <c r="L31" s="498"/>
    </row>
    <row r="32" spans="2:12" ht="15.75" hidden="1">
      <c r="B32" s="19">
        <f t="shared" si="0"/>
        <v>28</v>
      </c>
      <c r="C32" s="19" t="s">
        <v>256</v>
      </c>
      <c r="D32" s="19" t="s">
        <v>239</v>
      </c>
      <c r="E32" s="19" t="s">
        <v>45</v>
      </c>
      <c r="F32" s="19">
        <v>0.36</v>
      </c>
      <c r="G32" s="19">
        <v>63</v>
      </c>
      <c r="H32" s="19">
        <v>40</v>
      </c>
      <c r="I32" s="5">
        <f t="shared" si="2"/>
        <v>1722</v>
      </c>
      <c r="J32" s="22">
        <f t="shared" si="1"/>
        <v>1.0629999999999999</v>
      </c>
      <c r="K32" s="498"/>
      <c r="L32" s="498"/>
    </row>
    <row r="33" spans="2:12" ht="18.75" hidden="1">
      <c r="B33" s="19">
        <f t="shared" si="0"/>
        <v>29</v>
      </c>
      <c r="C33" s="19" t="s">
        <v>362</v>
      </c>
      <c r="D33" s="19" t="s">
        <v>356</v>
      </c>
      <c r="E33" s="19" t="s">
        <v>769</v>
      </c>
      <c r="F33" s="20"/>
      <c r="G33" s="19">
        <v>63</v>
      </c>
      <c r="H33" s="19">
        <v>420</v>
      </c>
      <c r="I33" s="5">
        <f t="shared" si="2"/>
        <v>2142</v>
      </c>
      <c r="J33" s="22">
        <f t="shared" si="1"/>
        <v>1.0629999999999999</v>
      </c>
      <c r="K33" s="498"/>
      <c r="L33" s="498"/>
    </row>
    <row r="34" spans="2:12" ht="18.75" hidden="1">
      <c r="B34" s="19">
        <f t="shared" si="0"/>
        <v>30</v>
      </c>
      <c r="C34" s="19" t="s">
        <v>281</v>
      </c>
      <c r="D34" s="19" t="s">
        <v>416</v>
      </c>
      <c r="E34" s="19" t="s">
        <v>769</v>
      </c>
      <c r="F34" s="20"/>
      <c r="G34" s="19">
        <v>63</v>
      </c>
      <c r="H34" s="19">
        <v>104</v>
      </c>
      <c r="I34" s="5">
        <f t="shared" si="2"/>
        <v>2246</v>
      </c>
      <c r="J34" s="22">
        <f t="shared" si="1"/>
        <v>1.0629999999999999</v>
      </c>
      <c r="K34" s="498"/>
      <c r="L34" s="498"/>
    </row>
    <row r="35" spans="2:12" ht="18.75" hidden="1">
      <c r="B35" s="19">
        <f t="shared" si="0"/>
        <v>31</v>
      </c>
      <c r="C35" s="19" t="s">
        <v>272</v>
      </c>
      <c r="D35" s="19" t="s">
        <v>197</v>
      </c>
      <c r="E35" s="19" t="s">
        <v>769</v>
      </c>
      <c r="F35" s="20"/>
      <c r="G35" s="19">
        <v>63</v>
      </c>
      <c r="H35" s="19">
        <v>78</v>
      </c>
      <c r="I35" s="5">
        <f t="shared" si="2"/>
        <v>2324</v>
      </c>
      <c r="J35" s="22">
        <f t="shared" si="1"/>
        <v>1.0629999999999999</v>
      </c>
      <c r="K35" s="498"/>
      <c r="L35" s="498"/>
    </row>
    <row r="36" spans="2:12" ht="18.75" hidden="1">
      <c r="B36" s="19">
        <f t="shared" si="0"/>
        <v>32</v>
      </c>
      <c r="C36" s="19" t="s">
        <v>253</v>
      </c>
      <c r="D36" s="19" t="s">
        <v>197</v>
      </c>
      <c r="E36" s="19" t="s">
        <v>769</v>
      </c>
      <c r="F36" s="20"/>
      <c r="G36" s="19">
        <v>63</v>
      </c>
      <c r="H36" s="19">
        <v>17</v>
      </c>
      <c r="I36" s="5">
        <f t="shared" si="2"/>
        <v>2341</v>
      </c>
      <c r="J36" s="22">
        <f t="shared" si="1"/>
        <v>1.0629999999999999</v>
      </c>
      <c r="K36" s="498"/>
      <c r="L36" s="498"/>
    </row>
    <row r="37" spans="2:12" ht="15.75" hidden="1">
      <c r="B37" s="19">
        <f t="shared" si="0"/>
        <v>33</v>
      </c>
      <c r="C37" s="19" t="s">
        <v>197</v>
      </c>
      <c r="D37" s="19" t="s">
        <v>245</v>
      </c>
      <c r="E37" s="19" t="s">
        <v>45</v>
      </c>
      <c r="F37" s="19">
        <v>0.36</v>
      </c>
      <c r="G37" s="19">
        <v>63</v>
      </c>
      <c r="H37" s="19">
        <v>50</v>
      </c>
      <c r="I37" s="5">
        <f t="shared" si="2"/>
        <v>2391</v>
      </c>
      <c r="J37" s="22">
        <f t="shared" si="1"/>
        <v>1.0629999999999999</v>
      </c>
      <c r="K37" s="498"/>
      <c r="L37" s="498"/>
    </row>
    <row r="38" spans="2:12" ht="18.75" hidden="1">
      <c r="B38" s="19">
        <f t="shared" ref="B38:B59" si="3">1+B37</f>
        <v>34</v>
      </c>
      <c r="C38" s="19" t="s">
        <v>245</v>
      </c>
      <c r="D38" s="19" t="s">
        <v>315</v>
      </c>
      <c r="E38" s="19" t="s">
        <v>769</v>
      </c>
      <c r="F38" s="20"/>
      <c r="G38" s="19">
        <v>63</v>
      </c>
      <c r="H38" s="19">
        <f>80-H39</f>
        <v>66</v>
      </c>
      <c r="I38" s="5">
        <f t="shared" si="2"/>
        <v>2457</v>
      </c>
      <c r="J38" s="22">
        <f t="shared" si="1"/>
        <v>1.0629999999999999</v>
      </c>
      <c r="K38" s="498"/>
      <c r="L38" s="498"/>
    </row>
    <row r="39" spans="2:12" ht="15.75" hidden="1">
      <c r="B39" s="19">
        <f t="shared" si="3"/>
        <v>35</v>
      </c>
      <c r="C39" s="19" t="s">
        <v>245</v>
      </c>
      <c r="D39" s="19" t="s">
        <v>315</v>
      </c>
      <c r="E39" s="19" t="s">
        <v>764</v>
      </c>
      <c r="F39" s="19">
        <v>0.36</v>
      </c>
      <c r="G39" s="19">
        <v>63</v>
      </c>
      <c r="H39" s="19">
        <v>14</v>
      </c>
      <c r="I39" s="5">
        <f t="shared" si="2"/>
        <v>2471</v>
      </c>
      <c r="J39" s="22">
        <f t="shared" si="1"/>
        <v>1.0629999999999999</v>
      </c>
      <c r="K39" s="498"/>
      <c r="L39" s="498"/>
    </row>
    <row r="40" spans="2:12" ht="15.75" hidden="1">
      <c r="B40" s="19">
        <f t="shared" si="3"/>
        <v>36</v>
      </c>
      <c r="C40" s="19" t="s">
        <v>315</v>
      </c>
      <c r="D40" s="19" t="s">
        <v>788</v>
      </c>
      <c r="E40" s="19" t="s">
        <v>45</v>
      </c>
      <c r="F40" s="19">
        <v>0.36</v>
      </c>
      <c r="G40" s="19">
        <v>63</v>
      </c>
      <c r="H40" s="19">
        <v>135</v>
      </c>
      <c r="I40" s="5">
        <f t="shared" si="2"/>
        <v>2606</v>
      </c>
      <c r="J40" s="22">
        <f t="shared" si="1"/>
        <v>1.0629999999999999</v>
      </c>
      <c r="K40" s="498"/>
      <c r="L40" s="498"/>
    </row>
    <row r="41" spans="2:12" ht="15.75">
      <c r="B41" s="19">
        <f t="shared" si="3"/>
        <v>37</v>
      </c>
      <c r="C41" s="19" t="s">
        <v>315</v>
      </c>
      <c r="D41" s="19" t="s">
        <v>788</v>
      </c>
      <c r="E41" s="19" t="s">
        <v>765</v>
      </c>
      <c r="F41" s="19">
        <v>0.36</v>
      </c>
      <c r="G41" s="19">
        <v>63</v>
      </c>
      <c r="H41" s="19">
        <v>34</v>
      </c>
      <c r="I41" s="5">
        <f t="shared" si="2"/>
        <v>2640</v>
      </c>
      <c r="J41" s="22">
        <f t="shared" si="1"/>
        <v>1.0629999999999999</v>
      </c>
      <c r="K41" s="498"/>
      <c r="L41" s="498"/>
    </row>
    <row r="42" spans="2:12" ht="18.75" hidden="1">
      <c r="B42" s="19">
        <f t="shared" si="3"/>
        <v>38</v>
      </c>
      <c r="C42" s="19" t="s">
        <v>258</v>
      </c>
      <c r="D42" s="19" t="s">
        <v>575</v>
      </c>
      <c r="E42" s="19" t="s">
        <v>769</v>
      </c>
      <c r="F42" s="20"/>
      <c r="G42" s="19">
        <v>63</v>
      </c>
      <c r="H42" s="19">
        <v>13</v>
      </c>
      <c r="I42" s="5">
        <f t="shared" si="2"/>
        <v>2653</v>
      </c>
      <c r="J42" s="22">
        <f t="shared" si="1"/>
        <v>1.0629999999999999</v>
      </c>
      <c r="K42" s="498"/>
      <c r="L42" s="498"/>
    </row>
    <row r="43" spans="2:12" ht="15.75" hidden="1">
      <c r="B43" s="19">
        <f t="shared" si="3"/>
        <v>39</v>
      </c>
      <c r="C43" s="21" t="s">
        <v>261</v>
      </c>
      <c r="D43" s="21" t="s">
        <v>229</v>
      </c>
      <c r="E43" s="21" t="s">
        <v>769</v>
      </c>
      <c r="F43" s="21"/>
      <c r="G43" s="21">
        <v>63</v>
      </c>
      <c r="H43" s="21">
        <v>71</v>
      </c>
      <c r="I43" s="5">
        <f t="shared" si="2"/>
        <v>2724</v>
      </c>
      <c r="J43" s="22">
        <f t="shared" si="1"/>
        <v>1.0629999999999999</v>
      </c>
      <c r="K43" s="498"/>
      <c r="L43" s="498"/>
    </row>
    <row r="44" spans="2:12" ht="15.75" hidden="1">
      <c r="B44" s="19">
        <f t="shared" si="3"/>
        <v>40</v>
      </c>
      <c r="C44" s="21" t="s">
        <v>249</v>
      </c>
      <c r="D44" s="21" t="s">
        <v>247</v>
      </c>
      <c r="E44" s="21" t="s">
        <v>45</v>
      </c>
      <c r="F44" s="21">
        <v>0.36</v>
      </c>
      <c r="G44" s="21">
        <v>63</v>
      </c>
      <c r="H44" s="21">
        <v>254</v>
      </c>
      <c r="I44" s="5">
        <f t="shared" si="2"/>
        <v>2978</v>
      </c>
      <c r="J44" s="22">
        <f t="shared" si="1"/>
        <v>1.0629999999999999</v>
      </c>
      <c r="K44" s="498"/>
      <c r="L44" s="498"/>
    </row>
    <row r="45" spans="2:12" ht="15.75" hidden="1">
      <c r="B45" s="19">
        <f t="shared" si="3"/>
        <v>41</v>
      </c>
      <c r="C45" s="21" t="s">
        <v>306</v>
      </c>
      <c r="D45" s="21" t="s">
        <v>217</v>
      </c>
      <c r="E45" s="21" t="s">
        <v>769</v>
      </c>
      <c r="F45" s="21"/>
      <c r="G45" s="21">
        <v>63</v>
      </c>
      <c r="H45" s="21">
        <v>36</v>
      </c>
      <c r="I45" s="5">
        <f t="shared" si="2"/>
        <v>3014</v>
      </c>
      <c r="J45" s="22">
        <f t="shared" si="1"/>
        <v>1.0629999999999999</v>
      </c>
      <c r="K45" s="498"/>
      <c r="L45" s="498"/>
    </row>
    <row r="46" spans="2:12" ht="15.75" hidden="1">
      <c r="B46" s="19">
        <f t="shared" si="3"/>
        <v>42</v>
      </c>
      <c r="C46" s="21" t="s">
        <v>306</v>
      </c>
      <c r="D46" s="21" t="s">
        <v>217</v>
      </c>
      <c r="E46" s="21" t="s">
        <v>764</v>
      </c>
      <c r="F46" s="21">
        <v>0.36</v>
      </c>
      <c r="G46" s="21">
        <v>63</v>
      </c>
      <c r="H46" s="21">
        <v>3</v>
      </c>
      <c r="I46" s="5">
        <f t="shared" si="2"/>
        <v>3017</v>
      </c>
      <c r="J46" s="22">
        <f t="shared" si="1"/>
        <v>1.0629999999999999</v>
      </c>
      <c r="K46" s="498"/>
      <c r="L46" s="498"/>
    </row>
    <row r="47" spans="2:12" ht="15.75" hidden="1">
      <c r="B47" s="19">
        <f t="shared" si="3"/>
        <v>43</v>
      </c>
      <c r="C47" s="21" t="s">
        <v>318</v>
      </c>
      <c r="D47" s="21" t="s">
        <v>576</v>
      </c>
      <c r="E47" s="21" t="s">
        <v>769</v>
      </c>
      <c r="F47" s="21"/>
      <c r="G47" s="21">
        <v>63</v>
      </c>
      <c r="H47" s="21">
        <v>23</v>
      </c>
      <c r="I47" s="5">
        <f t="shared" si="2"/>
        <v>3040</v>
      </c>
      <c r="J47" s="22">
        <f t="shared" si="1"/>
        <v>1.0629999999999999</v>
      </c>
      <c r="K47" s="498"/>
      <c r="L47" s="498"/>
    </row>
    <row r="48" spans="2:12" ht="15.75" hidden="1">
      <c r="B48" s="19">
        <f t="shared" si="3"/>
        <v>44</v>
      </c>
      <c r="C48" s="21" t="s">
        <v>318</v>
      </c>
      <c r="D48" s="21" t="s">
        <v>260</v>
      </c>
      <c r="E48" s="21" t="s">
        <v>769</v>
      </c>
      <c r="F48" s="21"/>
      <c r="G48" s="21">
        <v>63</v>
      </c>
      <c r="H48" s="21">
        <v>240</v>
      </c>
      <c r="I48" s="5">
        <f t="shared" si="2"/>
        <v>3280</v>
      </c>
      <c r="J48" s="22">
        <f t="shared" si="1"/>
        <v>1.0629999999999999</v>
      </c>
      <c r="K48" s="498"/>
      <c r="L48" s="498"/>
    </row>
    <row r="49" spans="2:12" ht="15.75" hidden="1">
      <c r="B49" s="19">
        <f t="shared" si="3"/>
        <v>45</v>
      </c>
      <c r="C49" s="21" t="s">
        <v>266</v>
      </c>
      <c r="D49" s="21" t="s">
        <v>252</v>
      </c>
      <c r="E49" s="21" t="s">
        <v>769</v>
      </c>
      <c r="F49" s="21"/>
      <c r="G49" s="21">
        <v>63</v>
      </c>
      <c r="H49" s="21">
        <v>168</v>
      </c>
      <c r="I49" s="5">
        <f t="shared" si="2"/>
        <v>3448</v>
      </c>
      <c r="J49" s="22">
        <f t="shared" si="1"/>
        <v>1.0629999999999999</v>
      </c>
      <c r="K49" s="498"/>
      <c r="L49" s="498"/>
    </row>
    <row r="50" spans="2:12" ht="15.75" hidden="1">
      <c r="B50" s="19">
        <f t="shared" si="3"/>
        <v>46</v>
      </c>
      <c r="C50" s="21" t="s">
        <v>255</v>
      </c>
      <c r="D50" s="21" t="s">
        <v>591</v>
      </c>
      <c r="E50" s="21" t="s">
        <v>769</v>
      </c>
      <c r="F50" s="21"/>
      <c r="G50" s="21">
        <v>63</v>
      </c>
      <c r="H50" s="21">
        <v>30</v>
      </c>
      <c r="I50" s="5">
        <f t="shared" si="2"/>
        <v>3478</v>
      </c>
      <c r="J50" s="22">
        <f t="shared" si="1"/>
        <v>1.0629999999999999</v>
      </c>
      <c r="K50" s="498"/>
      <c r="L50" s="498"/>
    </row>
    <row r="51" spans="2:12" ht="15.75" hidden="1">
      <c r="B51" s="19">
        <f t="shared" si="3"/>
        <v>47</v>
      </c>
      <c r="C51" s="21" t="s">
        <v>262</v>
      </c>
      <c r="D51" s="21" t="s">
        <v>289</v>
      </c>
      <c r="E51" s="21" t="s">
        <v>45</v>
      </c>
      <c r="F51" s="21">
        <v>0.36</v>
      </c>
      <c r="G51" s="21">
        <v>63</v>
      </c>
      <c r="H51" s="21">
        <v>27</v>
      </c>
      <c r="I51" s="5">
        <f t="shared" si="2"/>
        <v>3505</v>
      </c>
      <c r="J51" s="22">
        <f t="shared" si="1"/>
        <v>1.0629999999999999</v>
      </c>
      <c r="K51" s="498"/>
      <c r="L51" s="498"/>
    </row>
    <row r="52" spans="2:12" ht="15.75" hidden="1">
      <c r="B52" s="19">
        <f t="shared" si="3"/>
        <v>48</v>
      </c>
      <c r="C52" s="21" t="s">
        <v>314</v>
      </c>
      <c r="D52" s="21" t="s">
        <v>382</v>
      </c>
      <c r="E52" s="21" t="s">
        <v>45</v>
      </c>
      <c r="F52" s="21">
        <v>0.36</v>
      </c>
      <c r="G52" s="21">
        <v>63</v>
      </c>
      <c r="H52" s="21">
        <v>166</v>
      </c>
      <c r="I52" s="5">
        <f t="shared" si="2"/>
        <v>3671</v>
      </c>
      <c r="J52" s="22">
        <f t="shared" si="1"/>
        <v>1.0629999999999999</v>
      </c>
      <c r="K52" s="498"/>
      <c r="L52" s="498"/>
    </row>
    <row r="53" spans="2:12" ht="15.75" hidden="1">
      <c r="B53" s="19">
        <f t="shared" si="3"/>
        <v>49</v>
      </c>
      <c r="C53" s="21" t="s">
        <v>314</v>
      </c>
      <c r="D53" s="21" t="s">
        <v>382</v>
      </c>
      <c r="E53" s="21" t="s">
        <v>769</v>
      </c>
      <c r="F53" s="21"/>
      <c r="G53" s="21">
        <v>63</v>
      </c>
      <c r="H53" s="21">
        <f>343-H52</f>
        <v>177</v>
      </c>
      <c r="I53" s="5">
        <f t="shared" si="2"/>
        <v>3848</v>
      </c>
      <c r="J53" s="22">
        <f t="shared" si="1"/>
        <v>1.0629999999999999</v>
      </c>
      <c r="K53" s="498"/>
      <c r="L53" s="498"/>
    </row>
    <row r="54" spans="2:12" ht="15.75" hidden="1">
      <c r="B54" s="19">
        <f t="shared" si="3"/>
        <v>50</v>
      </c>
      <c r="C54" s="21" t="s">
        <v>359</v>
      </c>
      <c r="D54" s="21" t="s">
        <v>205</v>
      </c>
      <c r="E54" s="21" t="s">
        <v>769</v>
      </c>
      <c r="F54" s="21"/>
      <c r="G54" s="21">
        <v>63</v>
      </c>
      <c r="H54" s="21">
        <v>21</v>
      </c>
      <c r="I54" s="5">
        <f t="shared" si="2"/>
        <v>3869</v>
      </c>
      <c r="J54" s="22">
        <f t="shared" si="1"/>
        <v>1.0629999999999999</v>
      </c>
      <c r="K54" s="498"/>
      <c r="L54" s="498"/>
    </row>
    <row r="55" spans="2:12" ht="15.75" hidden="1">
      <c r="B55" s="19">
        <f t="shared" si="3"/>
        <v>51</v>
      </c>
      <c r="C55" s="21" t="s">
        <v>296</v>
      </c>
      <c r="D55" s="21" t="s">
        <v>218</v>
      </c>
      <c r="E55" s="21" t="s">
        <v>769</v>
      </c>
      <c r="F55" s="21"/>
      <c r="G55" s="21">
        <v>63</v>
      </c>
      <c r="H55" s="21">
        <v>58</v>
      </c>
      <c r="I55" s="5">
        <f t="shared" si="2"/>
        <v>3927</v>
      </c>
      <c r="J55" s="22">
        <f t="shared" si="1"/>
        <v>1.0629999999999999</v>
      </c>
      <c r="K55" s="498"/>
      <c r="L55" s="498"/>
    </row>
    <row r="56" spans="2:12" ht="15.75" hidden="1">
      <c r="B56" s="19">
        <f t="shared" si="3"/>
        <v>52</v>
      </c>
      <c r="C56" s="21" t="s">
        <v>400</v>
      </c>
      <c r="D56" s="21" t="s">
        <v>293</v>
      </c>
      <c r="E56" s="21" t="s">
        <v>769</v>
      </c>
      <c r="F56" s="21"/>
      <c r="G56" s="21">
        <v>63</v>
      </c>
      <c r="H56" s="21">
        <v>57</v>
      </c>
      <c r="I56" s="5">
        <f t="shared" si="2"/>
        <v>3984</v>
      </c>
      <c r="J56" s="22">
        <f t="shared" si="1"/>
        <v>1.0629999999999999</v>
      </c>
      <c r="K56" s="498"/>
      <c r="L56" s="498"/>
    </row>
    <row r="57" spans="2:12" ht="15.75" hidden="1">
      <c r="B57" s="19">
        <f t="shared" si="3"/>
        <v>53</v>
      </c>
      <c r="C57" s="21" t="s">
        <v>293</v>
      </c>
      <c r="D57" s="21" t="s">
        <v>801</v>
      </c>
      <c r="E57" s="21" t="s">
        <v>769</v>
      </c>
      <c r="F57" s="21"/>
      <c r="G57" s="21">
        <v>63</v>
      </c>
      <c r="H57" s="21">
        <v>66</v>
      </c>
      <c r="I57" s="5">
        <f t="shared" si="2"/>
        <v>4050</v>
      </c>
      <c r="J57" s="22">
        <f t="shared" si="1"/>
        <v>1.0629999999999999</v>
      </c>
      <c r="K57" s="498"/>
      <c r="L57" s="498"/>
    </row>
    <row r="58" spans="2:12" ht="15.75" hidden="1">
      <c r="B58" s="19">
        <f t="shared" si="3"/>
        <v>54</v>
      </c>
      <c r="C58" s="21" t="s">
        <v>347</v>
      </c>
      <c r="D58" s="21" t="s">
        <v>286</v>
      </c>
      <c r="E58" s="21" t="s">
        <v>769</v>
      </c>
      <c r="F58" s="21"/>
      <c r="G58" s="21">
        <v>63</v>
      </c>
      <c r="H58" s="21">
        <v>102</v>
      </c>
      <c r="I58" s="5">
        <f t="shared" si="2"/>
        <v>4152</v>
      </c>
      <c r="J58" s="22">
        <f t="shared" si="1"/>
        <v>1.0629999999999999</v>
      </c>
      <c r="K58" s="498"/>
      <c r="L58" s="498"/>
    </row>
    <row r="59" spans="2:12" ht="15.75">
      <c r="B59" s="19">
        <f t="shared" si="3"/>
        <v>55</v>
      </c>
      <c r="C59" s="21" t="s">
        <v>347</v>
      </c>
      <c r="D59" s="21" t="s">
        <v>286</v>
      </c>
      <c r="E59" s="21" t="s">
        <v>765</v>
      </c>
      <c r="F59" s="21">
        <v>0.36</v>
      </c>
      <c r="G59" s="21">
        <v>63</v>
      </c>
      <c r="H59" s="21">
        <v>22</v>
      </c>
      <c r="I59" s="5">
        <f t="shared" si="2"/>
        <v>4174</v>
      </c>
      <c r="J59" s="22">
        <f t="shared" si="1"/>
        <v>1.0629999999999999</v>
      </c>
      <c r="K59" s="498"/>
      <c r="L59" s="498"/>
    </row>
    <row r="60" spans="2:12" ht="15.75" hidden="1">
      <c r="B60" s="21">
        <f t="shared" ref="B60:B123" si="4">1+B59</f>
        <v>56</v>
      </c>
      <c r="C60" s="21" t="s">
        <v>286</v>
      </c>
      <c r="D60" s="21" t="s">
        <v>458</v>
      </c>
      <c r="E60" s="21" t="s">
        <v>769</v>
      </c>
      <c r="F60" s="21"/>
      <c r="G60" s="21">
        <v>63</v>
      </c>
      <c r="H60" s="21">
        <v>76</v>
      </c>
      <c r="I60" s="5">
        <f t="shared" si="2"/>
        <v>4250</v>
      </c>
      <c r="J60" s="22">
        <f t="shared" si="1"/>
        <v>1.0629999999999999</v>
      </c>
      <c r="K60" s="498"/>
      <c r="L60" s="498"/>
    </row>
    <row r="61" spans="2:12" ht="15.75" hidden="1">
      <c r="B61" s="21">
        <f t="shared" si="4"/>
        <v>57</v>
      </c>
      <c r="C61" s="21">
        <v>24</v>
      </c>
      <c r="D61" s="21">
        <v>192</v>
      </c>
      <c r="E61" s="21" t="s">
        <v>45</v>
      </c>
      <c r="F61" s="21">
        <v>0.36</v>
      </c>
      <c r="G61" s="21">
        <v>63</v>
      </c>
      <c r="H61" s="21">
        <v>200</v>
      </c>
      <c r="I61" s="5">
        <f t="shared" si="2"/>
        <v>4450</v>
      </c>
      <c r="J61" s="22">
        <f t="shared" si="1"/>
        <v>1.0629999999999999</v>
      </c>
      <c r="K61" s="498"/>
      <c r="L61" s="498"/>
    </row>
    <row r="62" spans="2:12" ht="15.75" hidden="1">
      <c r="B62" s="21">
        <f t="shared" si="4"/>
        <v>58</v>
      </c>
      <c r="C62" s="21">
        <v>24</v>
      </c>
      <c r="D62" s="21">
        <v>192</v>
      </c>
      <c r="E62" s="21" t="s">
        <v>769</v>
      </c>
      <c r="F62" s="21"/>
      <c r="G62" s="21">
        <v>63</v>
      </c>
      <c r="H62" s="21">
        <v>200</v>
      </c>
      <c r="I62" s="5">
        <f t="shared" si="2"/>
        <v>4650</v>
      </c>
      <c r="J62" s="22">
        <f t="shared" si="1"/>
        <v>1.0629999999999999</v>
      </c>
      <c r="K62" s="498"/>
      <c r="L62" s="498"/>
    </row>
    <row r="63" spans="2:12" ht="15.75" hidden="1">
      <c r="B63" s="21">
        <f t="shared" si="4"/>
        <v>59</v>
      </c>
      <c r="C63" s="21">
        <v>27</v>
      </c>
      <c r="D63" s="21">
        <v>84</v>
      </c>
      <c r="E63" s="21" t="s">
        <v>769</v>
      </c>
      <c r="F63" s="21"/>
      <c r="G63" s="21">
        <v>63</v>
      </c>
      <c r="H63" s="21">
        <v>280</v>
      </c>
      <c r="I63" s="5">
        <f t="shared" si="2"/>
        <v>4930</v>
      </c>
      <c r="J63" s="22">
        <f t="shared" si="1"/>
        <v>1.0629999999999999</v>
      </c>
      <c r="K63" s="498"/>
      <c r="L63" s="498"/>
    </row>
    <row r="64" spans="2:12" ht="15.75" hidden="1">
      <c r="B64" s="21">
        <f t="shared" si="4"/>
        <v>60</v>
      </c>
      <c r="C64" s="21">
        <v>54</v>
      </c>
      <c r="D64" s="21">
        <v>112</v>
      </c>
      <c r="E64" s="21" t="s">
        <v>769</v>
      </c>
      <c r="F64" s="21"/>
      <c r="G64" s="21">
        <v>63</v>
      </c>
      <c r="H64" s="21">
        <v>198</v>
      </c>
      <c r="I64" s="5">
        <f t="shared" si="2"/>
        <v>5128</v>
      </c>
      <c r="J64" s="22">
        <f t="shared" si="1"/>
        <v>1.0629999999999999</v>
      </c>
      <c r="K64" s="498"/>
      <c r="L64" s="498"/>
    </row>
    <row r="65" spans="2:12" ht="15.75" hidden="1">
      <c r="B65" s="21">
        <f t="shared" si="4"/>
        <v>61</v>
      </c>
      <c r="C65" s="21">
        <v>54</v>
      </c>
      <c r="D65" s="21">
        <v>160</v>
      </c>
      <c r="E65" s="21" t="s">
        <v>769</v>
      </c>
      <c r="F65" s="21"/>
      <c r="G65" s="21">
        <v>63</v>
      </c>
      <c r="H65" s="21">
        <v>97</v>
      </c>
      <c r="I65" s="5">
        <f t="shared" si="2"/>
        <v>5225</v>
      </c>
      <c r="J65" s="22">
        <f t="shared" si="1"/>
        <v>1.0629999999999999</v>
      </c>
      <c r="K65" s="498"/>
      <c r="L65" s="498"/>
    </row>
    <row r="66" spans="2:12" ht="15.75" hidden="1">
      <c r="B66" s="21">
        <f t="shared" si="4"/>
        <v>62</v>
      </c>
      <c r="C66" s="21">
        <v>160</v>
      </c>
      <c r="D66" s="21">
        <v>207</v>
      </c>
      <c r="E66" s="21" t="s">
        <v>769</v>
      </c>
      <c r="F66" s="21"/>
      <c r="G66" s="21">
        <v>63</v>
      </c>
      <c r="H66" s="21">
        <v>44</v>
      </c>
      <c r="I66" s="5">
        <f t="shared" si="2"/>
        <v>5269</v>
      </c>
      <c r="J66" s="22">
        <f t="shared" si="1"/>
        <v>1.0629999999999999</v>
      </c>
      <c r="K66" s="498"/>
      <c r="L66" s="498"/>
    </row>
    <row r="67" spans="2:12" ht="15.75" hidden="1">
      <c r="B67" s="21">
        <f t="shared" si="4"/>
        <v>63</v>
      </c>
      <c r="C67" s="21">
        <v>160</v>
      </c>
      <c r="D67" s="21">
        <v>185</v>
      </c>
      <c r="E67" s="21" t="s">
        <v>769</v>
      </c>
      <c r="F67" s="21"/>
      <c r="G67" s="21">
        <v>63</v>
      </c>
      <c r="H67" s="21">
        <v>97</v>
      </c>
      <c r="I67" s="5">
        <f t="shared" si="2"/>
        <v>5366</v>
      </c>
      <c r="J67" s="22">
        <f t="shared" si="1"/>
        <v>1.0629999999999999</v>
      </c>
      <c r="K67" s="498"/>
      <c r="L67" s="498"/>
    </row>
    <row r="68" spans="2:12" ht="15.75" hidden="1">
      <c r="B68" s="21">
        <f t="shared" si="4"/>
        <v>64</v>
      </c>
      <c r="C68" s="21">
        <v>110</v>
      </c>
      <c r="D68" s="21">
        <v>226</v>
      </c>
      <c r="E68" s="21" t="s">
        <v>769</v>
      </c>
      <c r="F68" s="21"/>
      <c r="G68" s="21">
        <v>63</v>
      </c>
      <c r="H68" s="21">
        <v>119</v>
      </c>
      <c r="I68" s="5">
        <f t="shared" si="2"/>
        <v>5485</v>
      </c>
      <c r="J68" s="22">
        <f t="shared" si="1"/>
        <v>1.0629999999999999</v>
      </c>
      <c r="K68" s="498"/>
      <c r="L68" s="498"/>
    </row>
    <row r="69" spans="2:12" ht="15.75" hidden="1">
      <c r="B69" s="21">
        <f t="shared" si="4"/>
        <v>65</v>
      </c>
      <c r="C69" s="21">
        <v>110</v>
      </c>
      <c r="D69" s="21">
        <v>217</v>
      </c>
      <c r="E69" s="21" t="s">
        <v>769</v>
      </c>
      <c r="F69" s="21"/>
      <c r="G69" s="21">
        <v>63</v>
      </c>
      <c r="H69" s="21">
        <v>58</v>
      </c>
      <c r="I69" s="5">
        <f t="shared" si="2"/>
        <v>5543</v>
      </c>
      <c r="J69" s="22">
        <f t="shared" si="1"/>
        <v>1.0629999999999999</v>
      </c>
      <c r="K69" s="498"/>
      <c r="L69" s="498"/>
    </row>
    <row r="70" spans="2:12" ht="15.75" hidden="1">
      <c r="B70" s="21">
        <f t="shared" si="4"/>
        <v>66</v>
      </c>
      <c r="C70" s="21">
        <v>117</v>
      </c>
      <c r="D70" s="21">
        <v>169</v>
      </c>
      <c r="E70" s="21" t="s">
        <v>769</v>
      </c>
      <c r="F70" s="21"/>
      <c r="G70" s="21">
        <v>63</v>
      </c>
      <c r="H70" s="21">
        <v>86</v>
      </c>
      <c r="I70" s="5">
        <f t="shared" si="2"/>
        <v>5629</v>
      </c>
      <c r="J70" s="22">
        <f t="shared" ref="J70:J126" si="5">(1000+G70)/1000</f>
        <v>1.0629999999999999</v>
      </c>
      <c r="K70" s="498"/>
      <c r="L70" s="498"/>
    </row>
    <row r="71" spans="2:12" ht="15.75" hidden="1">
      <c r="B71" s="21">
        <f t="shared" si="4"/>
        <v>67</v>
      </c>
      <c r="C71" s="21">
        <v>117</v>
      </c>
      <c r="D71" s="21">
        <v>169</v>
      </c>
      <c r="E71" s="21" t="s">
        <v>764</v>
      </c>
      <c r="F71" s="21">
        <v>0.36</v>
      </c>
      <c r="G71" s="21">
        <v>63</v>
      </c>
      <c r="H71" s="21">
        <v>2</v>
      </c>
      <c r="I71" s="5">
        <f t="shared" ref="I71:I134" si="6">+I70+H71</f>
        <v>5631</v>
      </c>
      <c r="J71" s="22">
        <f t="shared" si="5"/>
        <v>1.0629999999999999</v>
      </c>
      <c r="K71" s="498"/>
      <c r="L71" s="498"/>
    </row>
    <row r="72" spans="2:12" ht="15.75" hidden="1">
      <c r="B72" s="21">
        <f t="shared" si="4"/>
        <v>68</v>
      </c>
      <c r="C72" s="21">
        <v>18</v>
      </c>
      <c r="D72" s="21" t="s">
        <v>805</v>
      </c>
      <c r="E72" s="21" t="s">
        <v>769</v>
      </c>
      <c r="F72" s="21"/>
      <c r="G72" s="21">
        <v>63</v>
      </c>
      <c r="H72" s="21">
        <f>89-H73</f>
        <v>47</v>
      </c>
      <c r="I72" s="5">
        <f t="shared" si="6"/>
        <v>5678</v>
      </c>
      <c r="J72" s="22">
        <f t="shared" si="5"/>
        <v>1.0629999999999999</v>
      </c>
      <c r="K72" s="498"/>
      <c r="L72" s="498"/>
    </row>
    <row r="73" spans="2:12" ht="15.75">
      <c r="B73" s="21">
        <f t="shared" si="4"/>
        <v>69</v>
      </c>
      <c r="C73" s="21">
        <v>18</v>
      </c>
      <c r="D73" s="21" t="s">
        <v>805</v>
      </c>
      <c r="E73" s="21" t="s">
        <v>765</v>
      </c>
      <c r="F73" s="21">
        <v>0.46</v>
      </c>
      <c r="G73" s="21">
        <v>63</v>
      </c>
      <c r="H73" s="21">
        <v>42</v>
      </c>
      <c r="I73" s="5">
        <f t="shared" si="6"/>
        <v>5720</v>
      </c>
      <c r="J73" s="22">
        <f t="shared" si="5"/>
        <v>1.0629999999999999</v>
      </c>
      <c r="K73" s="498"/>
      <c r="L73" s="498"/>
    </row>
    <row r="74" spans="2:12" ht="15.75" hidden="1">
      <c r="B74" s="21">
        <f t="shared" si="4"/>
        <v>70</v>
      </c>
      <c r="C74" s="21">
        <v>18</v>
      </c>
      <c r="D74" s="21">
        <v>95</v>
      </c>
      <c r="E74" s="21" t="s">
        <v>45</v>
      </c>
      <c r="F74" s="21">
        <v>0.36</v>
      </c>
      <c r="G74" s="21">
        <v>63</v>
      </c>
      <c r="H74" s="21">
        <v>40</v>
      </c>
      <c r="I74" s="5">
        <f t="shared" si="6"/>
        <v>5760</v>
      </c>
      <c r="J74" s="22">
        <f t="shared" si="5"/>
        <v>1.0629999999999999</v>
      </c>
      <c r="K74" s="498"/>
      <c r="L74" s="498"/>
    </row>
    <row r="75" spans="2:12" ht="15.75" hidden="1">
      <c r="B75" s="21">
        <f t="shared" si="4"/>
        <v>71</v>
      </c>
      <c r="C75" s="21">
        <v>18</v>
      </c>
      <c r="D75" s="21">
        <v>95</v>
      </c>
      <c r="E75" s="21" t="s">
        <v>769</v>
      </c>
      <c r="F75" s="21"/>
      <c r="G75" s="21">
        <v>63</v>
      </c>
      <c r="H75" s="21">
        <f>190-40</f>
        <v>150</v>
      </c>
      <c r="I75" s="5">
        <f t="shared" si="6"/>
        <v>5910</v>
      </c>
      <c r="J75" s="22">
        <f t="shared" si="5"/>
        <v>1.0629999999999999</v>
      </c>
      <c r="K75" s="498"/>
      <c r="L75" s="498"/>
    </row>
    <row r="76" spans="2:12" ht="18.75" hidden="1">
      <c r="B76" s="21">
        <f t="shared" si="4"/>
        <v>72</v>
      </c>
      <c r="C76" s="19" t="s">
        <v>364</v>
      </c>
      <c r="D76" s="19" t="s">
        <v>357</v>
      </c>
      <c r="E76" s="19" t="s">
        <v>769</v>
      </c>
      <c r="F76" s="20"/>
      <c r="G76" s="19">
        <v>75</v>
      </c>
      <c r="H76" s="19">
        <v>257</v>
      </c>
      <c r="I76" s="5">
        <f t="shared" si="6"/>
        <v>6167</v>
      </c>
      <c r="J76" s="22">
        <f t="shared" si="5"/>
        <v>1.075</v>
      </c>
      <c r="K76" s="498"/>
      <c r="L76" s="498"/>
    </row>
    <row r="77" spans="2:12" ht="18.75" hidden="1">
      <c r="B77" s="21">
        <f t="shared" si="4"/>
        <v>73</v>
      </c>
      <c r="C77" s="19" t="s">
        <v>268</v>
      </c>
      <c r="D77" s="19" t="s">
        <v>279</v>
      </c>
      <c r="E77" s="19" t="s">
        <v>769</v>
      </c>
      <c r="F77" s="20"/>
      <c r="G77" s="19">
        <v>75</v>
      </c>
      <c r="H77" s="19">
        <v>202</v>
      </c>
      <c r="I77" s="5">
        <f t="shared" si="6"/>
        <v>6369</v>
      </c>
      <c r="J77" s="22">
        <f t="shared" si="5"/>
        <v>1.075</v>
      </c>
      <c r="K77" s="498"/>
      <c r="L77" s="498"/>
    </row>
    <row r="78" spans="2:12" ht="18.75" hidden="1">
      <c r="B78" s="21">
        <f t="shared" si="4"/>
        <v>74</v>
      </c>
      <c r="C78" s="19" t="s">
        <v>355</v>
      </c>
      <c r="D78" s="19" t="s">
        <v>235</v>
      </c>
      <c r="E78" s="19" t="s">
        <v>769</v>
      </c>
      <c r="F78" s="20"/>
      <c r="G78" s="19">
        <v>75</v>
      </c>
      <c r="H78" s="19">
        <v>98</v>
      </c>
      <c r="I78" s="5">
        <f t="shared" si="6"/>
        <v>6467</v>
      </c>
      <c r="J78" s="22">
        <f t="shared" si="5"/>
        <v>1.075</v>
      </c>
      <c r="K78" s="498"/>
      <c r="L78" s="498"/>
    </row>
    <row r="79" spans="2:12" ht="15.75" hidden="1">
      <c r="B79" s="21">
        <f t="shared" si="4"/>
        <v>75</v>
      </c>
      <c r="C79" s="19" t="s">
        <v>349</v>
      </c>
      <c r="D79" s="19" t="s">
        <v>394</v>
      </c>
      <c r="E79" s="19" t="s">
        <v>45</v>
      </c>
      <c r="F79" s="19">
        <v>0.37</v>
      </c>
      <c r="G79" s="19">
        <v>75</v>
      </c>
      <c r="H79" s="19">
        <v>66</v>
      </c>
      <c r="I79" s="5">
        <f t="shared" si="6"/>
        <v>6533</v>
      </c>
      <c r="J79" s="22">
        <f t="shared" si="5"/>
        <v>1.075</v>
      </c>
      <c r="K79" s="498"/>
      <c r="L79" s="498"/>
    </row>
    <row r="80" spans="2:12" ht="18.75" hidden="1">
      <c r="B80" s="21">
        <f t="shared" si="4"/>
        <v>76</v>
      </c>
      <c r="C80" s="19" t="s">
        <v>349</v>
      </c>
      <c r="D80" s="19" t="s">
        <v>394</v>
      </c>
      <c r="E80" s="19" t="s">
        <v>769</v>
      </c>
      <c r="F80" s="20"/>
      <c r="G80" s="19">
        <v>75</v>
      </c>
      <c r="H80" s="19">
        <f>95-H79</f>
        <v>29</v>
      </c>
      <c r="I80" s="5">
        <f t="shared" si="6"/>
        <v>6562</v>
      </c>
      <c r="J80" s="22">
        <f t="shared" si="5"/>
        <v>1.075</v>
      </c>
      <c r="K80" s="498"/>
      <c r="L80" s="498"/>
    </row>
    <row r="81" spans="2:12" ht="18.75" hidden="1">
      <c r="B81" s="21">
        <f t="shared" si="4"/>
        <v>77</v>
      </c>
      <c r="C81" s="19" t="s">
        <v>394</v>
      </c>
      <c r="D81" s="19" t="s">
        <v>234</v>
      </c>
      <c r="E81" s="19" t="s">
        <v>769</v>
      </c>
      <c r="F81" s="20"/>
      <c r="G81" s="19">
        <v>75</v>
      </c>
      <c r="H81" s="19">
        <v>66</v>
      </c>
      <c r="I81" s="5">
        <f t="shared" si="6"/>
        <v>6628</v>
      </c>
      <c r="J81" s="22">
        <f t="shared" si="5"/>
        <v>1.075</v>
      </c>
      <c r="K81" s="498"/>
      <c r="L81" s="498"/>
    </row>
    <row r="82" spans="2:12" ht="18.75" hidden="1">
      <c r="B82" s="21">
        <f t="shared" si="4"/>
        <v>78</v>
      </c>
      <c r="C82" s="19" t="s">
        <v>315</v>
      </c>
      <c r="D82" s="19" t="s">
        <v>506</v>
      </c>
      <c r="E82" s="19" t="s">
        <v>769</v>
      </c>
      <c r="F82" s="20"/>
      <c r="G82" s="19">
        <v>75</v>
      </c>
      <c r="H82" s="19">
        <v>233</v>
      </c>
      <c r="I82" s="5">
        <f t="shared" si="6"/>
        <v>6861</v>
      </c>
      <c r="J82" s="22">
        <f t="shared" si="5"/>
        <v>1.075</v>
      </c>
      <c r="K82" s="498"/>
      <c r="L82" s="498"/>
    </row>
    <row r="83" spans="2:12" ht="15.75" hidden="1">
      <c r="B83" s="21">
        <f t="shared" si="4"/>
        <v>79</v>
      </c>
      <c r="C83" s="21" t="s">
        <v>249</v>
      </c>
      <c r="D83" s="21" t="s">
        <v>417</v>
      </c>
      <c r="E83" s="21" t="s">
        <v>764</v>
      </c>
      <c r="F83" s="21">
        <v>0.37</v>
      </c>
      <c r="G83" s="21">
        <v>75</v>
      </c>
      <c r="H83" s="21">
        <v>5</v>
      </c>
      <c r="I83" s="5">
        <f t="shared" si="6"/>
        <v>6866</v>
      </c>
      <c r="J83" s="22">
        <f t="shared" si="5"/>
        <v>1.075</v>
      </c>
      <c r="K83" s="498"/>
      <c r="L83" s="498"/>
    </row>
    <row r="84" spans="2:12" ht="15.75" hidden="1">
      <c r="B84" s="21">
        <f t="shared" si="4"/>
        <v>80</v>
      </c>
      <c r="C84" s="21" t="s">
        <v>249</v>
      </c>
      <c r="D84" s="21" t="s">
        <v>417</v>
      </c>
      <c r="E84" s="21" t="s">
        <v>45</v>
      </c>
      <c r="F84" s="21">
        <v>0.37</v>
      </c>
      <c r="G84" s="21">
        <v>75</v>
      </c>
      <c r="H84" s="21">
        <v>151</v>
      </c>
      <c r="I84" s="5">
        <f t="shared" si="6"/>
        <v>7017</v>
      </c>
      <c r="J84" s="22">
        <f t="shared" si="5"/>
        <v>1.075</v>
      </c>
      <c r="K84" s="498"/>
      <c r="L84" s="498"/>
    </row>
    <row r="85" spans="2:12" ht="15.75" hidden="1">
      <c r="B85" s="21">
        <f t="shared" si="4"/>
        <v>81</v>
      </c>
      <c r="C85" s="21" t="s">
        <v>249</v>
      </c>
      <c r="D85" s="21" t="s">
        <v>417</v>
      </c>
      <c r="E85" s="21" t="s">
        <v>769</v>
      </c>
      <c r="F85" s="21"/>
      <c r="G85" s="21">
        <v>75</v>
      </c>
      <c r="H85" s="21">
        <f>210-156</f>
        <v>54</v>
      </c>
      <c r="I85" s="5">
        <f t="shared" si="6"/>
        <v>7071</v>
      </c>
      <c r="J85" s="22">
        <f t="shared" si="5"/>
        <v>1.075</v>
      </c>
      <c r="K85" s="498"/>
      <c r="L85" s="498"/>
    </row>
    <row r="86" spans="2:12" ht="15.75" hidden="1">
      <c r="B86" s="21">
        <f t="shared" si="4"/>
        <v>82</v>
      </c>
      <c r="C86" s="21" t="s">
        <v>417</v>
      </c>
      <c r="D86" s="21" t="s">
        <v>538</v>
      </c>
      <c r="E86" s="21" t="s">
        <v>769</v>
      </c>
      <c r="F86" s="21"/>
      <c r="G86" s="21">
        <v>75</v>
      </c>
      <c r="H86" s="21">
        <v>44</v>
      </c>
      <c r="I86" s="5">
        <f t="shared" si="6"/>
        <v>7115</v>
      </c>
      <c r="J86" s="22">
        <f t="shared" si="5"/>
        <v>1.075</v>
      </c>
      <c r="K86" s="498"/>
      <c r="L86" s="498"/>
    </row>
    <row r="87" spans="2:12" ht="15.75" hidden="1">
      <c r="B87" s="21">
        <f t="shared" si="4"/>
        <v>83</v>
      </c>
      <c r="C87" s="21" t="s">
        <v>306</v>
      </c>
      <c r="D87" s="21" t="s">
        <v>417</v>
      </c>
      <c r="E87" s="21" t="s">
        <v>769</v>
      </c>
      <c r="F87" s="21"/>
      <c r="G87" s="21">
        <v>75</v>
      </c>
      <c r="H87" s="21">
        <v>15</v>
      </c>
      <c r="I87" s="5">
        <f t="shared" si="6"/>
        <v>7130</v>
      </c>
      <c r="J87" s="22">
        <f t="shared" si="5"/>
        <v>1.075</v>
      </c>
      <c r="K87" s="498"/>
      <c r="L87" s="498"/>
    </row>
    <row r="88" spans="2:12" ht="15.75" hidden="1">
      <c r="B88" s="21">
        <f t="shared" si="4"/>
        <v>84</v>
      </c>
      <c r="C88" s="21" t="s">
        <v>266</v>
      </c>
      <c r="D88" s="21" t="s">
        <v>418</v>
      </c>
      <c r="E88" s="21" t="s">
        <v>769</v>
      </c>
      <c r="F88" s="21"/>
      <c r="G88" s="21">
        <v>75</v>
      </c>
      <c r="H88" s="21">
        <v>47</v>
      </c>
      <c r="I88" s="5">
        <f t="shared" si="6"/>
        <v>7177</v>
      </c>
      <c r="J88" s="22">
        <f t="shared" si="5"/>
        <v>1.075</v>
      </c>
      <c r="K88" s="498"/>
      <c r="L88" s="498"/>
    </row>
    <row r="89" spans="2:12" ht="15.75" hidden="1">
      <c r="B89" s="21">
        <f t="shared" si="4"/>
        <v>85</v>
      </c>
      <c r="C89" s="21" t="s">
        <v>538</v>
      </c>
      <c r="D89" s="21" t="s">
        <v>803</v>
      </c>
      <c r="E89" s="21" t="s">
        <v>769</v>
      </c>
      <c r="F89" s="21"/>
      <c r="G89" s="21">
        <v>75</v>
      </c>
      <c r="H89" s="21">
        <v>100</v>
      </c>
      <c r="I89" s="5">
        <f t="shared" si="6"/>
        <v>7277</v>
      </c>
      <c r="J89" s="22">
        <f t="shared" si="5"/>
        <v>1.075</v>
      </c>
      <c r="K89" s="498"/>
      <c r="L89" s="498"/>
    </row>
    <row r="90" spans="2:12" ht="15.75" hidden="1">
      <c r="B90" s="21">
        <f t="shared" si="4"/>
        <v>86</v>
      </c>
      <c r="C90" s="21" t="s">
        <v>396</v>
      </c>
      <c r="D90" s="21" t="s">
        <v>359</v>
      </c>
      <c r="E90" s="21" t="s">
        <v>769</v>
      </c>
      <c r="F90" s="21"/>
      <c r="G90" s="21">
        <v>75</v>
      </c>
      <c r="H90" s="21">
        <v>125</v>
      </c>
      <c r="I90" s="5">
        <f t="shared" si="6"/>
        <v>7402</v>
      </c>
      <c r="J90" s="22">
        <f t="shared" si="5"/>
        <v>1.075</v>
      </c>
      <c r="K90" s="498"/>
      <c r="L90" s="498"/>
    </row>
    <row r="91" spans="2:12" ht="15.75" hidden="1">
      <c r="B91" s="21">
        <f t="shared" si="4"/>
        <v>87</v>
      </c>
      <c r="C91" s="21" t="s">
        <v>359</v>
      </c>
      <c r="D91" s="21" t="s">
        <v>461</v>
      </c>
      <c r="E91" s="21" t="s">
        <v>769</v>
      </c>
      <c r="F91" s="21"/>
      <c r="G91" s="21">
        <v>75</v>
      </c>
      <c r="H91" s="21">
        <v>87</v>
      </c>
      <c r="I91" s="5">
        <f t="shared" si="6"/>
        <v>7489</v>
      </c>
      <c r="J91" s="22">
        <f t="shared" si="5"/>
        <v>1.075</v>
      </c>
      <c r="K91" s="498"/>
      <c r="L91" s="498"/>
    </row>
    <row r="92" spans="2:12" ht="15.75" hidden="1">
      <c r="B92" s="21">
        <f t="shared" si="4"/>
        <v>88</v>
      </c>
      <c r="C92" s="21" t="s">
        <v>317</v>
      </c>
      <c r="D92" s="21" t="s">
        <v>296</v>
      </c>
      <c r="E92" s="21" t="s">
        <v>769</v>
      </c>
      <c r="F92" s="21"/>
      <c r="G92" s="21">
        <v>75</v>
      </c>
      <c r="H92" s="21">
        <v>47</v>
      </c>
      <c r="I92" s="5">
        <f t="shared" si="6"/>
        <v>7536</v>
      </c>
      <c r="J92" s="22">
        <f t="shared" si="5"/>
        <v>1.075</v>
      </c>
      <c r="K92" s="498"/>
      <c r="L92" s="498"/>
    </row>
    <row r="93" spans="2:12" ht="15.75" hidden="1">
      <c r="B93" s="21">
        <f t="shared" si="4"/>
        <v>89</v>
      </c>
      <c r="C93" s="21" t="s">
        <v>296</v>
      </c>
      <c r="D93" s="21" t="s">
        <v>400</v>
      </c>
      <c r="E93" s="21" t="s">
        <v>769</v>
      </c>
      <c r="F93" s="21"/>
      <c r="G93" s="21">
        <v>75</v>
      </c>
      <c r="H93" s="21">
        <v>195</v>
      </c>
      <c r="I93" s="5">
        <f t="shared" si="6"/>
        <v>7731</v>
      </c>
      <c r="J93" s="22">
        <f t="shared" si="5"/>
        <v>1.075</v>
      </c>
      <c r="K93" s="498"/>
      <c r="L93" s="498"/>
    </row>
    <row r="94" spans="2:12" ht="15.75" hidden="1">
      <c r="B94" s="21">
        <f t="shared" si="4"/>
        <v>90</v>
      </c>
      <c r="C94" s="21" t="s">
        <v>267</v>
      </c>
      <c r="D94" s="21" t="s">
        <v>309</v>
      </c>
      <c r="E94" s="21" t="s">
        <v>769</v>
      </c>
      <c r="F94" s="21"/>
      <c r="G94" s="21">
        <v>75</v>
      </c>
      <c r="H94" s="21">
        <v>68</v>
      </c>
      <c r="I94" s="5">
        <f t="shared" si="6"/>
        <v>7799</v>
      </c>
      <c r="J94" s="22">
        <f t="shared" si="5"/>
        <v>1.075</v>
      </c>
      <c r="K94" s="498"/>
      <c r="L94" s="498"/>
    </row>
    <row r="95" spans="2:12" ht="15.75" hidden="1">
      <c r="B95" s="21">
        <f t="shared" si="4"/>
        <v>91</v>
      </c>
      <c r="C95" s="21" t="s">
        <v>309</v>
      </c>
      <c r="D95" s="21" t="s">
        <v>413</v>
      </c>
      <c r="E95" s="21" t="s">
        <v>769</v>
      </c>
      <c r="F95" s="21"/>
      <c r="G95" s="21">
        <v>75</v>
      </c>
      <c r="H95" s="21">
        <v>40</v>
      </c>
      <c r="I95" s="5">
        <f t="shared" si="6"/>
        <v>7839</v>
      </c>
      <c r="J95" s="22">
        <f t="shared" si="5"/>
        <v>1.075</v>
      </c>
      <c r="K95" s="498"/>
      <c r="L95" s="498"/>
    </row>
    <row r="96" spans="2:12" ht="15.75" hidden="1">
      <c r="B96" s="21">
        <f t="shared" si="4"/>
        <v>92</v>
      </c>
      <c r="C96" s="21" t="s">
        <v>413</v>
      </c>
      <c r="D96" s="21" t="s">
        <v>302</v>
      </c>
      <c r="E96" s="21" t="s">
        <v>769</v>
      </c>
      <c r="F96" s="21"/>
      <c r="G96" s="21">
        <v>75</v>
      </c>
      <c r="H96" s="21">
        <v>62</v>
      </c>
      <c r="I96" s="5">
        <f t="shared" si="6"/>
        <v>7901</v>
      </c>
      <c r="J96" s="22">
        <f t="shared" si="5"/>
        <v>1.075</v>
      </c>
      <c r="K96" s="498"/>
      <c r="L96" s="498"/>
    </row>
    <row r="97" spans="2:12" ht="15.75">
      <c r="B97" s="21">
        <f t="shared" si="4"/>
        <v>93</v>
      </c>
      <c r="C97" s="21" t="s">
        <v>413</v>
      </c>
      <c r="D97" s="21" t="s">
        <v>347</v>
      </c>
      <c r="E97" s="21" t="s">
        <v>765</v>
      </c>
      <c r="F97" s="21">
        <v>0.37</v>
      </c>
      <c r="G97" s="21">
        <v>75</v>
      </c>
      <c r="H97" s="21">
        <v>25</v>
      </c>
      <c r="I97" s="5">
        <f t="shared" si="6"/>
        <v>7926</v>
      </c>
      <c r="J97" s="22">
        <f t="shared" si="5"/>
        <v>1.075</v>
      </c>
      <c r="K97" s="498"/>
      <c r="L97" s="498"/>
    </row>
    <row r="98" spans="2:12" ht="15.75" hidden="1">
      <c r="B98" s="21">
        <f t="shared" si="4"/>
        <v>94</v>
      </c>
      <c r="C98" s="21" t="s">
        <v>413</v>
      </c>
      <c r="D98" s="21" t="s">
        <v>347</v>
      </c>
      <c r="E98" s="21" t="s">
        <v>769</v>
      </c>
      <c r="F98" s="21"/>
      <c r="G98" s="21">
        <v>75</v>
      </c>
      <c r="H98" s="21">
        <f>85-25</f>
        <v>60</v>
      </c>
      <c r="I98" s="5">
        <f t="shared" si="6"/>
        <v>7986</v>
      </c>
      <c r="J98" s="22">
        <f t="shared" si="5"/>
        <v>1.075</v>
      </c>
      <c r="K98" s="498"/>
      <c r="L98" s="498"/>
    </row>
    <row r="99" spans="2:12" ht="15.75" hidden="1">
      <c r="B99" s="21">
        <f t="shared" si="4"/>
        <v>95</v>
      </c>
      <c r="C99" s="21" t="s">
        <v>446</v>
      </c>
      <c r="D99" s="21" t="s">
        <v>308</v>
      </c>
      <c r="E99" s="21" t="s">
        <v>769</v>
      </c>
      <c r="F99" s="21"/>
      <c r="G99" s="21">
        <v>75</v>
      </c>
      <c r="H99" s="21">
        <v>32</v>
      </c>
      <c r="I99" s="5">
        <f t="shared" si="6"/>
        <v>8018</v>
      </c>
      <c r="J99" s="22">
        <f t="shared" si="5"/>
        <v>1.075</v>
      </c>
      <c r="K99" s="498"/>
      <c r="L99" s="498"/>
    </row>
    <row r="100" spans="2:12" ht="15.75" hidden="1">
      <c r="B100" s="21">
        <f t="shared" si="4"/>
        <v>96</v>
      </c>
      <c r="C100" s="21">
        <v>137</v>
      </c>
      <c r="D100" s="21">
        <v>100</v>
      </c>
      <c r="E100" s="21" t="s">
        <v>769</v>
      </c>
      <c r="F100" s="21"/>
      <c r="G100" s="21">
        <v>75</v>
      </c>
      <c r="H100" s="21">
        <v>72</v>
      </c>
      <c r="I100" s="5">
        <f t="shared" si="6"/>
        <v>8090</v>
      </c>
      <c r="J100" s="22">
        <f t="shared" si="5"/>
        <v>1.075</v>
      </c>
      <c r="K100" s="498"/>
      <c r="L100" s="498"/>
    </row>
    <row r="101" spans="2:12" ht="15.75" hidden="1">
      <c r="B101" s="21">
        <f t="shared" si="4"/>
        <v>97</v>
      </c>
      <c r="C101" s="21">
        <v>100</v>
      </c>
      <c r="D101" s="21">
        <v>102</v>
      </c>
      <c r="E101" s="21" t="s">
        <v>769</v>
      </c>
      <c r="F101" s="21"/>
      <c r="G101" s="21">
        <v>75</v>
      </c>
      <c r="H101" s="21">
        <v>29</v>
      </c>
      <c r="I101" s="5">
        <f t="shared" si="6"/>
        <v>8119</v>
      </c>
      <c r="J101" s="22">
        <f t="shared" si="5"/>
        <v>1.075</v>
      </c>
      <c r="K101" s="498"/>
      <c r="L101" s="498"/>
    </row>
    <row r="102" spans="2:12" ht="15.75" hidden="1">
      <c r="B102" s="21">
        <f t="shared" si="4"/>
        <v>98</v>
      </c>
      <c r="C102" s="21">
        <v>100</v>
      </c>
      <c r="D102" s="21">
        <v>175</v>
      </c>
      <c r="E102" s="21" t="s">
        <v>769</v>
      </c>
      <c r="F102" s="21"/>
      <c r="G102" s="21">
        <v>75</v>
      </c>
      <c r="H102" s="21">
        <v>41</v>
      </c>
      <c r="I102" s="5">
        <f t="shared" si="6"/>
        <v>8160</v>
      </c>
      <c r="J102" s="22">
        <f t="shared" si="5"/>
        <v>1.075</v>
      </c>
      <c r="K102" s="498"/>
      <c r="L102" s="498"/>
    </row>
    <row r="103" spans="2:12" ht="15.75" hidden="1">
      <c r="B103" s="21">
        <f t="shared" si="4"/>
        <v>99</v>
      </c>
      <c r="C103" s="21">
        <v>67</v>
      </c>
      <c r="D103" s="21">
        <v>137</v>
      </c>
      <c r="E103" s="21" t="s">
        <v>769</v>
      </c>
      <c r="F103" s="21"/>
      <c r="G103" s="21">
        <v>75</v>
      </c>
      <c r="H103" s="21">
        <v>120</v>
      </c>
      <c r="I103" s="5">
        <f t="shared" si="6"/>
        <v>8280</v>
      </c>
      <c r="J103" s="22">
        <f t="shared" si="5"/>
        <v>1.075</v>
      </c>
      <c r="K103" s="498"/>
      <c r="L103" s="498"/>
    </row>
    <row r="104" spans="2:12" ht="15.75" hidden="1">
      <c r="B104" s="21">
        <f t="shared" si="4"/>
        <v>100</v>
      </c>
      <c r="C104" s="21">
        <v>38</v>
      </c>
      <c r="D104" s="21">
        <v>202</v>
      </c>
      <c r="E104" s="21" t="s">
        <v>769</v>
      </c>
      <c r="F104" s="21"/>
      <c r="G104" s="21">
        <v>75</v>
      </c>
      <c r="H104" s="21">
        <v>45</v>
      </c>
      <c r="I104" s="5">
        <f t="shared" si="6"/>
        <v>8325</v>
      </c>
      <c r="J104" s="22">
        <f t="shared" si="5"/>
        <v>1.075</v>
      </c>
      <c r="K104" s="498"/>
      <c r="L104" s="498"/>
    </row>
    <row r="105" spans="2:12" ht="15.75" hidden="1">
      <c r="B105" s="21">
        <f t="shared" si="4"/>
        <v>101</v>
      </c>
      <c r="C105" s="21">
        <v>144</v>
      </c>
      <c r="D105" s="21">
        <v>54</v>
      </c>
      <c r="E105" s="21" t="s">
        <v>769</v>
      </c>
      <c r="F105" s="21"/>
      <c r="G105" s="21">
        <v>75</v>
      </c>
      <c r="H105" s="21">
        <v>106</v>
      </c>
      <c r="I105" s="5">
        <f t="shared" si="6"/>
        <v>8431</v>
      </c>
      <c r="J105" s="22">
        <f t="shared" si="5"/>
        <v>1.075</v>
      </c>
      <c r="K105" s="498"/>
      <c r="L105" s="498"/>
    </row>
    <row r="106" spans="2:12" ht="15.75">
      <c r="B106" s="21">
        <f t="shared" si="4"/>
        <v>102</v>
      </c>
      <c r="C106" s="21">
        <v>185</v>
      </c>
      <c r="D106" s="21">
        <v>103</v>
      </c>
      <c r="E106" s="21" t="s">
        <v>765</v>
      </c>
      <c r="F106" s="21">
        <v>0.37</v>
      </c>
      <c r="G106" s="21">
        <v>75</v>
      </c>
      <c r="H106" s="21">
        <v>86</v>
      </c>
      <c r="I106" s="5">
        <f t="shared" si="6"/>
        <v>8517</v>
      </c>
      <c r="J106" s="22">
        <f t="shared" si="5"/>
        <v>1.075</v>
      </c>
      <c r="K106" s="498"/>
      <c r="L106" s="498"/>
    </row>
    <row r="107" spans="2:12" ht="15.75" hidden="1">
      <c r="B107" s="21">
        <f t="shared" si="4"/>
        <v>103</v>
      </c>
      <c r="C107" s="21">
        <v>103</v>
      </c>
      <c r="D107" s="21">
        <v>140</v>
      </c>
      <c r="E107" s="21" t="s">
        <v>45</v>
      </c>
      <c r="F107" s="21">
        <v>0.37</v>
      </c>
      <c r="G107" s="21">
        <v>75</v>
      </c>
      <c r="H107" s="21">
        <v>39</v>
      </c>
      <c r="I107" s="5">
        <f t="shared" si="6"/>
        <v>8556</v>
      </c>
      <c r="J107" s="22">
        <f t="shared" si="5"/>
        <v>1.075</v>
      </c>
      <c r="K107" s="498"/>
      <c r="L107" s="498"/>
    </row>
    <row r="108" spans="2:12" ht="15.75" hidden="1">
      <c r="B108" s="21">
        <f t="shared" si="4"/>
        <v>104</v>
      </c>
      <c r="C108" s="21">
        <v>140</v>
      </c>
      <c r="D108" s="21">
        <v>118</v>
      </c>
      <c r="E108" s="21" t="s">
        <v>769</v>
      </c>
      <c r="F108" s="21"/>
      <c r="G108" s="21">
        <v>75</v>
      </c>
      <c r="H108" s="21">
        <v>54</v>
      </c>
      <c r="I108" s="5">
        <f t="shared" si="6"/>
        <v>8610</v>
      </c>
      <c r="J108" s="22">
        <f t="shared" si="5"/>
        <v>1.075</v>
      </c>
      <c r="K108" s="498"/>
      <c r="L108" s="498"/>
    </row>
    <row r="109" spans="2:12" ht="15.75" hidden="1">
      <c r="B109" s="21">
        <f t="shared" si="4"/>
        <v>105</v>
      </c>
      <c r="C109" s="21">
        <v>103</v>
      </c>
      <c r="D109" s="21">
        <v>110</v>
      </c>
      <c r="E109" s="21" t="s">
        <v>769</v>
      </c>
      <c r="F109" s="21"/>
      <c r="G109" s="21">
        <v>75</v>
      </c>
      <c r="H109" s="21">
        <v>75</v>
      </c>
      <c r="I109" s="5">
        <f t="shared" si="6"/>
        <v>8685</v>
      </c>
      <c r="J109" s="22">
        <f t="shared" si="5"/>
        <v>1.075</v>
      </c>
      <c r="K109" s="498"/>
      <c r="L109" s="498"/>
    </row>
    <row r="110" spans="2:12" ht="15.75" hidden="1">
      <c r="B110" s="21">
        <f t="shared" si="4"/>
        <v>106</v>
      </c>
      <c r="C110" s="21">
        <v>217</v>
      </c>
      <c r="D110" s="23" t="s">
        <v>806</v>
      </c>
      <c r="E110" s="21" t="s">
        <v>769</v>
      </c>
      <c r="F110" s="21"/>
      <c r="G110" s="21">
        <v>75</v>
      </c>
      <c r="H110" s="21">
        <v>48</v>
      </c>
      <c r="I110" s="5">
        <f t="shared" si="6"/>
        <v>8733</v>
      </c>
      <c r="J110" s="22">
        <f t="shared" si="5"/>
        <v>1.075</v>
      </c>
      <c r="K110" s="498"/>
      <c r="L110" s="498"/>
    </row>
    <row r="111" spans="2:12" ht="15.75" hidden="1">
      <c r="B111" s="21">
        <f t="shared" si="4"/>
        <v>107</v>
      </c>
      <c r="C111" s="21">
        <v>117</v>
      </c>
      <c r="D111" s="21">
        <v>65</v>
      </c>
      <c r="E111" s="21" t="s">
        <v>769</v>
      </c>
      <c r="F111" s="21"/>
      <c r="G111" s="21">
        <v>75</v>
      </c>
      <c r="H111" s="21">
        <f>129-H112</f>
        <v>79</v>
      </c>
      <c r="I111" s="5">
        <f t="shared" si="6"/>
        <v>8812</v>
      </c>
      <c r="J111" s="22">
        <f t="shared" si="5"/>
        <v>1.075</v>
      </c>
      <c r="K111" s="498"/>
      <c r="L111" s="498"/>
    </row>
    <row r="112" spans="2:12" ht="15.75" hidden="1">
      <c r="B112" s="21">
        <f t="shared" si="4"/>
        <v>108</v>
      </c>
      <c r="C112" s="21">
        <v>117</v>
      </c>
      <c r="D112" s="21">
        <v>65</v>
      </c>
      <c r="E112" s="21" t="s">
        <v>764</v>
      </c>
      <c r="F112" s="21">
        <v>0.37</v>
      </c>
      <c r="G112" s="21">
        <v>75</v>
      </c>
      <c r="H112" s="21">
        <v>50</v>
      </c>
      <c r="I112" s="5">
        <f t="shared" si="6"/>
        <v>8862</v>
      </c>
      <c r="J112" s="22">
        <f t="shared" si="5"/>
        <v>1.075</v>
      </c>
      <c r="K112" s="498"/>
      <c r="L112" s="498"/>
    </row>
    <row r="113" spans="2:16" ht="15.75" hidden="1">
      <c r="B113" s="21">
        <f t="shared" si="4"/>
        <v>109</v>
      </c>
      <c r="C113" s="21">
        <v>20</v>
      </c>
      <c r="D113" s="21">
        <v>18</v>
      </c>
      <c r="E113" s="21" t="s">
        <v>769</v>
      </c>
      <c r="F113" s="21"/>
      <c r="G113" s="21">
        <v>90</v>
      </c>
      <c r="H113" s="21">
        <v>179</v>
      </c>
      <c r="I113" s="5">
        <f t="shared" si="6"/>
        <v>9041</v>
      </c>
      <c r="J113" s="22">
        <f t="shared" si="5"/>
        <v>1.0900000000000001</v>
      </c>
      <c r="K113" s="498"/>
      <c r="L113" s="498"/>
    </row>
    <row r="114" spans="2:16" ht="15.75" hidden="1">
      <c r="B114" s="21">
        <f t="shared" si="4"/>
        <v>110</v>
      </c>
      <c r="C114" s="21">
        <v>18</v>
      </c>
      <c r="D114" s="21">
        <v>139</v>
      </c>
      <c r="E114" s="21" t="s">
        <v>769</v>
      </c>
      <c r="F114" s="21"/>
      <c r="G114" s="21">
        <v>90</v>
      </c>
      <c r="H114" s="21">
        <v>23</v>
      </c>
      <c r="I114" s="5">
        <f t="shared" si="6"/>
        <v>9064</v>
      </c>
      <c r="J114" s="22">
        <f t="shared" si="5"/>
        <v>1.0900000000000001</v>
      </c>
      <c r="K114" s="498"/>
      <c r="L114" s="498"/>
    </row>
    <row r="115" spans="2:16" ht="15.75" hidden="1">
      <c r="B115" s="21">
        <f t="shared" si="4"/>
        <v>111</v>
      </c>
      <c r="C115" s="21">
        <v>113</v>
      </c>
      <c r="D115" s="21">
        <v>65</v>
      </c>
      <c r="E115" s="21" t="s">
        <v>769</v>
      </c>
      <c r="F115" s="21"/>
      <c r="G115" s="21">
        <v>90</v>
      </c>
      <c r="H115" s="21">
        <v>88</v>
      </c>
      <c r="I115" s="5">
        <f t="shared" si="6"/>
        <v>9152</v>
      </c>
      <c r="J115" s="22">
        <f t="shared" si="5"/>
        <v>1.0900000000000001</v>
      </c>
      <c r="K115" s="498"/>
      <c r="L115" s="498"/>
    </row>
    <row r="116" spans="2:16" ht="15.75" hidden="1">
      <c r="B116" s="21">
        <f t="shared" si="4"/>
        <v>112</v>
      </c>
      <c r="C116" s="21">
        <v>65</v>
      </c>
      <c r="D116" s="21">
        <v>27</v>
      </c>
      <c r="E116" s="21" t="s">
        <v>769</v>
      </c>
      <c r="F116" s="21"/>
      <c r="G116" s="21">
        <v>90</v>
      </c>
      <c r="H116" s="21">
        <v>121</v>
      </c>
      <c r="I116" s="5">
        <f t="shared" si="6"/>
        <v>9273</v>
      </c>
      <c r="J116" s="22">
        <f t="shared" si="5"/>
        <v>1.0900000000000001</v>
      </c>
      <c r="K116" s="498"/>
      <c r="L116" s="498"/>
    </row>
    <row r="117" spans="2:16" ht="15.75" hidden="1">
      <c r="B117" s="21">
        <f t="shared" si="4"/>
        <v>113</v>
      </c>
      <c r="C117" s="21">
        <v>20</v>
      </c>
      <c r="D117" s="21">
        <v>40</v>
      </c>
      <c r="E117" s="21" t="s">
        <v>769</v>
      </c>
      <c r="F117" s="21"/>
      <c r="G117" s="21">
        <v>90</v>
      </c>
      <c r="H117" s="21">
        <v>314</v>
      </c>
      <c r="I117" s="5">
        <f t="shared" si="6"/>
        <v>9587</v>
      </c>
      <c r="J117" s="22">
        <f t="shared" si="5"/>
        <v>1.0900000000000001</v>
      </c>
      <c r="K117" s="498"/>
      <c r="L117" s="498"/>
    </row>
    <row r="118" spans="2:16" ht="15.75" hidden="1">
      <c r="B118" s="21">
        <f t="shared" si="4"/>
        <v>114</v>
      </c>
      <c r="C118" s="21">
        <v>40</v>
      </c>
      <c r="D118" s="21">
        <v>144</v>
      </c>
      <c r="E118" s="21" t="s">
        <v>769</v>
      </c>
      <c r="F118" s="21"/>
      <c r="G118" s="21">
        <v>90</v>
      </c>
      <c r="H118" s="21">
        <v>59</v>
      </c>
      <c r="I118" s="5">
        <f t="shared" si="6"/>
        <v>9646</v>
      </c>
      <c r="J118" s="22">
        <f t="shared" si="5"/>
        <v>1.0900000000000001</v>
      </c>
      <c r="K118" s="498"/>
      <c r="L118" s="498"/>
    </row>
    <row r="119" spans="2:16" ht="15.75" hidden="1">
      <c r="B119" s="21">
        <f t="shared" si="4"/>
        <v>115</v>
      </c>
      <c r="C119" s="21">
        <v>18</v>
      </c>
      <c r="D119" s="21" t="s">
        <v>807</v>
      </c>
      <c r="E119" s="21" t="s">
        <v>769</v>
      </c>
      <c r="F119" s="21"/>
      <c r="G119" s="21">
        <v>90</v>
      </c>
      <c r="H119" s="21">
        <f>260-H120</f>
        <v>115</v>
      </c>
      <c r="I119" s="5">
        <f t="shared" si="6"/>
        <v>9761</v>
      </c>
      <c r="J119" s="22">
        <f t="shared" si="5"/>
        <v>1.0900000000000001</v>
      </c>
      <c r="K119" s="498"/>
      <c r="L119" s="498"/>
    </row>
    <row r="120" spans="2:16" ht="15.75" hidden="1">
      <c r="B120" s="21">
        <f t="shared" si="4"/>
        <v>116</v>
      </c>
      <c r="C120" s="21">
        <v>18</v>
      </c>
      <c r="D120" s="21" t="s">
        <v>807</v>
      </c>
      <c r="E120" s="21" t="s">
        <v>45</v>
      </c>
      <c r="F120" s="21">
        <v>0.39</v>
      </c>
      <c r="G120" s="21">
        <v>90</v>
      </c>
      <c r="H120" s="21">
        <v>145</v>
      </c>
      <c r="I120" s="5">
        <f t="shared" si="6"/>
        <v>9906</v>
      </c>
      <c r="J120" s="22">
        <f t="shared" si="5"/>
        <v>1.0900000000000001</v>
      </c>
      <c r="K120" s="498"/>
      <c r="L120" s="498"/>
    </row>
    <row r="121" spans="2:16" ht="15.75" hidden="1">
      <c r="B121" s="21">
        <f t="shared" si="4"/>
        <v>117</v>
      </c>
      <c r="C121" s="21" t="s">
        <v>625</v>
      </c>
      <c r="D121" s="21" t="s">
        <v>398</v>
      </c>
      <c r="E121" s="21" t="s">
        <v>45</v>
      </c>
      <c r="F121" s="21">
        <v>0.39</v>
      </c>
      <c r="G121" s="21">
        <v>90</v>
      </c>
      <c r="H121" s="21">
        <v>155</v>
      </c>
      <c r="I121" s="5">
        <f t="shared" si="6"/>
        <v>10061</v>
      </c>
      <c r="J121" s="22">
        <f t="shared" si="5"/>
        <v>1.0900000000000001</v>
      </c>
      <c r="K121" s="498"/>
      <c r="L121" s="498"/>
    </row>
    <row r="122" spans="2:16" ht="15.75" hidden="1">
      <c r="B122" s="21">
        <f t="shared" si="4"/>
        <v>118</v>
      </c>
      <c r="C122" s="21" t="s">
        <v>625</v>
      </c>
      <c r="D122" s="21" t="s">
        <v>398</v>
      </c>
      <c r="E122" s="21" t="s">
        <v>763</v>
      </c>
      <c r="F122" s="21">
        <v>0.39</v>
      </c>
      <c r="G122" s="21">
        <v>90</v>
      </c>
      <c r="H122" s="21">
        <v>11</v>
      </c>
      <c r="I122" s="5">
        <f t="shared" si="6"/>
        <v>10072</v>
      </c>
      <c r="J122" s="22">
        <f t="shared" si="5"/>
        <v>1.0900000000000001</v>
      </c>
      <c r="K122" s="498"/>
      <c r="L122" s="498"/>
    </row>
    <row r="123" spans="2:16" ht="15.75" hidden="1">
      <c r="B123" s="21">
        <f t="shared" si="4"/>
        <v>119</v>
      </c>
      <c r="C123" s="21" t="s">
        <v>276</v>
      </c>
      <c r="D123" s="21" t="s">
        <v>249</v>
      </c>
      <c r="E123" s="21" t="s">
        <v>45</v>
      </c>
      <c r="F123" s="21">
        <v>0.39</v>
      </c>
      <c r="G123" s="21">
        <v>90</v>
      </c>
      <c r="H123" s="21">
        <v>88</v>
      </c>
      <c r="I123" s="5">
        <f t="shared" si="6"/>
        <v>10160</v>
      </c>
      <c r="J123" s="22">
        <f t="shared" si="5"/>
        <v>1.0900000000000001</v>
      </c>
      <c r="K123" s="498"/>
      <c r="L123" s="498"/>
      <c r="P123">
        <f>124-72</f>
        <v>52</v>
      </c>
    </row>
    <row r="124" spans="2:16" ht="15.75" hidden="1">
      <c r="B124" s="21">
        <f t="shared" ref="B124:B136" si="7">1+B123</f>
        <v>120</v>
      </c>
      <c r="C124" s="21" t="s">
        <v>276</v>
      </c>
      <c r="D124" s="21" t="s">
        <v>249</v>
      </c>
      <c r="E124" s="21" t="s">
        <v>769</v>
      </c>
      <c r="F124" s="21"/>
      <c r="G124" s="21">
        <v>90</v>
      </c>
      <c r="H124" s="21">
        <f>138-H123</f>
        <v>50</v>
      </c>
      <c r="I124" s="5">
        <f t="shared" si="6"/>
        <v>10210</v>
      </c>
      <c r="J124" s="22">
        <f t="shared" si="5"/>
        <v>1.0900000000000001</v>
      </c>
      <c r="K124" s="498"/>
      <c r="L124" s="498"/>
    </row>
    <row r="125" spans="2:16" ht="15.75" hidden="1">
      <c r="B125" s="21">
        <f t="shared" si="7"/>
        <v>121</v>
      </c>
      <c r="C125" s="21" t="s">
        <v>306</v>
      </c>
      <c r="D125" s="21" t="s">
        <v>402</v>
      </c>
      <c r="E125" s="21" t="s">
        <v>764</v>
      </c>
      <c r="F125" s="21">
        <v>0.39</v>
      </c>
      <c r="G125" s="21">
        <v>90</v>
      </c>
      <c r="H125" s="21">
        <v>20</v>
      </c>
      <c r="I125" s="5">
        <f t="shared" si="6"/>
        <v>10230</v>
      </c>
      <c r="J125" s="22">
        <f t="shared" si="5"/>
        <v>1.0900000000000001</v>
      </c>
      <c r="K125" s="498"/>
      <c r="L125" s="498"/>
    </row>
    <row r="126" spans="2:16" ht="15.75" hidden="1">
      <c r="B126" s="21">
        <f t="shared" si="7"/>
        <v>122</v>
      </c>
      <c r="C126" s="21" t="s">
        <v>306</v>
      </c>
      <c r="D126" s="21" t="s">
        <v>402</v>
      </c>
      <c r="E126" s="21" t="s">
        <v>769</v>
      </c>
      <c r="F126" s="21"/>
      <c r="G126" s="21">
        <v>90</v>
      </c>
      <c r="H126" s="21">
        <f>78-20</f>
        <v>58</v>
      </c>
      <c r="I126" s="5">
        <f t="shared" si="6"/>
        <v>10288</v>
      </c>
      <c r="J126" s="22">
        <f t="shared" si="5"/>
        <v>1.0900000000000001</v>
      </c>
      <c r="K126" s="498"/>
      <c r="L126" s="498"/>
    </row>
    <row r="127" spans="2:16" ht="18.75" hidden="1">
      <c r="B127" s="21">
        <f t="shared" si="7"/>
        <v>123</v>
      </c>
      <c r="C127" s="19" t="s">
        <v>375</v>
      </c>
      <c r="D127" s="19" t="s">
        <v>418</v>
      </c>
      <c r="E127" s="19" t="s">
        <v>769</v>
      </c>
      <c r="F127" s="20"/>
      <c r="G127" s="19">
        <v>90</v>
      </c>
      <c r="H127" s="19">
        <v>94</v>
      </c>
      <c r="I127" s="5">
        <f t="shared" si="6"/>
        <v>10382</v>
      </c>
      <c r="J127" s="22">
        <f t="shared" ref="J127:J136" si="8">(1000+G127)/1000</f>
        <v>1.0900000000000001</v>
      </c>
      <c r="K127" s="498"/>
      <c r="L127" s="498"/>
    </row>
    <row r="128" spans="2:16" ht="18.75" hidden="1">
      <c r="B128" s="21">
        <f t="shared" si="7"/>
        <v>124</v>
      </c>
      <c r="C128" s="19" t="s">
        <v>418</v>
      </c>
      <c r="D128" s="19" t="s">
        <v>363</v>
      </c>
      <c r="E128" s="19" t="s">
        <v>769</v>
      </c>
      <c r="F128" s="20"/>
      <c r="G128" s="19">
        <v>90</v>
      </c>
      <c r="H128" s="19">
        <v>48</v>
      </c>
      <c r="I128" s="5">
        <f t="shared" si="6"/>
        <v>10430</v>
      </c>
      <c r="J128" s="22">
        <f t="shared" si="8"/>
        <v>1.0900000000000001</v>
      </c>
      <c r="K128" s="498"/>
      <c r="L128" s="498"/>
    </row>
    <row r="129" spans="2:12" ht="18.75" hidden="1">
      <c r="B129" s="21">
        <f t="shared" si="7"/>
        <v>125</v>
      </c>
      <c r="C129" s="19" t="s">
        <v>363</v>
      </c>
      <c r="D129" s="19" t="s">
        <v>364</v>
      </c>
      <c r="E129" s="19" t="s">
        <v>769</v>
      </c>
      <c r="F129" s="20"/>
      <c r="G129" s="19">
        <v>90</v>
      </c>
      <c r="H129" s="19">
        <f>168-H130</f>
        <v>163</v>
      </c>
      <c r="I129" s="5">
        <f t="shared" si="6"/>
        <v>10593</v>
      </c>
      <c r="J129" s="22">
        <f t="shared" si="8"/>
        <v>1.0900000000000001</v>
      </c>
      <c r="K129" s="498"/>
      <c r="L129" s="498"/>
    </row>
    <row r="130" spans="2:12" ht="15.75" hidden="1">
      <c r="B130" s="21">
        <f t="shared" si="7"/>
        <v>126</v>
      </c>
      <c r="C130" s="19" t="s">
        <v>363</v>
      </c>
      <c r="D130" s="19" t="s">
        <v>364</v>
      </c>
      <c r="E130" s="19" t="s">
        <v>764</v>
      </c>
      <c r="F130" s="19">
        <v>0.39</v>
      </c>
      <c r="G130" s="19">
        <v>90</v>
      </c>
      <c r="H130" s="19">
        <v>5</v>
      </c>
      <c r="I130" s="5">
        <f t="shared" si="6"/>
        <v>10598</v>
      </c>
      <c r="J130" s="22">
        <f t="shared" si="8"/>
        <v>1.0900000000000001</v>
      </c>
      <c r="K130" s="498"/>
      <c r="L130" s="498"/>
    </row>
    <row r="131" spans="2:12" ht="18.75" hidden="1">
      <c r="B131" s="21">
        <f t="shared" si="7"/>
        <v>127</v>
      </c>
      <c r="C131" s="19" t="s">
        <v>364</v>
      </c>
      <c r="D131" s="19" t="s">
        <v>277</v>
      </c>
      <c r="E131" s="19" t="s">
        <v>769</v>
      </c>
      <c r="F131" s="20"/>
      <c r="G131" s="19">
        <v>90</v>
      </c>
      <c r="H131" s="19">
        <v>7</v>
      </c>
      <c r="I131" s="5">
        <f t="shared" si="6"/>
        <v>10605</v>
      </c>
      <c r="J131" s="22">
        <f t="shared" si="8"/>
        <v>1.0900000000000001</v>
      </c>
      <c r="K131" s="498"/>
      <c r="L131" s="498"/>
    </row>
    <row r="132" spans="2:12" ht="15.75" hidden="1">
      <c r="B132" s="21">
        <f t="shared" si="7"/>
        <v>128</v>
      </c>
      <c r="C132" s="19" t="s">
        <v>277</v>
      </c>
      <c r="D132" s="19" t="s">
        <v>268</v>
      </c>
      <c r="E132" s="19" t="s">
        <v>763</v>
      </c>
      <c r="F132" s="19">
        <v>0.39</v>
      </c>
      <c r="G132" s="19">
        <v>90</v>
      </c>
      <c r="H132" s="19">
        <v>7</v>
      </c>
      <c r="I132" s="5">
        <f t="shared" si="6"/>
        <v>10612</v>
      </c>
      <c r="J132" s="22">
        <f t="shared" si="8"/>
        <v>1.0900000000000001</v>
      </c>
      <c r="K132" s="498"/>
      <c r="L132" s="498"/>
    </row>
    <row r="133" spans="2:12" ht="18.75" hidden="1">
      <c r="B133" s="21">
        <f t="shared" si="7"/>
        <v>129</v>
      </c>
      <c r="C133" s="19" t="s">
        <v>277</v>
      </c>
      <c r="D133" s="19" t="s">
        <v>355</v>
      </c>
      <c r="E133" s="19" t="s">
        <v>769</v>
      </c>
      <c r="F133" s="20"/>
      <c r="G133" s="19">
        <v>90</v>
      </c>
      <c r="H133" s="19">
        <v>107</v>
      </c>
      <c r="I133" s="5">
        <f t="shared" si="6"/>
        <v>10719</v>
      </c>
      <c r="J133" s="22">
        <f t="shared" si="8"/>
        <v>1.0900000000000001</v>
      </c>
      <c r="K133" s="498"/>
      <c r="L133" s="498"/>
    </row>
    <row r="134" spans="2:12" ht="18.75" hidden="1">
      <c r="B134" s="21">
        <f t="shared" si="7"/>
        <v>130</v>
      </c>
      <c r="C134" s="19" t="s">
        <v>355</v>
      </c>
      <c r="D134" s="19" t="s">
        <v>250</v>
      </c>
      <c r="E134" s="19" t="s">
        <v>769</v>
      </c>
      <c r="F134" s="20"/>
      <c r="G134" s="19">
        <v>90</v>
      </c>
      <c r="H134" s="19">
        <v>402</v>
      </c>
      <c r="I134" s="5">
        <f t="shared" si="6"/>
        <v>11121</v>
      </c>
      <c r="J134" s="22">
        <f t="shared" si="8"/>
        <v>1.0900000000000001</v>
      </c>
      <c r="K134" s="498"/>
      <c r="L134" s="498"/>
    </row>
    <row r="135" spans="2:12" ht="15.75">
      <c r="B135" s="21">
        <f t="shared" si="7"/>
        <v>131</v>
      </c>
      <c r="C135" s="19" t="s">
        <v>258</v>
      </c>
      <c r="D135" s="19" t="s">
        <v>269</v>
      </c>
      <c r="E135" s="19" t="s">
        <v>765</v>
      </c>
      <c r="F135" s="19">
        <v>0.46</v>
      </c>
      <c r="G135" s="19">
        <v>90</v>
      </c>
      <c r="H135" s="19">
        <v>50</v>
      </c>
      <c r="I135" s="5">
        <f t="shared" ref="I135:I136" si="9">+I134+H135</f>
        <v>11171</v>
      </c>
      <c r="J135" s="22">
        <f t="shared" si="8"/>
        <v>1.0900000000000001</v>
      </c>
      <c r="K135" s="498"/>
      <c r="L135" s="498"/>
    </row>
    <row r="136" spans="2:12" ht="15.75">
      <c r="B136" s="21">
        <f t="shared" si="7"/>
        <v>132</v>
      </c>
      <c r="C136" s="19" t="s">
        <v>251</v>
      </c>
      <c r="D136" s="19" t="s">
        <v>225</v>
      </c>
      <c r="E136" s="19" t="s">
        <v>765</v>
      </c>
      <c r="F136" s="19">
        <v>0.46</v>
      </c>
      <c r="G136" s="19">
        <v>90</v>
      </c>
      <c r="H136" s="19">
        <v>167</v>
      </c>
      <c r="I136" s="5">
        <f t="shared" si="9"/>
        <v>11338</v>
      </c>
      <c r="J136" s="22">
        <f t="shared" si="8"/>
        <v>1.0900000000000001</v>
      </c>
      <c r="K136" s="498"/>
      <c r="L136" s="498"/>
    </row>
    <row r="137" spans="2:12" ht="15.75" hidden="1">
      <c r="B137" s="8"/>
      <c r="C137" s="8"/>
      <c r="D137" s="8"/>
      <c r="E137" s="8">
        <v>63</v>
      </c>
      <c r="F137" s="19">
        <v>75</v>
      </c>
      <c r="G137" s="19">
        <v>90</v>
      </c>
      <c r="H137" s="8"/>
      <c r="I137" s="8"/>
      <c r="J137" s="8"/>
      <c r="K137" s="498"/>
      <c r="L137" s="498"/>
    </row>
    <row r="138" spans="2:12" hidden="1">
      <c r="B138" s="8"/>
      <c r="C138" s="8"/>
      <c r="D138" s="8"/>
      <c r="E138" s="5">
        <f>+SUMIF($G$5:$G$136,E137,$H$5:$H$136)</f>
        <v>5910</v>
      </c>
      <c r="F138" s="5">
        <f>+SUMIF($G$5:$G$136,F137,$H$5:$H$136)</f>
        <v>2952</v>
      </c>
      <c r="G138" s="5">
        <f>+SUMIF($G$5:$G$136,G137,$H$5:$H$136)</f>
        <v>2476</v>
      </c>
      <c r="H138" s="8">
        <f>+SUM(E138:G138)</f>
        <v>11338</v>
      </c>
      <c r="I138" s="8"/>
      <c r="J138" s="8"/>
      <c r="K138" s="498"/>
      <c r="L138" s="498"/>
    </row>
    <row r="139" spans="2:12" ht="15.75" hidden="1">
      <c r="B139" s="7" t="s">
        <v>365</v>
      </c>
      <c r="C139" s="8"/>
      <c r="D139" s="8"/>
      <c r="E139" s="8"/>
      <c r="F139" s="8" t="s">
        <v>366</v>
      </c>
      <c r="G139" s="8"/>
      <c r="H139" s="8"/>
      <c r="I139" s="498" t="s">
        <v>367</v>
      </c>
      <c r="J139" s="498"/>
      <c r="K139" s="498"/>
      <c r="L139" s="498"/>
    </row>
    <row r="140" spans="2:12" ht="15.75" hidden="1">
      <c r="B140" s="7" t="s">
        <v>368</v>
      </c>
      <c r="C140" s="8"/>
      <c r="D140" s="498"/>
      <c r="E140" s="498"/>
      <c r="F140" s="8" t="s">
        <v>368</v>
      </c>
      <c r="G140" s="498"/>
      <c r="H140" s="498"/>
      <c r="I140" s="8" t="s">
        <v>368</v>
      </c>
      <c r="J140" s="498"/>
      <c r="K140" s="498"/>
      <c r="L140" s="498"/>
    </row>
    <row r="141" spans="2:12" ht="15.75" hidden="1">
      <c r="B141" s="7" t="s">
        <v>369</v>
      </c>
      <c r="C141" s="498"/>
      <c r="D141" s="498"/>
      <c r="E141" s="498"/>
      <c r="F141" s="8" t="s">
        <v>369</v>
      </c>
      <c r="G141" s="498"/>
      <c r="H141" s="498"/>
      <c r="I141" s="8" t="s">
        <v>369</v>
      </c>
      <c r="J141" s="498"/>
      <c r="K141" s="498"/>
      <c r="L141" s="498"/>
    </row>
    <row r="142" spans="2:12" ht="15.75" hidden="1">
      <c r="B142" s="7" t="s">
        <v>370</v>
      </c>
      <c r="C142" s="8"/>
      <c r="D142" s="498"/>
      <c r="E142" s="498"/>
      <c r="F142" s="8" t="s">
        <v>370</v>
      </c>
      <c r="G142" s="498"/>
      <c r="H142" s="498"/>
      <c r="I142" s="8" t="s">
        <v>370</v>
      </c>
      <c r="J142" s="498"/>
      <c r="K142" s="498"/>
      <c r="L142" s="498"/>
    </row>
    <row r="146" spans="7:11">
      <c r="G146">
        <v>63</v>
      </c>
      <c r="H146">
        <v>75</v>
      </c>
      <c r="I146">
        <v>90</v>
      </c>
      <c r="J146">
        <v>110</v>
      </c>
      <c r="K146">
        <v>140</v>
      </c>
    </row>
    <row r="147" spans="7:11">
      <c r="G147">
        <v>5910</v>
      </c>
      <c r="H147">
        <v>2952</v>
      </c>
      <c r="I147">
        <v>2476</v>
      </c>
      <c r="J147">
        <v>994</v>
      </c>
      <c r="K147">
        <v>3402</v>
      </c>
    </row>
  </sheetData>
  <autoFilter ref="B4:P142">
    <filterColumn colId="3">
      <filters>
        <filter val="I.L road"/>
      </filters>
    </filterColumn>
    <filterColumn colId="9" showButton="0"/>
  </autoFilter>
  <mergeCells count="146">
    <mergeCell ref="B3:L3"/>
    <mergeCell ref="K4:L4"/>
    <mergeCell ref="K5:L5"/>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6:L116"/>
    <mergeCell ref="K117:L117"/>
    <mergeCell ref="K118:L118"/>
    <mergeCell ref="K119:L119"/>
    <mergeCell ref="K120:L120"/>
    <mergeCell ref="K121:L121"/>
    <mergeCell ref="K122:L122"/>
    <mergeCell ref="K123:L123"/>
    <mergeCell ref="K124:L124"/>
    <mergeCell ref="K125:L125"/>
    <mergeCell ref="K126:L126"/>
    <mergeCell ref="K127:L127"/>
    <mergeCell ref="K128:L128"/>
    <mergeCell ref="K129:L129"/>
    <mergeCell ref="K130:L130"/>
    <mergeCell ref="K131:L131"/>
    <mergeCell ref="K132:L132"/>
    <mergeCell ref="K133:L133"/>
    <mergeCell ref="K134:L134"/>
    <mergeCell ref="K135:L135"/>
    <mergeCell ref="K136:L136"/>
    <mergeCell ref="K137:L137"/>
    <mergeCell ref="K138:L138"/>
    <mergeCell ref="I139:L139"/>
    <mergeCell ref="D140:E140"/>
    <mergeCell ref="G140:H140"/>
    <mergeCell ref="J140:L140"/>
    <mergeCell ref="C141:E141"/>
    <mergeCell ref="G141:H141"/>
    <mergeCell ref="J141:L141"/>
    <mergeCell ref="D142:E142"/>
    <mergeCell ref="G142:H142"/>
    <mergeCell ref="J142:L14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AA136"/>
  <sheetViews>
    <sheetView topLeftCell="A103" zoomScale="55" zoomScaleNormal="55" zoomScaleSheetLayoutView="55" workbookViewId="0">
      <selection activeCell="D135" sqref="D135:H135"/>
    </sheetView>
  </sheetViews>
  <sheetFormatPr defaultColWidth="9" defaultRowHeight="15"/>
  <cols>
    <col min="1" max="1" width="16.140625" customWidth="1"/>
    <col min="2" max="2" width="14.28515625" customWidth="1"/>
    <col min="3" max="3" width="25.140625" customWidth="1"/>
    <col min="4" max="4" width="20" customWidth="1"/>
    <col min="5" max="6" width="17.42578125" customWidth="1"/>
    <col min="7" max="7" width="14.28515625" customWidth="1"/>
    <col min="8" max="8" width="9.140625" customWidth="1"/>
    <col min="9" max="10" width="12" customWidth="1"/>
    <col min="11" max="11" width="9.140625" customWidth="1"/>
    <col min="12" max="12" width="10.42578125" customWidth="1"/>
    <col min="13" max="13" width="21.5703125" customWidth="1"/>
    <col min="14" max="14" width="10.7109375" hidden="1" customWidth="1"/>
    <col min="15" max="15" width="17.85546875" hidden="1" customWidth="1"/>
    <col min="16" max="16" width="28.5703125" customWidth="1"/>
    <col min="17" max="17" width="27.28515625" customWidth="1"/>
    <col min="18" max="18" width="13.42578125" customWidth="1"/>
    <col min="19" max="19" width="9" hidden="1" customWidth="1"/>
    <col min="21" max="21" width="15.28515625" customWidth="1"/>
    <col min="22" max="22" width="9.85546875" customWidth="1"/>
    <col min="27" max="27" width="13.42578125" customWidth="1"/>
    <col min="29" max="29" width="13.42578125" customWidth="1"/>
  </cols>
  <sheetData>
    <row r="3" spans="1:27" ht="18.75">
      <c r="A3" s="148"/>
      <c r="B3" s="148"/>
      <c r="C3" s="637" t="s">
        <v>808</v>
      </c>
      <c r="D3" s="638"/>
      <c r="E3" s="638"/>
      <c r="F3" s="638"/>
      <c r="G3" s="638"/>
      <c r="H3" s="638"/>
      <c r="I3" s="638"/>
      <c r="J3" s="638"/>
      <c r="K3" s="638"/>
      <c r="L3" s="639"/>
      <c r="M3" s="637"/>
      <c r="N3" s="638"/>
      <c r="O3" s="639"/>
      <c r="P3" s="148"/>
      <c r="Q3" s="148"/>
      <c r="R3" s="148"/>
      <c r="S3" s="8"/>
    </row>
    <row r="4" spans="1:27" ht="45" customHeight="1">
      <c r="A4" s="25" t="s">
        <v>448</v>
      </c>
      <c r="B4" s="25" t="s">
        <v>743</v>
      </c>
      <c r="C4" s="25" t="s">
        <v>180</v>
      </c>
      <c r="D4" s="25" t="s">
        <v>13</v>
      </c>
      <c r="E4" s="25" t="s">
        <v>181</v>
      </c>
      <c r="F4" s="27" t="s">
        <v>449</v>
      </c>
      <c r="G4" s="25" t="s">
        <v>744</v>
      </c>
      <c r="H4" s="640" t="s">
        <v>184</v>
      </c>
      <c r="I4" s="641"/>
      <c r="J4" s="641"/>
      <c r="K4" s="641"/>
      <c r="L4" s="642"/>
      <c r="M4" s="26" t="s">
        <v>745</v>
      </c>
      <c r="N4" s="25" t="s">
        <v>746</v>
      </c>
      <c r="O4" s="26" t="s">
        <v>747</v>
      </c>
      <c r="P4" s="26" t="s">
        <v>748</v>
      </c>
      <c r="Q4" s="192" t="s">
        <v>750</v>
      </c>
      <c r="R4" s="25" t="s">
        <v>809</v>
      </c>
      <c r="S4" s="18"/>
      <c r="U4" s="152" t="s">
        <v>757</v>
      </c>
      <c r="V4" s="152" t="s">
        <v>758</v>
      </c>
      <c r="W4" s="152" t="s">
        <v>751</v>
      </c>
      <c r="X4" s="152" t="s">
        <v>752</v>
      </c>
      <c r="Y4" s="152" t="s">
        <v>753</v>
      </c>
      <c r="Z4" s="152" t="s">
        <v>755</v>
      </c>
      <c r="AA4" s="152" t="s">
        <v>759</v>
      </c>
    </row>
    <row r="5" spans="1:27" ht="18.75">
      <c r="A5" s="148"/>
      <c r="B5" s="148"/>
      <c r="C5" s="148"/>
      <c r="D5" s="148"/>
      <c r="E5" s="148"/>
      <c r="F5" s="202"/>
      <c r="G5" s="148"/>
      <c r="H5" s="25" t="s">
        <v>758</v>
      </c>
      <c r="I5" s="25" t="s">
        <v>751</v>
      </c>
      <c r="J5" s="25" t="s">
        <v>752</v>
      </c>
      <c r="K5" s="25" t="s">
        <v>753</v>
      </c>
      <c r="L5" s="25" t="s">
        <v>755</v>
      </c>
      <c r="M5" s="148"/>
      <c r="N5" s="148"/>
      <c r="O5" s="148"/>
      <c r="P5" s="148"/>
      <c r="Q5" s="192"/>
      <c r="R5" s="148"/>
      <c r="S5" s="8"/>
      <c r="U5" s="153" t="s">
        <v>199</v>
      </c>
      <c r="V5" s="18">
        <f>+SUMIF($E$6:$E$116,$U5,H$6:H$116)</f>
        <v>296.5</v>
      </c>
      <c r="W5" s="18">
        <f>+SUMIF($E$6:$E$116,$U5,I$6:I$116)</f>
        <v>116.1</v>
      </c>
      <c r="X5" s="18">
        <f>+SUMIF($E$6:$E$116,$U5,J$6:J$116)</f>
        <v>278.60000000000002</v>
      </c>
      <c r="Y5" s="18">
        <f>+SUMIF($E$6:$E$116,$U5,K$6:K$116)</f>
        <v>196.8</v>
      </c>
      <c r="Z5" s="18">
        <f>+SUMIF($E$6:$E$116,$U5,L$6:L$116)</f>
        <v>220.4</v>
      </c>
      <c r="AA5" s="18">
        <f>SUM(V5:Z5)</f>
        <v>1108.4000000000001</v>
      </c>
    </row>
    <row r="6" spans="1:27" ht="18.75">
      <c r="A6" s="21">
        <v>1</v>
      </c>
      <c r="B6" s="21"/>
      <c r="C6" s="21" t="s">
        <v>358</v>
      </c>
      <c r="D6" s="21">
        <v>91</v>
      </c>
      <c r="E6" s="21" t="s">
        <v>769</v>
      </c>
      <c r="F6" s="21"/>
      <c r="G6" s="21" t="s">
        <v>810</v>
      </c>
      <c r="H6" s="21">
        <v>162</v>
      </c>
      <c r="I6" s="21"/>
      <c r="J6" s="21"/>
      <c r="K6" s="21"/>
      <c r="L6" s="21"/>
      <c r="M6" s="21">
        <f>+H6</f>
        <v>162</v>
      </c>
      <c r="N6" s="21" t="s">
        <v>766</v>
      </c>
      <c r="O6" s="21"/>
      <c r="P6" s="21" t="s">
        <v>761</v>
      </c>
      <c r="Q6" s="21"/>
      <c r="R6" s="153"/>
      <c r="S6" s="153"/>
      <c r="U6" s="21" t="s">
        <v>193</v>
      </c>
      <c r="V6" s="18">
        <f t="shared" ref="V6:V7" si="0">+SUMIF($E$6:$E$116,$U6,H$6:H$116)</f>
        <v>15.5</v>
      </c>
      <c r="W6" s="18">
        <f t="shared" ref="W6:Z7" si="1">+SUMIF($E$6:$E$116,$U6,I$6:I$116)</f>
        <v>3</v>
      </c>
      <c r="X6" s="18">
        <f t="shared" si="1"/>
        <v>4</v>
      </c>
      <c r="Y6" s="18">
        <f t="shared" si="1"/>
        <v>3.5</v>
      </c>
      <c r="Z6" s="18">
        <f t="shared" si="1"/>
        <v>3.5</v>
      </c>
      <c r="AA6" s="18">
        <f t="shared" ref="AA6:AA7" si="2">SUM(V6:Z6)</f>
        <v>29.5</v>
      </c>
    </row>
    <row r="7" spans="1:27" ht="18.75">
      <c r="A7" s="21">
        <f>1+A6</f>
        <v>2</v>
      </c>
      <c r="B7" s="21"/>
      <c r="C7" s="21" t="s">
        <v>361</v>
      </c>
      <c r="D7" s="21">
        <v>20</v>
      </c>
      <c r="E7" s="21" t="s">
        <v>769</v>
      </c>
      <c r="F7" s="21"/>
      <c r="G7" s="21" t="s">
        <v>810</v>
      </c>
      <c r="H7" s="21">
        <v>34</v>
      </c>
      <c r="I7" s="21"/>
      <c r="J7" s="21"/>
      <c r="K7" s="21"/>
      <c r="L7" s="21"/>
      <c r="M7" s="21">
        <f>+M6+H7+I7+J7+K7+L7</f>
        <v>196</v>
      </c>
      <c r="N7" s="21" t="s">
        <v>811</v>
      </c>
      <c r="O7" s="21"/>
      <c r="P7" s="21" t="s">
        <v>761</v>
      </c>
      <c r="Q7" s="21"/>
      <c r="R7" s="153"/>
      <c r="S7" s="153"/>
      <c r="U7" s="92" t="s">
        <v>301</v>
      </c>
      <c r="V7" s="18">
        <f t="shared" si="0"/>
        <v>119</v>
      </c>
      <c r="W7" s="18">
        <f t="shared" si="1"/>
        <v>0</v>
      </c>
      <c r="X7" s="18">
        <f t="shared" si="1"/>
        <v>0</v>
      </c>
      <c r="Y7" s="18">
        <f t="shared" si="1"/>
        <v>0</v>
      </c>
      <c r="Z7" s="18">
        <f t="shared" si="1"/>
        <v>0</v>
      </c>
      <c r="AA7" s="18">
        <f t="shared" si="2"/>
        <v>119</v>
      </c>
    </row>
    <row r="8" spans="1:27" ht="18.75">
      <c r="A8" s="21">
        <f t="shared" ref="A8:A72" si="3">1+A7</f>
        <v>3</v>
      </c>
      <c r="B8" s="21"/>
      <c r="C8" s="21" t="s">
        <v>361</v>
      </c>
      <c r="D8" s="21">
        <v>89</v>
      </c>
      <c r="E8" s="21" t="s">
        <v>769</v>
      </c>
      <c r="F8" s="21"/>
      <c r="G8" s="21" t="s">
        <v>810</v>
      </c>
      <c r="H8" s="21">
        <v>76</v>
      </c>
      <c r="I8" s="21"/>
      <c r="J8" s="21"/>
      <c r="K8" s="21"/>
      <c r="L8" s="21"/>
      <c r="M8" s="21">
        <f t="shared" ref="M8:M72" si="4">+M7+H8+I8+J8+K8+L8</f>
        <v>272</v>
      </c>
      <c r="N8" s="21" t="s">
        <v>766</v>
      </c>
      <c r="O8" s="21"/>
      <c r="P8" s="21" t="s">
        <v>761</v>
      </c>
      <c r="Q8" s="21"/>
      <c r="R8" s="153"/>
      <c r="S8" s="153"/>
      <c r="Y8" s="187"/>
    </row>
    <row r="9" spans="1:27" ht="18.75">
      <c r="A9" s="21">
        <f t="shared" si="3"/>
        <v>4</v>
      </c>
      <c r="B9" s="21"/>
      <c r="C9" s="21" t="s">
        <v>538</v>
      </c>
      <c r="D9" s="21">
        <v>29</v>
      </c>
      <c r="E9" s="21" t="s">
        <v>769</v>
      </c>
      <c r="F9" s="21"/>
      <c r="G9" s="21" t="s">
        <v>810</v>
      </c>
      <c r="H9" s="21">
        <v>29</v>
      </c>
      <c r="I9" s="21"/>
      <c r="J9" s="21"/>
      <c r="K9" s="21"/>
      <c r="L9" s="21"/>
      <c r="M9" s="21">
        <f t="shared" si="4"/>
        <v>301</v>
      </c>
      <c r="N9" s="21" t="s">
        <v>766</v>
      </c>
      <c r="O9" s="21"/>
      <c r="P9" s="21" t="s">
        <v>761</v>
      </c>
      <c r="Q9" s="21"/>
      <c r="R9" s="153"/>
      <c r="S9" s="153"/>
    </row>
    <row r="10" spans="1:27" ht="18.75">
      <c r="A10" s="21">
        <f t="shared" si="3"/>
        <v>5</v>
      </c>
      <c r="B10" s="21"/>
      <c r="C10" s="21" t="s">
        <v>812</v>
      </c>
      <c r="D10" s="21">
        <v>36</v>
      </c>
      <c r="E10" s="21" t="s">
        <v>769</v>
      </c>
      <c r="F10" s="21"/>
      <c r="G10" s="21" t="s">
        <v>810</v>
      </c>
      <c r="H10" s="21"/>
      <c r="I10" s="21">
        <v>340</v>
      </c>
      <c r="J10" s="21"/>
      <c r="K10" s="21"/>
      <c r="L10" s="21"/>
      <c r="M10" s="21">
        <f t="shared" si="4"/>
        <v>641</v>
      </c>
      <c r="N10" s="21" t="s">
        <v>766</v>
      </c>
      <c r="O10" s="21"/>
      <c r="P10" s="21" t="s">
        <v>761</v>
      </c>
      <c r="Q10" s="21"/>
      <c r="R10" s="153"/>
      <c r="S10" s="153"/>
    </row>
    <row r="11" spans="1:27" ht="18.75">
      <c r="A11" s="21">
        <f t="shared" si="3"/>
        <v>6</v>
      </c>
      <c r="B11" s="21"/>
      <c r="C11" s="21" t="s">
        <v>506</v>
      </c>
      <c r="D11" s="21">
        <v>36</v>
      </c>
      <c r="E11" s="21" t="s">
        <v>769</v>
      </c>
      <c r="F11" s="21"/>
      <c r="G11" s="21" t="s">
        <v>810</v>
      </c>
      <c r="H11" s="21">
        <v>60</v>
      </c>
      <c r="I11" s="21"/>
      <c r="J11" s="21"/>
      <c r="K11" s="21"/>
      <c r="L11" s="21"/>
      <c r="M11" s="21">
        <f t="shared" si="4"/>
        <v>701</v>
      </c>
      <c r="N11" s="21"/>
      <c r="O11" s="21"/>
      <c r="P11" s="21" t="s">
        <v>761</v>
      </c>
      <c r="Q11" s="21"/>
      <c r="R11" s="153"/>
      <c r="S11" s="153"/>
    </row>
    <row r="12" spans="1:27" ht="18.75">
      <c r="A12" s="21">
        <f t="shared" si="3"/>
        <v>7</v>
      </c>
      <c r="B12" s="21"/>
      <c r="C12" s="21" t="s">
        <v>265</v>
      </c>
      <c r="D12" s="21">
        <v>47</v>
      </c>
      <c r="E12" s="21" t="s">
        <v>769</v>
      </c>
      <c r="F12" s="21"/>
      <c r="G12" s="21" t="s">
        <v>810</v>
      </c>
      <c r="H12" s="21">
        <v>60</v>
      </c>
      <c r="I12" s="21"/>
      <c r="J12" s="21"/>
      <c r="K12" s="21"/>
      <c r="L12" s="21"/>
      <c r="M12" s="21">
        <f t="shared" si="4"/>
        <v>761</v>
      </c>
      <c r="N12" s="21" t="s">
        <v>766</v>
      </c>
      <c r="O12" s="21"/>
      <c r="P12" s="21" t="s">
        <v>761</v>
      </c>
      <c r="Q12" s="21"/>
      <c r="R12" s="153"/>
      <c r="S12" s="153"/>
    </row>
    <row r="13" spans="1:27" ht="18.75">
      <c r="A13" s="21">
        <f t="shared" si="3"/>
        <v>8</v>
      </c>
      <c r="B13" s="21"/>
      <c r="C13" s="21" t="s">
        <v>317</v>
      </c>
      <c r="D13" s="21">
        <v>84</v>
      </c>
      <c r="E13" s="21" t="s">
        <v>769</v>
      </c>
      <c r="F13" s="21"/>
      <c r="G13" s="21" t="s">
        <v>810</v>
      </c>
      <c r="H13" s="21">
        <v>58</v>
      </c>
      <c r="I13" s="21"/>
      <c r="J13" s="21"/>
      <c r="K13" s="21"/>
      <c r="L13" s="21"/>
      <c r="M13" s="21">
        <f t="shared" si="4"/>
        <v>819</v>
      </c>
      <c r="N13" s="21" t="s">
        <v>766</v>
      </c>
      <c r="O13" s="21"/>
      <c r="P13" s="21" t="s">
        <v>761</v>
      </c>
      <c r="Q13" s="21"/>
      <c r="R13" s="153"/>
      <c r="S13" s="153"/>
      <c r="T13">
        <f>392-29</f>
        <v>363</v>
      </c>
    </row>
    <row r="14" spans="1:27" ht="18.75">
      <c r="A14" s="21">
        <f t="shared" si="3"/>
        <v>9</v>
      </c>
      <c r="B14" s="21"/>
      <c r="C14" s="21" t="s">
        <v>275</v>
      </c>
      <c r="D14" s="21">
        <v>96</v>
      </c>
      <c r="E14" s="21" t="s">
        <v>769</v>
      </c>
      <c r="F14" s="21"/>
      <c r="G14" s="21" t="s">
        <v>810</v>
      </c>
      <c r="H14" s="21"/>
      <c r="I14" s="21">
        <v>30</v>
      </c>
      <c r="J14" s="21"/>
      <c r="K14" s="21"/>
      <c r="L14" s="21"/>
      <c r="M14" s="21">
        <f t="shared" si="4"/>
        <v>849</v>
      </c>
      <c r="N14" s="21" t="s">
        <v>766</v>
      </c>
      <c r="O14" s="21"/>
      <c r="P14" s="21" t="s">
        <v>761</v>
      </c>
      <c r="Q14" s="21"/>
      <c r="R14" s="153"/>
      <c r="S14" s="153"/>
      <c r="T14">
        <v>36</v>
      </c>
    </row>
    <row r="15" spans="1:27" ht="18.75">
      <c r="A15" s="21">
        <f t="shared" si="3"/>
        <v>10</v>
      </c>
      <c r="B15" s="21"/>
      <c r="C15" s="21" t="s">
        <v>360</v>
      </c>
      <c r="D15" s="21">
        <v>95</v>
      </c>
      <c r="E15" s="21" t="s">
        <v>199</v>
      </c>
      <c r="F15" s="21">
        <v>0.45</v>
      </c>
      <c r="G15" s="21" t="s">
        <v>810</v>
      </c>
      <c r="H15" s="21"/>
      <c r="I15" s="21"/>
      <c r="J15" s="21"/>
      <c r="K15" s="21"/>
      <c r="L15" s="21">
        <v>58</v>
      </c>
      <c r="M15" s="21">
        <f t="shared" si="4"/>
        <v>907</v>
      </c>
      <c r="N15" s="21" t="s">
        <v>766</v>
      </c>
      <c r="O15" s="21"/>
      <c r="P15" s="21" t="s">
        <v>761</v>
      </c>
      <c r="Q15" s="21">
        <v>58</v>
      </c>
      <c r="R15" s="153">
        <f>+L15*F15</f>
        <v>26.1</v>
      </c>
      <c r="S15" s="153"/>
    </row>
    <row r="16" spans="1:27" ht="18.75">
      <c r="A16" s="21">
        <f t="shared" si="3"/>
        <v>11</v>
      </c>
      <c r="B16" s="21"/>
      <c r="C16" s="21" t="s">
        <v>813</v>
      </c>
      <c r="D16" s="21" t="s">
        <v>814</v>
      </c>
      <c r="E16" s="21" t="s">
        <v>199</v>
      </c>
      <c r="F16" s="21">
        <v>0.36</v>
      </c>
      <c r="G16" s="21" t="s">
        <v>810</v>
      </c>
      <c r="H16" s="21">
        <v>3</v>
      </c>
      <c r="I16" s="21"/>
      <c r="J16" s="21"/>
      <c r="K16" s="21"/>
      <c r="L16" s="21"/>
      <c r="M16" s="21">
        <f t="shared" si="4"/>
        <v>910</v>
      </c>
      <c r="N16" s="21" t="s">
        <v>766</v>
      </c>
      <c r="O16" s="21"/>
      <c r="P16" s="21" t="s">
        <v>761</v>
      </c>
      <c r="Q16" s="21">
        <v>3</v>
      </c>
      <c r="R16" s="153">
        <f>+Q16*H16</f>
        <v>9</v>
      </c>
      <c r="S16" s="153"/>
    </row>
    <row r="17" spans="1:20" ht="18.75">
      <c r="A17" s="21">
        <f t="shared" si="3"/>
        <v>12</v>
      </c>
      <c r="B17" s="21"/>
      <c r="C17" s="21" t="s">
        <v>815</v>
      </c>
      <c r="D17" s="21" t="s">
        <v>816</v>
      </c>
      <c r="E17" s="21" t="s">
        <v>199</v>
      </c>
      <c r="F17" s="21">
        <v>0.45</v>
      </c>
      <c r="G17" s="21" t="s">
        <v>810</v>
      </c>
      <c r="H17" s="21"/>
      <c r="I17" s="21"/>
      <c r="J17" s="21"/>
      <c r="K17" s="21"/>
      <c r="L17" s="21">
        <v>44</v>
      </c>
      <c r="M17" s="21">
        <f t="shared" si="4"/>
        <v>954</v>
      </c>
      <c r="N17" s="21" t="s">
        <v>766</v>
      </c>
      <c r="O17" s="21"/>
      <c r="P17" s="21" t="s">
        <v>761</v>
      </c>
      <c r="Q17" s="21">
        <v>44</v>
      </c>
      <c r="R17" s="153">
        <f>+Q17*H17</f>
        <v>0</v>
      </c>
      <c r="S17" s="153"/>
    </row>
    <row r="18" spans="1:20" ht="18.75">
      <c r="A18" s="21">
        <f t="shared" si="3"/>
        <v>13</v>
      </c>
      <c r="B18" s="21"/>
      <c r="C18" s="21" t="s">
        <v>246</v>
      </c>
      <c r="D18" s="21" t="s">
        <v>413</v>
      </c>
      <c r="E18" s="21" t="s">
        <v>199</v>
      </c>
      <c r="F18" s="21">
        <v>0.45</v>
      </c>
      <c r="G18" s="21" t="s">
        <v>810</v>
      </c>
      <c r="H18" s="21"/>
      <c r="I18" s="21"/>
      <c r="J18" s="21"/>
      <c r="K18" s="21"/>
      <c r="L18" s="21">
        <v>118.4</v>
      </c>
      <c r="M18" s="21">
        <f t="shared" si="4"/>
        <v>1072.4000000000001</v>
      </c>
      <c r="N18" s="21" t="s">
        <v>766</v>
      </c>
      <c r="O18" s="21"/>
      <c r="P18" s="21" t="s">
        <v>761</v>
      </c>
      <c r="Q18" s="21">
        <v>118.4</v>
      </c>
      <c r="R18" s="153">
        <f t="shared" ref="R18" si="5">58*0.45</f>
        <v>26.1</v>
      </c>
      <c r="S18" s="153"/>
    </row>
    <row r="19" spans="1:20" ht="18.75">
      <c r="A19" s="21">
        <f t="shared" si="3"/>
        <v>14</v>
      </c>
      <c r="B19" s="21"/>
      <c r="C19" s="21" t="s">
        <v>413</v>
      </c>
      <c r="D19" s="21">
        <v>104</v>
      </c>
      <c r="E19" s="21" t="s">
        <v>769</v>
      </c>
      <c r="F19" s="21"/>
      <c r="G19" s="21" t="s">
        <v>810</v>
      </c>
      <c r="H19" s="21"/>
      <c r="I19" s="21"/>
      <c r="J19" s="21"/>
      <c r="K19" s="21"/>
      <c r="L19" s="21">
        <v>196</v>
      </c>
      <c r="M19" s="21">
        <f t="shared" si="4"/>
        <v>1268.4000000000001</v>
      </c>
      <c r="N19" s="21" t="s">
        <v>766</v>
      </c>
      <c r="O19" s="21"/>
      <c r="P19" s="21" t="s">
        <v>761</v>
      </c>
      <c r="Q19" s="21"/>
      <c r="R19" s="153"/>
      <c r="S19" s="153"/>
    </row>
    <row r="20" spans="1:20" ht="18.75">
      <c r="A20" s="21">
        <f t="shared" si="3"/>
        <v>15</v>
      </c>
      <c r="B20" s="21"/>
      <c r="C20" s="21" t="s">
        <v>352</v>
      </c>
      <c r="D20" s="21">
        <v>93</v>
      </c>
      <c r="E20" s="21" t="s">
        <v>769</v>
      </c>
      <c r="F20" s="21"/>
      <c r="G20" s="21" t="s">
        <v>810</v>
      </c>
      <c r="H20" s="21"/>
      <c r="I20" s="21"/>
      <c r="J20" s="188"/>
      <c r="K20" s="19">
        <v>112</v>
      </c>
      <c r="L20" s="21"/>
      <c r="M20" s="21">
        <f t="shared" si="4"/>
        <v>1380.4</v>
      </c>
      <c r="N20" s="21" t="s">
        <v>766</v>
      </c>
      <c r="O20" s="21"/>
      <c r="P20" s="21" t="s">
        <v>761</v>
      </c>
      <c r="Q20" s="21"/>
      <c r="R20" s="153"/>
      <c r="S20" s="153"/>
    </row>
    <row r="21" spans="1:20" ht="18.75">
      <c r="A21" s="21">
        <f t="shared" si="3"/>
        <v>16</v>
      </c>
      <c r="B21" s="21"/>
      <c r="C21" s="21" t="s">
        <v>306</v>
      </c>
      <c r="D21" s="21">
        <v>106</v>
      </c>
      <c r="E21" s="21" t="s">
        <v>769</v>
      </c>
      <c r="F21" s="21"/>
      <c r="G21" s="21" t="s">
        <v>810</v>
      </c>
      <c r="H21" s="21"/>
      <c r="I21" s="7"/>
      <c r="J21" s="21">
        <v>50</v>
      </c>
      <c r="K21" s="21"/>
      <c r="L21" s="21"/>
      <c r="M21" s="21">
        <f t="shared" si="4"/>
        <v>1430.4</v>
      </c>
      <c r="N21" s="21" t="s">
        <v>766</v>
      </c>
      <c r="O21" s="21"/>
      <c r="P21" s="21" t="s">
        <v>761</v>
      </c>
      <c r="Q21" s="21"/>
      <c r="R21" s="153"/>
      <c r="S21" s="153"/>
    </row>
    <row r="22" spans="1:20" ht="18.75">
      <c r="A22" s="21">
        <f t="shared" si="3"/>
        <v>17</v>
      </c>
      <c r="B22" s="21"/>
      <c r="C22" s="21" t="s">
        <v>323</v>
      </c>
      <c r="D22" s="21">
        <v>77</v>
      </c>
      <c r="E22" s="21" t="s">
        <v>769</v>
      </c>
      <c r="F22" s="21"/>
      <c r="G22" s="21" t="s">
        <v>810</v>
      </c>
      <c r="H22" s="21"/>
      <c r="I22" s="7"/>
      <c r="J22" s="21">
        <v>252.1</v>
      </c>
      <c r="K22" s="21"/>
      <c r="L22" s="21"/>
      <c r="M22" s="21">
        <f t="shared" si="4"/>
        <v>1682.5</v>
      </c>
      <c r="N22" s="21" t="s">
        <v>766</v>
      </c>
      <c r="O22" s="21"/>
      <c r="P22" s="21" t="s">
        <v>761</v>
      </c>
      <c r="Q22" s="21"/>
      <c r="R22" s="153"/>
      <c r="S22" s="153"/>
    </row>
    <row r="23" spans="1:20" ht="18.75">
      <c r="A23" s="21">
        <f t="shared" si="3"/>
        <v>18</v>
      </c>
      <c r="B23" s="21"/>
      <c r="C23" s="21" t="s">
        <v>256</v>
      </c>
      <c r="D23" s="21">
        <v>99</v>
      </c>
      <c r="E23" s="21" t="s">
        <v>769</v>
      </c>
      <c r="F23" s="21"/>
      <c r="G23" s="21" t="s">
        <v>810</v>
      </c>
      <c r="H23" s="21">
        <v>165</v>
      </c>
      <c r="I23" s="21"/>
      <c r="J23" s="21"/>
      <c r="K23" s="21"/>
      <c r="L23" s="21"/>
      <c r="M23" s="21">
        <f t="shared" si="4"/>
        <v>1847.5</v>
      </c>
      <c r="N23" s="21" t="s">
        <v>766</v>
      </c>
      <c r="O23" s="21"/>
      <c r="P23" s="21" t="s">
        <v>761</v>
      </c>
      <c r="Q23" s="21"/>
      <c r="R23" s="153"/>
      <c r="S23" s="153"/>
    </row>
    <row r="24" spans="1:20" ht="18.75">
      <c r="A24" s="21">
        <f t="shared" si="3"/>
        <v>19</v>
      </c>
      <c r="B24" s="21"/>
      <c r="C24" s="21" t="s">
        <v>307</v>
      </c>
      <c r="D24" s="21">
        <v>92</v>
      </c>
      <c r="E24" s="21" t="s">
        <v>769</v>
      </c>
      <c r="F24" s="21"/>
      <c r="G24" s="21" t="s">
        <v>810</v>
      </c>
      <c r="H24" s="21">
        <v>62.8</v>
      </c>
      <c r="I24" s="21"/>
      <c r="J24" s="21"/>
      <c r="K24" s="21"/>
      <c r="L24" s="21"/>
      <c r="M24" s="21">
        <f t="shared" si="4"/>
        <v>1910.3</v>
      </c>
      <c r="N24" s="21" t="s">
        <v>766</v>
      </c>
      <c r="O24" s="21"/>
      <c r="P24" s="21" t="s">
        <v>761</v>
      </c>
      <c r="Q24" s="21"/>
      <c r="R24" s="153"/>
      <c r="S24" s="153"/>
    </row>
    <row r="25" spans="1:20" ht="18.75">
      <c r="A25" s="21">
        <f t="shared" si="3"/>
        <v>20</v>
      </c>
      <c r="B25" s="21"/>
      <c r="C25" s="21" t="s">
        <v>386</v>
      </c>
      <c r="D25" s="21">
        <v>100</v>
      </c>
      <c r="E25" s="21" t="s">
        <v>769</v>
      </c>
      <c r="F25" s="21"/>
      <c r="G25" s="21" t="s">
        <v>810</v>
      </c>
      <c r="H25" s="21">
        <v>20.2</v>
      </c>
      <c r="I25" s="21"/>
      <c r="J25" s="21"/>
      <c r="K25" s="188"/>
      <c r="L25" s="21"/>
      <c r="M25" s="21">
        <f t="shared" si="4"/>
        <v>1930.5</v>
      </c>
      <c r="N25" s="21" t="s">
        <v>766</v>
      </c>
      <c r="O25" s="21"/>
      <c r="P25" s="21" t="s">
        <v>761</v>
      </c>
      <c r="Q25" s="21"/>
      <c r="R25" s="153"/>
      <c r="S25" s="153"/>
      <c r="T25" s="60"/>
    </row>
    <row r="26" spans="1:20" ht="18.75">
      <c r="A26" s="21">
        <f t="shared" si="3"/>
        <v>21</v>
      </c>
      <c r="B26" s="21"/>
      <c r="C26" s="21" t="s">
        <v>817</v>
      </c>
      <c r="D26" s="21" t="s">
        <v>818</v>
      </c>
      <c r="E26" s="21" t="s">
        <v>769</v>
      </c>
      <c r="F26" s="21"/>
      <c r="G26" s="21" t="s">
        <v>810</v>
      </c>
      <c r="H26" s="21">
        <v>3.5</v>
      </c>
      <c r="I26" s="21"/>
      <c r="J26" s="21"/>
      <c r="K26" s="21"/>
      <c r="L26" s="21"/>
      <c r="M26" s="21">
        <f t="shared" si="4"/>
        <v>1934</v>
      </c>
      <c r="N26" s="21" t="s">
        <v>766</v>
      </c>
      <c r="O26" s="21"/>
      <c r="P26" s="21" t="s">
        <v>761</v>
      </c>
      <c r="Q26" s="21"/>
      <c r="R26" s="153"/>
      <c r="S26" s="153"/>
    </row>
    <row r="27" spans="1:20" ht="18.75">
      <c r="A27" s="21">
        <f t="shared" si="3"/>
        <v>22</v>
      </c>
      <c r="B27" s="21"/>
      <c r="C27" s="21" t="s">
        <v>307</v>
      </c>
      <c r="D27" s="21">
        <v>86</v>
      </c>
      <c r="E27" s="21" t="s">
        <v>769</v>
      </c>
      <c r="F27" s="21"/>
      <c r="G27" s="21" t="s">
        <v>810</v>
      </c>
      <c r="H27" s="21">
        <v>9.5</v>
      </c>
      <c r="I27" s="21"/>
      <c r="J27" s="21"/>
      <c r="K27" s="21"/>
      <c r="L27" s="21"/>
      <c r="M27" s="21">
        <f t="shared" si="4"/>
        <v>1943.5</v>
      </c>
      <c r="N27" s="21" t="s">
        <v>811</v>
      </c>
      <c r="O27" s="21"/>
      <c r="P27" s="21" t="s">
        <v>761</v>
      </c>
      <c r="Q27" s="21"/>
      <c r="R27" s="153"/>
      <c r="S27" s="153"/>
    </row>
    <row r="28" spans="1:20" ht="18.75">
      <c r="A28" s="21">
        <f t="shared" si="3"/>
        <v>23</v>
      </c>
      <c r="B28" s="21"/>
      <c r="C28" s="21" t="s">
        <v>386</v>
      </c>
      <c r="D28" s="21">
        <v>90</v>
      </c>
      <c r="E28" s="21" t="s">
        <v>769</v>
      </c>
      <c r="F28" s="21"/>
      <c r="G28" s="21" t="s">
        <v>810</v>
      </c>
      <c r="H28" s="21">
        <f>23-4</f>
        <v>19</v>
      </c>
      <c r="I28" s="21"/>
      <c r="J28" s="21"/>
      <c r="K28" s="21"/>
      <c r="L28" s="21"/>
      <c r="M28" s="21">
        <f t="shared" si="4"/>
        <v>1962.5</v>
      </c>
      <c r="N28" s="21" t="s">
        <v>811</v>
      </c>
      <c r="O28" s="21"/>
      <c r="P28" s="21" t="s">
        <v>761</v>
      </c>
      <c r="Q28" s="21"/>
      <c r="R28" s="153"/>
      <c r="S28" s="153"/>
    </row>
    <row r="29" spans="1:20" ht="18.75">
      <c r="A29" s="21">
        <f t="shared" si="3"/>
        <v>24</v>
      </c>
      <c r="B29" s="21"/>
      <c r="C29" s="21" t="s">
        <v>386</v>
      </c>
      <c r="D29" s="21">
        <v>90</v>
      </c>
      <c r="E29" s="21" t="s">
        <v>193</v>
      </c>
      <c r="F29" s="21">
        <v>0.36299999999999999</v>
      </c>
      <c r="G29" s="21" t="s">
        <v>810</v>
      </c>
      <c r="H29" s="21">
        <v>4</v>
      </c>
      <c r="I29" s="21"/>
      <c r="J29" s="21"/>
      <c r="K29" s="21"/>
      <c r="L29" s="21"/>
      <c r="M29" s="21">
        <f t="shared" si="4"/>
        <v>1966.5</v>
      </c>
      <c r="N29" s="21"/>
      <c r="O29" s="21"/>
      <c r="P29" s="21" t="s">
        <v>761</v>
      </c>
      <c r="Q29" s="21">
        <v>4</v>
      </c>
      <c r="R29" s="153"/>
      <c r="S29" s="153"/>
    </row>
    <row r="30" spans="1:20" ht="18.75">
      <c r="A30" s="21">
        <f t="shared" si="3"/>
        <v>25</v>
      </c>
      <c r="B30" s="21"/>
      <c r="C30" s="21" t="s">
        <v>386</v>
      </c>
      <c r="D30" s="21" t="s">
        <v>308</v>
      </c>
      <c r="E30" s="21" t="s">
        <v>769</v>
      </c>
      <c r="F30" s="21"/>
      <c r="G30" s="21" t="s">
        <v>810</v>
      </c>
      <c r="H30" s="21">
        <v>32</v>
      </c>
      <c r="I30" s="21"/>
      <c r="J30" s="21"/>
      <c r="K30" s="21"/>
      <c r="L30" s="21"/>
      <c r="M30" s="21">
        <f t="shared" si="4"/>
        <v>1998.5</v>
      </c>
      <c r="N30" s="21" t="s">
        <v>766</v>
      </c>
      <c r="O30" s="21"/>
      <c r="P30" s="21" t="s">
        <v>761</v>
      </c>
      <c r="Q30" s="21"/>
      <c r="R30" s="153"/>
      <c r="S30" s="153"/>
    </row>
    <row r="31" spans="1:20" ht="18.75">
      <c r="A31" s="21">
        <f t="shared" si="3"/>
        <v>26</v>
      </c>
      <c r="B31" s="21"/>
      <c r="C31" s="21" t="s">
        <v>308</v>
      </c>
      <c r="D31" s="21">
        <v>102</v>
      </c>
      <c r="E31" s="21" t="s">
        <v>769</v>
      </c>
      <c r="F31" s="21"/>
      <c r="G31" s="21" t="s">
        <v>810</v>
      </c>
      <c r="H31" s="21">
        <v>20</v>
      </c>
      <c r="I31" s="21"/>
      <c r="J31" s="21"/>
      <c r="K31" s="21"/>
      <c r="L31" s="21"/>
      <c r="M31" s="21">
        <f t="shared" si="4"/>
        <v>2018.5</v>
      </c>
      <c r="N31" s="21" t="s">
        <v>766</v>
      </c>
      <c r="O31" s="21"/>
      <c r="P31" s="21" t="s">
        <v>761</v>
      </c>
      <c r="Q31" s="21"/>
      <c r="R31" s="153"/>
      <c r="S31" s="153"/>
    </row>
    <row r="32" spans="1:20" ht="18.75">
      <c r="A32" s="21">
        <f t="shared" si="3"/>
        <v>27</v>
      </c>
      <c r="B32" s="21"/>
      <c r="C32" s="21" t="s">
        <v>446</v>
      </c>
      <c r="D32" s="21">
        <v>94</v>
      </c>
      <c r="E32" s="21" t="s">
        <v>769</v>
      </c>
      <c r="F32" s="21"/>
      <c r="G32" s="21" t="s">
        <v>810</v>
      </c>
      <c r="H32" s="21">
        <v>12</v>
      </c>
      <c r="I32" s="21"/>
      <c r="J32" s="21"/>
      <c r="K32" s="21"/>
      <c r="L32" s="21"/>
      <c r="M32" s="21">
        <f t="shared" si="4"/>
        <v>2030.5</v>
      </c>
      <c r="N32" s="21" t="s">
        <v>766</v>
      </c>
      <c r="O32" s="21"/>
      <c r="P32" s="21" t="s">
        <v>761</v>
      </c>
      <c r="Q32" s="21"/>
      <c r="R32" s="153"/>
      <c r="S32" s="153"/>
    </row>
    <row r="33" spans="1:19" ht="18.75">
      <c r="A33" s="21">
        <f t="shared" si="3"/>
        <v>28</v>
      </c>
      <c r="B33" s="21"/>
      <c r="C33" s="21" t="s">
        <v>245</v>
      </c>
      <c r="D33" s="21">
        <v>82</v>
      </c>
      <c r="E33" s="21" t="s">
        <v>769</v>
      </c>
      <c r="F33" s="21"/>
      <c r="G33" s="21" t="s">
        <v>810</v>
      </c>
      <c r="H33" s="21"/>
      <c r="I33" s="21"/>
      <c r="J33" s="21">
        <v>125.4</v>
      </c>
      <c r="K33" s="21"/>
      <c r="L33" s="21"/>
      <c r="M33" s="21">
        <f t="shared" si="4"/>
        <v>2155.9</v>
      </c>
      <c r="N33" s="21" t="s">
        <v>811</v>
      </c>
      <c r="O33" s="21"/>
      <c r="P33" s="21" t="s">
        <v>761</v>
      </c>
      <c r="Q33" s="21"/>
      <c r="R33" s="153"/>
      <c r="S33" s="153"/>
    </row>
    <row r="34" spans="1:19" ht="18.75">
      <c r="A34" s="21">
        <f t="shared" si="3"/>
        <v>29</v>
      </c>
      <c r="B34" s="21"/>
      <c r="C34" s="21" t="s">
        <v>270</v>
      </c>
      <c r="D34" s="21">
        <v>52</v>
      </c>
      <c r="E34" s="21" t="s">
        <v>769</v>
      </c>
      <c r="F34" s="21"/>
      <c r="G34" s="21" t="s">
        <v>810</v>
      </c>
      <c r="H34" s="21">
        <v>182</v>
      </c>
      <c r="I34" s="21"/>
      <c r="J34" s="21"/>
      <c r="K34" s="21"/>
      <c r="L34" s="21"/>
      <c r="M34" s="21">
        <f t="shared" si="4"/>
        <v>2337.9</v>
      </c>
      <c r="N34" s="21" t="s">
        <v>811</v>
      </c>
      <c r="O34" s="21"/>
      <c r="P34" s="21" t="s">
        <v>761</v>
      </c>
      <c r="Q34" s="21"/>
      <c r="R34" s="153"/>
      <c r="S34" s="153"/>
    </row>
    <row r="35" spans="1:19" ht="18.75">
      <c r="A35" s="21">
        <f t="shared" si="3"/>
        <v>30</v>
      </c>
      <c r="B35" s="7"/>
      <c r="C35" s="92" t="s">
        <v>270</v>
      </c>
      <c r="D35" s="92">
        <v>63</v>
      </c>
      <c r="E35" s="21" t="s">
        <v>769</v>
      </c>
      <c r="F35" s="7"/>
      <c r="G35" s="21" t="s">
        <v>810</v>
      </c>
      <c r="H35" s="21"/>
      <c r="I35" s="21">
        <v>58.5</v>
      </c>
      <c r="J35" s="21"/>
      <c r="K35" s="21"/>
      <c r="L35" s="21"/>
      <c r="M35" s="21">
        <f t="shared" si="4"/>
        <v>2396.4</v>
      </c>
      <c r="N35" s="21" t="s">
        <v>811</v>
      </c>
      <c r="O35" s="21"/>
      <c r="P35" s="21" t="s">
        <v>761</v>
      </c>
      <c r="Q35" s="21"/>
      <c r="R35" s="203"/>
      <c r="S35" s="203"/>
    </row>
    <row r="36" spans="1:19" ht="18.75">
      <c r="A36" s="21">
        <f t="shared" si="3"/>
        <v>31</v>
      </c>
      <c r="B36" s="7"/>
      <c r="C36" s="92" t="s">
        <v>819</v>
      </c>
      <c r="D36" s="92" t="s">
        <v>820</v>
      </c>
      <c r="E36" s="21" t="s">
        <v>769</v>
      </c>
      <c r="F36" s="7"/>
      <c r="G36" s="21" t="s">
        <v>810</v>
      </c>
      <c r="H36" s="21">
        <v>3.5</v>
      </c>
      <c r="I36" s="21"/>
      <c r="J36" s="21"/>
      <c r="K36" s="21"/>
      <c r="L36" s="21"/>
      <c r="M36" s="21">
        <f t="shared" si="4"/>
        <v>2399.9</v>
      </c>
      <c r="N36" s="21" t="s">
        <v>811</v>
      </c>
      <c r="O36" s="21"/>
      <c r="P36" s="21" t="s">
        <v>761</v>
      </c>
      <c r="Q36" s="21"/>
      <c r="R36" s="203"/>
      <c r="S36" s="203"/>
    </row>
    <row r="37" spans="1:19" ht="18.75">
      <c r="A37" s="21">
        <f t="shared" si="3"/>
        <v>32</v>
      </c>
      <c r="B37" s="7"/>
      <c r="C37" s="92" t="s">
        <v>252</v>
      </c>
      <c r="D37" s="92">
        <v>26</v>
      </c>
      <c r="E37" s="21" t="s">
        <v>769</v>
      </c>
      <c r="F37" s="7"/>
      <c r="G37" s="21" t="s">
        <v>810</v>
      </c>
      <c r="H37" s="21">
        <f>14.5-4</f>
        <v>10.5</v>
      </c>
      <c r="I37" s="21"/>
      <c r="J37" s="21"/>
      <c r="K37" s="21"/>
      <c r="L37" s="21"/>
      <c r="M37" s="21">
        <f t="shared" si="4"/>
        <v>2410.4</v>
      </c>
      <c r="N37" s="21" t="s">
        <v>811</v>
      </c>
      <c r="O37" s="21"/>
      <c r="P37" s="21" t="s">
        <v>761</v>
      </c>
      <c r="Q37" s="21"/>
      <c r="R37" s="203"/>
      <c r="S37" s="203"/>
    </row>
    <row r="38" spans="1:19" ht="18.75">
      <c r="A38" s="21">
        <f t="shared" si="3"/>
        <v>33</v>
      </c>
      <c r="B38" s="7"/>
      <c r="C38" s="92" t="s">
        <v>252</v>
      </c>
      <c r="D38" s="92">
        <v>26</v>
      </c>
      <c r="E38" s="21" t="s">
        <v>193</v>
      </c>
      <c r="F38" s="21">
        <v>0.36299999999999999</v>
      </c>
      <c r="G38" s="21" t="s">
        <v>810</v>
      </c>
      <c r="H38" s="21">
        <v>4</v>
      </c>
      <c r="I38" s="21"/>
      <c r="J38" s="21"/>
      <c r="K38" s="21"/>
      <c r="L38" s="21"/>
      <c r="M38" s="21">
        <f t="shared" si="4"/>
        <v>2414.4</v>
      </c>
      <c r="N38" s="21"/>
      <c r="O38" s="21"/>
      <c r="P38" s="21" t="s">
        <v>761</v>
      </c>
      <c r="Q38" s="21">
        <v>4</v>
      </c>
      <c r="R38" s="203"/>
      <c r="S38" s="203"/>
    </row>
    <row r="39" spans="1:19" ht="18.75">
      <c r="A39" s="21">
        <f t="shared" si="3"/>
        <v>34</v>
      </c>
      <c r="B39" s="7"/>
      <c r="C39" s="92" t="s">
        <v>252</v>
      </c>
      <c r="D39" s="92">
        <v>19</v>
      </c>
      <c r="E39" s="21" t="s">
        <v>769</v>
      </c>
      <c r="F39" s="7"/>
      <c r="G39" s="21" t="s">
        <v>810</v>
      </c>
      <c r="H39" s="21">
        <v>33</v>
      </c>
      <c r="I39" s="21"/>
      <c r="J39" s="21"/>
      <c r="K39" s="21"/>
      <c r="L39" s="21"/>
      <c r="M39" s="21">
        <f t="shared" si="4"/>
        <v>2447.4</v>
      </c>
      <c r="N39" s="21" t="s">
        <v>811</v>
      </c>
      <c r="O39" s="21"/>
      <c r="P39" s="21" t="s">
        <v>761</v>
      </c>
      <c r="Q39" s="21"/>
      <c r="R39" s="203"/>
      <c r="S39" s="203"/>
    </row>
    <row r="40" spans="1:19" ht="18.75">
      <c r="A40" s="21">
        <f t="shared" si="3"/>
        <v>35</v>
      </c>
      <c r="B40" s="7"/>
      <c r="C40" s="92" t="s">
        <v>279</v>
      </c>
      <c r="D40" s="92">
        <v>25</v>
      </c>
      <c r="E40" s="21" t="s">
        <v>769</v>
      </c>
      <c r="F40" s="7"/>
      <c r="G40" s="21" t="s">
        <v>810</v>
      </c>
      <c r="H40" s="21">
        <v>67</v>
      </c>
      <c r="I40" s="21"/>
      <c r="J40" s="21"/>
      <c r="K40" s="21"/>
      <c r="L40" s="21"/>
      <c r="M40" s="21">
        <f t="shared" si="4"/>
        <v>2514.4</v>
      </c>
      <c r="N40" s="21" t="s">
        <v>811</v>
      </c>
      <c r="O40" s="21"/>
      <c r="P40" s="21" t="s">
        <v>761</v>
      </c>
      <c r="Q40" s="21"/>
      <c r="R40" s="203"/>
      <c r="S40" s="203"/>
    </row>
    <row r="41" spans="1:19" ht="18.75">
      <c r="A41" s="21">
        <f t="shared" si="3"/>
        <v>36</v>
      </c>
      <c r="B41" s="7"/>
      <c r="C41" s="92" t="s">
        <v>352</v>
      </c>
      <c r="D41" s="92">
        <v>69</v>
      </c>
      <c r="E41" s="92" t="s">
        <v>199</v>
      </c>
      <c r="F41" s="92">
        <v>0.39</v>
      </c>
      <c r="G41" s="21" t="s">
        <v>810</v>
      </c>
      <c r="H41" s="21"/>
      <c r="I41" s="21"/>
      <c r="J41" s="21">
        <v>150.19999999999999</v>
      </c>
      <c r="K41" s="21"/>
      <c r="L41" s="21"/>
      <c r="M41" s="21">
        <f t="shared" si="4"/>
        <v>2664.6</v>
      </c>
      <c r="N41" s="21" t="s">
        <v>811</v>
      </c>
      <c r="O41" s="21"/>
      <c r="P41" s="21" t="s">
        <v>761</v>
      </c>
      <c r="Q41" s="21">
        <v>150.19999999999999</v>
      </c>
      <c r="R41" s="153">
        <f t="shared" ref="R41:R42" si="6">58*0.45</f>
        <v>26.1</v>
      </c>
      <c r="S41" s="203"/>
    </row>
    <row r="42" spans="1:19" ht="18.75">
      <c r="A42" s="21">
        <f t="shared" si="3"/>
        <v>37</v>
      </c>
      <c r="B42" s="7"/>
      <c r="C42" s="92" t="s">
        <v>419</v>
      </c>
      <c r="D42" s="92">
        <v>76</v>
      </c>
      <c r="E42" s="92" t="s">
        <v>199</v>
      </c>
      <c r="F42" s="92">
        <v>0.36299999999999999</v>
      </c>
      <c r="G42" s="21" t="s">
        <v>810</v>
      </c>
      <c r="H42" s="21">
        <v>52</v>
      </c>
      <c r="I42" s="21"/>
      <c r="J42" s="21"/>
      <c r="K42" s="21"/>
      <c r="L42" s="21"/>
      <c r="M42" s="21">
        <f t="shared" si="4"/>
        <v>2716.6</v>
      </c>
      <c r="N42" s="21" t="s">
        <v>811</v>
      </c>
      <c r="O42" s="21"/>
      <c r="P42" s="21" t="s">
        <v>761</v>
      </c>
      <c r="Q42" s="21">
        <v>52</v>
      </c>
      <c r="R42" s="153">
        <f t="shared" si="6"/>
        <v>26.1</v>
      </c>
      <c r="S42" s="203"/>
    </row>
    <row r="43" spans="1:19" ht="18.75">
      <c r="A43" s="21">
        <f t="shared" si="3"/>
        <v>38</v>
      </c>
      <c r="B43" s="7"/>
      <c r="C43" s="92" t="s">
        <v>256</v>
      </c>
      <c r="D43" s="92">
        <v>128</v>
      </c>
      <c r="E43" s="21" t="s">
        <v>769</v>
      </c>
      <c r="F43" s="7"/>
      <c r="G43" s="21" t="s">
        <v>810</v>
      </c>
      <c r="H43" s="21">
        <v>38.6</v>
      </c>
      <c r="I43" s="21"/>
      <c r="J43" s="21"/>
      <c r="K43" s="21"/>
      <c r="L43" s="21"/>
      <c r="M43" s="21">
        <f t="shared" si="4"/>
        <v>2755.2</v>
      </c>
      <c r="N43" s="21" t="s">
        <v>811</v>
      </c>
      <c r="O43" s="21"/>
      <c r="P43" s="21" t="s">
        <v>761</v>
      </c>
      <c r="Q43" s="21"/>
      <c r="R43" s="203"/>
      <c r="S43" s="203"/>
    </row>
    <row r="44" spans="1:19" ht="18.75">
      <c r="A44" s="21">
        <f t="shared" si="3"/>
        <v>39</v>
      </c>
      <c r="B44" s="7"/>
      <c r="C44" s="92" t="s">
        <v>256</v>
      </c>
      <c r="D44" s="92" t="s">
        <v>317</v>
      </c>
      <c r="E44" s="21" t="s">
        <v>769</v>
      </c>
      <c r="F44" s="7"/>
      <c r="G44" s="21" t="s">
        <v>810</v>
      </c>
      <c r="H44" s="21">
        <v>36.799999999999997</v>
      </c>
      <c r="I44" s="21"/>
      <c r="J44" s="21"/>
      <c r="K44" s="21"/>
      <c r="L44" s="21"/>
      <c r="M44" s="21">
        <f t="shared" si="4"/>
        <v>2792</v>
      </c>
      <c r="N44" s="21" t="s">
        <v>811</v>
      </c>
      <c r="O44" s="21"/>
      <c r="P44" s="21" t="s">
        <v>761</v>
      </c>
      <c r="Q44" s="21"/>
      <c r="R44" s="203"/>
      <c r="S44" s="203"/>
    </row>
    <row r="45" spans="1:19" ht="18.75">
      <c r="A45" s="21">
        <f t="shared" si="3"/>
        <v>40</v>
      </c>
      <c r="B45" s="7"/>
      <c r="C45" s="92" t="s">
        <v>419</v>
      </c>
      <c r="D45" s="92" t="s">
        <v>265</v>
      </c>
      <c r="E45" s="21" t="s">
        <v>769</v>
      </c>
      <c r="F45" s="7"/>
      <c r="G45" s="21" t="s">
        <v>810</v>
      </c>
      <c r="H45" s="21"/>
      <c r="I45" s="21"/>
      <c r="J45" s="21">
        <v>117</v>
      </c>
      <c r="K45" s="21"/>
      <c r="L45" s="21"/>
      <c r="M45" s="21">
        <f t="shared" si="4"/>
        <v>2909</v>
      </c>
      <c r="N45" s="21" t="s">
        <v>811</v>
      </c>
      <c r="O45" s="21"/>
      <c r="P45" s="21" t="s">
        <v>761</v>
      </c>
      <c r="Q45" s="21"/>
      <c r="R45" s="203"/>
      <c r="S45" s="203"/>
    </row>
    <row r="46" spans="1:19" ht="18.75">
      <c r="A46" s="21">
        <f t="shared" si="3"/>
        <v>41</v>
      </c>
      <c r="B46" s="7"/>
      <c r="C46" s="92" t="s">
        <v>360</v>
      </c>
      <c r="D46" s="92" t="s">
        <v>264</v>
      </c>
      <c r="E46" s="21" t="s">
        <v>769</v>
      </c>
      <c r="F46" s="7"/>
      <c r="G46" s="21" t="s">
        <v>810</v>
      </c>
      <c r="H46" s="21"/>
      <c r="I46" s="21"/>
      <c r="J46" s="21"/>
      <c r="K46" s="21"/>
      <c r="L46" s="21">
        <v>321.8</v>
      </c>
      <c r="M46" s="21">
        <f t="shared" si="4"/>
        <v>3230.8</v>
      </c>
      <c r="N46" s="21" t="s">
        <v>766</v>
      </c>
      <c r="O46" s="21"/>
      <c r="P46" s="21" t="s">
        <v>761</v>
      </c>
      <c r="Q46" s="21"/>
      <c r="R46" s="203"/>
      <c r="S46" s="203"/>
    </row>
    <row r="47" spans="1:19" ht="18.75">
      <c r="A47" s="21">
        <f t="shared" si="3"/>
        <v>42</v>
      </c>
      <c r="B47" s="7"/>
      <c r="C47" s="92" t="s">
        <v>264</v>
      </c>
      <c r="D47" s="92">
        <v>112</v>
      </c>
      <c r="E47" s="21" t="s">
        <v>769</v>
      </c>
      <c r="F47" s="7"/>
      <c r="G47" s="21" t="s">
        <v>810</v>
      </c>
      <c r="H47" s="21"/>
      <c r="I47" s="21"/>
      <c r="J47" s="21"/>
      <c r="K47" s="19">
        <v>119.8</v>
      </c>
      <c r="L47" s="21"/>
      <c r="M47" s="21">
        <f t="shared" si="4"/>
        <v>3350.6000000000004</v>
      </c>
      <c r="N47" s="21" t="s">
        <v>766</v>
      </c>
      <c r="O47" s="21"/>
      <c r="P47" s="21" t="s">
        <v>761</v>
      </c>
      <c r="Q47" s="21"/>
      <c r="R47" s="203"/>
      <c r="S47" s="203"/>
    </row>
    <row r="48" spans="1:19" ht="18.75">
      <c r="A48" s="21">
        <f t="shared" si="3"/>
        <v>43</v>
      </c>
      <c r="B48" s="7"/>
      <c r="C48" s="92" t="s">
        <v>345</v>
      </c>
      <c r="D48" s="92">
        <v>33</v>
      </c>
      <c r="E48" s="21" t="s">
        <v>769</v>
      </c>
      <c r="F48" s="7"/>
      <c r="G48" s="21" t="s">
        <v>810</v>
      </c>
      <c r="H48" s="21"/>
      <c r="I48" s="21"/>
      <c r="J48" s="21"/>
      <c r="K48" s="19">
        <v>61.5</v>
      </c>
      <c r="L48" s="21"/>
      <c r="M48" s="21">
        <f t="shared" si="4"/>
        <v>3412.1000000000004</v>
      </c>
      <c r="N48" s="21" t="s">
        <v>811</v>
      </c>
      <c r="O48" s="21"/>
      <c r="P48" s="21" t="s">
        <v>761</v>
      </c>
      <c r="Q48" s="21"/>
      <c r="R48" s="203"/>
      <c r="S48" s="203"/>
    </row>
    <row r="49" spans="1:19" ht="18.75">
      <c r="A49" s="21">
        <f t="shared" si="3"/>
        <v>44</v>
      </c>
      <c r="B49" s="7"/>
      <c r="C49" s="92" t="s">
        <v>417</v>
      </c>
      <c r="D49" s="92">
        <v>51</v>
      </c>
      <c r="E49" s="21" t="s">
        <v>769</v>
      </c>
      <c r="F49" s="7"/>
      <c r="G49" s="21" t="s">
        <v>810</v>
      </c>
      <c r="H49" s="21">
        <v>6.4</v>
      </c>
      <c r="I49" s="21"/>
      <c r="J49" s="21"/>
      <c r="K49" s="21"/>
      <c r="L49" s="21"/>
      <c r="M49" s="21">
        <f t="shared" si="4"/>
        <v>3418.5000000000005</v>
      </c>
      <c r="N49" s="21" t="s">
        <v>766</v>
      </c>
      <c r="O49" s="21"/>
      <c r="P49" s="21" t="s">
        <v>761</v>
      </c>
      <c r="Q49" s="21"/>
      <c r="R49" s="203"/>
      <c r="S49" s="203"/>
    </row>
    <row r="50" spans="1:19" ht="18.75">
      <c r="A50" s="21">
        <f t="shared" si="3"/>
        <v>45</v>
      </c>
      <c r="B50" s="7"/>
      <c r="C50" s="92" t="s">
        <v>417</v>
      </c>
      <c r="D50" s="92">
        <v>38</v>
      </c>
      <c r="E50" s="21" t="s">
        <v>769</v>
      </c>
      <c r="F50" s="7"/>
      <c r="G50" s="21" t="s">
        <v>810</v>
      </c>
      <c r="H50" s="21">
        <v>15.6</v>
      </c>
      <c r="I50" s="21"/>
      <c r="J50" s="21"/>
      <c r="K50" s="21"/>
      <c r="L50" s="21"/>
      <c r="M50" s="21">
        <f t="shared" si="4"/>
        <v>3434.1000000000004</v>
      </c>
      <c r="N50" s="21" t="s">
        <v>811</v>
      </c>
      <c r="O50" s="21"/>
      <c r="P50" s="21" t="s">
        <v>761</v>
      </c>
      <c r="Q50" s="21"/>
      <c r="R50" s="203"/>
      <c r="S50" s="203"/>
    </row>
    <row r="51" spans="1:19" ht="18.75">
      <c r="A51" s="21">
        <f t="shared" si="3"/>
        <v>46</v>
      </c>
      <c r="B51" s="7"/>
      <c r="C51" s="92" t="s">
        <v>316</v>
      </c>
      <c r="D51" s="92">
        <v>44</v>
      </c>
      <c r="E51" s="21" t="s">
        <v>769</v>
      </c>
      <c r="F51" s="7"/>
      <c r="G51" s="21" t="s">
        <v>810</v>
      </c>
      <c r="H51" s="21">
        <v>34</v>
      </c>
      <c r="I51" s="21"/>
      <c r="J51" s="21"/>
      <c r="K51" s="21"/>
      <c r="L51" s="21"/>
      <c r="M51" s="21">
        <f t="shared" si="4"/>
        <v>3468.1000000000004</v>
      </c>
      <c r="N51" s="21" t="s">
        <v>811</v>
      </c>
      <c r="O51" s="21"/>
      <c r="P51" s="21" t="s">
        <v>761</v>
      </c>
      <c r="Q51" s="21"/>
      <c r="R51" s="203"/>
      <c r="S51" s="203"/>
    </row>
    <row r="52" spans="1:19" ht="18.75">
      <c r="A52" s="21">
        <f t="shared" si="3"/>
        <v>47</v>
      </c>
      <c r="B52" s="7"/>
      <c r="C52" s="92" t="s">
        <v>316</v>
      </c>
      <c r="D52" s="92">
        <v>61</v>
      </c>
      <c r="E52" s="21" t="s">
        <v>769</v>
      </c>
      <c r="F52" s="7"/>
      <c r="G52" s="21" t="s">
        <v>810</v>
      </c>
      <c r="H52" s="21">
        <v>15</v>
      </c>
      <c r="I52" s="21"/>
      <c r="J52" s="21"/>
      <c r="K52" s="21"/>
      <c r="L52" s="21"/>
      <c r="M52" s="21">
        <f t="shared" si="4"/>
        <v>3483.1000000000004</v>
      </c>
      <c r="N52" s="21" t="s">
        <v>811</v>
      </c>
      <c r="O52" s="21"/>
      <c r="P52" s="21" t="s">
        <v>761</v>
      </c>
      <c r="Q52" s="21"/>
      <c r="R52" s="203"/>
      <c r="S52" s="203"/>
    </row>
    <row r="53" spans="1:19" ht="18.75">
      <c r="A53" s="21">
        <f t="shared" si="3"/>
        <v>48</v>
      </c>
      <c r="B53" s="7"/>
      <c r="C53" s="92" t="s">
        <v>625</v>
      </c>
      <c r="D53" s="92">
        <v>80</v>
      </c>
      <c r="E53" s="21" t="s">
        <v>769</v>
      </c>
      <c r="F53" s="7"/>
      <c r="G53" s="21" t="s">
        <v>810</v>
      </c>
      <c r="H53" s="21">
        <v>92</v>
      </c>
      <c r="I53" s="21"/>
      <c r="J53" s="21"/>
      <c r="K53" s="21"/>
      <c r="L53" s="21"/>
      <c r="M53" s="21">
        <f t="shared" si="4"/>
        <v>3575.1000000000004</v>
      </c>
      <c r="N53" s="21" t="s">
        <v>811</v>
      </c>
      <c r="O53" s="21"/>
      <c r="P53" s="21" t="s">
        <v>761</v>
      </c>
      <c r="Q53" s="21"/>
      <c r="R53" s="203"/>
      <c r="S53" s="203"/>
    </row>
    <row r="54" spans="1:19" ht="18.75">
      <c r="A54" s="21">
        <f t="shared" si="3"/>
        <v>49</v>
      </c>
      <c r="B54" s="7"/>
      <c r="C54" s="92" t="s">
        <v>625</v>
      </c>
      <c r="D54" s="92">
        <v>88</v>
      </c>
      <c r="E54" s="21" t="s">
        <v>769</v>
      </c>
      <c r="F54" s="7"/>
      <c r="G54" s="21" t="s">
        <v>810</v>
      </c>
      <c r="H54" s="21">
        <v>133.5</v>
      </c>
      <c r="I54" s="21"/>
      <c r="J54" s="21"/>
      <c r="K54" s="21"/>
      <c r="L54" s="21"/>
      <c r="M54" s="21">
        <f t="shared" si="4"/>
        <v>3708.6000000000004</v>
      </c>
      <c r="N54" s="21" t="s">
        <v>766</v>
      </c>
      <c r="O54" s="21"/>
      <c r="P54" s="21" t="s">
        <v>761</v>
      </c>
      <c r="Q54" s="21"/>
      <c r="R54" s="203"/>
      <c r="S54" s="203"/>
    </row>
    <row r="55" spans="1:19" ht="18.75">
      <c r="A55" s="21">
        <f t="shared" si="3"/>
        <v>50</v>
      </c>
      <c r="B55" s="7"/>
      <c r="C55" s="92" t="s">
        <v>274</v>
      </c>
      <c r="D55" s="92">
        <v>100</v>
      </c>
      <c r="E55" s="21" t="s">
        <v>769</v>
      </c>
      <c r="F55" s="7"/>
      <c r="G55" s="21" t="s">
        <v>810</v>
      </c>
      <c r="H55" s="21">
        <v>112.3</v>
      </c>
      <c r="I55" s="21"/>
      <c r="J55" s="21"/>
      <c r="K55" s="21"/>
      <c r="L55" s="21"/>
      <c r="M55" s="21">
        <f t="shared" si="4"/>
        <v>3820.9000000000005</v>
      </c>
      <c r="N55" s="21" t="s">
        <v>811</v>
      </c>
      <c r="O55" s="21"/>
      <c r="P55" s="21" t="s">
        <v>761</v>
      </c>
      <c r="Q55" s="21"/>
      <c r="R55" s="203"/>
      <c r="S55" s="203"/>
    </row>
    <row r="56" spans="1:19" ht="18.75">
      <c r="A56" s="21">
        <f t="shared" si="3"/>
        <v>51</v>
      </c>
      <c r="B56" s="7"/>
      <c r="C56" s="92" t="s">
        <v>639</v>
      </c>
      <c r="D56" s="92">
        <v>78</v>
      </c>
      <c r="E56" s="21" t="s">
        <v>769</v>
      </c>
      <c r="F56" s="7"/>
      <c r="G56" s="21" t="s">
        <v>810</v>
      </c>
      <c r="H56" s="21">
        <v>87</v>
      </c>
      <c r="I56" s="21"/>
      <c r="J56" s="21"/>
      <c r="K56" s="21"/>
      <c r="L56" s="21"/>
      <c r="M56" s="21">
        <f t="shared" si="4"/>
        <v>3907.9000000000005</v>
      </c>
      <c r="N56" s="21" t="s">
        <v>811</v>
      </c>
      <c r="O56" s="21"/>
      <c r="P56" s="21" t="s">
        <v>761</v>
      </c>
      <c r="Q56" s="21"/>
      <c r="R56" s="203"/>
      <c r="S56" s="203"/>
    </row>
    <row r="57" spans="1:19" ht="18.75">
      <c r="A57" s="21">
        <f t="shared" si="3"/>
        <v>52</v>
      </c>
      <c r="B57" s="7"/>
      <c r="C57" s="92" t="s">
        <v>639</v>
      </c>
      <c r="D57" s="92">
        <v>64</v>
      </c>
      <c r="E57" s="21" t="s">
        <v>769</v>
      </c>
      <c r="F57" s="7"/>
      <c r="G57" s="21" t="s">
        <v>810</v>
      </c>
      <c r="H57" s="21">
        <v>151.6</v>
      </c>
      <c r="I57" s="21"/>
      <c r="J57" s="21"/>
      <c r="K57" s="21"/>
      <c r="L57" s="21"/>
      <c r="M57" s="21">
        <f t="shared" si="4"/>
        <v>4059.5000000000005</v>
      </c>
      <c r="N57" s="21" t="s">
        <v>811</v>
      </c>
      <c r="O57" s="21"/>
      <c r="P57" s="21" t="s">
        <v>761</v>
      </c>
      <c r="Q57" s="21"/>
      <c r="R57" s="203"/>
      <c r="S57" s="203"/>
    </row>
    <row r="58" spans="1:19" ht="18.75">
      <c r="A58" s="21">
        <f t="shared" si="3"/>
        <v>53</v>
      </c>
      <c r="B58" s="7"/>
      <c r="C58" s="92" t="s">
        <v>639</v>
      </c>
      <c r="D58" s="92">
        <v>64</v>
      </c>
      <c r="E58" s="21" t="s">
        <v>193</v>
      </c>
      <c r="F58" s="92">
        <v>0.36299999999999999</v>
      </c>
      <c r="G58" s="21" t="s">
        <v>810</v>
      </c>
      <c r="H58" s="21">
        <v>4</v>
      </c>
      <c r="I58" s="21"/>
      <c r="J58" s="21"/>
      <c r="K58" s="21"/>
      <c r="L58" s="21"/>
      <c r="M58" s="21">
        <f t="shared" si="4"/>
        <v>4063.5000000000005</v>
      </c>
      <c r="N58" s="21"/>
      <c r="O58" s="21"/>
      <c r="P58" s="21" t="s">
        <v>761</v>
      </c>
      <c r="Q58" s="21">
        <v>4</v>
      </c>
      <c r="R58" s="203"/>
      <c r="S58" s="203"/>
    </row>
    <row r="59" spans="1:19" ht="18.75">
      <c r="A59" s="21">
        <f t="shared" si="3"/>
        <v>54</v>
      </c>
      <c r="B59" s="7"/>
      <c r="C59" s="92" t="s">
        <v>254</v>
      </c>
      <c r="D59" s="92">
        <v>68</v>
      </c>
      <c r="E59" s="21" t="s">
        <v>769</v>
      </c>
      <c r="F59" s="7"/>
      <c r="G59" s="21" t="s">
        <v>810</v>
      </c>
      <c r="H59" s="21">
        <v>91.9</v>
      </c>
      <c r="I59" s="21"/>
      <c r="J59" s="21"/>
      <c r="K59" s="21"/>
      <c r="L59" s="21"/>
      <c r="M59" s="21">
        <f t="shared" si="4"/>
        <v>4155.4000000000005</v>
      </c>
      <c r="N59" s="21" t="s">
        <v>811</v>
      </c>
      <c r="O59" s="21"/>
      <c r="P59" s="21" t="s">
        <v>761</v>
      </c>
      <c r="Q59" s="21"/>
      <c r="R59" s="203"/>
      <c r="S59" s="203"/>
    </row>
    <row r="60" spans="1:19" ht="18.75">
      <c r="A60" s="21">
        <f t="shared" si="3"/>
        <v>55</v>
      </c>
      <c r="B60" s="7"/>
      <c r="C60" s="92" t="s">
        <v>274</v>
      </c>
      <c r="D60" s="92">
        <v>59</v>
      </c>
      <c r="E60" s="21" t="s">
        <v>769</v>
      </c>
      <c r="F60" s="7"/>
      <c r="G60" s="21" t="s">
        <v>810</v>
      </c>
      <c r="H60" s="21">
        <v>128</v>
      </c>
      <c r="I60" s="21"/>
      <c r="J60" s="21"/>
      <c r="K60" s="21"/>
      <c r="L60" s="21"/>
      <c r="M60" s="21">
        <f t="shared" si="4"/>
        <v>4283.4000000000005</v>
      </c>
      <c r="N60" s="21" t="s">
        <v>811</v>
      </c>
      <c r="O60" s="21"/>
      <c r="P60" s="21" t="s">
        <v>761</v>
      </c>
      <c r="Q60" s="21"/>
      <c r="R60" s="203"/>
      <c r="S60" s="203"/>
    </row>
    <row r="61" spans="1:19" ht="18.75">
      <c r="A61" s="21">
        <f t="shared" si="3"/>
        <v>56</v>
      </c>
      <c r="B61" s="7"/>
      <c r="C61" s="92" t="s">
        <v>259</v>
      </c>
      <c r="D61" s="92">
        <v>46</v>
      </c>
      <c r="E61" s="21" t="s">
        <v>769</v>
      </c>
      <c r="F61" s="7"/>
      <c r="G61" s="21" t="s">
        <v>810</v>
      </c>
      <c r="H61" s="21">
        <v>106</v>
      </c>
      <c r="I61" s="21"/>
      <c r="J61" s="21"/>
      <c r="K61" s="21"/>
      <c r="L61" s="21"/>
      <c r="M61" s="21">
        <f t="shared" si="4"/>
        <v>4389.4000000000005</v>
      </c>
      <c r="N61" s="21" t="s">
        <v>811</v>
      </c>
      <c r="O61" s="21"/>
      <c r="P61" s="21" t="s">
        <v>761</v>
      </c>
      <c r="Q61" s="21"/>
      <c r="R61" s="203"/>
      <c r="S61" s="203"/>
    </row>
    <row r="62" spans="1:19" ht="18.75">
      <c r="A62" s="21">
        <f t="shared" si="3"/>
        <v>57</v>
      </c>
      <c r="B62" s="7"/>
      <c r="C62" s="92" t="s">
        <v>268</v>
      </c>
      <c r="D62" s="92">
        <v>54</v>
      </c>
      <c r="E62" s="21" t="s">
        <v>769</v>
      </c>
      <c r="F62" s="7"/>
      <c r="G62" s="21" t="s">
        <v>810</v>
      </c>
      <c r="H62" s="21">
        <v>30</v>
      </c>
      <c r="I62" s="21"/>
      <c r="J62" s="21"/>
      <c r="K62" s="21"/>
      <c r="L62" s="21"/>
      <c r="M62" s="21">
        <f t="shared" si="4"/>
        <v>4419.4000000000005</v>
      </c>
      <c r="N62" s="21" t="s">
        <v>811</v>
      </c>
      <c r="O62" s="21"/>
      <c r="P62" s="21" t="s">
        <v>761</v>
      </c>
      <c r="Q62" s="21"/>
      <c r="R62" s="203"/>
      <c r="S62" s="203"/>
    </row>
    <row r="63" spans="1:19" ht="18.75">
      <c r="A63" s="21">
        <f t="shared" si="3"/>
        <v>58</v>
      </c>
      <c r="B63" s="7"/>
      <c r="C63" s="92" t="s">
        <v>268</v>
      </c>
      <c r="D63" s="92">
        <v>50</v>
      </c>
      <c r="E63" s="21" t="s">
        <v>769</v>
      </c>
      <c r="F63" s="7"/>
      <c r="G63" s="21" t="s">
        <v>810</v>
      </c>
      <c r="H63" s="21">
        <v>20</v>
      </c>
      <c r="I63" s="21"/>
      <c r="J63" s="21"/>
      <c r="K63" s="21"/>
      <c r="L63" s="21"/>
      <c r="M63" s="21">
        <f t="shared" si="4"/>
        <v>4439.4000000000005</v>
      </c>
      <c r="N63" s="21" t="s">
        <v>811</v>
      </c>
      <c r="O63" s="21"/>
      <c r="P63" s="21" t="s">
        <v>761</v>
      </c>
      <c r="Q63" s="21"/>
      <c r="R63" s="203"/>
      <c r="S63" s="203"/>
    </row>
    <row r="64" spans="1:19" ht="18.75">
      <c r="A64" s="21">
        <f t="shared" si="3"/>
        <v>59</v>
      </c>
      <c r="B64" s="7"/>
      <c r="C64" s="92" t="s">
        <v>414</v>
      </c>
      <c r="D64" s="92">
        <v>55</v>
      </c>
      <c r="E64" s="21" t="s">
        <v>769</v>
      </c>
      <c r="F64" s="7"/>
      <c r="G64" s="21" t="s">
        <v>810</v>
      </c>
      <c r="H64" s="21"/>
      <c r="I64" s="21"/>
      <c r="J64" s="21"/>
      <c r="K64" s="19">
        <v>108</v>
      </c>
      <c r="L64" s="21"/>
      <c r="M64" s="21">
        <f t="shared" si="4"/>
        <v>4547.4000000000005</v>
      </c>
      <c r="N64" s="21" t="s">
        <v>811</v>
      </c>
      <c r="O64" s="21"/>
      <c r="P64" s="21" t="s">
        <v>761</v>
      </c>
      <c r="Q64" s="21"/>
      <c r="R64" s="203"/>
      <c r="S64" s="203"/>
    </row>
    <row r="65" spans="1:19" ht="18.75">
      <c r="A65" s="21">
        <f t="shared" si="3"/>
        <v>60</v>
      </c>
      <c r="B65" s="7"/>
      <c r="C65" s="92" t="s">
        <v>345</v>
      </c>
      <c r="D65" s="92">
        <v>107</v>
      </c>
      <c r="E65" s="21" t="s">
        <v>199</v>
      </c>
      <c r="F65" s="21">
        <v>0.41</v>
      </c>
      <c r="G65" s="21" t="s">
        <v>810</v>
      </c>
      <c r="H65" s="21"/>
      <c r="I65" s="21"/>
      <c r="J65" s="21"/>
      <c r="K65" s="19">
        <v>118.5</v>
      </c>
      <c r="L65" s="21"/>
      <c r="M65" s="21">
        <f t="shared" si="4"/>
        <v>4665.9000000000005</v>
      </c>
      <c r="N65" s="21" t="s">
        <v>766</v>
      </c>
      <c r="O65" s="21"/>
      <c r="P65" s="21" t="s">
        <v>761</v>
      </c>
      <c r="Q65" s="19">
        <v>118.5</v>
      </c>
      <c r="R65" s="153">
        <f t="shared" ref="R65:R67" si="7">58*0.45</f>
        <v>26.1</v>
      </c>
      <c r="S65" s="203"/>
    </row>
    <row r="66" spans="1:19" ht="18.75">
      <c r="A66" s="21">
        <f t="shared" si="3"/>
        <v>61</v>
      </c>
      <c r="B66" s="7"/>
      <c r="C66" s="92" t="s">
        <v>243</v>
      </c>
      <c r="D66" s="92" t="s">
        <v>239</v>
      </c>
      <c r="E66" s="21" t="s">
        <v>199</v>
      </c>
      <c r="F66" s="21">
        <v>0.41</v>
      </c>
      <c r="G66" s="21" t="s">
        <v>810</v>
      </c>
      <c r="H66" s="21"/>
      <c r="I66" s="21"/>
      <c r="J66" s="21"/>
      <c r="K66" s="19">
        <v>53.3</v>
      </c>
      <c r="L66" s="21"/>
      <c r="M66" s="21">
        <f t="shared" si="4"/>
        <v>4719.2000000000007</v>
      </c>
      <c r="N66" s="21" t="s">
        <v>811</v>
      </c>
      <c r="O66" s="21"/>
      <c r="P66" s="21" t="s">
        <v>761</v>
      </c>
      <c r="Q66" s="19">
        <v>53.3</v>
      </c>
      <c r="R66" s="153">
        <f t="shared" si="7"/>
        <v>26.1</v>
      </c>
      <c r="S66" s="203"/>
    </row>
    <row r="67" spans="1:19" ht="18.75">
      <c r="A67" s="21">
        <f t="shared" si="3"/>
        <v>62</v>
      </c>
      <c r="B67" s="7"/>
      <c r="C67" s="92" t="s">
        <v>243</v>
      </c>
      <c r="D67" s="92" t="s">
        <v>239</v>
      </c>
      <c r="E67" s="21" t="s">
        <v>199</v>
      </c>
      <c r="F67" s="21">
        <v>0.41</v>
      </c>
      <c r="G67" s="21" t="s">
        <v>810</v>
      </c>
      <c r="H67" s="21"/>
      <c r="I67" s="21"/>
      <c r="J67" s="21"/>
      <c r="K67" s="19">
        <v>25</v>
      </c>
      <c r="L67" s="21"/>
      <c r="M67" s="21">
        <f t="shared" si="4"/>
        <v>4744.2000000000007</v>
      </c>
      <c r="N67" s="21"/>
      <c r="O67" s="21"/>
      <c r="P67" s="21" t="s">
        <v>761</v>
      </c>
      <c r="Q67" s="19">
        <v>25</v>
      </c>
      <c r="R67" s="153">
        <f t="shared" si="7"/>
        <v>26.1</v>
      </c>
      <c r="S67" s="203"/>
    </row>
    <row r="68" spans="1:19" ht="18.75">
      <c r="A68" s="21">
        <f t="shared" si="3"/>
        <v>63</v>
      </c>
      <c r="B68" s="7"/>
      <c r="C68" s="92" t="s">
        <v>537</v>
      </c>
      <c r="D68" s="92">
        <v>74</v>
      </c>
      <c r="E68" s="21" t="s">
        <v>769</v>
      </c>
      <c r="F68" s="7"/>
      <c r="G68" s="21" t="s">
        <v>810</v>
      </c>
      <c r="H68" s="21"/>
      <c r="I68" s="21"/>
      <c r="J68" s="21">
        <v>155.80000000000001</v>
      </c>
      <c r="K68" s="21"/>
      <c r="L68" s="21"/>
      <c r="M68" s="21">
        <f t="shared" si="4"/>
        <v>4900.0000000000009</v>
      </c>
      <c r="N68" s="21" t="s">
        <v>766</v>
      </c>
      <c r="O68" s="21"/>
      <c r="P68" s="21" t="s">
        <v>761</v>
      </c>
      <c r="Q68" s="21"/>
      <c r="R68" s="203"/>
      <c r="S68" s="203"/>
    </row>
    <row r="69" spans="1:19" ht="18.75">
      <c r="A69" s="21">
        <f t="shared" si="3"/>
        <v>64</v>
      </c>
      <c r="B69" s="7"/>
      <c r="C69" s="92" t="s">
        <v>255</v>
      </c>
      <c r="D69" s="92">
        <v>60</v>
      </c>
      <c r="E69" s="21" t="s">
        <v>769</v>
      </c>
      <c r="F69" s="7"/>
      <c r="G69" s="21" t="s">
        <v>810</v>
      </c>
      <c r="H69" s="21"/>
      <c r="I69" s="21">
        <v>32</v>
      </c>
      <c r="J69" s="21"/>
      <c r="K69" s="21"/>
      <c r="L69" s="21"/>
      <c r="M69" s="21">
        <f t="shared" si="4"/>
        <v>4932.0000000000009</v>
      </c>
      <c r="N69" s="21" t="s">
        <v>766</v>
      </c>
      <c r="O69" s="21"/>
      <c r="P69" s="21" t="s">
        <v>761</v>
      </c>
      <c r="Q69" s="21"/>
      <c r="R69" s="203"/>
      <c r="S69" s="203"/>
    </row>
    <row r="70" spans="1:19" ht="18.75">
      <c r="A70" s="21">
        <f t="shared" si="3"/>
        <v>65</v>
      </c>
      <c r="B70" s="7"/>
      <c r="C70" s="92" t="s">
        <v>260</v>
      </c>
      <c r="D70" s="92">
        <v>31</v>
      </c>
      <c r="E70" s="21" t="s">
        <v>769</v>
      </c>
      <c r="F70" s="7"/>
      <c r="G70" s="21" t="s">
        <v>810</v>
      </c>
      <c r="H70" s="21"/>
      <c r="I70" s="21">
        <v>42.3</v>
      </c>
      <c r="J70" s="21"/>
      <c r="K70" s="21"/>
      <c r="L70" s="21"/>
      <c r="M70" s="21">
        <f t="shared" si="4"/>
        <v>4974.3000000000011</v>
      </c>
      <c r="N70" s="21" t="s">
        <v>766</v>
      </c>
      <c r="O70" s="21"/>
      <c r="P70" s="21" t="s">
        <v>761</v>
      </c>
      <c r="Q70" s="21"/>
      <c r="R70" s="203"/>
      <c r="S70" s="203"/>
    </row>
    <row r="71" spans="1:19" ht="18.75">
      <c r="A71" s="21">
        <f t="shared" si="3"/>
        <v>66</v>
      </c>
      <c r="B71" s="7"/>
      <c r="C71" s="92" t="s">
        <v>260</v>
      </c>
      <c r="D71" s="92">
        <v>71</v>
      </c>
      <c r="E71" s="21" t="s">
        <v>769</v>
      </c>
      <c r="F71" s="7"/>
      <c r="G71" s="21" t="s">
        <v>810</v>
      </c>
      <c r="H71" s="21"/>
      <c r="I71" s="21">
        <v>75</v>
      </c>
      <c r="J71" s="21"/>
      <c r="K71" s="21"/>
      <c r="L71" s="21"/>
      <c r="M71" s="21">
        <f t="shared" si="4"/>
        <v>5049.3000000000011</v>
      </c>
      <c r="N71" s="21" t="s">
        <v>766</v>
      </c>
      <c r="O71" s="21"/>
      <c r="P71" s="21" t="s">
        <v>761</v>
      </c>
      <c r="Q71" s="21"/>
      <c r="R71" s="203"/>
      <c r="S71" s="203"/>
    </row>
    <row r="72" spans="1:19" ht="18.75">
      <c r="A72" s="21">
        <f t="shared" si="3"/>
        <v>67</v>
      </c>
      <c r="B72" s="7"/>
      <c r="C72" s="92" t="s">
        <v>197</v>
      </c>
      <c r="D72" s="92">
        <v>17</v>
      </c>
      <c r="E72" s="21" t="s">
        <v>769</v>
      </c>
      <c r="F72" s="7"/>
      <c r="G72" s="21" t="s">
        <v>810</v>
      </c>
      <c r="H72" s="21">
        <v>37.4</v>
      </c>
      <c r="I72" s="21"/>
      <c r="J72" s="21"/>
      <c r="K72" s="21"/>
      <c r="L72" s="21"/>
      <c r="M72" s="21">
        <f t="shared" si="4"/>
        <v>5086.7000000000007</v>
      </c>
      <c r="N72" s="21" t="s">
        <v>811</v>
      </c>
      <c r="O72" s="21"/>
      <c r="P72" s="21" t="s">
        <v>761</v>
      </c>
      <c r="Q72" s="21"/>
      <c r="R72" s="203"/>
      <c r="S72" s="203"/>
    </row>
    <row r="73" spans="1:19" ht="18.75">
      <c r="A73" s="21">
        <f t="shared" ref="A73:A117" si="8">1+A72</f>
        <v>68</v>
      </c>
      <c r="B73" s="7"/>
      <c r="C73" s="92" t="s">
        <v>400</v>
      </c>
      <c r="D73" s="92">
        <v>23</v>
      </c>
      <c r="E73" s="21" t="s">
        <v>769</v>
      </c>
      <c r="F73" s="7"/>
      <c r="G73" s="21" t="s">
        <v>810</v>
      </c>
      <c r="H73" s="21">
        <v>32.6</v>
      </c>
      <c r="I73" s="21"/>
      <c r="J73" s="21"/>
      <c r="K73" s="21"/>
      <c r="L73" s="21"/>
      <c r="M73" s="21">
        <f t="shared" ref="M73:M117" si="9">+M72+H73+I73+J73+K73+L73</f>
        <v>5119.3000000000011</v>
      </c>
      <c r="N73" s="21" t="s">
        <v>811</v>
      </c>
      <c r="O73" s="21"/>
      <c r="P73" s="21" t="s">
        <v>761</v>
      </c>
      <c r="Q73" s="21"/>
      <c r="R73" s="203"/>
      <c r="S73" s="203"/>
    </row>
    <row r="74" spans="1:19" ht="18.75">
      <c r="A74" s="21">
        <f t="shared" si="8"/>
        <v>69</v>
      </c>
      <c r="B74" s="7"/>
      <c r="C74" s="92" t="s">
        <v>400</v>
      </c>
      <c r="D74" s="92">
        <v>41</v>
      </c>
      <c r="E74" s="21" t="s">
        <v>769</v>
      </c>
      <c r="F74" s="7"/>
      <c r="G74" s="21" t="s">
        <v>810</v>
      </c>
      <c r="H74" s="21">
        <v>25</v>
      </c>
      <c r="I74" s="21"/>
      <c r="J74" s="21"/>
      <c r="K74" s="21"/>
      <c r="L74" s="21"/>
      <c r="M74" s="21">
        <f t="shared" si="9"/>
        <v>5144.3000000000011</v>
      </c>
      <c r="N74" s="21" t="s">
        <v>811</v>
      </c>
      <c r="O74" s="21"/>
      <c r="P74" s="21" t="s">
        <v>761</v>
      </c>
      <c r="Q74" s="21"/>
      <c r="R74" s="203"/>
      <c r="S74" s="203"/>
    </row>
    <row r="75" spans="1:19" ht="18.75">
      <c r="A75" s="21">
        <f t="shared" si="8"/>
        <v>70</v>
      </c>
      <c r="B75" s="7"/>
      <c r="C75" s="92" t="s">
        <v>507</v>
      </c>
      <c r="D75" s="92">
        <v>53</v>
      </c>
      <c r="E75" s="21" t="s">
        <v>769</v>
      </c>
      <c r="F75" s="7"/>
      <c r="G75" s="21" t="s">
        <v>810</v>
      </c>
      <c r="H75" s="21">
        <v>26.8</v>
      </c>
      <c r="I75" s="21"/>
      <c r="J75" s="21"/>
      <c r="K75" s="21"/>
      <c r="L75" s="21"/>
      <c r="M75" s="21">
        <f t="shared" si="9"/>
        <v>5171.1000000000013</v>
      </c>
      <c r="N75" s="21" t="s">
        <v>811</v>
      </c>
      <c r="O75" s="21"/>
      <c r="P75" s="21" t="s">
        <v>761</v>
      </c>
      <c r="Q75" s="21"/>
      <c r="R75" s="203"/>
      <c r="S75" s="203"/>
    </row>
    <row r="76" spans="1:19" ht="18.75">
      <c r="A76" s="21">
        <f t="shared" si="8"/>
        <v>71</v>
      </c>
      <c r="B76" s="7"/>
      <c r="C76" s="92" t="s">
        <v>507</v>
      </c>
      <c r="D76" s="92">
        <v>6</v>
      </c>
      <c r="E76" s="21" t="s">
        <v>769</v>
      </c>
      <c r="F76" s="7"/>
      <c r="G76" s="21" t="s">
        <v>810</v>
      </c>
      <c r="H76" s="21">
        <v>73</v>
      </c>
      <c r="I76" s="21"/>
      <c r="J76" s="21"/>
      <c r="K76" s="21"/>
      <c r="L76" s="21"/>
      <c r="M76" s="21">
        <f t="shared" si="9"/>
        <v>5244.1000000000013</v>
      </c>
      <c r="N76" s="21" t="s">
        <v>811</v>
      </c>
      <c r="O76" s="21"/>
      <c r="P76" s="21" t="s">
        <v>761</v>
      </c>
      <c r="Q76" s="21"/>
      <c r="R76" s="203"/>
      <c r="S76" s="203"/>
    </row>
    <row r="77" spans="1:19" ht="18.75">
      <c r="A77" s="21">
        <f t="shared" si="8"/>
        <v>72</v>
      </c>
      <c r="B77" s="7"/>
      <c r="C77" s="92" t="s">
        <v>595</v>
      </c>
      <c r="D77" s="92">
        <v>5</v>
      </c>
      <c r="E77" s="21" t="s">
        <v>199</v>
      </c>
      <c r="F77" s="21">
        <v>0.36299999999999999</v>
      </c>
      <c r="G77" s="21" t="s">
        <v>810</v>
      </c>
      <c r="H77" s="21">
        <v>40</v>
      </c>
      <c r="I77" s="21"/>
      <c r="J77" s="21"/>
      <c r="K77" s="21"/>
      <c r="L77" s="21"/>
      <c r="M77" s="21">
        <f t="shared" si="9"/>
        <v>5284.1000000000013</v>
      </c>
      <c r="N77" s="21" t="s">
        <v>811</v>
      </c>
      <c r="O77" s="21"/>
      <c r="P77" s="21" t="s">
        <v>761</v>
      </c>
      <c r="Q77" s="21">
        <v>40</v>
      </c>
      <c r="R77" s="153">
        <f>58*0.45</f>
        <v>26.1</v>
      </c>
      <c r="S77" s="203"/>
    </row>
    <row r="78" spans="1:19" ht="18.75">
      <c r="A78" s="21">
        <f t="shared" si="8"/>
        <v>73</v>
      </c>
      <c r="B78" s="7"/>
      <c r="C78" s="92" t="s">
        <v>595</v>
      </c>
      <c r="D78" s="92">
        <v>13</v>
      </c>
      <c r="E78" s="21" t="s">
        <v>769</v>
      </c>
      <c r="F78" s="7"/>
      <c r="G78" s="21" t="s">
        <v>810</v>
      </c>
      <c r="H78" s="21">
        <v>41.5</v>
      </c>
      <c r="I78" s="21"/>
      <c r="J78" s="21"/>
      <c r="K78" s="21"/>
      <c r="L78" s="21"/>
      <c r="M78" s="21">
        <f t="shared" si="9"/>
        <v>5325.6000000000013</v>
      </c>
      <c r="N78" s="21" t="s">
        <v>811</v>
      </c>
      <c r="O78" s="21"/>
      <c r="P78" s="21" t="s">
        <v>761</v>
      </c>
      <c r="Q78" s="21"/>
      <c r="R78" s="203"/>
      <c r="S78" s="203"/>
    </row>
    <row r="79" spans="1:19" ht="18.75">
      <c r="A79" s="21">
        <f t="shared" si="8"/>
        <v>74</v>
      </c>
      <c r="B79" s="7"/>
      <c r="C79" s="92" t="s">
        <v>426</v>
      </c>
      <c r="D79" s="92">
        <v>71</v>
      </c>
      <c r="E79" s="21" t="s">
        <v>769</v>
      </c>
      <c r="F79" s="7"/>
      <c r="G79" s="21" t="s">
        <v>810</v>
      </c>
      <c r="H79" s="21"/>
      <c r="I79" s="21">
        <v>16</v>
      </c>
      <c r="J79" s="21"/>
      <c r="K79" s="21"/>
      <c r="L79" s="21"/>
      <c r="M79" s="21">
        <f t="shared" si="9"/>
        <v>5341.6000000000013</v>
      </c>
      <c r="N79" s="21" t="s">
        <v>811</v>
      </c>
      <c r="O79" s="21"/>
      <c r="P79" s="21" t="s">
        <v>761</v>
      </c>
      <c r="Q79" s="21"/>
      <c r="R79" s="203"/>
      <c r="S79" s="203"/>
    </row>
    <row r="80" spans="1:19" ht="18.75">
      <c r="A80" s="21">
        <f t="shared" si="8"/>
        <v>75</v>
      </c>
      <c r="B80" s="7"/>
      <c r="C80" s="92" t="s">
        <v>426</v>
      </c>
      <c r="D80" s="92">
        <v>79</v>
      </c>
      <c r="E80" s="21" t="s">
        <v>769</v>
      </c>
      <c r="F80" s="7"/>
      <c r="G80" s="21" t="s">
        <v>810</v>
      </c>
      <c r="H80" s="21"/>
      <c r="I80" s="21">
        <v>67.2</v>
      </c>
      <c r="J80" s="21"/>
      <c r="K80" s="21"/>
      <c r="L80" s="21"/>
      <c r="M80" s="21">
        <f t="shared" si="9"/>
        <v>5408.8000000000011</v>
      </c>
      <c r="N80" s="21" t="s">
        <v>766</v>
      </c>
      <c r="O80" s="21"/>
      <c r="P80" s="21" t="s">
        <v>761</v>
      </c>
      <c r="Q80" s="21"/>
      <c r="R80" s="203"/>
      <c r="S80" s="203"/>
    </row>
    <row r="81" spans="1:19" ht="18.75">
      <c r="A81" s="21">
        <f t="shared" si="8"/>
        <v>76</v>
      </c>
      <c r="B81" s="7"/>
      <c r="C81" s="92" t="s">
        <v>276</v>
      </c>
      <c r="D81" s="92">
        <v>81</v>
      </c>
      <c r="E81" s="21" t="s">
        <v>769</v>
      </c>
      <c r="F81" s="7"/>
      <c r="G81" s="21" t="s">
        <v>810</v>
      </c>
      <c r="H81" s="21"/>
      <c r="I81" s="21"/>
      <c r="J81" s="21">
        <v>60.8</v>
      </c>
      <c r="K81" s="21"/>
      <c r="L81" s="21"/>
      <c r="M81" s="21">
        <f t="shared" si="9"/>
        <v>5469.6000000000013</v>
      </c>
      <c r="N81" s="21" t="s">
        <v>766</v>
      </c>
      <c r="O81" s="21"/>
      <c r="P81" s="21" t="s">
        <v>761</v>
      </c>
      <c r="Q81" s="21"/>
      <c r="R81" s="203"/>
      <c r="S81" s="203"/>
    </row>
    <row r="82" spans="1:19" ht="15.75">
      <c r="A82" s="21">
        <f t="shared" si="8"/>
        <v>77</v>
      </c>
      <c r="B82" s="7"/>
      <c r="C82" s="92" t="s">
        <v>269</v>
      </c>
      <c r="D82" s="92">
        <v>2</v>
      </c>
      <c r="E82" s="21" t="s">
        <v>769</v>
      </c>
      <c r="F82" s="7"/>
      <c r="G82" s="21" t="s">
        <v>810</v>
      </c>
      <c r="H82" s="21">
        <v>30</v>
      </c>
      <c r="I82" s="21"/>
      <c r="J82" s="21"/>
      <c r="K82" s="21"/>
      <c r="L82" s="21"/>
      <c r="M82" s="21">
        <f t="shared" si="9"/>
        <v>5499.6000000000013</v>
      </c>
      <c r="N82" s="21" t="s">
        <v>766</v>
      </c>
      <c r="O82" s="21"/>
      <c r="P82" s="21" t="s">
        <v>761</v>
      </c>
      <c r="Q82" s="21"/>
      <c r="R82" s="8"/>
      <c r="S82" s="8"/>
    </row>
    <row r="83" spans="1:19" ht="15.75">
      <c r="A83" s="21">
        <f t="shared" si="8"/>
        <v>78</v>
      </c>
      <c r="B83" s="7"/>
      <c r="C83" s="92" t="s">
        <v>269</v>
      </c>
      <c r="D83" s="92">
        <v>88</v>
      </c>
      <c r="E83" s="21" t="s">
        <v>769</v>
      </c>
      <c r="F83" s="7"/>
      <c r="G83" s="21" t="s">
        <v>810</v>
      </c>
      <c r="H83" s="21"/>
      <c r="I83" s="21">
        <v>170.3</v>
      </c>
      <c r="J83" s="21"/>
      <c r="K83" s="21"/>
      <c r="L83" s="21"/>
      <c r="M83" s="21">
        <f t="shared" si="9"/>
        <v>5669.9000000000015</v>
      </c>
      <c r="N83" s="21" t="s">
        <v>766</v>
      </c>
      <c r="O83" s="21"/>
      <c r="P83" s="21" t="s">
        <v>761</v>
      </c>
      <c r="Q83" s="21"/>
      <c r="R83" s="8"/>
      <c r="S83" s="8"/>
    </row>
    <row r="84" spans="1:19" ht="15.75">
      <c r="A84" s="21">
        <f t="shared" si="8"/>
        <v>79</v>
      </c>
      <c r="B84" s="7"/>
      <c r="C84" s="92" t="s">
        <v>276</v>
      </c>
      <c r="D84" s="92">
        <v>111</v>
      </c>
      <c r="E84" s="21" t="s">
        <v>769</v>
      </c>
      <c r="F84" s="7"/>
      <c r="G84" s="21" t="s">
        <v>810</v>
      </c>
      <c r="H84" s="21"/>
      <c r="I84" s="21"/>
      <c r="J84" s="21">
        <f>59-4</f>
        <v>55</v>
      </c>
      <c r="K84" s="21"/>
      <c r="L84" s="21"/>
      <c r="M84" s="21">
        <f t="shared" si="9"/>
        <v>5724.9000000000015</v>
      </c>
      <c r="N84" s="21" t="s">
        <v>766</v>
      </c>
      <c r="O84" s="21"/>
      <c r="P84" s="21" t="s">
        <v>761</v>
      </c>
      <c r="Q84" s="21"/>
      <c r="R84" s="8"/>
      <c r="S84" s="8"/>
    </row>
    <row r="85" spans="1:19" ht="15.75">
      <c r="A85" s="21">
        <f t="shared" si="8"/>
        <v>80</v>
      </c>
      <c r="B85" s="7"/>
      <c r="C85" s="92" t="s">
        <v>276</v>
      </c>
      <c r="D85" s="92">
        <v>111</v>
      </c>
      <c r="E85" s="92" t="s">
        <v>193</v>
      </c>
      <c r="F85" s="92">
        <v>0.39</v>
      </c>
      <c r="G85" s="21" t="s">
        <v>810</v>
      </c>
      <c r="H85" s="21"/>
      <c r="I85" s="21"/>
      <c r="J85" s="21">
        <v>4</v>
      </c>
      <c r="K85" s="21"/>
      <c r="L85" s="21"/>
      <c r="M85" s="21">
        <f t="shared" si="9"/>
        <v>5728.9000000000015</v>
      </c>
      <c r="N85" s="21"/>
      <c r="O85" s="21"/>
      <c r="P85" s="21" t="s">
        <v>761</v>
      </c>
      <c r="Q85" s="21">
        <v>4</v>
      </c>
      <c r="R85" s="8"/>
      <c r="S85" s="8"/>
    </row>
    <row r="86" spans="1:19" ht="15.75">
      <c r="A86" s="21">
        <f t="shared" si="8"/>
        <v>81</v>
      </c>
      <c r="B86" s="7"/>
      <c r="C86" s="92" t="s">
        <v>346</v>
      </c>
      <c r="D86" s="92">
        <v>114</v>
      </c>
      <c r="E86" s="21" t="s">
        <v>769</v>
      </c>
      <c r="F86" s="7"/>
      <c r="G86" s="21" t="s">
        <v>810</v>
      </c>
      <c r="H86" s="21">
        <v>34</v>
      </c>
      <c r="I86" s="21"/>
      <c r="J86" s="21"/>
      <c r="K86" s="21"/>
      <c r="L86" s="21"/>
      <c r="M86" s="21">
        <f t="shared" si="9"/>
        <v>5762.9000000000015</v>
      </c>
      <c r="N86" s="21" t="s">
        <v>766</v>
      </c>
      <c r="O86" s="21"/>
      <c r="P86" s="21" t="s">
        <v>761</v>
      </c>
      <c r="Q86" s="21"/>
      <c r="R86" s="8"/>
      <c r="S86" s="8"/>
    </row>
    <row r="87" spans="1:19" ht="15.75">
      <c r="A87" s="21">
        <f t="shared" si="8"/>
        <v>82</v>
      </c>
      <c r="B87" s="7"/>
      <c r="C87" s="92" t="s">
        <v>346</v>
      </c>
      <c r="D87" s="92">
        <v>115</v>
      </c>
      <c r="E87" s="21" t="s">
        <v>769</v>
      </c>
      <c r="F87" s="7"/>
      <c r="G87" s="21" t="s">
        <v>810</v>
      </c>
      <c r="H87" s="21">
        <v>4.5</v>
      </c>
      <c r="I87" s="21"/>
      <c r="J87" s="21"/>
      <c r="K87" s="21"/>
      <c r="L87" s="21"/>
      <c r="M87" s="21">
        <f t="shared" si="9"/>
        <v>5767.4000000000015</v>
      </c>
      <c r="N87" s="21" t="s">
        <v>766</v>
      </c>
      <c r="O87" s="21"/>
      <c r="P87" s="21" t="s">
        <v>761</v>
      </c>
      <c r="Q87" s="21"/>
      <c r="R87" s="8"/>
      <c r="S87" s="8"/>
    </row>
    <row r="88" spans="1:19" ht="18.75">
      <c r="A88" s="21">
        <f t="shared" si="8"/>
        <v>83</v>
      </c>
      <c r="B88" s="7"/>
      <c r="C88" s="92" t="s">
        <v>346</v>
      </c>
      <c r="D88" s="92">
        <v>116</v>
      </c>
      <c r="E88" s="21" t="s">
        <v>199</v>
      </c>
      <c r="F88" s="21">
        <v>0.39</v>
      </c>
      <c r="G88" s="21" t="s">
        <v>810</v>
      </c>
      <c r="H88" s="21"/>
      <c r="I88" s="21"/>
      <c r="J88" s="21">
        <v>128.4</v>
      </c>
      <c r="K88" s="21"/>
      <c r="L88" s="21"/>
      <c r="M88" s="21">
        <f t="shared" si="9"/>
        <v>5895.8000000000011</v>
      </c>
      <c r="N88" s="21" t="s">
        <v>766</v>
      </c>
      <c r="O88" s="21"/>
      <c r="P88" s="21" t="s">
        <v>761</v>
      </c>
      <c r="Q88" s="21">
        <v>128.4</v>
      </c>
      <c r="R88" s="153">
        <f>58*0.45</f>
        <v>26.1</v>
      </c>
      <c r="S88" s="8"/>
    </row>
    <row r="89" spans="1:19" ht="15.75">
      <c r="A89" s="21">
        <f t="shared" si="8"/>
        <v>84</v>
      </c>
      <c r="B89" s="7"/>
      <c r="C89" s="92" t="s">
        <v>239</v>
      </c>
      <c r="D89" s="92">
        <v>70</v>
      </c>
      <c r="E89" s="21" t="s">
        <v>769</v>
      </c>
      <c r="F89" s="7"/>
      <c r="G89" s="21" t="s">
        <v>810</v>
      </c>
      <c r="H89" s="21"/>
      <c r="I89" s="21"/>
      <c r="J89" s="21">
        <v>109.7</v>
      </c>
      <c r="K89" s="21"/>
      <c r="L89" s="21"/>
      <c r="M89" s="21">
        <f t="shared" si="9"/>
        <v>6005.5000000000009</v>
      </c>
      <c r="N89" s="21" t="s">
        <v>766</v>
      </c>
      <c r="O89" s="21"/>
      <c r="P89" s="21" t="s">
        <v>761</v>
      </c>
      <c r="Q89" s="21"/>
      <c r="R89" s="8"/>
      <c r="S89" s="8"/>
    </row>
    <row r="90" spans="1:19" ht="15.75">
      <c r="A90" s="21">
        <f t="shared" si="8"/>
        <v>85</v>
      </c>
      <c r="B90" s="7"/>
      <c r="C90" s="92" t="s">
        <v>239</v>
      </c>
      <c r="D90" s="92">
        <v>107</v>
      </c>
      <c r="E90" s="21" t="s">
        <v>769</v>
      </c>
      <c r="F90" s="7"/>
      <c r="G90" s="21" t="s">
        <v>810</v>
      </c>
      <c r="H90" s="21"/>
      <c r="I90" s="21"/>
      <c r="J90" s="21"/>
      <c r="K90" s="19">
        <v>64.400000000000006</v>
      </c>
      <c r="L90" s="21"/>
      <c r="M90" s="21">
        <f t="shared" si="9"/>
        <v>6069.9000000000005</v>
      </c>
      <c r="N90" s="21" t="s">
        <v>811</v>
      </c>
      <c r="O90" s="21"/>
      <c r="P90" s="21" t="s">
        <v>761</v>
      </c>
      <c r="Q90" s="21"/>
      <c r="R90" s="8"/>
      <c r="S90" s="8"/>
    </row>
    <row r="91" spans="1:19" ht="15.75">
      <c r="A91" s="21">
        <f t="shared" si="8"/>
        <v>86</v>
      </c>
      <c r="B91" s="7"/>
      <c r="C91" s="92" t="s">
        <v>537</v>
      </c>
      <c r="D91" s="92">
        <v>35</v>
      </c>
      <c r="E91" s="21" t="s">
        <v>769</v>
      </c>
      <c r="F91" s="7"/>
      <c r="G91" s="21" t="s">
        <v>810</v>
      </c>
      <c r="H91" s="21"/>
      <c r="I91" s="21"/>
      <c r="J91" s="21"/>
      <c r="K91" s="19">
        <v>62.8</v>
      </c>
      <c r="L91" s="21"/>
      <c r="M91" s="21">
        <f t="shared" si="9"/>
        <v>6132.7000000000007</v>
      </c>
      <c r="N91" s="21" t="s">
        <v>811</v>
      </c>
      <c r="O91" s="21"/>
      <c r="P91" s="21" t="s">
        <v>761</v>
      </c>
      <c r="Q91" s="21"/>
      <c r="R91" s="8"/>
      <c r="S91" s="8"/>
    </row>
    <row r="92" spans="1:19" ht="15.75">
      <c r="A92" s="21">
        <f t="shared" si="8"/>
        <v>87</v>
      </c>
      <c r="B92" s="7"/>
      <c r="C92" s="92" t="s">
        <v>525</v>
      </c>
      <c r="D92" s="92">
        <v>14</v>
      </c>
      <c r="E92" s="21" t="s">
        <v>769</v>
      </c>
      <c r="F92" s="7"/>
      <c r="G92" s="21" t="s">
        <v>810</v>
      </c>
      <c r="H92" s="21"/>
      <c r="I92" s="21"/>
      <c r="J92" s="21"/>
      <c r="K92" s="21"/>
      <c r="L92" s="21">
        <v>62</v>
      </c>
      <c r="M92" s="21">
        <f t="shared" si="9"/>
        <v>6194.7000000000007</v>
      </c>
      <c r="N92" s="21" t="s">
        <v>811</v>
      </c>
      <c r="O92" s="21"/>
      <c r="P92" s="21" t="s">
        <v>761</v>
      </c>
      <c r="Q92" s="21"/>
      <c r="R92" s="8"/>
      <c r="S92" s="8"/>
    </row>
    <row r="93" spans="1:19" ht="15.75">
      <c r="A93" s="21">
        <f t="shared" si="8"/>
        <v>88</v>
      </c>
      <c r="B93" s="7"/>
      <c r="C93" s="92" t="s">
        <v>349</v>
      </c>
      <c r="D93" s="92">
        <v>15</v>
      </c>
      <c r="E93" s="21" t="s">
        <v>769</v>
      </c>
      <c r="F93" s="7"/>
      <c r="G93" s="21" t="s">
        <v>810</v>
      </c>
      <c r="H93" s="21"/>
      <c r="I93" s="21"/>
      <c r="J93" s="21"/>
      <c r="K93" s="21"/>
      <c r="L93" s="21">
        <v>8</v>
      </c>
      <c r="M93" s="21">
        <f t="shared" si="9"/>
        <v>6202.7000000000007</v>
      </c>
      <c r="N93" s="21" t="s">
        <v>811</v>
      </c>
      <c r="O93" s="21"/>
      <c r="P93" s="21" t="s">
        <v>761</v>
      </c>
      <c r="Q93" s="21"/>
      <c r="R93" s="8"/>
      <c r="S93" s="8"/>
    </row>
    <row r="94" spans="1:19" ht="15.75">
      <c r="A94" s="21">
        <f t="shared" si="8"/>
        <v>89</v>
      </c>
      <c r="B94" s="7"/>
      <c r="C94" s="92" t="s">
        <v>540</v>
      </c>
      <c r="D94" s="92">
        <v>75</v>
      </c>
      <c r="E94" s="21" t="s">
        <v>769</v>
      </c>
      <c r="F94" s="7"/>
      <c r="G94" s="21" t="s">
        <v>810</v>
      </c>
      <c r="H94" s="21"/>
      <c r="I94" s="21"/>
      <c r="J94" s="21"/>
      <c r="K94" s="21"/>
      <c r="L94" s="21">
        <v>274.2</v>
      </c>
      <c r="M94" s="21">
        <f t="shared" si="9"/>
        <v>6476.9000000000005</v>
      </c>
      <c r="N94" s="21" t="s">
        <v>811</v>
      </c>
      <c r="O94" s="21"/>
      <c r="P94" s="21" t="s">
        <v>761</v>
      </c>
      <c r="Q94" s="21"/>
      <c r="R94" s="8"/>
      <c r="S94" s="8"/>
    </row>
    <row r="95" spans="1:19" ht="18.75">
      <c r="A95" s="21">
        <f t="shared" si="8"/>
        <v>90</v>
      </c>
      <c r="B95" s="7"/>
      <c r="C95" s="92" t="s">
        <v>275</v>
      </c>
      <c r="D95" s="92">
        <v>45</v>
      </c>
      <c r="E95" s="21" t="s">
        <v>199</v>
      </c>
      <c r="F95" s="21">
        <v>0.375</v>
      </c>
      <c r="G95" s="21" t="s">
        <v>810</v>
      </c>
      <c r="H95" s="92"/>
      <c r="I95" s="92">
        <v>116.1</v>
      </c>
      <c r="J95" s="21"/>
      <c r="K95" s="21"/>
      <c r="L95" s="21"/>
      <c r="M95" s="21">
        <f t="shared" si="9"/>
        <v>6593.0000000000009</v>
      </c>
      <c r="N95" s="21" t="s">
        <v>766</v>
      </c>
      <c r="O95" s="21"/>
      <c r="P95" s="21" t="s">
        <v>761</v>
      </c>
      <c r="Q95" s="92">
        <v>116.1</v>
      </c>
      <c r="R95" s="153">
        <f>58*0.45</f>
        <v>26.1</v>
      </c>
      <c r="S95" s="8"/>
    </row>
    <row r="96" spans="1:19" ht="18.75">
      <c r="A96" s="21">
        <f t="shared" si="8"/>
        <v>91</v>
      </c>
      <c r="B96" s="7"/>
      <c r="C96" s="92" t="s">
        <v>267</v>
      </c>
      <c r="D96" s="92">
        <v>7</v>
      </c>
      <c r="E96" s="21" t="s">
        <v>769</v>
      </c>
      <c r="F96" s="7"/>
      <c r="G96" s="21" t="s">
        <v>810</v>
      </c>
      <c r="H96" s="92">
        <v>53.5</v>
      </c>
      <c r="I96" s="92"/>
      <c r="J96" s="21"/>
      <c r="K96" s="21"/>
      <c r="L96" s="21"/>
      <c r="M96" s="21">
        <f t="shared" si="9"/>
        <v>6646.5000000000009</v>
      </c>
      <c r="N96" s="21" t="s">
        <v>766</v>
      </c>
      <c r="O96" s="21"/>
      <c r="P96" s="21" t="s">
        <v>761</v>
      </c>
      <c r="Q96" s="21"/>
      <c r="R96" s="203"/>
      <c r="S96" s="8"/>
    </row>
    <row r="97" spans="1:19" ht="18.75">
      <c r="A97" s="21">
        <f t="shared" si="8"/>
        <v>92</v>
      </c>
      <c r="B97" s="7"/>
      <c r="C97" s="92" t="s">
        <v>267</v>
      </c>
      <c r="D97" s="92">
        <v>10</v>
      </c>
      <c r="E97" s="21" t="s">
        <v>769</v>
      </c>
      <c r="F97" s="7"/>
      <c r="G97" s="21" t="s">
        <v>810</v>
      </c>
      <c r="H97" s="92"/>
      <c r="I97" s="92">
        <f>102.6-3</f>
        <v>99.6</v>
      </c>
      <c r="J97" s="21"/>
      <c r="K97" s="21"/>
      <c r="L97" s="21"/>
      <c r="M97" s="21">
        <f t="shared" si="9"/>
        <v>6746.1000000000013</v>
      </c>
      <c r="N97" s="21" t="s">
        <v>766</v>
      </c>
      <c r="O97" s="21"/>
      <c r="P97" s="21" t="s">
        <v>761</v>
      </c>
      <c r="Q97" s="92">
        <v>3</v>
      </c>
      <c r="R97" s="203"/>
      <c r="S97" s="8"/>
    </row>
    <row r="98" spans="1:19" ht="18.75">
      <c r="A98" s="21">
        <f t="shared" si="8"/>
        <v>93</v>
      </c>
      <c r="B98" s="7"/>
      <c r="C98" s="92" t="s">
        <v>267</v>
      </c>
      <c r="D98" s="92">
        <v>10</v>
      </c>
      <c r="E98" s="21" t="s">
        <v>193</v>
      </c>
      <c r="F98" s="21">
        <v>0.375</v>
      </c>
      <c r="G98" s="21" t="s">
        <v>810</v>
      </c>
      <c r="H98" s="92"/>
      <c r="I98" s="92">
        <v>3</v>
      </c>
      <c r="J98" s="21"/>
      <c r="K98" s="21"/>
      <c r="L98" s="21"/>
      <c r="M98" s="21">
        <f t="shared" si="9"/>
        <v>6749.1000000000013</v>
      </c>
      <c r="N98" s="21"/>
      <c r="O98" s="21"/>
      <c r="P98" s="21" t="s">
        <v>761</v>
      </c>
      <c r="Q98" s="21"/>
      <c r="R98" s="203"/>
      <c r="S98" s="8"/>
    </row>
    <row r="99" spans="1:19" ht="18.75">
      <c r="A99" s="21">
        <f t="shared" si="8"/>
        <v>94</v>
      </c>
      <c r="B99" s="7"/>
      <c r="C99" s="92" t="s">
        <v>356</v>
      </c>
      <c r="D99" s="92">
        <v>22</v>
      </c>
      <c r="E99" s="21" t="s">
        <v>769</v>
      </c>
      <c r="F99" s="7"/>
      <c r="G99" s="21" t="s">
        <v>810</v>
      </c>
      <c r="H99" s="92">
        <v>80.5</v>
      </c>
      <c r="I99" s="92"/>
      <c r="J99" s="21"/>
      <c r="K99" s="21"/>
      <c r="L99" s="21"/>
      <c r="M99" s="21">
        <f t="shared" si="9"/>
        <v>6829.6000000000013</v>
      </c>
      <c r="N99" s="21" t="s">
        <v>811</v>
      </c>
      <c r="O99" s="21"/>
      <c r="P99" s="21" t="s">
        <v>761</v>
      </c>
      <c r="Q99" s="21"/>
      <c r="R99" s="203"/>
      <c r="S99" s="8"/>
    </row>
    <row r="100" spans="1:19" ht="18.75">
      <c r="A100" s="21">
        <f t="shared" si="8"/>
        <v>95</v>
      </c>
      <c r="B100" s="7"/>
      <c r="C100" s="92" t="s">
        <v>283</v>
      </c>
      <c r="D100" s="92">
        <v>21</v>
      </c>
      <c r="E100" s="21" t="s">
        <v>769</v>
      </c>
      <c r="F100" s="7"/>
      <c r="G100" s="21" t="s">
        <v>810</v>
      </c>
      <c r="H100" s="92">
        <v>36</v>
      </c>
      <c r="I100" s="92"/>
      <c r="J100" s="21"/>
      <c r="K100" s="21"/>
      <c r="L100" s="21"/>
      <c r="M100" s="21">
        <f t="shared" si="9"/>
        <v>6865.6000000000013</v>
      </c>
      <c r="N100" s="21" t="s">
        <v>811</v>
      </c>
      <c r="O100" s="21"/>
      <c r="P100" s="21" t="s">
        <v>761</v>
      </c>
      <c r="Q100" s="21"/>
      <c r="R100" s="203"/>
      <c r="S100" s="8"/>
    </row>
    <row r="101" spans="1:19" ht="18.75">
      <c r="A101" s="21">
        <f t="shared" si="8"/>
        <v>96</v>
      </c>
      <c r="B101" s="7"/>
      <c r="C101" s="92" t="s">
        <v>283</v>
      </c>
      <c r="D101" s="92">
        <v>34</v>
      </c>
      <c r="E101" s="21" t="s">
        <v>769</v>
      </c>
      <c r="F101" s="7"/>
      <c r="G101" s="21" t="s">
        <v>810</v>
      </c>
      <c r="H101" s="92">
        <v>296</v>
      </c>
      <c r="I101" s="92"/>
      <c r="J101" s="21"/>
      <c r="K101" s="21"/>
      <c r="L101" s="21"/>
      <c r="M101" s="21">
        <f t="shared" si="9"/>
        <v>7161.6000000000013</v>
      </c>
      <c r="N101" s="21" t="s">
        <v>811</v>
      </c>
      <c r="O101" s="21"/>
      <c r="P101" s="21" t="s">
        <v>761</v>
      </c>
      <c r="Q101" s="21"/>
      <c r="R101" s="203"/>
      <c r="S101" s="8"/>
    </row>
    <row r="102" spans="1:19" ht="18.75">
      <c r="A102" s="21">
        <f t="shared" si="8"/>
        <v>97</v>
      </c>
      <c r="B102" s="7"/>
      <c r="C102" s="92" t="s">
        <v>392</v>
      </c>
      <c r="D102" s="92">
        <v>18</v>
      </c>
      <c r="E102" s="92" t="s">
        <v>301</v>
      </c>
      <c r="F102" s="92">
        <v>0.36299999999999999</v>
      </c>
      <c r="G102" s="21" t="s">
        <v>810</v>
      </c>
      <c r="H102" s="92">
        <v>119</v>
      </c>
      <c r="I102" s="92"/>
      <c r="J102" s="21"/>
      <c r="K102" s="21"/>
      <c r="L102" s="21"/>
      <c r="M102" s="21">
        <f t="shared" si="9"/>
        <v>7280.6000000000013</v>
      </c>
      <c r="N102" s="21" t="s">
        <v>811</v>
      </c>
      <c r="O102" s="21"/>
      <c r="P102" s="21" t="s">
        <v>761</v>
      </c>
      <c r="Q102" s="92">
        <v>119</v>
      </c>
      <c r="R102" s="203"/>
      <c r="S102" s="8"/>
    </row>
    <row r="103" spans="1:19" ht="18.75">
      <c r="A103" s="21">
        <f t="shared" si="8"/>
        <v>98</v>
      </c>
      <c r="B103" s="7"/>
      <c r="C103" s="92" t="s">
        <v>278</v>
      </c>
      <c r="D103" s="92">
        <v>12</v>
      </c>
      <c r="E103" s="21" t="s">
        <v>769</v>
      </c>
      <c r="F103" s="7"/>
      <c r="G103" s="21" t="s">
        <v>810</v>
      </c>
      <c r="H103" s="92">
        <v>22</v>
      </c>
      <c r="I103" s="92"/>
      <c r="J103" s="21"/>
      <c r="K103" s="21"/>
      <c r="L103" s="21"/>
      <c r="M103" s="21">
        <f t="shared" si="9"/>
        <v>7302.6000000000013</v>
      </c>
      <c r="N103" s="21" t="s">
        <v>811</v>
      </c>
      <c r="O103" s="21"/>
      <c r="P103" s="21" t="s">
        <v>761</v>
      </c>
      <c r="Q103" s="21"/>
      <c r="R103" s="203"/>
      <c r="S103" s="8"/>
    </row>
    <row r="104" spans="1:19" ht="18.75">
      <c r="A104" s="21">
        <f t="shared" si="8"/>
        <v>99</v>
      </c>
      <c r="B104" s="7"/>
      <c r="C104" s="92" t="s">
        <v>278</v>
      </c>
      <c r="D104" s="92">
        <v>58</v>
      </c>
      <c r="E104" s="21" t="s">
        <v>769</v>
      </c>
      <c r="F104" s="7"/>
      <c r="G104" s="21" t="s">
        <v>810</v>
      </c>
      <c r="H104" s="92">
        <v>109.8</v>
      </c>
      <c r="I104" s="92"/>
      <c r="J104" s="21"/>
      <c r="K104" s="21"/>
      <c r="L104" s="21"/>
      <c r="M104" s="21">
        <f t="shared" si="9"/>
        <v>7412.4000000000015</v>
      </c>
      <c r="N104" s="21" t="s">
        <v>766</v>
      </c>
      <c r="O104" s="21"/>
      <c r="P104" s="21" t="s">
        <v>761</v>
      </c>
      <c r="Q104" s="21"/>
      <c r="R104" s="203"/>
      <c r="S104" s="8"/>
    </row>
    <row r="105" spans="1:19" ht="18.75">
      <c r="A105" s="21">
        <f t="shared" si="8"/>
        <v>100</v>
      </c>
      <c r="B105" s="7"/>
      <c r="C105" s="92" t="s">
        <v>262</v>
      </c>
      <c r="D105" s="92">
        <v>3</v>
      </c>
      <c r="E105" s="21" t="s">
        <v>769</v>
      </c>
      <c r="F105" s="7"/>
      <c r="G105" s="21" t="s">
        <v>810</v>
      </c>
      <c r="H105" s="92">
        <v>34.1</v>
      </c>
      <c r="I105" s="92"/>
      <c r="J105" s="21"/>
      <c r="K105" s="21"/>
      <c r="L105" s="21"/>
      <c r="M105" s="21">
        <f t="shared" si="9"/>
        <v>7446.5000000000018</v>
      </c>
      <c r="N105" s="21" t="s">
        <v>766</v>
      </c>
      <c r="O105" s="21"/>
      <c r="P105" s="21" t="s">
        <v>761</v>
      </c>
      <c r="Q105" s="21"/>
      <c r="R105" s="203"/>
      <c r="S105" s="8"/>
    </row>
    <row r="106" spans="1:19" ht="18.75">
      <c r="A106" s="21">
        <f t="shared" si="8"/>
        <v>101</v>
      </c>
      <c r="B106" s="7"/>
      <c r="C106" s="92" t="s">
        <v>262</v>
      </c>
      <c r="D106" s="92">
        <v>73</v>
      </c>
      <c r="E106" s="21" t="s">
        <v>769</v>
      </c>
      <c r="F106" s="7"/>
      <c r="G106" s="21" t="s">
        <v>810</v>
      </c>
      <c r="H106" s="92">
        <v>55</v>
      </c>
      <c r="I106" s="92"/>
      <c r="J106" s="21"/>
      <c r="K106" s="21"/>
      <c r="L106" s="21"/>
      <c r="M106" s="21">
        <f t="shared" si="9"/>
        <v>7501.5000000000018</v>
      </c>
      <c r="N106" s="21" t="s">
        <v>766</v>
      </c>
      <c r="O106" s="21"/>
      <c r="P106" s="21" t="s">
        <v>761</v>
      </c>
      <c r="Q106" s="21"/>
      <c r="R106" s="203"/>
      <c r="S106" s="8"/>
    </row>
    <row r="107" spans="1:19" ht="18.75">
      <c r="A107" s="21">
        <f t="shared" si="8"/>
        <v>102</v>
      </c>
      <c r="B107" s="7"/>
      <c r="C107" s="92" t="s">
        <v>392</v>
      </c>
      <c r="D107" s="92">
        <v>37</v>
      </c>
      <c r="E107" s="21" t="s">
        <v>769</v>
      </c>
      <c r="F107" s="7"/>
      <c r="G107" s="21" t="s">
        <v>810</v>
      </c>
      <c r="H107" s="92">
        <v>29.8</v>
      </c>
      <c r="I107" s="92"/>
      <c r="J107" s="21"/>
      <c r="K107" s="21"/>
      <c r="L107" s="21"/>
      <c r="M107" s="21">
        <f t="shared" si="9"/>
        <v>7531.300000000002</v>
      </c>
      <c r="N107" s="21" t="s">
        <v>766</v>
      </c>
      <c r="O107" s="21"/>
      <c r="P107" s="21" t="s">
        <v>761</v>
      </c>
      <c r="Q107" s="21"/>
      <c r="R107" s="203"/>
      <c r="S107" s="8"/>
    </row>
    <row r="108" spans="1:19" ht="18.75">
      <c r="A108" s="21">
        <f t="shared" si="8"/>
        <v>103</v>
      </c>
      <c r="B108" s="7"/>
      <c r="C108" s="92" t="s">
        <v>416</v>
      </c>
      <c r="D108" s="92">
        <v>85</v>
      </c>
      <c r="E108" s="21" t="s">
        <v>769</v>
      </c>
      <c r="F108" s="7"/>
      <c r="G108" s="21" t="s">
        <v>810</v>
      </c>
      <c r="H108" s="92">
        <v>14</v>
      </c>
      <c r="I108" s="92"/>
      <c r="J108" s="21"/>
      <c r="K108" s="21"/>
      <c r="L108" s="21"/>
      <c r="M108" s="21">
        <f t="shared" si="9"/>
        <v>7545.300000000002</v>
      </c>
      <c r="N108" s="21" t="s">
        <v>766</v>
      </c>
      <c r="O108" s="21"/>
      <c r="P108" s="21" t="s">
        <v>761</v>
      </c>
      <c r="Q108" s="21"/>
      <c r="R108" s="203"/>
      <c r="S108" s="8"/>
    </row>
    <row r="109" spans="1:19" ht="18.75">
      <c r="A109" s="21">
        <f t="shared" si="8"/>
        <v>104</v>
      </c>
      <c r="B109" s="7"/>
      <c r="C109" s="92" t="s">
        <v>416</v>
      </c>
      <c r="D109" s="92">
        <v>56</v>
      </c>
      <c r="E109" s="21" t="s">
        <v>769</v>
      </c>
      <c r="F109" s="7"/>
      <c r="G109" s="21" t="s">
        <v>810</v>
      </c>
      <c r="H109" s="92">
        <v>25.6</v>
      </c>
      <c r="I109" s="92"/>
      <c r="J109" s="21"/>
      <c r="K109" s="21"/>
      <c r="L109" s="21"/>
      <c r="M109" s="21">
        <f t="shared" si="9"/>
        <v>7570.9000000000024</v>
      </c>
      <c r="N109" s="21" t="s">
        <v>766</v>
      </c>
      <c r="O109" s="21"/>
      <c r="P109" s="21" t="s">
        <v>761</v>
      </c>
      <c r="Q109" s="21"/>
      <c r="R109" s="203"/>
      <c r="S109" s="8"/>
    </row>
    <row r="110" spans="1:19" ht="18.75">
      <c r="A110" s="21">
        <f t="shared" si="8"/>
        <v>105</v>
      </c>
      <c r="B110" s="7"/>
      <c r="C110" s="92" t="s">
        <v>272</v>
      </c>
      <c r="D110" s="92">
        <v>65</v>
      </c>
      <c r="E110" s="21" t="s">
        <v>199</v>
      </c>
      <c r="F110" s="21">
        <v>0.36299999999999999</v>
      </c>
      <c r="G110" s="21" t="s">
        <v>810</v>
      </c>
      <c r="H110" s="92">
        <v>35</v>
      </c>
      <c r="I110" s="7"/>
      <c r="J110" s="7"/>
      <c r="K110" s="7"/>
      <c r="L110" s="7"/>
      <c r="M110" s="21">
        <f t="shared" si="9"/>
        <v>7605.9000000000024</v>
      </c>
      <c r="N110" s="7"/>
      <c r="O110" s="7"/>
      <c r="P110" s="21" t="s">
        <v>761</v>
      </c>
      <c r="Q110" s="92">
        <v>35</v>
      </c>
      <c r="R110" s="153">
        <f t="shared" ref="R110:R111" si="10">58*0.45</f>
        <v>26.1</v>
      </c>
      <c r="S110" s="8"/>
    </row>
    <row r="111" spans="1:19" ht="18.75">
      <c r="A111" s="21">
        <f t="shared" si="8"/>
        <v>106</v>
      </c>
      <c r="B111" s="7"/>
      <c r="C111" s="204" t="s">
        <v>349</v>
      </c>
      <c r="D111" s="204">
        <v>11</v>
      </c>
      <c r="E111" s="21" t="s">
        <v>199</v>
      </c>
      <c r="F111" s="174">
        <v>0.36299999999999999</v>
      </c>
      <c r="G111" s="174" t="s">
        <v>810</v>
      </c>
      <c r="H111" s="205">
        <v>166.5</v>
      </c>
      <c r="I111" s="7"/>
      <c r="J111" s="7"/>
      <c r="K111" s="7"/>
      <c r="L111" s="7"/>
      <c r="M111" s="21">
        <f t="shared" si="9"/>
        <v>7772.4000000000024</v>
      </c>
      <c r="N111" s="188"/>
      <c r="O111" s="188"/>
      <c r="P111" s="21" t="s">
        <v>761</v>
      </c>
      <c r="Q111" s="205">
        <v>166.5</v>
      </c>
      <c r="R111" s="153">
        <f t="shared" si="10"/>
        <v>26.1</v>
      </c>
      <c r="S111" s="8"/>
    </row>
    <row r="112" spans="1:19" ht="18.75">
      <c r="A112" s="21">
        <f t="shared" si="8"/>
        <v>107</v>
      </c>
      <c r="B112" s="7"/>
      <c r="C112" s="204" t="s">
        <v>349</v>
      </c>
      <c r="D112" s="204">
        <v>11</v>
      </c>
      <c r="E112" s="92" t="s">
        <v>193</v>
      </c>
      <c r="F112" s="204"/>
      <c r="G112" s="174" t="s">
        <v>810</v>
      </c>
      <c r="H112" s="92">
        <v>3.5</v>
      </c>
      <c r="I112" s="7"/>
      <c r="J112" s="7"/>
      <c r="K112" s="7"/>
      <c r="L112" s="7"/>
      <c r="M112" s="21">
        <f t="shared" si="9"/>
        <v>7775.9000000000024</v>
      </c>
      <c r="N112" s="188"/>
      <c r="O112" s="188"/>
      <c r="P112" s="21" t="s">
        <v>761</v>
      </c>
      <c r="Q112" s="21"/>
      <c r="R112" s="203"/>
      <c r="S112" s="8"/>
    </row>
    <row r="113" spans="1:19" ht="18.75">
      <c r="A113" s="21">
        <f t="shared" si="8"/>
        <v>108</v>
      </c>
      <c r="B113" s="7"/>
      <c r="C113" s="204" t="s">
        <v>352</v>
      </c>
      <c r="D113" s="204" t="s">
        <v>60</v>
      </c>
      <c r="E113" s="21" t="s">
        <v>769</v>
      </c>
      <c r="F113" s="204"/>
      <c r="G113" s="174" t="s">
        <v>810</v>
      </c>
      <c r="H113" s="92"/>
      <c r="I113" s="7"/>
      <c r="J113" s="7"/>
      <c r="K113" s="7"/>
      <c r="L113" s="92">
        <v>38</v>
      </c>
      <c r="M113" s="21">
        <f t="shared" si="9"/>
        <v>7813.9000000000024</v>
      </c>
      <c r="N113" s="7"/>
      <c r="O113" s="7"/>
      <c r="P113" s="21" t="s">
        <v>761</v>
      </c>
      <c r="Q113" s="21"/>
      <c r="R113" s="203"/>
      <c r="S113" s="8"/>
    </row>
    <row r="114" spans="1:19" ht="18.75">
      <c r="A114" s="21">
        <f t="shared" si="8"/>
        <v>109</v>
      </c>
      <c r="B114" s="7"/>
      <c r="C114" s="92" t="s">
        <v>347</v>
      </c>
      <c r="D114" s="92" t="s">
        <v>821</v>
      </c>
      <c r="E114" s="21" t="s">
        <v>769</v>
      </c>
      <c r="F114" s="92"/>
      <c r="G114" s="21" t="s">
        <v>810</v>
      </c>
      <c r="H114" s="92"/>
      <c r="I114" s="7"/>
      <c r="J114" s="7"/>
      <c r="K114" s="7"/>
      <c r="L114" s="92">
        <v>46.5</v>
      </c>
      <c r="M114" s="21">
        <f t="shared" si="9"/>
        <v>7860.4000000000024</v>
      </c>
      <c r="N114" s="7"/>
      <c r="O114" s="7"/>
      <c r="P114" s="21" t="s">
        <v>761</v>
      </c>
      <c r="Q114" s="49"/>
      <c r="R114" s="208"/>
      <c r="S114" s="8"/>
    </row>
    <row r="115" spans="1:19" ht="18.75">
      <c r="A115" s="21">
        <f t="shared" si="8"/>
        <v>110</v>
      </c>
      <c r="B115" s="7"/>
      <c r="C115" s="92" t="s">
        <v>347</v>
      </c>
      <c r="D115" s="92" t="s">
        <v>821</v>
      </c>
      <c r="E115" s="92" t="s">
        <v>193</v>
      </c>
      <c r="F115" s="92">
        <v>0.41</v>
      </c>
      <c r="G115" s="21" t="s">
        <v>810</v>
      </c>
      <c r="H115" s="92"/>
      <c r="I115" s="7"/>
      <c r="J115" s="7"/>
      <c r="K115" s="7"/>
      <c r="L115" s="92">
        <v>3.5</v>
      </c>
      <c r="M115" s="21">
        <f t="shared" si="9"/>
        <v>7863.9000000000024</v>
      </c>
      <c r="N115" s="7"/>
      <c r="O115" s="7"/>
      <c r="P115" s="21" t="s">
        <v>761</v>
      </c>
      <c r="Q115" s="92">
        <v>3.5</v>
      </c>
      <c r="R115" s="208"/>
      <c r="S115" s="8"/>
    </row>
    <row r="116" spans="1:19" ht="18.75">
      <c r="A116" s="21">
        <f t="shared" si="8"/>
        <v>111</v>
      </c>
      <c r="B116" s="206"/>
      <c r="C116" s="204" t="s">
        <v>347</v>
      </c>
      <c r="D116" s="204" t="s">
        <v>245</v>
      </c>
      <c r="E116" s="204" t="s">
        <v>193</v>
      </c>
      <c r="F116" s="204">
        <v>0.41</v>
      </c>
      <c r="G116" s="174" t="s">
        <v>810</v>
      </c>
      <c r="H116" s="204"/>
      <c r="I116" s="206"/>
      <c r="J116" s="206"/>
      <c r="K116" s="204">
        <v>3.5</v>
      </c>
      <c r="L116" s="204"/>
      <c r="M116" s="21">
        <f t="shared" si="9"/>
        <v>7867.4000000000024</v>
      </c>
      <c r="N116" s="188"/>
      <c r="O116" s="188"/>
      <c r="P116" s="174" t="s">
        <v>761</v>
      </c>
      <c r="Q116" s="92">
        <v>3.5</v>
      </c>
      <c r="R116" s="209"/>
      <c r="S116" s="8"/>
    </row>
    <row r="117" spans="1:19" ht="18.75">
      <c r="A117" s="21">
        <f t="shared" si="8"/>
        <v>112</v>
      </c>
      <c r="B117" s="7"/>
      <c r="C117" s="92" t="s">
        <v>724</v>
      </c>
      <c r="D117" s="92" t="s">
        <v>60</v>
      </c>
      <c r="E117" s="21" t="s">
        <v>769</v>
      </c>
      <c r="F117" s="92"/>
      <c r="G117" s="21" t="s">
        <v>810</v>
      </c>
      <c r="H117" s="92"/>
      <c r="I117" s="7"/>
      <c r="J117" s="7"/>
      <c r="K117" s="92">
        <v>187</v>
      </c>
      <c r="L117" s="92"/>
      <c r="M117" s="21">
        <f t="shared" si="9"/>
        <v>8054.4000000000024</v>
      </c>
      <c r="N117" s="7"/>
      <c r="O117" s="7"/>
      <c r="P117" s="21" t="s">
        <v>761</v>
      </c>
      <c r="Q117" s="21"/>
      <c r="R117" s="203"/>
    </row>
    <row r="118" spans="1:19" ht="18.75">
      <c r="A118" s="207"/>
      <c r="H118" s="207">
        <f>+SUM(H6:H117)</f>
        <v>3709.8</v>
      </c>
      <c r="I118" s="207">
        <f>+SUM(I6:I117)</f>
        <v>1050</v>
      </c>
      <c r="J118" s="207">
        <f t="shared" ref="J118:L118" si="11">+SUM(J6:J117)</f>
        <v>1208.4000000000001</v>
      </c>
      <c r="K118" s="207">
        <f t="shared" si="11"/>
        <v>915.79999999999984</v>
      </c>
      <c r="L118" s="207">
        <f t="shared" si="11"/>
        <v>1170.4000000000001</v>
      </c>
      <c r="M118" s="153">
        <f>+H118+I118+J118+K118+L118</f>
        <v>8054.4000000000015</v>
      </c>
    </row>
    <row r="119" spans="1:19" ht="18.75">
      <c r="H119" s="132">
        <v>4079</v>
      </c>
      <c r="I119" s="132">
        <v>1233</v>
      </c>
      <c r="J119" s="132">
        <v>1154</v>
      </c>
      <c r="K119" s="132">
        <v>874</v>
      </c>
      <c r="L119" s="132">
        <v>1186</v>
      </c>
      <c r="M119" s="153">
        <f>+H119+I119+J119+K119+L119</f>
        <v>8526</v>
      </c>
    </row>
    <row r="121" spans="1:19" ht="15.75">
      <c r="A121" s="7" t="s">
        <v>365</v>
      </c>
      <c r="B121" s="8"/>
      <c r="C121" s="8"/>
      <c r="D121" s="8"/>
      <c r="E121" s="8" t="s">
        <v>366</v>
      </c>
      <c r="F121" s="8"/>
      <c r="G121" s="8"/>
      <c r="H121" s="8"/>
      <c r="I121" s="8"/>
      <c r="J121" s="8" t="s">
        <v>367</v>
      </c>
      <c r="K121" s="8"/>
      <c r="L121" s="8"/>
      <c r="M121" s="8"/>
    </row>
    <row r="122" spans="1:19" ht="15.75">
      <c r="A122" s="7" t="s">
        <v>368</v>
      </c>
      <c r="B122" s="8"/>
      <c r="C122" s="499"/>
      <c r="D122" s="501"/>
      <c r="E122" s="8" t="s">
        <v>368</v>
      </c>
      <c r="F122" s="79"/>
      <c r="G122" s="499"/>
      <c r="H122" s="500"/>
      <c r="I122" s="501"/>
      <c r="J122" s="8" t="s">
        <v>368</v>
      </c>
      <c r="K122" s="8"/>
      <c r="L122" s="499"/>
      <c r="M122" s="501"/>
    </row>
    <row r="123" spans="1:19" ht="15.75">
      <c r="A123" s="7" t="s">
        <v>369</v>
      </c>
      <c r="B123" s="8"/>
      <c r="C123" s="499"/>
      <c r="D123" s="501"/>
      <c r="E123" s="8" t="s">
        <v>369</v>
      </c>
      <c r="F123" s="79"/>
      <c r="G123" s="499"/>
      <c r="H123" s="500"/>
      <c r="I123" s="501"/>
      <c r="J123" s="8" t="s">
        <v>369</v>
      </c>
      <c r="K123" s="499"/>
      <c r="L123" s="500"/>
      <c r="M123" s="501"/>
    </row>
    <row r="124" spans="1:19" ht="15.75">
      <c r="A124" s="7" t="s">
        <v>370</v>
      </c>
      <c r="B124" s="8"/>
      <c r="C124" s="499"/>
      <c r="D124" s="501"/>
      <c r="E124" s="8" t="s">
        <v>370</v>
      </c>
      <c r="F124" s="79"/>
      <c r="G124" s="499"/>
      <c r="H124" s="500"/>
      <c r="I124" s="501"/>
      <c r="J124" s="8" t="s">
        <v>370</v>
      </c>
      <c r="K124" s="8"/>
      <c r="L124" s="499"/>
      <c r="M124" s="501"/>
    </row>
    <row r="128" spans="1:19" ht="15.75">
      <c r="A128" s="152" t="s">
        <v>757</v>
      </c>
      <c r="B128" s="152"/>
      <c r="C128" s="152"/>
      <c r="D128" s="152" t="s">
        <v>758</v>
      </c>
      <c r="E128" s="152" t="s">
        <v>751</v>
      </c>
      <c r="F128" s="152" t="s">
        <v>752</v>
      </c>
      <c r="G128" s="152" t="s">
        <v>753</v>
      </c>
      <c r="H128" s="152" t="s">
        <v>755</v>
      </c>
      <c r="I128" s="152" t="s">
        <v>759</v>
      </c>
    </row>
    <row r="129" spans="1:9" ht="15" customHeight="1">
      <c r="A129" s="153" t="s">
        <v>199</v>
      </c>
      <c r="B129" s="153"/>
      <c r="C129" s="153"/>
      <c r="D129" s="18">
        <f>+SUMIF($E$6:$E$116,$A129,H$6:H$116)</f>
        <v>296.5</v>
      </c>
      <c r="E129" s="18">
        <f t="shared" ref="D129:H131" si="12">+SUMIF($E$6:$E$116,$A129,I$6:I$116)</f>
        <v>116.1</v>
      </c>
      <c r="F129" s="18">
        <f t="shared" si="12"/>
        <v>278.60000000000002</v>
      </c>
      <c r="G129" s="18">
        <f t="shared" si="12"/>
        <v>196.8</v>
      </c>
      <c r="H129" s="18">
        <f t="shared" si="12"/>
        <v>220.4</v>
      </c>
      <c r="I129" s="18">
        <f>+SUM(D129:H129)</f>
        <v>1108.4000000000001</v>
      </c>
    </row>
    <row r="130" spans="1:9" ht="15" customHeight="1">
      <c r="A130" s="21" t="s">
        <v>193</v>
      </c>
      <c r="B130" s="21"/>
      <c r="C130" s="21"/>
      <c r="D130" s="18">
        <f t="shared" si="12"/>
        <v>15.5</v>
      </c>
      <c r="E130" s="18">
        <f t="shared" si="12"/>
        <v>3</v>
      </c>
      <c r="F130" s="18">
        <f t="shared" si="12"/>
        <v>4</v>
      </c>
      <c r="G130" s="18">
        <f t="shared" si="12"/>
        <v>3.5</v>
      </c>
      <c r="H130" s="18">
        <f t="shared" si="12"/>
        <v>3.5</v>
      </c>
      <c r="I130" s="18">
        <f>+SUM(D130:H130)</f>
        <v>29.5</v>
      </c>
    </row>
    <row r="131" spans="1:9" ht="15" customHeight="1">
      <c r="A131" s="92" t="s">
        <v>301</v>
      </c>
      <c r="B131" s="92"/>
      <c r="C131" s="92"/>
      <c r="D131" s="18">
        <f t="shared" si="12"/>
        <v>119</v>
      </c>
      <c r="E131" s="18">
        <f t="shared" si="12"/>
        <v>0</v>
      </c>
      <c r="F131" s="18">
        <f t="shared" si="12"/>
        <v>0</v>
      </c>
      <c r="G131" s="18">
        <f t="shared" si="12"/>
        <v>0</v>
      </c>
      <c r="H131" s="18">
        <f t="shared" si="12"/>
        <v>0</v>
      </c>
      <c r="I131" s="18">
        <f>+SUM(D131:H131)</f>
        <v>119</v>
      </c>
    </row>
    <row r="134" spans="1:9">
      <c r="D134">
        <f>296.5*0.363</f>
        <v>107.62949999999999</v>
      </c>
      <c r="E134">
        <f>116.1*0.375</f>
        <v>43.537499999999994</v>
      </c>
      <c r="F134">
        <f>278.6*0.39</f>
        <v>108.65400000000001</v>
      </c>
      <c r="G134">
        <f>196.8*0.41</f>
        <v>80.688000000000002</v>
      </c>
      <c r="H134">
        <f>220.4*0.45</f>
        <v>99.18</v>
      </c>
    </row>
    <row r="135" spans="1:9">
      <c r="D135">
        <f>15.5*0.363</f>
        <v>5.6265000000000001</v>
      </c>
      <c r="E135">
        <f>3*0.375</f>
        <v>1.125</v>
      </c>
      <c r="F135">
        <f>4*0.39</f>
        <v>1.56</v>
      </c>
      <c r="G135">
        <f>3.5*0.41</f>
        <v>1.4349999999999998</v>
      </c>
      <c r="H135">
        <v>1.4350000000000001</v>
      </c>
    </row>
    <row r="136" spans="1:9">
      <c r="D136">
        <f>119*0.363</f>
        <v>43.196999999999996</v>
      </c>
    </row>
  </sheetData>
  <autoFilter ref="A4:AA119">
    <filterColumn colId="7" showButton="0"/>
    <filterColumn colId="8" showButton="0"/>
    <filterColumn colId="9" showButton="0"/>
    <filterColumn colId="10" showButton="0"/>
  </autoFilter>
  <mergeCells count="12">
    <mergeCell ref="C3:L3"/>
    <mergeCell ref="M3:O3"/>
    <mergeCell ref="H4:L4"/>
    <mergeCell ref="C122:D122"/>
    <mergeCell ref="G122:I122"/>
    <mergeCell ref="L122:M122"/>
    <mergeCell ref="C123:D123"/>
    <mergeCell ref="G123:I123"/>
    <mergeCell ref="K123:M123"/>
    <mergeCell ref="C124:D124"/>
    <mergeCell ref="G124:I124"/>
    <mergeCell ref="L124:M124"/>
  </mergeCells>
  <printOptions horizontalCentered="1" verticalCentered="1"/>
  <pageMargins left="0" right="0" top="0" bottom="0" header="0" footer="0.31496062992126"/>
  <pageSetup paperSize="9" scale="55" fitToWidth="3" fitToHeight="3" orientation="landscape" horizontalDpi="300" verticalDpi="300"/>
  <rowBreaks count="2" manualBreakCount="2">
    <brk id="48" max="17" man="1"/>
    <brk id="97" max="1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T376"/>
  <sheetViews>
    <sheetView workbookViewId="0">
      <pane ySplit="1" topLeftCell="A183" activePane="bottomLeft" state="frozen"/>
      <selection pane="bottomLeft" activeCell="K195" sqref="K195:K362"/>
    </sheetView>
  </sheetViews>
  <sheetFormatPr defaultColWidth="9" defaultRowHeight="15"/>
  <cols>
    <col min="1" max="1" width="20.42578125" customWidth="1"/>
    <col min="2" max="2" width="12" hidden="1" customWidth="1"/>
    <col min="3" max="3" width="13.7109375" customWidth="1"/>
    <col min="4" max="4" width="14.7109375" customWidth="1"/>
    <col min="5" max="6" width="18.28515625" customWidth="1"/>
    <col min="7" max="7" width="12.140625" customWidth="1"/>
    <col min="8" max="8" width="16" customWidth="1"/>
    <col min="9" max="9" width="12.42578125" customWidth="1"/>
    <col min="10" max="10" width="14.42578125" customWidth="1"/>
    <col min="11" max="11" width="15.85546875" customWidth="1"/>
    <col min="12" max="12" width="17.7109375" customWidth="1"/>
    <col min="13" max="13" width="12.7109375" customWidth="1"/>
    <col min="14" max="14" width="10.7109375" customWidth="1"/>
    <col min="15" max="15" width="14.140625" customWidth="1"/>
    <col min="16" max="16" width="11.140625" customWidth="1"/>
    <col min="17" max="17" width="9.140625" customWidth="1"/>
    <col min="18" max="19" width="17.5703125" customWidth="1"/>
    <col min="20" max="20" width="11.140625" customWidth="1"/>
  </cols>
  <sheetData>
    <row r="2" spans="1:20" ht="73.5" customHeight="1"/>
    <row r="3" spans="1:20" ht="18.75">
      <c r="A3" s="148"/>
      <c r="B3" s="148"/>
      <c r="C3" s="637" t="s">
        <v>822</v>
      </c>
      <c r="D3" s="638"/>
      <c r="E3" s="638"/>
      <c r="F3" s="638"/>
      <c r="G3" s="638"/>
      <c r="H3" s="638"/>
      <c r="I3" s="638"/>
      <c r="J3" s="638"/>
      <c r="K3" s="638"/>
      <c r="L3" s="638"/>
      <c r="M3" s="638"/>
      <c r="N3" s="638"/>
      <c r="O3" s="638"/>
      <c r="P3" s="638"/>
      <c r="Q3" s="638"/>
      <c r="R3" s="638"/>
      <c r="S3" s="638"/>
      <c r="T3" s="639"/>
    </row>
    <row r="4" spans="1:20" ht="93.75">
      <c r="A4" s="25" t="s">
        <v>448</v>
      </c>
      <c r="B4" s="25" t="s">
        <v>743</v>
      </c>
      <c r="C4" s="25" t="s">
        <v>180</v>
      </c>
      <c r="D4" s="25" t="s">
        <v>13</v>
      </c>
      <c r="E4" s="25" t="s">
        <v>181</v>
      </c>
      <c r="F4" s="27" t="s">
        <v>449</v>
      </c>
      <c r="G4" s="25" t="s">
        <v>744</v>
      </c>
      <c r="H4" s="640" t="s">
        <v>184</v>
      </c>
      <c r="I4" s="644"/>
      <c r="J4" s="644"/>
      <c r="K4" s="644"/>
      <c r="L4" s="644"/>
      <c r="M4" s="645"/>
      <c r="N4" s="126"/>
      <c r="O4" s="26" t="s">
        <v>745</v>
      </c>
      <c r="P4" s="25" t="s">
        <v>746</v>
      </c>
      <c r="Q4" s="26" t="s">
        <v>747</v>
      </c>
      <c r="R4" s="26" t="s">
        <v>748</v>
      </c>
      <c r="S4" s="192" t="s">
        <v>750</v>
      </c>
      <c r="T4" s="25" t="s">
        <v>809</v>
      </c>
    </row>
    <row r="5" spans="1:20" ht="18.75">
      <c r="A5" s="148"/>
      <c r="B5" s="148"/>
      <c r="C5" s="148"/>
      <c r="D5" s="148"/>
      <c r="E5" s="148"/>
      <c r="F5" s="148"/>
      <c r="G5" s="148"/>
      <c r="H5" s="25" t="s">
        <v>758</v>
      </c>
      <c r="I5" s="25" t="s">
        <v>751</v>
      </c>
      <c r="J5" s="25" t="s">
        <v>752</v>
      </c>
      <c r="K5" s="25" t="s">
        <v>753</v>
      </c>
      <c r="L5" s="191" t="s">
        <v>823</v>
      </c>
      <c r="M5" s="25" t="s">
        <v>755</v>
      </c>
      <c r="N5" s="25" t="s">
        <v>756</v>
      </c>
      <c r="O5" s="148"/>
      <c r="P5" s="148"/>
      <c r="Q5" s="148"/>
      <c r="R5" s="24"/>
      <c r="S5" s="24"/>
      <c r="T5" s="148"/>
    </row>
    <row r="6" spans="1:20" ht="18.75">
      <c r="A6" s="18">
        <v>1</v>
      </c>
      <c r="B6" s="8" t="s">
        <v>115</v>
      </c>
      <c r="C6" s="190" t="s">
        <v>115</v>
      </c>
      <c r="D6" s="190" t="s">
        <v>169</v>
      </c>
      <c r="E6" s="21" t="s">
        <v>769</v>
      </c>
      <c r="F6" s="18"/>
      <c r="G6" s="18" t="s">
        <v>810</v>
      </c>
      <c r="H6" s="18"/>
      <c r="I6" s="18"/>
      <c r="J6" s="18"/>
      <c r="K6" s="18"/>
      <c r="L6" s="18"/>
      <c r="M6" s="18">
        <v>461.9</v>
      </c>
      <c r="N6" s="18"/>
      <c r="O6" s="18">
        <f>+M6</f>
        <v>461.9</v>
      </c>
      <c r="P6" s="8"/>
      <c r="Q6" s="8"/>
      <c r="R6" s="24" t="s">
        <v>824</v>
      </c>
      <c r="S6" s="24"/>
      <c r="T6" s="8"/>
    </row>
    <row r="7" spans="1:20" ht="18.75">
      <c r="A7" s="92">
        <f>1+A6</f>
        <v>2</v>
      </c>
      <c r="B7" s="8"/>
      <c r="C7" s="190" t="s">
        <v>169</v>
      </c>
      <c r="D7" s="190" t="s">
        <v>120</v>
      </c>
      <c r="E7" s="21" t="s">
        <v>769</v>
      </c>
      <c r="F7" s="18"/>
      <c r="G7" s="18" t="s">
        <v>810</v>
      </c>
      <c r="H7" s="18"/>
      <c r="I7" s="18"/>
      <c r="J7" s="18"/>
      <c r="K7" s="18"/>
      <c r="L7" s="18"/>
      <c r="M7" s="18">
        <v>438.8</v>
      </c>
      <c r="N7" s="18"/>
      <c r="O7" s="18">
        <f>+O6+H7+I7+J7+K7+L7+M7+N7</f>
        <v>900.7</v>
      </c>
      <c r="P7" s="8"/>
      <c r="Q7" s="8"/>
      <c r="R7" s="24" t="s">
        <v>824</v>
      </c>
      <c r="S7" s="24"/>
      <c r="T7" s="8"/>
    </row>
    <row r="8" spans="1:20" ht="18.75">
      <c r="A8" s="92">
        <f t="shared" ref="A8:A71" si="0">1+A7</f>
        <v>3</v>
      </c>
      <c r="B8" s="8"/>
      <c r="C8" s="190" t="s">
        <v>169</v>
      </c>
      <c r="D8" s="190" t="s">
        <v>120</v>
      </c>
      <c r="E8" s="18" t="s">
        <v>771</v>
      </c>
      <c r="F8" s="18">
        <v>0.44</v>
      </c>
      <c r="G8" s="18" t="s">
        <v>810</v>
      </c>
      <c r="H8" s="18"/>
      <c r="I8" s="18"/>
      <c r="J8" s="18"/>
      <c r="K8" s="18"/>
      <c r="L8" s="18"/>
      <c r="M8" s="18">
        <v>3.5</v>
      </c>
      <c r="N8" s="18"/>
      <c r="O8" s="18">
        <f t="shared" ref="O8:O71" si="1">+O7+H8+I8+J8+K8+L8+M8+N8</f>
        <v>904.2</v>
      </c>
      <c r="P8" s="8"/>
      <c r="Q8" s="8"/>
      <c r="R8" s="24" t="s">
        <v>824</v>
      </c>
      <c r="S8" s="21">
        <v>3.5</v>
      </c>
      <c r="T8" s="8"/>
    </row>
    <row r="9" spans="1:20" ht="18.75">
      <c r="A9" s="92">
        <f t="shared" si="0"/>
        <v>4</v>
      </c>
      <c r="B9" s="8"/>
      <c r="C9" s="18" t="s">
        <v>120</v>
      </c>
      <c r="D9" s="18" t="s">
        <v>65</v>
      </c>
      <c r="E9" s="21" t="s">
        <v>769</v>
      </c>
      <c r="F9" s="18"/>
      <c r="G9" s="18" t="s">
        <v>810</v>
      </c>
      <c r="H9" s="18"/>
      <c r="I9" s="18"/>
      <c r="J9" s="18"/>
      <c r="K9" s="18"/>
      <c r="L9" s="18"/>
      <c r="M9" s="18">
        <v>227.8</v>
      </c>
      <c r="N9" s="18"/>
      <c r="O9" s="18">
        <f t="shared" si="1"/>
        <v>1132</v>
      </c>
      <c r="P9" s="8"/>
      <c r="Q9" s="8"/>
      <c r="R9" s="24" t="s">
        <v>824</v>
      </c>
      <c r="S9" s="21"/>
      <c r="T9" s="8"/>
    </row>
    <row r="10" spans="1:20" ht="18.75">
      <c r="A10" s="92">
        <f t="shared" si="0"/>
        <v>5</v>
      </c>
      <c r="B10" s="8"/>
      <c r="C10" s="18" t="s">
        <v>65</v>
      </c>
      <c r="D10" s="18" t="s">
        <v>37</v>
      </c>
      <c r="E10" s="21" t="s">
        <v>769</v>
      </c>
      <c r="F10" s="18"/>
      <c r="G10" s="18" t="s">
        <v>810</v>
      </c>
      <c r="H10" s="18"/>
      <c r="I10" s="18"/>
      <c r="J10" s="18"/>
      <c r="K10" s="18"/>
      <c r="L10" s="18"/>
      <c r="M10" s="18">
        <v>68</v>
      </c>
      <c r="N10" s="18"/>
      <c r="O10" s="18">
        <f t="shared" si="1"/>
        <v>1200</v>
      </c>
      <c r="P10" s="8"/>
      <c r="Q10" s="8"/>
      <c r="R10" s="24" t="s">
        <v>824</v>
      </c>
      <c r="S10" s="21"/>
      <c r="T10" s="8"/>
    </row>
    <row r="11" spans="1:20" ht="18.75">
      <c r="A11" s="92">
        <f t="shared" si="0"/>
        <v>6</v>
      </c>
      <c r="B11" s="8"/>
      <c r="C11" s="18" t="s">
        <v>37</v>
      </c>
      <c r="D11" s="18" t="s">
        <v>724</v>
      </c>
      <c r="E11" s="21" t="s">
        <v>769</v>
      </c>
      <c r="F11" s="18"/>
      <c r="G11" s="18" t="s">
        <v>810</v>
      </c>
      <c r="H11" s="18"/>
      <c r="I11" s="18"/>
      <c r="J11" s="18"/>
      <c r="K11" s="18"/>
      <c r="L11" s="18"/>
      <c r="M11" s="18">
        <v>34.5</v>
      </c>
      <c r="N11" s="18"/>
      <c r="O11" s="18">
        <f t="shared" si="1"/>
        <v>1234.5</v>
      </c>
      <c r="P11" s="8"/>
      <c r="Q11" s="8"/>
      <c r="R11" s="24" t="s">
        <v>824</v>
      </c>
      <c r="S11" s="21"/>
      <c r="T11" s="8"/>
    </row>
    <row r="12" spans="1:20" ht="18.75">
      <c r="A12" s="92">
        <f t="shared" si="0"/>
        <v>7</v>
      </c>
      <c r="B12" s="8"/>
      <c r="C12" s="18" t="s">
        <v>65</v>
      </c>
      <c r="D12" s="18" t="s">
        <v>42</v>
      </c>
      <c r="E12" s="21" t="s">
        <v>769</v>
      </c>
      <c r="F12" s="18"/>
      <c r="G12" s="18" t="s">
        <v>810</v>
      </c>
      <c r="H12" s="18"/>
      <c r="I12" s="18"/>
      <c r="J12" s="18"/>
      <c r="K12" s="18"/>
      <c r="L12" s="18">
        <v>88</v>
      </c>
      <c r="M12" s="18"/>
      <c r="N12" s="18"/>
      <c r="O12" s="18">
        <f t="shared" si="1"/>
        <v>1322.5</v>
      </c>
      <c r="P12" s="8"/>
      <c r="Q12" s="8"/>
      <c r="R12" s="24" t="s">
        <v>824</v>
      </c>
      <c r="S12" s="21"/>
      <c r="T12" s="8"/>
    </row>
    <row r="13" spans="1:20" ht="18.75">
      <c r="A13" s="92">
        <f t="shared" si="0"/>
        <v>8</v>
      </c>
      <c r="B13" s="8"/>
      <c r="C13" s="18" t="s">
        <v>42</v>
      </c>
      <c r="D13" s="18" t="s">
        <v>72</v>
      </c>
      <c r="E13" s="21" t="s">
        <v>769</v>
      </c>
      <c r="F13" s="18"/>
      <c r="G13" s="18" t="s">
        <v>810</v>
      </c>
      <c r="H13" s="18"/>
      <c r="I13" s="18"/>
      <c r="J13" s="18"/>
      <c r="K13" s="18"/>
      <c r="L13" s="18">
        <v>69.3</v>
      </c>
      <c r="M13" s="18"/>
      <c r="N13" s="18"/>
      <c r="O13" s="18">
        <f t="shared" si="1"/>
        <v>1391.8</v>
      </c>
      <c r="P13" s="8"/>
      <c r="Q13" s="8"/>
      <c r="R13" s="24" t="s">
        <v>824</v>
      </c>
      <c r="S13" s="21"/>
      <c r="T13" s="8"/>
    </row>
    <row r="14" spans="1:20" ht="18.75">
      <c r="A14" s="92">
        <f t="shared" si="0"/>
        <v>9</v>
      </c>
      <c r="B14" s="8"/>
      <c r="C14" s="18" t="s">
        <v>42</v>
      </c>
      <c r="D14" s="18" t="s">
        <v>72</v>
      </c>
      <c r="E14" s="21" t="s">
        <v>769</v>
      </c>
      <c r="F14" s="18"/>
      <c r="G14" s="18" t="s">
        <v>810</v>
      </c>
      <c r="H14" s="18"/>
      <c r="I14" s="18"/>
      <c r="J14" s="18"/>
      <c r="K14" s="18"/>
      <c r="L14" s="18">
        <v>25</v>
      </c>
      <c r="M14" s="18"/>
      <c r="N14" s="18"/>
      <c r="O14" s="18">
        <f t="shared" si="1"/>
        <v>1416.8</v>
      </c>
      <c r="P14" s="8"/>
      <c r="Q14" s="8"/>
      <c r="R14" s="24" t="s">
        <v>824</v>
      </c>
      <c r="S14" s="21"/>
      <c r="T14" s="8"/>
    </row>
    <row r="15" spans="1:20" ht="18.75">
      <c r="A15" s="92">
        <f t="shared" si="0"/>
        <v>10</v>
      </c>
      <c r="B15" s="8"/>
      <c r="C15" s="18" t="s">
        <v>825</v>
      </c>
      <c r="D15" s="18" t="s">
        <v>60</v>
      </c>
      <c r="E15" s="21" t="s">
        <v>769</v>
      </c>
      <c r="F15" s="18"/>
      <c r="G15" s="18" t="s">
        <v>810</v>
      </c>
      <c r="H15" s="18">
        <v>733.7</v>
      </c>
      <c r="I15" s="18"/>
      <c r="J15" s="18"/>
      <c r="K15" s="18"/>
      <c r="L15" s="18"/>
      <c r="M15" s="18"/>
      <c r="N15" s="18"/>
      <c r="O15" s="18">
        <f t="shared" si="1"/>
        <v>2150.5</v>
      </c>
      <c r="P15" s="8"/>
      <c r="Q15" s="8"/>
      <c r="R15" s="24" t="s">
        <v>824</v>
      </c>
      <c r="S15" s="21"/>
      <c r="T15" s="8"/>
    </row>
    <row r="16" spans="1:20" ht="18.75">
      <c r="A16" s="92">
        <f t="shared" si="0"/>
        <v>11</v>
      </c>
      <c r="B16" s="8"/>
      <c r="C16" s="18" t="s">
        <v>825</v>
      </c>
      <c r="D16" s="18" t="s">
        <v>826</v>
      </c>
      <c r="E16" s="21" t="s">
        <v>769</v>
      </c>
      <c r="F16" s="18"/>
      <c r="G16" s="18" t="s">
        <v>810</v>
      </c>
      <c r="H16" s="18">
        <v>116</v>
      </c>
      <c r="I16" s="18"/>
      <c r="J16" s="18"/>
      <c r="K16" s="18"/>
      <c r="L16" s="18"/>
      <c r="M16" s="18"/>
      <c r="N16" s="18"/>
      <c r="O16" s="18">
        <f t="shared" si="1"/>
        <v>2266.5</v>
      </c>
      <c r="P16" s="8"/>
      <c r="Q16" s="8"/>
      <c r="R16" s="24" t="s">
        <v>824</v>
      </c>
      <c r="S16" s="21"/>
      <c r="T16" s="8"/>
    </row>
    <row r="17" spans="1:20" ht="18.75">
      <c r="A17" s="92">
        <f t="shared" si="0"/>
        <v>12</v>
      </c>
      <c r="B17" s="8"/>
      <c r="C17" s="18" t="s">
        <v>825</v>
      </c>
      <c r="D17" s="18" t="s">
        <v>826</v>
      </c>
      <c r="E17" s="18" t="s">
        <v>771</v>
      </c>
      <c r="F17" s="18">
        <v>0.36299999999999999</v>
      </c>
      <c r="G17" s="18" t="s">
        <v>810</v>
      </c>
      <c r="H17" s="18">
        <v>3.5</v>
      </c>
      <c r="I17" s="18"/>
      <c r="J17" s="18"/>
      <c r="K17" s="18"/>
      <c r="L17" s="18"/>
      <c r="M17" s="18"/>
      <c r="N17" s="18"/>
      <c r="O17" s="18">
        <f t="shared" si="1"/>
        <v>2270</v>
      </c>
      <c r="P17" s="8"/>
      <c r="Q17" s="8"/>
      <c r="R17" s="24" t="s">
        <v>824</v>
      </c>
      <c r="S17" s="21">
        <v>3.5</v>
      </c>
      <c r="T17" s="8"/>
    </row>
    <row r="18" spans="1:20" ht="18.75">
      <c r="A18" s="92">
        <f t="shared" si="0"/>
        <v>13</v>
      </c>
      <c r="B18" s="8"/>
      <c r="C18" s="18" t="s">
        <v>60</v>
      </c>
      <c r="D18" s="18" t="s">
        <v>39</v>
      </c>
      <c r="E18" s="21" t="s">
        <v>769</v>
      </c>
      <c r="F18" s="18"/>
      <c r="G18" s="18" t="s">
        <v>810</v>
      </c>
      <c r="H18" s="18">
        <v>33.4</v>
      </c>
      <c r="I18" s="18"/>
      <c r="J18" s="18"/>
      <c r="K18" s="18"/>
      <c r="L18" s="18"/>
      <c r="M18" s="18"/>
      <c r="N18" s="18"/>
      <c r="O18" s="18">
        <f t="shared" si="1"/>
        <v>2303.4</v>
      </c>
      <c r="P18" s="8"/>
      <c r="Q18" s="8"/>
      <c r="R18" s="24" t="s">
        <v>824</v>
      </c>
      <c r="S18" s="21"/>
      <c r="T18" s="8"/>
    </row>
    <row r="19" spans="1:20" ht="18.75">
      <c r="A19" s="92">
        <f t="shared" si="0"/>
        <v>14</v>
      </c>
      <c r="B19" s="8"/>
      <c r="C19" s="18" t="s">
        <v>39</v>
      </c>
      <c r="D19" s="18" t="s">
        <v>88</v>
      </c>
      <c r="E19" s="21" t="s">
        <v>769</v>
      </c>
      <c r="F19" s="18"/>
      <c r="G19" s="18" t="s">
        <v>810</v>
      </c>
      <c r="H19" s="18">
        <v>65.099999999999994</v>
      </c>
      <c r="I19" s="18"/>
      <c r="J19" s="18"/>
      <c r="K19" s="18"/>
      <c r="L19" s="18"/>
      <c r="M19" s="18"/>
      <c r="N19" s="18"/>
      <c r="O19" s="18">
        <f t="shared" si="1"/>
        <v>2368.5</v>
      </c>
      <c r="P19" s="8"/>
      <c r="Q19" s="8"/>
      <c r="R19" s="24" t="s">
        <v>824</v>
      </c>
      <c r="S19" s="21"/>
      <c r="T19" s="8"/>
    </row>
    <row r="20" spans="1:20" ht="18.75">
      <c r="A20" s="92">
        <f t="shared" si="0"/>
        <v>15</v>
      </c>
      <c r="B20" s="8"/>
      <c r="C20" s="18" t="s">
        <v>88</v>
      </c>
      <c r="D20" s="18" t="s">
        <v>77</v>
      </c>
      <c r="E20" s="21" t="s">
        <v>769</v>
      </c>
      <c r="F20" s="18"/>
      <c r="G20" s="18" t="s">
        <v>810</v>
      </c>
      <c r="H20" s="18">
        <v>49</v>
      </c>
      <c r="I20" s="18"/>
      <c r="J20" s="18"/>
      <c r="K20" s="18"/>
      <c r="L20" s="18"/>
      <c r="M20" s="18"/>
      <c r="N20" s="18"/>
      <c r="O20" s="18">
        <f t="shared" si="1"/>
        <v>2417.5</v>
      </c>
      <c r="P20" s="8"/>
      <c r="Q20" s="8"/>
      <c r="R20" s="24" t="s">
        <v>824</v>
      </c>
      <c r="S20" s="21"/>
      <c r="T20" s="8"/>
    </row>
    <row r="21" spans="1:20" ht="18.75">
      <c r="A21" s="92">
        <f t="shared" si="0"/>
        <v>16</v>
      </c>
      <c r="B21" s="8"/>
      <c r="C21" s="18" t="s">
        <v>88</v>
      </c>
      <c r="D21" s="18" t="s">
        <v>116</v>
      </c>
      <c r="E21" s="21" t="s">
        <v>769</v>
      </c>
      <c r="F21" s="18"/>
      <c r="G21" s="18" t="s">
        <v>810</v>
      </c>
      <c r="H21" s="18">
        <v>168.3</v>
      </c>
      <c r="I21" s="18"/>
      <c r="J21" s="18"/>
      <c r="K21" s="18"/>
      <c r="L21" s="18"/>
      <c r="M21" s="18"/>
      <c r="N21" s="18"/>
      <c r="O21" s="18">
        <f t="shared" si="1"/>
        <v>2585.8000000000002</v>
      </c>
      <c r="P21" s="8"/>
      <c r="Q21" s="8"/>
      <c r="R21" s="24" t="s">
        <v>824</v>
      </c>
      <c r="S21" s="21"/>
      <c r="T21" s="8"/>
    </row>
    <row r="22" spans="1:20" ht="18.75">
      <c r="A22" s="92">
        <f t="shared" si="0"/>
        <v>17</v>
      </c>
      <c r="B22" s="8"/>
      <c r="C22" s="18" t="s">
        <v>88</v>
      </c>
      <c r="D22" s="18" t="s">
        <v>116</v>
      </c>
      <c r="E22" s="18" t="s">
        <v>771</v>
      </c>
      <c r="F22" s="18">
        <v>0.36299999999999999</v>
      </c>
      <c r="G22" s="18" t="s">
        <v>810</v>
      </c>
      <c r="H22" s="18">
        <v>3.5</v>
      </c>
      <c r="I22" s="18"/>
      <c r="J22" s="18"/>
      <c r="K22" s="18"/>
      <c r="L22" s="18"/>
      <c r="M22" s="18"/>
      <c r="N22" s="18"/>
      <c r="O22" s="18">
        <f t="shared" si="1"/>
        <v>2589.3000000000002</v>
      </c>
      <c r="P22" s="8"/>
      <c r="Q22" s="8"/>
      <c r="R22" s="24" t="s">
        <v>824</v>
      </c>
      <c r="S22" s="21">
        <v>3.5</v>
      </c>
      <c r="T22" s="8"/>
    </row>
    <row r="23" spans="1:20" ht="18.75">
      <c r="A23" s="92">
        <f t="shared" si="0"/>
        <v>18</v>
      </c>
      <c r="B23" s="8"/>
      <c r="C23" s="18" t="s">
        <v>116</v>
      </c>
      <c r="D23" s="18" t="s">
        <v>827</v>
      </c>
      <c r="E23" s="21" t="s">
        <v>769</v>
      </c>
      <c r="F23" s="18"/>
      <c r="G23" s="18" t="s">
        <v>810</v>
      </c>
      <c r="H23" s="18">
        <v>40.5</v>
      </c>
      <c r="I23" s="18"/>
      <c r="J23" s="18"/>
      <c r="K23" s="18"/>
      <c r="L23" s="18"/>
      <c r="M23" s="18"/>
      <c r="N23" s="18"/>
      <c r="O23" s="18">
        <f t="shared" si="1"/>
        <v>2629.8</v>
      </c>
      <c r="P23" s="8"/>
      <c r="Q23" s="8"/>
      <c r="R23" s="24" t="s">
        <v>824</v>
      </c>
      <c r="S23" s="21"/>
      <c r="T23" s="8"/>
    </row>
    <row r="24" spans="1:20" ht="18.75">
      <c r="A24" s="92">
        <f t="shared" si="0"/>
        <v>19</v>
      </c>
      <c r="B24" s="8"/>
      <c r="C24" s="18" t="s">
        <v>116</v>
      </c>
      <c r="D24" s="18" t="s">
        <v>152</v>
      </c>
      <c r="E24" s="21" t="s">
        <v>769</v>
      </c>
      <c r="F24" s="18"/>
      <c r="G24" s="18" t="s">
        <v>810</v>
      </c>
      <c r="H24" s="18">
        <v>46.4</v>
      </c>
      <c r="I24" s="18"/>
      <c r="J24" s="18"/>
      <c r="K24" s="18"/>
      <c r="L24" s="18"/>
      <c r="M24" s="18"/>
      <c r="N24" s="18"/>
      <c r="O24" s="18">
        <f t="shared" si="1"/>
        <v>2676.2000000000003</v>
      </c>
      <c r="P24" s="8"/>
      <c r="Q24" s="8"/>
      <c r="R24" s="24" t="s">
        <v>824</v>
      </c>
      <c r="S24" s="21"/>
      <c r="T24" s="8"/>
    </row>
    <row r="25" spans="1:20" ht="18.75">
      <c r="A25" s="92">
        <f t="shared" si="0"/>
        <v>20</v>
      </c>
      <c r="B25" s="8"/>
      <c r="C25" s="18" t="s">
        <v>152</v>
      </c>
      <c r="D25" s="18" t="s">
        <v>39</v>
      </c>
      <c r="E25" s="21" t="s">
        <v>769</v>
      </c>
      <c r="F25" s="18"/>
      <c r="G25" s="18" t="s">
        <v>810</v>
      </c>
      <c r="H25" s="18">
        <v>68</v>
      </c>
      <c r="I25" s="18"/>
      <c r="J25" s="18"/>
      <c r="K25" s="18"/>
      <c r="L25" s="18"/>
      <c r="M25" s="18"/>
      <c r="N25" s="18"/>
      <c r="O25" s="18">
        <f t="shared" si="1"/>
        <v>2744.2000000000003</v>
      </c>
      <c r="P25" s="8"/>
      <c r="Q25" s="8"/>
      <c r="R25" s="24" t="s">
        <v>824</v>
      </c>
      <c r="S25" s="21"/>
      <c r="T25" s="8"/>
    </row>
    <row r="26" spans="1:20" ht="18.75">
      <c r="A26" s="92">
        <f t="shared" si="0"/>
        <v>21</v>
      </c>
      <c r="B26" s="8"/>
      <c r="C26" s="18" t="s">
        <v>152</v>
      </c>
      <c r="D26" s="18" t="s">
        <v>39</v>
      </c>
      <c r="E26" s="18" t="s">
        <v>771</v>
      </c>
      <c r="F26" s="18">
        <v>0.36299999999999999</v>
      </c>
      <c r="G26" s="18" t="s">
        <v>810</v>
      </c>
      <c r="H26" s="18">
        <v>3.5</v>
      </c>
      <c r="I26" s="18"/>
      <c r="J26" s="18"/>
      <c r="K26" s="18"/>
      <c r="L26" s="18"/>
      <c r="M26" s="18"/>
      <c r="N26" s="18"/>
      <c r="O26" s="18">
        <f t="shared" si="1"/>
        <v>2747.7000000000003</v>
      </c>
      <c r="P26" s="8"/>
      <c r="Q26" s="8"/>
      <c r="R26" s="24" t="s">
        <v>824</v>
      </c>
      <c r="S26" s="21">
        <v>3.5</v>
      </c>
      <c r="T26" s="8"/>
    </row>
    <row r="27" spans="1:20" ht="18.75">
      <c r="A27" s="92">
        <f t="shared" si="0"/>
        <v>22</v>
      </c>
      <c r="B27" s="8"/>
      <c r="C27" s="18" t="s">
        <v>152</v>
      </c>
      <c r="D27" s="18" t="s">
        <v>118</v>
      </c>
      <c r="E27" s="21" t="s">
        <v>769</v>
      </c>
      <c r="F27" s="18"/>
      <c r="G27" s="18" t="s">
        <v>810</v>
      </c>
      <c r="H27" s="18">
        <v>104.2</v>
      </c>
      <c r="I27" s="18"/>
      <c r="J27" s="18"/>
      <c r="K27" s="18"/>
      <c r="L27" s="18"/>
      <c r="M27" s="18"/>
      <c r="N27" s="18"/>
      <c r="O27" s="18">
        <f t="shared" si="1"/>
        <v>2851.9</v>
      </c>
      <c r="P27" s="8"/>
      <c r="Q27" s="8"/>
      <c r="R27" s="24" t="s">
        <v>824</v>
      </c>
      <c r="S27" s="21"/>
      <c r="T27" s="8"/>
    </row>
    <row r="28" spans="1:20" ht="18.75">
      <c r="A28" s="92">
        <f t="shared" si="0"/>
        <v>23</v>
      </c>
      <c r="B28" s="8"/>
      <c r="C28" s="18" t="s">
        <v>60</v>
      </c>
      <c r="D28" s="18" t="s">
        <v>146</v>
      </c>
      <c r="E28" s="21" t="s">
        <v>769</v>
      </c>
      <c r="F28" s="18"/>
      <c r="G28" s="18" t="s">
        <v>810</v>
      </c>
      <c r="H28" s="18">
        <v>72.7</v>
      </c>
      <c r="I28" s="18"/>
      <c r="J28" s="18"/>
      <c r="K28" s="18"/>
      <c r="L28" s="18"/>
      <c r="M28" s="18"/>
      <c r="N28" s="18"/>
      <c r="O28" s="18">
        <f t="shared" si="1"/>
        <v>2924.6</v>
      </c>
      <c r="P28" s="8"/>
      <c r="Q28" s="8"/>
      <c r="R28" s="24" t="s">
        <v>824</v>
      </c>
      <c r="S28" s="21"/>
      <c r="T28" s="8"/>
    </row>
    <row r="29" spans="1:20" ht="18.75">
      <c r="A29" s="92">
        <f t="shared" si="0"/>
        <v>24</v>
      </c>
      <c r="B29" s="8"/>
      <c r="C29" s="18" t="s">
        <v>60</v>
      </c>
      <c r="D29" s="18" t="s">
        <v>146</v>
      </c>
      <c r="E29" s="21" t="s">
        <v>769</v>
      </c>
      <c r="F29" s="18"/>
      <c r="G29" s="18" t="s">
        <v>810</v>
      </c>
      <c r="H29" s="18">
        <v>26.6</v>
      </c>
      <c r="I29" s="18"/>
      <c r="J29" s="18"/>
      <c r="K29" s="18"/>
      <c r="L29" s="18"/>
      <c r="M29" s="18"/>
      <c r="N29" s="18"/>
      <c r="O29" s="18">
        <f t="shared" si="1"/>
        <v>2951.2</v>
      </c>
      <c r="P29" s="8"/>
      <c r="Q29" s="8"/>
      <c r="R29" s="24" t="s">
        <v>824</v>
      </c>
      <c r="S29" s="21"/>
      <c r="T29" s="8"/>
    </row>
    <row r="30" spans="1:20" ht="18.75">
      <c r="A30" s="92">
        <f t="shared" si="0"/>
        <v>25</v>
      </c>
      <c r="B30" s="8"/>
      <c r="C30" s="18" t="s">
        <v>106</v>
      </c>
      <c r="D30" s="18" t="s">
        <v>105</v>
      </c>
      <c r="E30" s="21" t="s">
        <v>769</v>
      </c>
      <c r="F30" s="18"/>
      <c r="G30" s="18" t="s">
        <v>810</v>
      </c>
      <c r="H30" s="18">
        <v>86</v>
      </c>
      <c r="I30" s="18"/>
      <c r="J30" s="18"/>
      <c r="K30" s="18"/>
      <c r="L30" s="18"/>
      <c r="M30" s="18"/>
      <c r="N30" s="18"/>
      <c r="O30" s="18">
        <f t="shared" si="1"/>
        <v>3037.2</v>
      </c>
      <c r="P30" s="8"/>
      <c r="Q30" s="8"/>
      <c r="R30" s="24" t="s">
        <v>824</v>
      </c>
      <c r="S30" s="21"/>
      <c r="T30" s="8"/>
    </row>
    <row r="31" spans="1:20" ht="18.75">
      <c r="A31" s="92">
        <f t="shared" si="0"/>
        <v>26</v>
      </c>
      <c r="B31" s="8"/>
      <c r="C31" s="18" t="s">
        <v>106</v>
      </c>
      <c r="D31" s="18" t="s">
        <v>105</v>
      </c>
      <c r="E31" s="18" t="s">
        <v>771</v>
      </c>
      <c r="F31" s="18">
        <v>0.36299999999999999</v>
      </c>
      <c r="G31" s="18" t="s">
        <v>810</v>
      </c>
      <c r="H31" s="18">
        <v>3.5</v>
      </c>
      <c r="I31" s="18"/>
      <c r="J31" s="18"/>
      <c r="K31" s="18"/>
      <c r="L31" s="18"/>
      <c r="M31" s="18"/>
      <c r="N31" s="18"/>
      <c r="O31" s="18">
        <f t="shared" si="1"/>
        <v>3040.7</v>
      </c>
      <c r="P31" s="8"/>
      <c r="Q31" s="8"/>
      <c r="R31" s="24" t="s">
        <v>824</v>
      </c>
      <c r="S31" s="21">
        <v>3.5</v>
      </c>
      <c r="T31" s="8"/>
    </row>
    <row r="32" spans="1:20" ht="18.75">
      <c r="A32" s="92">
        <f t="shared" si="0"/>
        <v>27</v>
      </c>
      <c r="B32" s="8"/>
      <c r="C32" s="18" t="s">
        <v>105</v>
      </c>
      <c r="D32" s="18" t="s">
        <v>54</v>
      </c>
      <c r="E32" s="21" t="s">
        <v>769</v>
      </c>
      <c r="F32" s="18"/>
      <c r="G32" s="18" t="s">
        <v>810</v>
      </c>
      <c r="H32" s="18">
        <v>335</v>
      </c>
      <c r="I32" s="18"/>
      <c r="J32" s="18"/>
      <c r="K32" s="18"/>
      <c r="L32" s="18"/>
      <c r="M32" s="18"/>
      <c r="N32" s="18"/>
      <c r="O32" s="18">
        <f t="shared" si="1"/>
        <v>3375.7</v>
      </c>
      <c r="P32" s="8"/>
      <c r="Q32" s="8"/>
      <c r="R32" s="24" t="s">
        <v>824</v>
      </c>
      <c r="S32" s="21"/>
      <c r="T32" s="8"/>
    </row>
    <row r="33" spans="1:20" ht="18.75">
      <c r="A33" s="92">
        <f t="shared" si="0"/>
        <v>28</v>
      </c>
      <c r="B33" s="8"/>
      <c r="C33" s="18" t="s">
        <v>54</v>
      </c>
      <c r="D33" s="18" t="s">
        <v>151</v>
      </c>
      <c r="E33" s="21" t="s">
        <v>769</v>
      </c>
      <c r="F33" s="18"/>
      <c r="G33" s="18" t="s">
        <v>810</v>
      </c>
      <c r="H33" s="18">
        <v>142.69999999999999</v>
      </c>
      <c r="I33" s="18"/>
      <c r="J33" s="18"/>
      <c r="K33" s="18"/>
      <c r="L33" s="18"/>
      <c r="M33" s="18"/>
      <c r="N33" s="18"/>
      <c r="O33" s="18">
        <f t="shared" si="1"/>
        <v>3518.3999999999996</v>
      </c>
      <c r="P33" s="8"/>
      <c r="Q33" s="8"/>
      <c r="R33" s="24" t="s">
        <v>824</v>
      </c>
      <c r="S33" s="21"/>
      <c r="T33" s="8"/>
    </row>
    <row r="34" spans="1:20" ht="18.75">
      <c r="A34" s="92">
        <f t="shared" si="0"/>
        <v>29</v>
      </c>
      <c r="B34" s="8"/>
      <c r="C34" s="18" t="s">
        <v>151</v>
      </c>
      <c r="D34" s="18" t="s">
        <v>828</v>
      </c>
      <c r="E34" s="21" t="s">
        <v>769</v>
      </c>
      <c r="F34" s="18"/>
      <c r="G34" s="18" t="s">
        <v>810</v>
      </c>
      <c r="H34" s="18">
        <v>27.8</v>
      </c>
      <c r="I34" s="18"/>
      <c r="J34" s="18"/>
      <c r="K34" s="18"/>
      <c r="L34" s="18"/>
      <c r="M34" s="18"/>
      <c r="N34" s="18"/>
      <c r="O34" s="18">
        <f t="shared" si="1"/>
        <v>3546.2</v>
      </c>
      <c r="P34" s="8"/>
      <c r="Q34" s="8"/>
      <c r="R34" s="24" t="s">
        <v>824</v>
      </c>
      <c r="S34" s="21"/>
      <c r="T34" s="8"/>
    </row>
    <row r="35" spans="1:20" ht="18.75">
      <c r="A35" s="92">
        <f t="shared" si="0"/>
        <v>30</v>
      </c>
      <c r="B35" s="8"/>
      <c r="C35" s="18" t="s">
        <v>151</v>
      </c>
      <c r="D35" s="18" t="s">
        <v>828</v>
      </c>
      <c r="E35" s="18" t="s">
        <v>771</v>
      </c>
      <c r="F35" s="18">
        <v>0.36299999999999999</v>
      </c>
      <c r="G35" s="18" t="s">
        <v>810</v>
      </c>
      <c r="H35" s="18">
        <v>3.5</v>
      </c>
      <c r="I35" s="18"/>
      <c r="J35" s="18"/>
      <c r="K35" s="18"/>
      <c r="L35" s="18"/>
      <c r="M35" s="18"/>
      <c r="N35" s="18"/>
      <c r="O35" s="18">
        <f t="shared" si="1"/>
        <v>3549.7</v>
      </c>
      <c r="P35" s="8"/>
      <c r="Q35" s="8"/>
      <c r="R35" s="24" t="s">
        <v>824</v>
      </c>
      <c r="S35" s="21">
        <v>3.5</v>
      </c>
      <c r="T35" s="8"/>
    </row>
    <row r="36" spans="1:20" ht="18.75">
      <c r="A36" s="92">
        <f t="shared" si="0"/>
        <v>31</v>
      </c>
      <c r="B36" s="8"/>
      <c r="C36" s="18" t="s">
        <v>54</v>
      </c>
      <c r="D36" s="18" t="s">
        <v>29</v>
      </c>
      <c r="E36" s="21" t="s">
        <v>769</v>
      </c>
      <c r="F36" s="18"/>
      <c r="G36" s="18" t="s">
        <v>810</v>
      </c>
      <c r="H36" s="18">
        <v>53.2</v>
      </c>
      <c r="I36" s="18"/>
      <c r="J36" s="18"/>
      <c r="K36" s="18"/>
      <c r="L36" s="18"/>
      <c r="M36" s="18"/>
      <c r="N36" s="18"/>
      <c r="O36" s="18">
        <f t="shared" si="1"/>
        <v>3602.8999999999996</v>
      </c>
      <c r="P36" s="8"/>
      <c r="Q36" s="8"/>
      <c r="R36" s="24" t="s">
        <v>824</v>
      </c>
      <c r="S36" s="21"/>
      <c r="T36" s="8"/>
    </row>
    <row r="37" spans="1:20" ht="18.75">
      <c r="A37" s="92">
        <f t="shared" si="0"/>
        <v>32</v>
      </c>
      <c r="B37" s="8"/>
      <c r="C37" s="18" t="s">
        <v>29</v>
      </c>
      <c r="D37" s="18" t="s">
        <v>57</v>
      </c>
      <c r="E37" s="21" t="s">
        <v>769</v>
      </c>
      <c r="F37" s="18"/>
      <c r="G37" s="18" t="s">
        <v>810</v>
      </c>
      <c r="H37" s="18">
        <v>52.4</v>
      </c>
      <c r="I37" s="18"/>
      <c r="J37" s="18"/>
      <c r="K37" s="18"/>
      <c r="L37" s="18"/>
      <c r="M37" s="18"/>
      <c r="N37" s="18"/>
      <c r="O37" s="18">
        <f t="shared" si="1"/>
        <v>3655.2999999999997</v>
      </c>
      <c r="P37" s="8"/>
      <c r="Q37" s="8"/>
      <c r="R37" s="24" t="s">
        <v>824</v>
      </c>
      <c r="S37" s="21"/>
      <c r="T37" s="8"/>
    </row>
    <row r="38" spans="1:20" ht="18.75">
      <c r="A38" s="92">
        <f t="shared" si="0"/>
        <v>33</v>
      </c>
      <c r="B38" s="8"/>
      <c r="C38" s="18" t="s">
        <v>57</v>
      </c>
      <c r="D38" s="18" t="s">
        <v>829</v>
      </c>
      <c r="E38" s="21" t="s">
        <v>769</v>
      </c>
      <c r="F38" s="18"/>
      <c r="G38" s="18" t="s">
        <v>810</v>
      </c>
      <c r="H38" s="18">
        <v>67.2</v>
      </c>
      <c r="I38" s="18"/>
      <c r="J38" s="18"/>
      <c r="K38" s="18"/>
      <c r="L38" s="18"/>
      <c r="M38" s="18"/>
      <c r="N38" s="18"/>
      <c r="O38" s="18">
        <f t="shared" si="1"/>
        <v>3722.4999999999995</v>
      </c>
      <c r="P38" s="8"/>
      <c r="Q38" s="8"/>
      <c r="R38" s="24" t="s">
        <v>824</v>
      </c>
      <c r="S38" s="21"/>
      <c r="T38" s="8"/>
    </row>
    <row r="39" spans="1:20" ht="18.75">
      <c r="A39" s="92">
        <f t="shared" si="0"/>
        <v>34</v>
      </c>
      <c r="B39" s="8"/>
      <c r="C39" s="18" t="s">
        <v>829</v>
      </c>
      <c r="D39" s="18" t="s">
        <v>29</v>
      </c>
      <c r="E39" s="21" t="s">
        <v>769</v>
      </c>
      <c r="F39" s="8"/>
      <c r="G39" s="18" t="s">
        <v>810</v>
      </c>
      <c r="H39" s="5">
        <v>74</v>
      </c>
      <c r="I39" s="8"/>
      <c r="J39" s="8"/>
      <c r="K39" s="8"/>
      <c r="L39" s="8"/>
      <c r="M39" s="8"/>
      <c r="N39" s="8"/>
      <c r="O39" s="18">
        <f t="shared" si="1"/>
        <v>3796.4999999999995</v>
      </c>
      <c r="P39" s="8"/>
      <c r="Q39" s="8"/>
      <c r="R39" s="24" t="s">
        <v>824</v>
      </c>
      <c r="S39" s="21"/>
      <c r="T39" s="8"/>
    </row>
    <row r="40" spans="1:20" ht="18.75">
      <c r="A40" s="92">
        <f t="shared" si="0"/>
        <v>35</v>
      </c>
      <c r="B40" s="8"/>
      <c r="C40" s="18" t="s">
        <v>151</v>
      </c>
      <c r="D40" s="18" t="s">
        <v>830</v>
      </c>
      <c r="E40" s="21" t="s">
        <v>769</v>
      </c>
      <c r="F40" s="8"/>
      <c r="G40" s="18" t="s">
        <v>810</v>
      </c>
      <c r="H40" s="18">
        <v>100</v>
      </c>
      <c r="I40" s="8"/>
      <c r="J40" s="8"/>
      <c r="K40" s="8"/>
      <c r="L40" s="8"/>
      <c r="M40" s="8"/>
      <c r="N40" s="8"/>
      <c r="O40" s="18">
        <f t="shared" si="1"/>
        <v>3896.4999999999995</v>
      </c>
      <c r="P40" s="8"/>
      <c r="Q40" s="8"/>
      <c r="R40" s="24" t="s">
        <v>824</v>
      </c>
      <c r="S40" s="21"/>
      <c r="T40" s="8"/>
    </row>
    <row r="41" spans="1:20" ht="18.75">
      <c r="A41" s="92">
        <f t="shared" si="0"/>
        <v>36</v>
      </c>
      <c r="C41" s="18" t="s">
        <v>830</v>
      </c>
      <c r="D41" s="18" t="s">
        <v>831</v>
      </c>
      <c r="E41" s="21" t="s">
        <v>769</v>
      </c>
      <c r="F41" s="8"/>
      <c r="G41" s="18" t="s">
        <v>810</v>
      </c>
      <c r="H41" s="18">
        <v>362</v>
      </c>
      <c r="I41" s="8"/>
      <c r="J41" s="8"/>
      <c r="K41" s="8"/>
      <c r="L41" s="8"/>
      <c r="M41" s="8"/>
      <c r="N41" s="8"/>
      <c r="O41" s="18">
        <f t="shared" si="1"/>
        <v>4258.5</v>
      </c>
      <c r="P41" s="8"/>
      <c r="Q41" s="8"/>
      <c r="R41" s="24" t="s">
        <v>824</v>
      </c>
      <c r="S41" s="21"/>
      <c r="T41" s="8"/>
    </row>
    <row r="42" spans="1:20" ht="18.75">
      <c r="A42" s="92">
        <f t="shared" si="0"/>
        <v>37</v>
      </c>
      <c r="C42" s="5" t="s">
        <v>89</v>
      </c>
      <c r="D42" s="5" t="s">
        <v>57</v>
      </c>
      <c r="E42" s="21" t="s">
        <v>769</v>
      </c>
      <c r="F42" s="8"/>
      <c r="G42" s="18" t="s">
        <v>810</v>
      </c>
      <c r="H42" s="18">
        <v>305.2</v>
      </c>
      <c r="I42" s="8"/>
      <c r="J42" s="8"/>
      <c r="K42" s="8"/>
      <c r="L42" s="8"/>
      <c r="M42" s="8"/>
      <c r="N42" s="8"/>
      <c r="O42" s="18">
        <f t="shared" si="1"/>
        <v>4563.7</v>
      </c>
      <c r="P42" s="8"/>
      <c r="Q42" s="8"/>
      <c r="R42" s="24" t="s">
        <v>824</v>
      </c>
      <c r="S42" s="21"/>
      <c r="T42" s="8"/>
    </row>
    <row r="43" spans="1:20" ht="18.75">
      <c r="A43" s="92">
        <f t="shared" si="0"/>
        <v>38</v>
      </c>
      <c r="C43" s="18" t="s">
        <v>105</v>
      </c>
      <c r="D43" s="18" t="s">
        <v>91</v>
      </c>
      <c r="E43" s="21" t="s">
        <v>769</v>
      </c>
      <c r="F43" s="8"/>
      <c r="G43" s="18" t="s">
        <v>810</v>
      </c>
      <c r="H43" s="18">
        <v>133.1</v>
      </c>
      <c r="I43" s="8"/>
      <c r="J43" s="8"/>
      <c r="K43" s="8"/>
      <c r="L43" s="8"/>
      <c r="M43" s="8"/>
      <c r="N43" s="8"/>
      <c r="O43" s="18">
        <f t="shared" si="1"/>
        <v>4696.8</v>
      </c>
      <c r="P43" s="8"/>
      <c r="Q43" s="8"/>
      <c r="R43" s="24" t="s">
        <v>824</v>
      </c>
      <c r="S43" s="21"/>
      <c r="T43" s="8"/>
    </row>
    <row r="44" spans="1:20" ht="18.75">
      <c r="A44" s="92">
        <f t="shared" si="0"/>
        <v>39</v>
      </c>
      <c r="C44" s="18" t="s">
        <v>91</v>
      </c>
      <c r="D44" s="5" t="s">
        <v>89</v>
      </c>
      <c r="E44" s="21" t="s">
        <v>769</v>
      </c>
      <c r="F44" s="8"/>
      <c r="G44" s="18" t="s">
        <v>810</v>
      </c>
      <c r="H44" s="18">
        <v>211.3</v>
      </c>
      <c r="I44" s="8"/>
      <c r="J44" s="8"/>
      <c r="K44" s="8"/>
      <c r="L44" s="8"/>
      <c r="M44" s="8"/>
      <c r="N44" s="8"/>
      <c r="O44" s="18">
        <f t="shared" si="1"/>
        <v>4908.1000000000004</v>
      </c>
      <c r="P44" s="8"/>
      <c r="Q44" s="8"/>
      <c r="R44" s="24" t="s">
        <v>824</v>
      </c>
      <c r="S44" s="21"/>
      <c r="T44" s="8"/>
    </row>
    <row r="45" spans="1:20" ht="18.75">
      <c r="A45" s="92">
        <f t="shared" si="0"/>
        <v>40</v>
      </c>
      <c r="C45" s="18" t="s">
        <v>91</v>
      </c>
      <c r="D45" s="5" t="s">
        <v>89</v>
      </c>
      <c r="E45" s="18" t="s">
        <v>771</v>
      </c>
      <c r="F45" s="18">
        <v>0.36299999999999999</v>
      </c>
      <c r="G45" s="18" t="s">
        <v>810</v>
      </c>
      <c r="H45" s="18">
        <v>7.5</v>
      </c>
      <c r="I45" s="8"/>
      <c r="J45" s="8"/>
      <c r="K45" s="8"/>
      <c r="L45" s="8"/>
      <c r="M45" s="8"/>
      <c r="N45" s="8"/>
      <c r="O45" s="18">
        <f t="shared" si="1"/>
        <v>4915.6000000000004</v>
      </c>
      <c r="P45" s="8"/>
      <c r="Q45" s="8"/>
      <c r="R45" s="24" t="s">
        <v>824</v>
      </c>
      <c r="S45" s="21">
        <v>7.5</v>
      </c>
      <c r="T45" s="8"/>
    </row>
    <row r="46" spans="1:20" ht="18.75">
      <c r="A46" s="92">
        <f t="shared" si="0"/>
        <v>41</v>
      </c>
      <c r="C46" s="5" t="s">
        <v>89</v>
      </c>
      <c r="D46" s="5" t="s">
        <v>165</v>
      </c>
      <c r="E46" s="21" t="s">
        <v>769</v>
      </c>
      <c r="F46" s="8"/>
      <c r="G46" s="18" t="s">
        <v>810</v>
      </c>
      <c r="H46" s="18">
        <v>106.3</v>
      </c>
      <c r="I46" s="8"/>
      <c r="J46" s="8"/>
      <c r="K46" s="8"/>
      <c r="L46" s="8"/>
      <c r="M46" s="8"/>
      <c r="N46" s="8"/>
      <c r="O46" s="18">
        <f t="shared" si="1"/>
        <v>5021.9000000000005</v>
      </c>
      <c r="P46" s="8"/>
      <c r="Q46" s="8"/>
      <c r="R46" s="24" t="s">
        <v>824</v>
      </c>
      <c r="S46" s="21"/>
      <c r="T46" s="8"/>
    </row>
    <row r="47" spans="1:20" ht="18.75">
      <c r="A47" s="92">
        <f t="shared" si="0"/>
        <v>42</v>
      </c>
      <c r="C47" s="5" t="s">
        <v>165</v>
      </c>
      <c r="D47" s="5" t="s">
        <v>52</v>
      </c>
      <c r="E47" s="21" t="s">
        <v>769</v>
      </c>
      <c r="F47" s="8"/>
      <c r="G47" s="18" t="s">
        <v>810</v>
      </c>
      <c r="H47" s="18">
        <v>132.80000000000001</v>
      </c>
      <c r="I47" s="8"/>
      <c r="J47" s="8"/>
      <c r="K47" s="8"/>
      <c r="L47" s="8"/>
      <c r="M47" s="8"/>
      <c r="N47" s="8"/>
      <c r="O47" s="18">
        <f t="shared" si="1"/>
        <v>5154.7000000000007</v>
      </c>
      <c r="P47" s="8"/>
      <c r="Q47" s="8"/>
      <c r="R47" s="24" t="s">
        <v>824</v>
      </c>
      <c r="S47" s="21"/>
      <c r="T47" s="8"/>
    </row>
    <row r="48" spans="1:20" ht="18.75">
      <c r="A48" s="92">
        <f t="shared" si="0"/>
        <v>43</v>
      </c>
      <c r="C48" s="18" t="s">
        <v>52</v>
      </c>
      <c r="D48" s="18" t="s">
        <v>502</v>
      </c>
      <c r="E48" s="21" t="s">
        <v>769</v>
      </c>
      <c r="F48" s="8"/>
      <c r="G48" s="18" t="s">
        <v>810</v>
      </c>
      <c r="H48" s="18">
        <v>61.4</v>
      </c>
      <c r="I48" s="8"/>
      <c r="J48" s="8"/>
      <c r="K48" s="8"/>
      <c r="L48" s="8"/>
      <c r="M48" s="8"/>
      <c r="N48" s="8"/>
      <c r="O48" s="18">
        <f t="shared" si="1"/>
        <v>5216.1000000000004</v>
      </c>
      <c r="P48" s="8"/>
      <c r="Q48" s="8"/>
      <c r="R48" s="24" t="s">
        <v>824</v>
      </c>
      <c r="S48" s="21"/>
      <c r="T48" s="8"/>
    </row>
    <row r="49" spans="1:20" ht="18.75">
      <c r="A49" s="92">
        <f t="shared" si="0"/>
        <v>44</v>
      </c>
      <c r="C49" s="18" t="s">
        <v>52</v>
      </c>
      <c r="D49" s="18" t="s">
        <v>67</v>
      </c>
      <c r="E49" s="21" t="s">
        <v>769</v>
      </c>
      <c r="F49" s="8"/>
      <c r="G49" s="18" t="s">
        <v>810</v>
      </c>
      <c r="H49" s="18">
        <v>31.9</v>
      </c>
      <c r="I49" s="8"/>
      <c r="J49" s="8"/>
      <c r="K49" s="8"/>
      <c r="L49" s="8"/>
      <c r="M49" s="8"/>
      <c r="N49" s="8"/>
      <c r="O49" s="18">
        <f t="shared" si="1"/>
        <v>5248</v>
      </c>
      <c r="P49" s="8"/>
      <c r="Q49" s="8"/>
      <c r="R49" s="24" t="s">
        <v>824</v>
      </c>
      <c r="S49" s="21"/>
      <c r="T49" s="8"/>
    </row>
    <row r="50" spans="1:20" ht="18.75">
      <c r="A50" s="92">
        <f t="shared" si="0"/>
        <v>45</v>
      </c>
      <c r="C50" s="18" t="s">
        <v>67</v>
      </c>
      <c r="D50" s="18" t="s">
        <v>164</v>
      </c>
      <c r="E50" s="21" t="s">
        <v>769</v>
      </c>
      <c r="F50" s="8"/>
      <c r="G50" s="18" t="s">
        <v>810</v>
      </c>
      <c r="H50" s="18">
        <v>61.4</v>
      </c>
      <c r="I50" s="8"/>
      <c r="J50" s="8"/>
      <c r="K50" s="8"/>
      <c r="L50" s="8"/>
      <c r="M50" s="8"/>
      <c r="N50" s="8"/>
      <c r="O50" s="18">
        <f t="shared" si="1"/>
        <v>5309.4</v>
      </c>
      <c r="P50" s="8"/>
      <c r="Q50" s="8"/>
      <c r="R50" s="24" t="s">
        <v>824</v>
      </c>
      <c r="S50" s="21"/>
      <c r="T50" s="8"/>
    </row>
    <row r="51" spans="1:20" ht="18.75">
      <c r="A51" s="92">
        <f t="shared" si="0"/>
        <v>46</v>
      </c>
      <c r="C51" s="18" t="s">
        <v>67</v>
      </c>
      <c r="D51" s="18" t="s">
        <v>150</v>
      </c>
      <c r="E51" s="21" t="s">
        <v>769</v>
      </c>
      <c r="F51" s="8"/>
      <c r="G51" s="18" t="s">
        <v>810</v>
      </c>
      <c r="H51" s="18">
        <v>100.6</v>
      </c>
      <c r="I51" s="8"/>
      <c r="J51" s="8"/>
      <c r="K51" s="8"/>
      <c r="L51" s="8"/>
      <c r="M51" s="8"/>
      <c r="N51" s="8"/>
      <c r="O51" s="18">
        <f t="shared" si="1"/>
        <v>5410</v>
      </c>
      <c r="P51" s="8"/>
      <c r="Q51" s="8"/>
      <c r="R51" s="24" t="s">
        <v>824</v>
      </c>
      <c r="S51" s="21"/>
      <c r="T51" s="8"/>
    </row>
    <row r="52" spans="1:20" ht="18.75">
      <c r="A52" s="92">
        <f t="shared" si="0"/>
        <v>47</v>
      </c>
      <c r="C52" s="18" t="s">
        <v>30</v>
      </c>
      <c r="D52" s="18" t="s">
        <v>123</v>
      </c>
      <c r="E52" s="21" t="s">
        <v>769</v>
      </c>
      <c r="F52" s="8"/>
      <c r="G52" s="18" t="s">
        <v>810</v>
      </c>
      <c r="H52" s="5">
        <v>112.2</v>
      </c>
      <c r="I52" s="8"/>
      <c r="J52" s="8"/>
      <c r="K52" s="8"/>
      <c r="L52" s="8"/>
      <c r="M52" s="8"/>
      <c r="N52" s="8"/>
      <c r="O52" s="18">
        <f t="shared" si="1"/>
        <v>5522.2</v>
      </c>
      <c r="P52" s="8"/>
      <c r="Q52" s="8"/>
      <c r="R52" s="24" t="s">
        <v>824</v>
      </c>
      <c r="S52" s="21"/>
      <c r="T52" s="8"/>
    </row>
    <row r="53" spans="1:20" ht="18.75">
      <c r="A53" s="92">
        <f t="shared" si="0"/>
        <v>48</v>
      </c>
      <c r="C53" s="18" t="s">
        <v>165</v>
      </c>
      <c r="D53" s="18" t="s">
        <v>832</v>
      </c>
      <c r="E53" s="21" t="s">
        <v>769</v>
      </c>
      <c r="F53" s="8"/>
      <c r="G53" s="18" t="s">
        <v>810</v>
      </c>
      <c r="H53" s="5">
        <v>74.599999999999994</v>
      </c>
      <c r="I53" s="8"/>
      <c r="J53" s="8"/>
      <c r="K53" s="8"/>
      <c r="L53" s="8"/>
      <c r="M53" s="8"/>
      <c r="N53" s="8"/>
      <c r="O53" s="18">
        <f t="shared" si="1"/>
        <v>5596.8</v>
      </c>
      <c r="P53" s="8"/>
      <c r="Q53" s="8"/>
      <c r="R53" s="24" t="s">
        <v>824</v>
      </c>
      <c r="S53" s="21"/>
      <c r="T53" s="8"/>
    </row>
    <row r="54" spans="1:20" ht="18.75">
      <c r="A54" s="92">
        <f t="shared" si="0"/>
        <v>49</v>
      </c>
      <c r="C54" s="18" t="s">
        <v>832</v>
      </c>
      <c r="D54" s="18" t="s">
        <v>145</v>
      </c>
      <c r="E54" s="21" t="s">
        <v>769</v>
      </c>
      <c r="F54" s="8"/>
      <c r="G54" s="18" t="s">
        <v>810</v>
      </c>
      <c r="H54" s="5">
        <v>51.1</v>
      </c>
      <c r="I54" s="8"/>
      <c r="J54" s="8"/>
      <c r="K54" s="8"/>
      <c r="L54" s="8"/>
      <c r="M54" s="8"/>
      <c r="N54" s="8"/>
      <c r="O54" s="18">
        <f t="shared" si="1"/>
        <v>5647.9000000000005</v>
      </c>
      <c r="P54" s="8"/>
      <c r="Q54" s="8"/>
      <c r="R54" s="24" t="s">
        <v>824</v>
      </c>
      <c r="S54" s="21"/>
      <c r="T54" s="8"/>
    </row>
    <row r="55" spans="1:20" ht="18.75">
      <c r="A55" s="92">
        <f t="shared" si="0"/>
        <v>50</v>
      </c>
      <c r="C55" s="5" t="s">
        <v>91</v>
      </c>
      <c r="D55" s="5" t="s">
        <v>132</v>
      </c>
      <c r="E55" s="21" t="s">
        <v>769</v>
      </c>
      <c r="F55" s="8"/>
      <c r="G55" s="18" t="s">
        <v>810</v>
      </c>
      <c r="H55" s="18">
        <v>170.9</v>
      </c>
      <c r="I55" s="8"/>
      <c r="J55" s="8"/>
      <c r="K55" s="8"/>
      <c r="L55" s="8"/>
      <c r="M55" s="8"/>
      <c r="N55" s="8"/>
      <c r="O55" s="18">
        <f t="shared" si="1"/>
        <v>5818.8</v>
      </c>
      <c r="P55" s="8"/>
      <c r="Q55" s="8"/>
      <c r="R55" s="24" t="s">
        <v>824</v>
      </c>
      <c r="S55" s="21"/>
      <c r="T55" s="8"/>
    </row>
    <row r="56" spans="1:20" ht="18.75">
      <c r="A56" s="92">
        <f t="shared" si="0"/>
        <v>51</v>
      </c>
      <c r="C56" s="76" t="s">
        <v>132</v>
      </c>
      <c r="D56" s="76" t="s">
        <v>39</v>
      </c>
      <c r="E56" s="21" t="s">
        <v>769</v>
      </c>
      <c r="F56" s="77"/>
      <c r="G56" s="108" t="s">
        <v>810</v>
      </c>
      <c r="H56" s="108">
        <v>123</v>
      </c>
      <c r="I56" s="77"/>
      <c r="J56" s="77"/>
      <c r="K56" s="77"/>
      <c r="L56" s="77"/>
      <c r="M56" s="77"/>
      <c r="N56" s="77"/>
      <c r="O56" s="18">
        <f t="shared" si="1"/>
        <v>5941.8</v>
      </c>
      <c r="P56" s="77"/>
      <c r="Q56" s="77"/>
      <c r="R56" s="24" t="s">
        <v>824</v>
      </c>
      <c r="S56" s="174"/>
      <c r="T56" s="77"/>
    </row>
    <row r="57" spans="1:20" ht="18.75">
      <c r="A57" s="92">
        <f t="shared" si="0"/>
        <v>52</v>
      </c>
      <c r="B57" s="8"/>
      <c r="C57" s="5" t="s">
        <v>103</v>
      </c>
      <c r="D57" s="5" t="s">
        <v>69</v>
      </c>
      <c r="E57" s="21" t="s">
        <v>769</v>
      </c>
      <c r="F57" s="77"/>
      <c r="G57" s="108" t="s">
        <v>810</v>
      </c>
      <c r="H57" s="5">
        <v>81</v>
      </c>
      <c r="I57" s="8"/>
      <c r="J57" s="8"/>
      <c r="K57" s="8"/>
      <c r="L57" s="8"/>
      <c r="M57" s="8"/>
      <c r="N57" s="8"/>
      <c r="O57" s="18">
        <f t="shared" si="1"/>
        <v>6022.8</v>
      </c>
      <c r="P57" s="8"/>
      <c r="Q57" s="8"/>
      <c r="R57" s="24" t="s">
        <v>824</v>
      </c>
      <c r="S57" s="21"/>
      <c r="T57" s="8"/>
    </row>
    <row r="58" spans="1:20" ht="18.75">
      <c r="A58" s="92">
        <f t="shared" si="0"/>
        <v>53</v>
      </c>
      <c r="C58" s="5" t="s">
        <v>69</v>
      </c>
      <c r="D58" s="5" t="s">
        <v>106</v>
      </c>
      <c r="E58" s="21" t="s">
        <v>769</v>
      </c>
      <c r="F58" s="76"/>
      <c r="G58" s="108" t="s">
        <v>810</v>
      </c>
      <c r="H58" s="5">
        <v>177</v>
      </c>
      <c r="I58" s="8"/>
      <c r="J58" s="8"/>
      <c r="K58" s="8"/>
      <c r="L58" s="8"/>
      <c r="M58" s="8"/>
      <c r="N58" s="8"/>
      <c r="O58" s="18">
        <f t="shared" si="1"/>
        <v>6199.8</v>
      </c>
      <c r="P58" s="8"/>
      <c r="Q58" s="8"/>
      <c r="R58" s="24" t="s">
        <v>824</v>
      </c>
      <c r="S58" s="21"/>
      <c r="T58" s="8"/>
    </row>
    <row r="59" spans="1:20" ht="18.75">
      <c r="A59" s="92">
        <f t="shared" si="0"/>
        <v>54</v>
      </c>
      <c r="C59" s="108" t="s">
        <v>132</v>
      </c>
      <c r="D59" s="18" t="s">
        <v>833</v>
      </c>
      <c r="E59" s="21" t="s">
        <v>769</v>
      </c>
      <c r="F59" s="77"/>
      <c r="G59" s="108" t="s">
        <v>810</v>
      </c>
      <c r="H59" s="5">
        <v>71.7</v>
      </c>
      <c r="I59" s="8"/>
      <c r="J59" s="8"/>
      <c r="K59" s="8"/>
      <c r="L59" s="8"/>
      <c r="M59" s="8"/>
      <c r="N59" s="8"/>
      <c r="O59" s="18">
        <f t="shared" si="1"/>
        <v>6271.5</v>
      </c>
      <c r="P59" s="8"/>
      <c r="Q59" s="8"/>
      <c r="R59" s="24" t="s">
        <v>824</v>
      </c>
      <c r="S59" s="21"/>
      <c r="T59" s="8"/>
    </row>
    <row r="60" spans="1:20" ht="18.75">
      <c r="A60" s="92">
        <f t="shared" si="0"/>
        <v>55</v>
      </c>
      <c r="C60" s="18" t="s">
        <v>833</v>
      </c>
      <c r="D60" s="18" t="s">
        <v>124</v>
      </c>
      <c r="E60" s="21" t="s">
        <v>769</v>
      </c>
      <c r="F60" s="77"/>
      <c r="G60" s="108" t="s">
        <v>810</v>
      </c>
      <c r="H60" s="5">
        <v>126.5</v>
      </c>
      <c r="I60" s="8"/>
      <c r="J60" s="8"/>
      <c r="K60" s="8"/>
      <c r="L60" s="8"/>
      <c r="M60" s="8"/>
      <c r="N60" s="8"/>
      <c r="O60" s="18">
        <f t="shared" si="1"/>
        <v>6398</v>
      </c>
      <c r="P60" s="8"/>
      <c r="Q60" s="8"/>
      <c r="R60" s="24" t="s">
        <v>824</v>
      </c>
      <c r="S60" s="21"/>
      <c r="T60" s="8"/>
    </row>
    <row r="61" spans="1:20" ht="18.75">
      <c r="A61" s="92">
        <f t="shared" si="0"/>
        <v>56</v>
      </c>
      <c r="C61" s="18" t="s">
        <v>833</v>
      </c>
      <c r="D61" s="18" t="s">
        <v>40</v>
      </c>
      <c r="E61" s="21" t="s">
        <v>769</v>
      </c>
      <c r="F61" s="77"/>
      <c r="G61" s="108" t="s">
        <v>810</v>
      </c>
      <c r="H61" s="18">
        <v>269.39999999999998</v>
      </c>
      <c r="I61" s="8"/>
      <c r="J61" s="8"/>
      <c r="K61" s="8"/>
      <c r="L61" s="8"/>
      <c r="M61" s="8"/>
      <c r="N61" s="8"/>
      <c r="O61" s="18">
        <f t="shared" si="1"/>
        <v>6667.4</v>
      </c>
      <c r="P61" s="8"/>
      <c r="Q61" s="8"/>
      <c r="R61" s="24" t="s">
        <v>824</v>
      </c>
      <c r="S61" s="21"/>
      <c r="T61" s="8"/>
    </row>
    <row r="62" spans="1:20" ht="18.75">
      <c r="A62" s="92">
        <f t="shared" si="0"/>
        <v>57</v>
      </c>
      <c r="C62" s="18" t="s">
        <v>69</v>
      </c>
      <c r="D62" s="18" t="s">
        <v>126</v>
      </c>
      <c r="E62" s="21" t="s">
        <v>769</v>
      </c>
      <c r="F62" s="108"/>
      <c r="G62" s="108" t="s">
        <v>810</v>
      </c>
      <c r="H62" s="18">
        <v>90</v>
      </c>
      <c r="I62" s="8"/>
      <c r="J62" s="8"/>
      <c r="K62" s="8"/>
      <c r="L62" s="8"/>
      <c r="M62" s="8"/>
      <c r="N62" s="8"/>
      <c r="O62" s="18">
        <f t="shared" si="1"/>
        <v>6757.4</v>
      </c>
      <c r="P62" s="8"/>
      <c r="Q62" s="8"/>
      <c r="R62" s="24" t="s">
        <v>824</v>
      </c>
      <c r="S62" s="21"/>
      <c r="T62" s="8"/>
    </row>
    <row r="63" spans="1:20" ht="18.75">
      <c r="A63" s="92">
        <f t="shared" si="0"/>
        <v>58</v>
      </c>
      <c r="C63" s="18" t="s">
        <v>103</v>
      </c>
      <c r="D63" s="18" t="s">
        <v>78</v>
      </c>
      <c r="E63" s="21" t="s">
        <v>769</v>
      </c>
      <c r="F63" s="108"/>
      <c r="G63" s="108" t="s">
        <v>810</v>
      </c>
      <c r="H63" s="18">
        <v>72.099999999999994</v>
      </c>
      <c r="I63" s="8"/>
      <c r="J63" s="8"/>
      <c r="K63" s="8"/>
      <c r="L63" s="8"/>
      <c r="M63" s="8"/>
      <c r="N63" s="8"/>
      <c r="O63" s="18">
        <f t="shared" si="1"/>
        <v>6829.5</v>
      </c>
      <c r="P63" s="8"/>
      <c r="Q63" s="8"/>
      <c r="R63" s="24" t="s">
        <v>824</v>
      </c>
      <c r="S63" s="21"/>
      <c r="T63" s="8"/>
    </row>
    <row r="64" spans="1:20" ht="18.75">
      <c r="A64" s="92">
        <f t="shared" si="0"/>
        <v>59</v>
      </c>
      <c r="C64" s="18" t="s">
        <v>78</v>
      </c>
      <c r="D64" s="18" t="s">
        <v>834</v>
      </c>
      <c r="E64" s="21" t="s">
        <v>769</v>
      </c>
      <c r="F64" s="108"/>
      <c r="G64" s="108" t="s">
        <v>810</v>
      </c>
      <c r="H64" s="18">
        <v>73.7</v>
      </c>
      <c r="I64" s="8"/>
      <c r="J64" s="8"/>
      <c r="K64" s="8"/>
      <c r="L64" s="8"/>
      <c r="M64" s="8"/>
      <c r="N64" s="8"/>
      <c r="O64" s="18">
        <f t="shared" si="1"/>
        <v>6903.2</v>
      </c>
      <c r="P64" s="8"/>
      <c r="Q64" s="8"/>
      <c r="R64" s="24" t="s">
        <v>824</v>
      </c>
      <c r="S64" s="21"/>
      <c r="T64" s="8"/>
    </row>
    <row r="65" spans="1:20" ht="18.75">
      <c r="A65" s="92">
        <f t="shared" si="0"/>
        <v>60</v>
      </c>
      <c r="C65" s="18" t="s">
        <v>78</v>
      </c>
      <c r="D65" s="18" t="s">
        <v>834</v>
      </c>
      <c r="E65" s="18" t="s">
        <v>771</v>
      </c>
      <c r="F65" s="108">
        <v>0.36299999999999999</v>
      </c>
      <c r="G65" s="108" t="s">
        <v>810</v>
      </c>
      <c r="H65" s="18">
        <v>3.5</v>
      </c>
      <c r="I65" s="8"/>
      <c r="J65" s="8"/>
      <c r="K65" s="8"/>
      <c r="L65" s="8"/>
      <c r="M65" s="8"/>
      <c r="N65" s="8"/>
      <c r="O65" s="18">
        <f t="shared" si="1"/>
        <v>6906.7</v>
      </c>
      <c r="P65" s="8"/>
      <c r="Q65" s="8"/>
      <c r="R65" s="24" t="s">
        <v>824</v>
      </c>
      <c r="S65" s="21">
        <v>3.5</v>
      </c>
      <c r="T65" s="8"/>
    </row>
    <row r="66" spans="1:20" ht="18.75">
      <c r="A66" s="92">
        <f t="shared" si="0"/>
        <v>61</v>
      </c>
      <c r="C66" s="18" t="s">
        <v>122</v>
      </c>
      <c r="D66" s="18" t="s">
        <v>835</v>
      </c>
      <c r="E66" s="21" t="s">
        <v>769</v>
      </c>
      <c r="F66" s="108"/>
      <c r="G66" s="108" t="s">
        <v>810</v>
      </c>
      <c r="H66" s="18">
        <v>96.4</v>
      </c>
      <c r="I66" s="8"/>
      <c r="J66" s="8"/>
      <c r="K66" s="8"/>
      <c r="L66" s="8"/>
      <c r="M66" s="8"/>
      <c r="N66" s="8"/>
      <c r="O66" s="18">
        <f t="shared" si="1"/>
        <v>7003.0999999999995</v>
      </c>
      <c r="P66" s="8"/>
      <c r="Q66" s="8"/>
      <c r="R66" s="24" t="s">
        <v>824</v>
      </c>
      <c r="S66" s="21"/>
      <c r="T66" s="8"/>
    </row>
    <row r="67" spans="1:20" ht="18.75">
      <c r="A67" s="92">
        <f t="shared" si="0"/>
        <v>62</v>
      </c>
      <c r="C67" s="18" t="s">
        <v>122</v>
      </c>
      <c r="D67" s="18" t="s">
        <v>835</v>
      </c>
      <c r="E67" s="21" t="s">
        <v>769</v>
      </c>
      <c r="F67" s="108"/>
      <c r="G67" s="108" t="s">
        <v>810</v>
      </c>
      <c r="H67" s="18">
        <v>10.3</v>
      </c>
      <c r="I67" s="8"/>
      <c r="J67" s="8"/>
      <c r="K67" s="8"/>
      <c r="L67" s="8"/>
      <c r="M67" s="8"/>
      <c r="N67" s="8"/>
      <c r="O67" s="18">
        <f t="shared" si="1"/>
        <v>7013.4</v>
      </c>
      <c r="P67" s="8"/>
      <c r="Q67" s="8"/>
      <c r="R67" s="24" t="s">
        <v>824</v>
      </c>
      <c r="S67" s="21"/>
      <c r="T67" s="8"/>
    </row>
    <row r="68" spans="1:20" ht="18.75">
      <c r="A68" s="92">
        <f t="shared" si="0"/>
        <v>63</v>
      </c>
      <c r="C68" s="18" t="s">
        <v>835</v>
      </c>
      <c r="D68" s="18" t="s">
        <v>729</v>
      </c>
      <c r="E68" s="21" t="s">
        <v>769</v>
      </c>
      <c r="F68" s="108"/>
      <c r="G68" s="108" t="s">
        <v>810</v>
      </c>
      <c r="H68" s="5">
        <v>56</v>
      </c>
      <c r="I68" s="8"/>
      <c r="J68" s="8"/>
      <c r="K68" s="8"/>
      <c r="L68" s="8"/>
      <c r="M68" s="8"/>
      <c r="N68" s="8"/>
      <c r="O68" s="18">
        <f t="shared" si="1"/>
        <v>7069.4</v>
      </c>
      <c r="P68" s="8"/>
      <c r="Q68" s="8"/>
      <c r="R68" s="24" t="s">
        <v>824</v>
      </c>
      <c r="S68" s="21"/>
      <c r="T68" s="8"/>
    </row>
    <row r="69" spans="1:20" ht="18.75">
      <c r="A69" s="92">
        <f t="shared" si="0"/>
        <v>64</v>
      </c>
      <c r="C69" s="18" t="s">
        <v>729</v>
      </c>
      <c r="D69" s="18" t="s">
        <v>156</v>
      </c>
      <c r="E69" s="21" t="s">
        <v>769</v>
      </c>
      <c r="F69" s="77"/>
      <c r="G69" s="108" t="s">
        <v>810</v>
      </c>
      <c r="H69" s="18">
        <v>20</v>
      </c>
      <c r="I69" s="8"/>
      <c r="J69" s="8"/>
      <c r="K69" s="8"/>
      <c r="L69" s="8"/>
      <c r="M69" s="8"/>
      <c r="N69" s="8"/>
      <c r="O69" s="18">
        <f t="shared" si="1"/>
        <v>7089.4</v>
      </c>
      <c r="P69" s="8"/>
      <c r="Q69" s="8"/>
      <c r="R69" s="24" t="s">
        <v>824</v>
      </c>
      <c r="S69" s="21"/>
      <c r="T69" s="8"/>
    </row>
    <row r="70" spans="1:20" ht="18.75">
      <c r="A70" s="92">
        <f t="shared" si="0"/>
        <v>65</v>
      </c>
      <c r="C70" s="18" t="s">
        <v>729</v>
      </c>
      <c r="D70" s="18" t="s">
        <v>836</v>
      </c>
      <c r="E70" s="18" t="s">
        <v>771</v>
      </c>
      <c r="F70" s="18">
        <v>0.36299999999999999</v>
      </c>
      <c r="G70" s="18" t="s">
        <v>810</v>
      </c>
      <c r="H70" s="18">
        <v>12.6</v>
      </c>
      <c r="I70" s="8"/>
      <c r="J70" s="8"/>
      <c r="K70" s="8"/>
      <c r="L70" s="8"/>
      <c r="M70" s="8"/>
      <c r="N70" s="8"/>
      <c r="O70" s="18">
        <f t="shared" si="1"/>
        <v>7102</v>
      </c>
      <c r="P70" s="8"/>
      <c r="Q70" s="8"/>
      <c r="R70" s="24" t="s">
        <v>824</v>
      </c>
      <c r="S70" s="21">
        <v>12.6</v>
      </c>
      <c r="T70" s="8"/>
    </row>
    <row r="71" spans="1:20" ht="18.75">
      <c r="A71" s="92">
        <f t="shared" si="0"/>
        <v>66</v>
      </c>
      <c r="C71" s="18" t="s">
        <v>836</v>
      </c>
      <c r="D71" s="18" t="s">
        <v>723</v>
      </c>
      <c r="E71" s="21" t="s">
        <v>769</v>
      </c>
      <c r="F71" s="18"/>
      <c r="G71" s="18" t="s">
        <v>810</v>
      </c>
      <c r="H71" s="18">
        <v>93</v>
      </c>
      <c r="I71" s="8"/>
      <c r="J71" s="8"/>
      <c r="K71" s="8"/>
      <c r="L71" s="8"/>
      <c r="M71" s="8"/>
      <c r="N71" s="8"/>
      <c r="O71" s="18">
        <f t="shared" si="1"/>
        <v>7195</v>
      </c>
      <c r="P71" s="8"/>
      <c r="Q71" s="8"/>
      <c r="R71" s="24" t="s">
        <v>824</v>
      </c>
      <c r="S71" s="24"/>
      <c r="T71" s="8"/>
    </row>
    <row r="72" spans="1:20" ht="18.75">
      <c r="A72" s="92">
        <f t="shared" ref="A72:A135" si="2">1+A71</f>
        <v>67</v>
      </c>
      <c r="C72" s="18" t="s">
        <v>723</v>
      </c>
      <c r="D72" s="5" t="s">
        <v>76</v>
      </c>
      <c r="E72" s="21" t="s">
        <v>769</v>
      </c>
      <c r="F72" s="8"/>
      <c r="G72" s="18" t="s">
        <v>810</v>
      </c>
      <c r="H72" s="5">
        <v>100.2</v>
      </c>
      <c r="I72" s="8"/>
      <c r="J72" s="8"/>
      <c r="K72" s="8"/>
      <c r="L72" s="8"/>
      <c r="M72" s="8"/>
      <c r="N72" s="8"/>
      <c r="O72" s="18">
        <f t="shared" ref="O72:O135" si="3">+O71+H72+I72+J72+K72+L72+M72+N72</f>
        <v>7295.2</v>
      </c>
      <c r="P72" s="8"/>
      <c r="Q72" s="8"/>
      <c r="R72" s="24" t="s">
        <v>824</v>
      </c>
      <c r="S72" s="24"/>
      <c r="T72" s="8"/>
    </row>
    <row r="73" spans="1:20" ht="18.75">
      <c r="A73" s="92">
        <f t="shared" si="2"/>
        <v>68</v>
      </c>
      <c r="C73" s="18" t="s">
        <v>723</v>
      </c>
      <c r="D73" s="5" t="s">
        <v>76</v>
      </c>
      <c r="E73" s="18" t="s">
        <v>837</v>
      </c>
      <c r="F73" s="18">
        <v>0.36299999999999999</v>
      </c>
      <c r="G73" s="18" t="s">
        <v>810</v>
      </c>
      <c r="H73" s="5">
        <v>12.8</v>
      </c>
      <c r="I73" s="8"/>
      <c r="J73" s="8"/>
      <c r="K73" s="8"/>
      <c r="L73" s="8"/>
      <c r="M73" s="8"/>
      <c r="N73" s="8"/>
      <c r="O73" s="18">
        <f t="shared" si="3"/>
        <v>7308</v>
      </c>
      <c r="P73" s="8"/>
      <c r="Q73" s="8"/>
      <c r="R73" s="24" t="s">
        <v>824</v>
      </c>
      <c r="S73" s="5">
        <v>12.8</v>
      </c>
      <c r="T73" s="8"/>
    </row>
    <row r="74" spans="1:20" ht="18.75">
      <c r="A74" s="92">
        <f t="shared" si="2"/>
        <v>69</v>
      </c>
      <c r="C74" s="18" t="s">
        <v>76</v>
      </c>
      <c r="D74" s="18" t="s">
        <v>838</v>
      </c>
      <c r="E74" s="18" t="s">
        <v>837</v>
      </c>
      <c r="F74" s="18">
        <v>0.36299999999999999</v>
      </c>
      <c r="G74" s="18" t="s">
        <v>810</v>
      </c>
      <c r="H74" s="5">
        <v>21.7</v>
      </c>
      <c r="I74" s="8"/>
      <c r="J74" s="8"/>
      <c r="K74" s="8"/>
      <c r="L74" s="8"/>
      <c r="M74" s="8"/>
      <c r="N74" s="8"/>
      <c r="O74" s="18">
        <f t="shared" si="3"/>
        <v>7329.7</v>
      </c>
      <c r="P74" s="8"/>
      <c r="Q74" s="8"/>
      <c r="R74" s="24" t="s">
        <v>824</v>
      </c>
      <c r="S74" s="5">
        <v>21.7</v>
      </c>
      <c r="T74" s="8"/>
    </row>
    <row r="75" spans="1:20" ht="18.75">
      <c r="A75" s="92">
        <f t="shared" si="2"/>
        <v>70</v>
      </c>
      <c r="C75" s="5" t="s">
        <v>838</v>
      </c>
      <c r="D75" s="5" t="s">
        <v>40</v>
      </c>
      <c r="E75" s="18" t="s">
        <v>837</v>
      </c>
      <c r="F75" s="18">
        <v>0.36299999999999999</v>
      </c>
      <c r="G75" s="18" t="s">
        <v>810</v>
      </c>
      <c r="H75" s="5">
        <v>78</v>
      </c>
      <c r="I75" s="8"/>
      <c r="J75" s="8"/>
      <c r="K75" s="8"/>
      <c r="L75" s="8"/>
      <c r="M75" s="8"/>
      <c r="N75" s="8"/>
      <c r="O75" s="18">
        <f t="shared" si="3"/>
        <v>7407.7</v>
      </c>
      <c r="P75" s="8"/>
      <c r="Q75" s="8"/>
      <c r="R75" s="24" t="s">
        <v>824</v>
      </c>
      <c r="S75" s="5">
        <v>78</v>
      </c>
      <c r="T75" s="8"/>
    </row>
    <row r="76" spans="1:20" ht="18.75">
      <c r="A76" s="92">
        <f t="shared" si="2"/>
        <v>71</v>
      </c>
      <c r="C76" s="18" t="s">
        <v>726</v>
      </c>
      <c r="D76" s="18" t="s">
        <v>134</v>
      </c>
      <c r="E76" s="18" t="s">
        <v>837</v>
      </c>
      <c r="F76" s="18">
        <v>0.36299999999999999</v>
      </c>
      <c r="G76" s="18" t="s">
        <v>810</v>
      </c>
      <c r="H76" s="18">
        <v>28</v>
      </c>
      <c r="I76" s="8"/>
      <c r="J76" s="8"/>
      <c r="K76" s="8"/>
      <c r="L76" s="8"/>
      <c r="M76" s="8"/>
      <c r="N76" s="8"/>
      <c r="O76" s="18">
        <f t="shared" si="3"/>
        <v>7435.7</v>
      </c>
      <c r="P76" s="8"/>
      <c r="Q76" s="8"/>
      <c r="R76" s="24" t="s">
        <v>824</v>
      </c>
      <c r="S76" s="18">
        <v>28</v>
      </c>
      <c r="T76" s="8"/>
    </row>
    <row r="77" spans="1:20" ht="18.75">
      <c r="A77" s="92">
        <f t="shared" si="2"/>
        <v>72</v>
      </c>
      <c r="C77" s="18" t="s">
        <v>134</v>
      </c>
      <c r="D77" s="5" t="s">
        <v>125</v>
      </c>
      <c r="E77" s="21" t="s">
        <v>769</v>
      </c>
      <c r="F77" s="8"/>
      <c r="G77" s="18" t="s">
        <v>810</v>
      </c>
      <c r="H77" s="5">
        <v>27.4</v>
      </c>
      <c r="I77" s="8"/>
      <c r="J77" s="8"/>
      <c r="K77" s="8"/>
      <c r="L77" s="8"/>
      <c r="M77" s="8"/>
      <c r="N77" s="8"/>
      <c r="O77" s="18">
        <f t="shared" si="3"/>
        <v>7463.0999999999995</v>
      </c>
      <c r="P77" s="8"/>
      <c r="Q77" s="8"/>
      <c r="R77" s="24" t="s">
        <v>824</v>
      </c>
      <c r="S77" s="24"/>
      <c r="T77" s="8"/>
    </row>
    <row r="78" spans="1:20" ht="18.75">
      <c r="A78" s="92">
        <f t="shared" si="2"/>
        <v>73</v>
      </c>
      <c r="C78" s="18" t="s">
        <v>134</v>
      </c>
      <c r="D78" s="5" t="s">
        <v>125</v>
      </c>
      <c r="E78" s="18" t="s">
        <v>837</v>
      </c>
      <c r="F78" s="18">
        <v>0.36299999999999999</v>
      </c>
      <c r="G78" s="18" t="s">
        <v>810</v>
      </c>
      <c r="H78" s="5">
        <v>33.700000000000003</v>
      </c>
      <c r="I78" s="8"/>
      <c r="J78" s="8"/>
      <c r="K78" s="8"/>
      <c r="L78" s="8"/>
      <c r="M78" s="8"/>
      <c r="N78" s="8"/>
      <c r="O78" s="18">
        <f t="shared" si="3"/>
        <v>7496.7999999999993</v>
      </c>
      <c r="P78" s="8"/>
      <c r="Q78" s="8"/>
      <c r="R78" s="24" t="s">
        <v>824</v>
      </c>
      <c r="S78" s="5">
        <v>33.700000000000003</v>
      </c>
      <c r="T78" s="8"/>
    </row>
    <row r="79" spans="1:20" ht="18.75">
      <c r="A79" s="92">
        <f t="shared" si="2"/>
        <v>74</v>
      </c>
      <c r="C79" s="5" t="s">
        <v>125</v>
      </c>
      <c r="D79" s="5" t="s">
        <v>838</v>
      </c>
      <c r="E79" s="18" t="s">
        <v>837</v>
      </c>
      <c r="F79" s="18">
        <v>0.36299999999999999</v>
      </c>
      <c r="G79" s="18" t="s">
        <v>810</v>
      </c>
      <c r="H79" s="5">
        <v>39</v>
      </c>
      <c r="I79" s="8"/>
      <c r="J79" s="8"/>
      <c r="K79" s="8"/>
      <c r="L79" s="8"/>
      <c r="M79" s="8"/>
      <c r="N79" s="8"/>
      <c r="O79" s="18">
        <f t="shared" si="3"/>
        <v>7535.7999999999993</v>
      </c>
      <c r="P79" s="8"/>
      <c r="Q79" s="8"/>
      <c r="R79" s="24" t="s">
        <v>824</v>
      </c>
      <c r="S79" s="5">
        <v>39</v>
      </c>
      <c r="T79" s="8"/>
    </row>
    <row r="80" spans="1:20" ht="18.75">
      <c r="A80" s="92">
        <f t="shared" si="2"/>
        <v>75</v>
      </c>
      <c r="C80" s="5" t="s">
        <v>125</v>
      </c>
      <c r="D80" s="5" t="s">
        <v>44</v>
      </c>
      <c r="E80" s="21" t="s">
        <v>769</v>
      </c>
      <c r="G80" s="18" t="s">
        <v>810</v>
      </c>
      <c r="H80" s="5">
        <v>86</v>
      </c>
      <c r="I80" s="8"/>
      <c r="J80" s="8"/>
      <c r="K80" s="8"/>
      <c r="L80" s="8"/>
      <c r="M80" s="8"/>
      <c r="N80" s="8"/>
      <c r="O80" s="18">
        <f t="shared" si="3"/>
        <v>7621.7999999999993</v>
      </c>
      <c r="P80" s="8"/>
      <c r="Q80" s="8"/>
      <c r="R80" s="24" t="s">
        <v>824</v>
      </c>
      <c r="S80" s="24"/>
      <c r="T80" s="8"/>
    </row>
    <row r="81" spans="1:20" ht="18.75">
      <c r="A81" s="92">
        <f t="shared" si="2"/>
        <v>76</v>
      </c>
      <c r="C81" s="18" t="s">
        <v>44</v>
      </c>
      <c r="D81" s="18" t="s">
        <v>839</v>
      </c>
      <c r="E81" s="21" t="s">
        <v>769</v>
      </c>
      <c r="F81" s="8"/>
      <c r="G81" s="18" t="s">
        <v>810</v>
      </c>
      <c r="H81" s="5">
        <v>56.8</v>
      </c>
      <c r="I81" s="8"/>
      <c r="J81" s="8"/>
      <c r="K81" s="8"/>
      <c r="L81" s="8"/>
      <c r="M81" s="8"/>
      <c r="N81" s="8"/>
      <c r="O81" s="18">
        <f t="shared" si="3"/>
        <v>7678.5999999999995</v>
      </c>
      <c r="P81" s="8"/>
      <c r="Q81" s="8"/>
      <c r="R81" s="24" t="s">
        <v>824</v>
      </c>
      <c r="S81" s="24"/>
      <c r="T81" s="8"/>
    </row>
    <row r="82" spans="1:20" ht="18.75">
      <c r="A82" s="92">
        <f t="shared" si="2"/>
        <v>77</v>
      </c>
      <c r="C82" s="108" t="s">
        <v>44</v>
      </c>
      <c r="D82" s="108" t="s">
        <v>839</v>
      </c>
      <c r="E82" s="108" t="s">
        <v>837</v>
      </c>
      <c r="F82" s="18">
        <v>0.36299999999999999</v>
      </c>
      <c r="G82" s="108" t="s">
        <v>810</v>
      </c>
      <c r="H82" s="76">
        <v>18.2</v>
      </c>
      <c r="I82" s="77"/>
      <c r="J82" s="77"/>
      <c r="K82" s="77"/>
      <c r="L82" s="77"/>
      <c r="M82" s="77"/>
      <c r="N82" s="77"/>
      <c r="O82" s="18">
        <f t="shared" si="3"/>
        <v>7696.7999999999993</v>
      </c>
      <c r="P82" s="77"/>
      <c r="Q82" s="77"/>
      <c r="R82" s="24" t="s">
        <v>824</v>
      </c>
      <c r="S82" s="76">
        <v>18.2</v>
      </c>
      <c r="T82" s="77"/>
    </row>
    <row r="83" spans="1:20" ht="18.75">
      <c r="A83" s="92">
        <f t="shared" si="2"/>
        <v>78</v>
      </c>
      <c r="B83" s="8"/>
      <c r="C83" s="108" t="s">
        <v>44</v>
      </c>
      <c r="D83" s="108" t="s">
        <v>724</v>
      </c>
      <c r="E83" s="108" t="s">
        <v>837</v>
      </c>
      <c r="F83" s="18">
        <v>0.36299999999999999</v>
      </c>
      <c r="G83" s="108" t="s">
        <v>810</v>
      </c>
      <c r="H83" s="5">
        <v>61.2</v>
      </c>
      <c r="I83" s="8"/>
      <c r="J83" s="8"/>
      <c r="K83" s="8"/>
      <c r="L83" s="8"/>
      <c r="M83" s="8"/>
      <c r="N83" s="8"/>
      <c r="O83" s="18">
        <f t="shared" si="3"/>
        <v>7757.9999999999991</v>
      </c>
      <c r="P83" s="8"/>
      <c r="Q83" s="8"/>
      <c r="R83" s="24" t="s">
        <v>824</v>
      </c>
      <c r="S83" s="5">
        <v>61.2</v>
      </c>
      <c r="T83" s="8"/>
    </row>
    <row r="84" spans="1:20" ht="18.75">
      <c r="A84" s="92">
        <f t="shared" si="2"/>
        <v>79</v>
      </c>
      <c r="B84" s="8"/>
      <c r="C84" s="108" t="s">
        <v>37</v>
      </c>
      <c r="D84" s="5" t="s">
        <v>56</v>
      </c>
      <c r="E84" s="21" t="s">
        <v>769</v>
      </c>
      <c r="F84" s="77"/>
      <c r="G84" s="108" t="s">
        <v>810</v>
      </c>
      <c r="H84" s="5">
        <v>38.9</v>
      </c>
      <c r="I84" s="8"/>
      <c r="J84" s="8"/>
      <c r="K84" s="8"/>
      <c r="L84" s="8"/>
      <c r="M84" s="8"/>
      <c r="N84" s="8"/>
      <c r="O84" s="18">
        <f t="shared" si="3"/>
        <v>7796.8999999999987</v>
      </c>
      <c r="P84" s="8"/>
      <c r="Q84" s="8"/>
      <c r="R84" s="24" t="s">
        <v>824</v>
      </c>
      <c r="S84" s="24"/>
      <c r="T84" s="8"/>
    </row>
    <row r="85" spans="1:20" ht="18.75">
      <c r="A85" s="92">
        <f t="shared" si="2"/>
        <v>80</v>
      </c>
      <c r="B85" s="8"/>
      <c r="C85" s="5" t="s">
        <v>56</v>
      </c>
      <c r="D85" s="5" t="s">
        <v>135</v>
      </c>
      <c r="E85" s="21" t="s">
        <v>769</v>
      </c>
      <c r="F85" s="77"/>
      <c r="G85" s="108" t="s">
        <v>810</v>
      </c>
      <c r="H85" s="5">
        <v>90</v>
      </c>
      <c r="I85" s="8"/>
      <c r="J85" s="8"/>
      <c r="K85" s="8"/>
      <c r="L85" s="8"/>
      <c r="M85" s="8"/>
      <c r="N85" s="8"/>
      <c r="O85" s="18">
        <f t="shared" si="3"/>
        <v>7886.8999999999987</v>
      </c>
      <c r="P85" s="8"/>
      <c r="Q85" s="8"/>
      <c r="R85" s="24" t="s">
        <v>824</v>
      </c>
      <c r="S85" s="24"/>
      <c r="T85" s="8"/>
    </row>
    <row r="86" spans="1:20" ht="18.75">
      <c r="A86" s="92">
        <f t="shared" si="2"/>
        <v>81</v>
      </c>
      <c r="B86" s="8"/>
      <c r="C86" s="5" t="s">
        <v>56</v>
      </c>
      <c r="D86" s="5" t="s">
        <v>135</v>
      </c>
      <c r="E86" s="108" t="s">
        <v>837</v>
      </c>
      <c r="F86" s="18">
        <v>0.36299999999999999</v>
      </c>
      <c r="G86" s="108" t="s">
        <v>810</v>
      </c>
      <c r="H86" s="5">
        <v>8.1999999999999993</v>
      </c>
      <c r="I86" s="8"/>
      <c r="J86" s="8"/>
      <c r="K86" s="8"/>
      <c r="L86" s="8"/>
      <c r="M86" s="8"/>
      <c r="N86" s="8"/>
      <c r="O86" s="18">
        <f t="shared" si="3"/>
        <v>7895.0999999999985</v>
      </c>
      <c r="P86" s="8"/>
      <c r="Q86" s="8"/>
      <c r="R86" s="24" t="s">
        <v>824</v>
      </c>
      <c r="S86" s="5">
        <v>8.1999999999999993</v>
      </c>
      <c r="T86" s="8"/>
    </row>
    <row r="87" spans="1:20" ht="18.75">
      <c r="A87" s="92">
        <f t="shared" si="2"/>
        <v>82</v>
      </c>
      <c r="B87" s="8"/>
      <c r="C87" s="5" t="s">
        <v>135</v>
      </c>
      <c r="D87" s="5" t="s">
        <v>134</v>
      </c>
      <c r="E87" s="21" t="s">
        <v>769</v>
      </c>
      <c r="F87" s="77"/>
      <c r="G87" s="108" t="s">
        <v>810</v>
      </c>
      <c r="H87" s="5">
        <v>21.6</v>
      </c>
      <c r="I87" s="8"/>
      <c r="J87" s="8"/>
      <c r="K87" s="8"/>
      <c r="L87" s="8"/>
      <c r="M87" s="8"/>
      <c r="N87" s="8"/>
      <c r="O87" s="18">
        <f t="shared" si="3"/>
        <v>7916.6999999999989</v>
      </c>
      <c r="P87" s="8"/>
      <c r="Q87" s="8"/>
      <c r="R87" s="24" t="s">
        <v>824</v>
      </c>
      <c r="S87" s="24"/>
      <c r="T87" s="8"/>
    </row>
    <row r="88" spans="1:20" ht="18.75">
      <c r="A88" s="92">
        <f t="shared" si="2"/>
        <v>83</v>
      </c>
      <c r="B88" s="8"/>
      <c r="C88" s="5" t="s">
        <v>56</v>
      </c>
      <c r="D88" s="18" t="s">
        <v>41</v>
      </c>
      <c r="E88" s="21" t="s">
        <v>769</v>
      </c>
      <c r="F88" s="77"/>
      <c r="G88" s="108" t="s">
        <v>810</v>
      </c>
      <c r="H88" s="5">
        <v>102.6</v>
      </c>
      <c r="I88" s="8"/>
      <c r="J88" s="8"/>
      <c r="K88" s="8"/>
      <c r="L88" s="8"/>
      <c r="M88" s="8"/>
      <c r="N88" s="8"/>
      <c r="O88" s="18">
        <f t="shared" si="3"/>
        <v>8019.2999999999993</v>
      </c>
      <c r="P88" s="8"/>
      <c r="Q88" s="8"/>
      <c r="R88" s="24" t="s">
        <v>824</v>
      </c>
      <c r="S88" s="24"/>
      <c r="T88" s="8"/>
    </row>
    <row r="89" spans="1:20" ht="18.75">
      <c r="A89" s="92">
        <f t="shared" si="2"/>
        <v>84</v>
      </c>
      <c r="B89" s="8"/>
      <c r="C89" s="18" t="s">
        <v>41</v>
      </c>
      <c r="D89" s="18" t="s">
        <v>728</v>
      </c>
      <c r="E89" s="21" t="s">
        <v>769</v>
      </c>
      <c r="F89" s="77"/>
      <c r="G89" s="108" t="s">
        <v>810</v>
      </c>
      <c r="H89" s="5">
        <v>18.100000000000001</v>
      </c>
      <c r="I89" s="8"/>
      <c r="J89" s="8"/>
      <c r="K89" s="8"/>
      <c r="L89" s="8"/>
      <c r="M89" s="8"/>
      <c r="N89" s="8"/>
      <c r="O89" s="18">
        <f t="shared" si="3"/>
        <v>8037.4</v>
      </c>
      <c r="P89" s="8"/>
      <c r="Q89" s="8"/>
      <c r="R89" s="24" t="s">
        <v>824</v>
      </c>
      <c r="S89" s="24"/>
      <c r="T89" s="8"/>
    </row>
    <row r="90" spans="1:20" ht="18.75">
      <c r="A90" s="92">
        <f t="shared" si="2"/>
        <v>85</v>
      </c>
      <c r="B90" s="8"/>
      <c r="C90" s="18" t="s">
        <v>840</v>
      </c>
      <c r="D90" s="18" t="s">
        <v>41</v>
      </c>
      <c r="E90" s="21" t="s">
        <v>769</v>
      </c>
      <c r="F90" s="77"/>
      <c r="G90" s="108" t="s">
        <v>810</v>
      </c>
      <c r="H90" s="5">
        <v>13.5</v>
      </c>
      <c r="I90" s="8"/>
      <c r="J90" s="8"/>
      <c r="K90" s="8"/>
      <c r="L90" s="8"/>
      <c r="M90" s="8"/>
      <c r="N90" s="8"/>
      <c r="O90" s="18">
        <f t="shared" si="3"/>
        <v>8050.9</v>
      </c>
      <c r="P90" s="8"/>
      <c r="Q90" s="8"/>
      <c r="R90" s="24" t="s">
        <v>824</v>
      </c>
      <c r="S90" s="24"/>
      <c r="T90" s="8"/>
    </row>
    <row r="91" spans="1:20" ht="18.75">
      <c r="A91" s="92">
        <f t="shared" si="2"/>
        <v>86</v>
      </c>
      <c r="B91" s="8"/>
      <c r="C91" s="18" t="s">
        <v>43</v>
      </c>
      <c r="D91" s="18" t="s">
        <v>840</v>
      </c>
      <c r="E91" s="21" t="s">
        <v>769</v>
      </c>
      <c r="F91" s="77"/>
      <c r="G91" s="108" t="s">
        <v>810</v>
      </c>
      <c r="H91" s="5">
        <v>29</v>
      </c>
      <c r="I91" s="8"/>
      <c r="J91" s="8"/>
      <c r="K91" s="8"/>
      <c r="L91" s="8"/>
      <c r="M91" s="8"/>
      <c r="N91" s="8"/>
      <c r="O91" s="18">
        <f t="shared" si="3"/>
        <v>8079.9</v>
      </c>
      <c r="P91" s="8"/>
      <c r="Q91" s="8"/>
      <c r="R91" s="24" t="s">
        <v>824</v>
      </c>
      <c r="S91" s="24"/>
      <c r="T91" s="8"/>
    </row>
    <row r="92" spans="1:20" ht="18.75">
      <c r="A92" s="92">
        <f t="shared" si="2"/>
        <v>87</v>
      </c>
      <c r="B92" s="8"/>
      <c r="C92" s="18" t="s">
        <v>841</v>
      </c>
      <c r="D92" s="18" t="s">
        <v>138</v>
      </c>
      <c r="E92" s="21" t="s">
        <v>769</v>
      </c>
      <c r="F92" s="76"/>
      <c r="G92" s="108" t="s">
        <v>810</v>
      </c>
      <c r="H92" s="5">
        <v>44</v>
      </c>
      <c r="I92" s="8"/>
      <c r="J92" s="8"/>
      <c r="K92" s="8"/>
      <c r="L92" s="8"/>
      <c r="M92" s="8"/>
      <c r="N92" s="8"/>
      <c r="O92" s="18">
        <f t="shared" si="3"/>
        <v>8123.9</v>
      </c>
      <c r="P92" s="8"/>
      <c r="Q92" s="8"/>
      <c r="R92" s="24" t="s">
        <v>824</v>
      </c>
      <c r="S92" s="24"/>
      <c r="T92" s="8"/>
    </row>
    <row r="93" spans="1:20" ht="18.75">
      <c r="A93" s="92">
        <f t="shared" si="2"/>
        <v>88</v>
      </c>
      <c r="B93" s="8"/>
      <c r="C93" s="18" t="s">
        <v>138</v>
      </c>
      <c r="D93" s="18" t="s">
        <v>143</v>
      </c>
      <c r="E93" s="21" t="s">
        <v>769</v>
      </c>
      <c r="F93" s="5"/>
      <c r="G93" s="18" t="s">
        <v>810</v>
      </c>
      <c r="H93" s="5">
        <v>77</v>
      </c>
      <c r="I93" s="8"/>
      <c r="J93" s="8"/>
      <c r="K93" s="8"/>
      <c r="L93" s="8"/>
      <c r="M93" s="8"/>
      <c r="N93" s="8"/>
      <c r="O93" s="18">
        <f t="shared" si="3"/>
        <v>8200.9</v>
      </c>
      <c r="P93" s="8"/>
      <c r="Q93" s="8"/>
      <c r="R93" s="24" t="s">
        <v>824</v>
      </c>
      <c r="S93" s="24"/>
      <c r="T93" s="8"/>
    </row>
    <row r="94" spans="1:20" ht="18.75">
      <c r="A94" s="92">
        <f t="shared" si="2"/>
        <v>89</v>
      </c>
      <c r="B94" s="8"/>
      <c r="C94" s="18" t="s">
        <v>138</v>
      </c>
      <c r="D94" s="5" t="s">
        <v>842</v>
      </c>
      <c r="E94" s="21" t="s">
        <v>769</v>
      </c>
      <c r="F94" s="5"/>
      <c r="G94" s="18" t="s">
        <v>810</v>
      </c>
      <c r="H94" s="5">
        <v>8.3000000000000007</v>
      </c>
      <c r="I94" s="8"/>
      <c r="J94" s="8"/>
      <c r="K94" s="8"/>
      <c r="L94" s="8"/>
      <c r="M94" s="8"/>
      <c r="N94" s="8"/>
      <c r="O94" s="18">
        <f t="shared" si="3"/>
        <v>8209.1999999999989</v>
      </c>
      <c r="P94" s="8"/>
      <c r="Q94" s="8"/>
      <c r="R94" s="24" t="s">
        <v>824</v>
      </c>
      <c r="S94" s="24"/>
      <c r="T94" s="8"/>
    </row>
    <row r="95" spans="1:20" ht="18.75">
      <c r="A95" s="92">
        <f t="shared" si="2"/>
        <v>90</v>
      </c>
      <c r="B95" s="8"/>
      <c r="C95" s="5" t="s">
        <v>842</v>
      </c>
      <c r="D95" s="5" t="s">
        <v>727</v>
      </c>
      <c r="E95" s="21" t="s">
        <v>769</v>
      </c>
      <c r="F95" s="5"/>
      <c r="G95" s="18" t="s">
        <v>810</v>
      </c>
      <c r="H95" s="5">
        <v>35.299999999999997</v>
      </c>
      <c r="I95" s="8"/>
      <c r="J95" s="8"/>
      <c r="K95" s="8"/>
      <c r="L95" s="8"/>
      <c r="M95" s="8"/>
      <c r="N95" s="8"/>
      <c r="O95" s="18">
        <f t="shared" si="3"/>
        <v>8244.4999999999982</v>
      </c>
      <c r="P95" s="8"/>
      <c r="Q95" s="8"/>
      <c r="R95" s="24" t="s">
        <v>824</v>
      </c>
      <c r="S95" s="24"/>
      <c r="T95" s="8"/>
    </row>
    <row r="96" spans="1:20" ht="18.75">
      <c r="A96" s="92">
        <f t="shared" si="2"/>
        <v>91</v>
      </c>
      <c r="B96" s="8"/>
      <c r="C96" s="18" t="s">
        <v>138</v>
      </c>
      <c r="D96" s="5" t="s">
        <v>115</v>
      </c>
      <c r="E96" s="21" t="s">
        <v>769</v>
      </c>
      <c r="F96" s="5"/>
      <c r="G96" s="18" t="s">
        <v>810</v>
      </c>
      <c r="H96" s="5">
        <v>37.299999999999997</v>
      </c>
      <c r="I96" s="8"/>
      <c r="J96" s="8"/>
      <c r="K96" s="8"/>
      <c r="L96" s="8"/>
      <c r="M96" s="8"/>
      <c r="N96" s="8"/>
      <c r="O96" s="18">
        <f t="shared" si="3"/>
        <v>8281.7999999999975</v>
      </c>
      <c r="P96" s="8"/>
      <c r="Q96" s="8"/>
      <c r="R96" s="24" t="s">
        <v>824</v>
      </c>
      <c r="S96" s="24"/>
      <c r="T96" s="8"/>
    </row>
    <row r="97" spans="1:20" ht="18.75">
      <c r="A97" s="92">
        <f t="shared" si="2"/>
        <v>92</v>
      </c>
      <c r="B97" s="8"/>
      <c r="C97" s="5" t="s">
        <v>843</v>
      </c>
      <c r="D97" s="5" t="s">
        <v>841</v>
      </c>
      <c r="E97" s="21" t="s">
        <v>769</v>
      </c>
      <c r="F97" s="5"/>
      <c r="G97" s="18" t="s">
        <v>810</v>
      </c>
      <c r="H97" s="5"/>
      <c r="I97" s="8"/>
      <c r="J97" s="8"/>
      <c r="K97" s="8"/>
      <c r="L97" s="8"/>
      <c r="M97" s="8"/>
      <c r="N97" s="18">
        <v>192</v>
      </c>
      <c r="O97" s="18">
        <f t="shared" si="3"/>
        <v>8473.7999999999975</v>
      </c>
      <c r="P97" s="8"/>
      <c r="Q97" s="8"/>
      <c r="R97" s="24" t="s">
        <v>824</v>
      </c>
      <c r="S97" s="24"/>
      <c r="T97" s="8"/>
    </row>
    <row r="98" spans="1:20" ht="18.75">
      <c r="A98" s="92">
        <f t="shared" si="2"/>
        <v>93</v>
      </c>
      <c r="B98" s="8"/>
      <c r="C98" s="18" t="s">
        <v>34</v>
      </c>
      <c r="D98" s="18" t="s">
        <v>844</v>
      </c>
      <c r="E98" s="21" t="s">
        <v>769</v>
      </c>
      <c r="F98" s="18"/>
      <c r="G98" s="18" t="s">
        <v>810</v>
      </c>
      <c r="H98" s="5">
        <v>55.5</v>
      </c>
      <c r="I98" s="8"/>
      <c r="J98" s="8"/>
      <c r="K98" s="8"/>
      <c r="L98" s="8"/>
      <c r="M98" s="8"/>
      <c r="N98" s="8"/>
      <c r="O98" s="18">
        <f t="shared" si="3"/>
        <v>8529.2999999999975</v>
      </c>
      <c r="P98" s="8"/>
      <c r="Q98" s="8"/>
      <c r="R98" s="24" t="s">
        <v>824</v>
      </c>
      <c r="S98" s="24"/>
      <c r="T98" s="8"/>
    </row>
    <row r="99" spans="1:20" ht="18.75">
      <c r="A99" s="92">
        <f t="shared" si="2"/>
        <v>94</v>
      </c>
      <c r="B99" s="8"/>
      <c r="C99" s="18" t="s">
        <v>34</v>
      </c>
      <c r="D99" s="18" t="s">
        <v>844</v>
      </c>
      <c r="E99" s="18" t="s">
        <v>771</v>
      </c>
      <c r="F99" s="18">
        <v>0.36299999999999999</v>
      </c>
      <c r="G99" s="18" t="s">
        <v>810</v>
      </c>
      <c r="H99" s="5">
        <v>3.5</v>
      </c>
      <c r="I99" s="8"/>
      <c r="J99" s="8"/>
      <c r="K99" s="8"/>
      <c r="L99" s="8"/>
      <c r="M99" s="8"/>
      <c r="N99" s="8"/>
      <c r="O99" s="18">
        <f t="shared" si="3"/>
        <v>8532.7999999999975</v>
      </c>
      <c r="P99" s="8"/>
      <c r="Q99" s="8"/>
      <c r="R99" s="24" t="s">
        <v>824</v>
      </c>
      <c r="S99" s="5">
        <v>3.5</v>
      </c>
      <c r="T99" s="8"/>
    </row>
    <row r="100" spans="1:20" ht="18.75">
      <c r="A100" s="92">
        <f t="shared" si="2"/>
        <v>95</v>
      </c>
      <c r="B100" s="8"/>
      <c r="C100" s="18" t="s">
        <v>66</v>
      </c>
      <c r="D100" s="18" t="s">
        <v>64</v>
      </c>
      <c r="E100" s="21" t="s">
        <v>769</v>
      </c>
      <c r="F100" s="18"/>
      <c r="G100" s="18" t="s">
        <v>810</v>
      </c>
      <c r="H100" s="5">
        <v>60.6</v>
      </c>
      <c r="I100" s="8"/>
      <c r="J100" s="8"/>
      <c r="K100" s="8"/>
      <c r="L100" s="8"/>
      <c r="M100" s="8"/>
      <c r="N100" s="8"/>
      <c r="O100" s="18">
        <f t="shared" si="3"/>
        <v>8593.3999999999978</v>
      </c>
      <c r="P100" s="8"/>
      <c r="Q100" s="8"/>
      <c r="R100" s="24" t="s">
        <v>824</v>
      </c>
      <c r="S100" s="24"/>
      <c r="T100" s="8"/>
    </row>
    <row r="101" spans="1:20" ht="18.75">
      <c r="A101" s="92">
        <f t="shared" si="2"/>
        <v>96</v>
      </c>
      <c r="B101" s="8"/>
      <c r="C101" s="18" t="s">
        <v>66</v>
      </c>
      <c r="D101" s="18" t="s">
        <v>722</v>
      </c>
      <c r="E101" s="21" t="s">
        <v>769</v>
      </c>
      <c r="F101" s="18"/>
      <c r="G101" s="18" t="s">
        <v>810</v>
      </c>
      <c r="H101" s="18">
        <v>81.5</v>
      </c>
      <c r="I101" s="8"/>
      <c r="J101" s="8"/>
      <c r="K101" s="8"/>
      <c r="L101" s="8"/>
      <c r="M101" s="8"/>
      <c r="N101" s="8"/>
      <c r="O101" s="18">
        <f t="shared" si="3"/>
        <v>8674.8999999999978</v>
      </c>
      <c r="P101" s="8"/>
      <c r="Q101" s="8"/>
      <c r="R101" s="24" t="s">
        <v>824</v>
      </c>
      <c r="S101" s="24"/>
      <c r="T101" s="8"/>
    </row>
    <row r="102" spans="1:20" ht="18.75">
      <c r="A102" s="92">
        <f t="shared" si="2"/>
        <v>97</v>
      </c>
      <c r="B102" s="8"/>
      <c r="C102" s="18" t="s">
        <v>722</v>
      </c>
      <c r="D102" s="18" t="s">
        <v>148</v>
      </c>
      <c r="E102" s="21" t="s">
        <v>769</v>
      </c>
      <c r="F102" s="18"/>
      <c r="G102" s="18" t="s">
        <v>810</v>
      </c>
      <c r="H102" s="5">
        <v>37.4</v>
      </c>
      <c r="I102" s="8"/>
      <c r="J102" s="8"/>
      <c r="K102" s="8"/>
      <c r="L102" s="8"/>
      <c r="M102" s="8"/>
      <c r="N102" s="8"/>
      <c r="O102" s="18">
        <f t="shared" si="3"/>
        <v>8712.2999999999975</v>
      </c>
      <c r="P102" s="8"/>
      <c r="Q102" s="8"/>
      <c r="R102" s="24" t="s">
        <v>824</v>
      </c>
      <c r="S102" s="24"/>
      <c r="T102" s="8"/>
    </row>
    <row r="103" spans="1:20" ht="18.75">
      <c r="A103" s="92">
        <f t="shared" si="2"/>
        <v>98</v>
      </c>
      <c r="B103" s="8"/>
      <c r="C103" s="18" t="s">
        <v>722</v>
      </c>
      <c r="D103" s="18" t="s">
        <v>110</v>
      </c>
      <c r="E103" s="21" t="s">
        <v>769</v>
      </c>
      <c r="F103" s="8"/>
      <c r="G103" s="18" t="s">
        <v>810</v>
      </c>
      <c r="H103" s="5">
        <v>47.6</v>
      </c>
      <c r="I103" s="5"/>
      <c r="J103" s="5"/>
      <c r="K103" s="5"/>
      <c r="L103" s="8"/>
      <c r="M103" s="8"/>
      <c r="N103" s="8"/>
      <c r="O103" s="18">
        <f t="shared" si="3"/>
        <v>8759.8999999999978</v>
      </c>
      <c r="P103" s="8"/>
      <c r="Q103" s="8"/>
      <c r="R103" s="24" t="s">
        <v>824</v>
      </c>
      <c r="S103" s="24"/>
      <c r="T103" s="8"/>
    </row>
    <row r="104" spans="1:20" ht="18.75">
      <c r="A104" s="92">
        <f t="shared" si="2"/>
        <v>99</v>
      </c>
      <c r="B104" s="8"/>
      <c r="C104" s="18" t="s">
        <v>49</v>
      </c>
      <c r="D104" s="18" t="s">
        <v>66</v>
      </c>
      <c r="E104" s="21" t="s">
        <v>769</v>
      </c>
      <c r="F104" s="8"/>
      <c r="G104" s="18" t="s">
        <v>810</v>
      </c>
      <c r="H104" s="5">
        <v>147</v>
      </c>
      <c r="I104" s="5"/>
      <c r="J104" s="5"/>
      <c r="K104" s="5"/>
      <c r="L104" s="8"/>
      <c r="M104" s="8"/>
      <c r="N104" s="8"/>
      <c r="O104" s="18">
        <f t="shared" si="3"/>
        <v>8906.8999999999978</v>
      </c>
      <c r="P104" s="8"/>
      <c r="Q104" s="8"/>
      <c r="R104" s="24" t="s">
        <v>824</v>
      </c>
      <c r="S104" s="24"/>
      <c r="T104" s="8"/>
    </row>
    <row r="105" spans="1:20" ht="18.75">
      <c r="A105" s="92">
        <f t="shared" si="2"/>
        <v>100</v>
      </c>
      <c r="B105" s="8"/>
      <c r="C105" s="18" t="s">
        <v>306</v>
      </c>
      <c r="D105" s="18" t="s">
        <v>825</v>
      </c>
      <c r="E105" s="21" t="s">
        <v>769</v>
      </c>
      <c r="F105" s="8"/>
      <c r="G105" s="18" t="s">
        <v>810</v>
      </c>
      <c r="H105" s="5"/>
      <c r="I105" s="5"/>
      <c r="J105" s="5">
        <v>214</v>
      </c>
      <c r="K105" s="5"/>
      <c r="L105" s="8"/>
      <c r="M105" s="8"/>
      <c r="N105" s="8"/>
      <c r="O105" s="18">
        <f t="shared" si="3"/>
        <v>9120.8999999999978</v>
      </c>
      <c r="P105" s="8"/>
      <c r="Q105" s="8"/>
      <c r="R105" s="24" t="s">
        <v>824</v>
      </c>
      <c r="S105" s="24"/>
      <c r="T105" s="8"/>
    </row>
    <row r="106" spans="1:20" ht="18.75">
      <c r="A106" s="92">
        <f t="shared" si="2"/>
        <v>101</v>
      </c>
      <c r="B106" s="8"/>
      <c r="C106" s="18" t="s">
        <v>235</v>
      </c>
      <c r="D106" s="18" t="s">
        <v>253</v>
      </c>
      <c r="E106" s="21" t="s">
        <v>769</v>
      </c>
      <c r="F106" s="18"/>
      <c r="G106" s="18" t="s">
        <v>810</v>
      </c>
      <c r="H106" s="18">
        <v>373.4</v>
      </c>
      <c r="I106" s="8"/>
      <c r="J106" s="8"/>
      <c r="K106" s="8"/>
      <c r="L106" s="8"/>
      <c r="M106" s="8"/>
      <c r="N106" s="8"/>
      <c r="O106" s="18">
        <f t="shared" si="3"/>
        <v>9494.2999999999975</v>
      </c>
      <c r="P106" s="8"/>
      <c r="Q106" s="8"/>
      <c r="R106" s="24" t="s">
        <v>824</v>
      </c>
      <c r="S106" s="24"/>
      <c r="T106" s="8"/>
    </row>
    <row r="107" spans="1:20" ht="18.75">
      <c r="A107" s="92">
        <f t="shared" si="2"/>
        <v>102</v>
      </c>
      <c r="B107" s="8"/>
      <c r="C107" s="18" t="s">
        <v>235</v>
      </c>
      <c r="D107" s="18" t="s">
        <v>253</v>
      </c>
      <c r="E107" s="18" t="s">
        <v>771</v>
      </c>
      <c r="F107" s="18">
        <v>0.36299999999999999</v>
      </c>
      <c r="G107" s="18" t="s">
        <v>810</v>
      </c>
      <c r="H107" s="18">
        <v>3</v>
      </c>
      <c r="I107" s="8"/>
      <c r="J107" s="8"/>
      <c r="K107" s="8"/>
      <c r="L107" s="8"/>
      <c r="M107" s="8"/>
      <c r="N107" s="8"/>
      <c r="O107" s="18">
        <f t="shared" si="3"/>
        <v>9497.2999999999975</v>
      </c>
      <c r="P107" s="8"/>
      <c r="Q107" s="8"/>
      <c r="R107" s="24" t="s">
        <v>824</v>
      </c>
      <c r="S107" s="18">
        <v>3</v>
      </c>
      <c r="T107" s="8"/>
    </row>
    <row r="108" spans="1:20" ht="18.75">
      <c r="A108" s="92">
        <f t="shared" si="2"/>
        <v>103</v>
      </c>
      <c r="B108" s="8"/>
      <c r="C108" s="18" t="s">
        <v>235</v>
      </c>
      <c r="D108" s="18" t="s">
        <v>337</v>
      </c>
      <c r="E108" s="21" t="s">
        <v>769</v>
      </c>
      <c r="F108" s="18"/>
      <c r="G108" s="18" t="s">
        <v>810</v>
      </c>
      <c r="H108" s="18">
        <v>27.4</v>
      </c>
      <c r="I108" s="8"/>
      <c r="J108" s="8"/>
      <c r="K108" s="8"/>
      <c r="L108" s="8"/>
      <c r="M108" s="8"/>
      <c r="N108" s="8"/>
      <c r="O108" s="18">
        <f t="shared" si="3"/>
        <v>9524.6999999999971</v>
      </c>
      <c r="P108" s="8"/>
      <c r="Q108" s="8"/>
      <c r="R108" s="24" t="s">
        <v>824</v>
      </c>
      <c r="S108" s="24"/>
      <c r="T108" s="8"/>
    </row>
    <row r="109" spans="1:20" ht="18.75">
      <c r="A109" s="92">
        <f t="shared" si="2"/>
        <v>104</v>
      </c>
      <c r="B109" s="8"/>
      <c r="C109" s="18" t="s">
        <v>337</v>
      </c>
      <c r="D109" s="18" t="s">
        <v>240</v>
      </c>
      <c r="E109" s="21" t="s">
        <v>769</v>
      </c>
      <c r="F109" s="18"/>
      <c r="G109" s="18" t="s">
        <v>810</v>
      </c>
      <c r="H109" s="18">
        <v>12</v>
      </c>
      <c r="I109" s="8"/>
      <c r="J109" s="8"/>
      <c r="K109" s="8"/>
      <c r="L109" s="8"/>
      <c r="M109" s="8"/>
      <c r="N109" s="8"/>
      <c r="O109" s="18">
        <f t="shared" si="3"/>
        <v>9536.6999999999971</v>
      </c>
      <c r="P109" s="8"/>
      <c r="Q109" s="8"/>
      <c r="R109" s="24" t="s">
        <v>824</v>
      </c>
      <c r="S109" s="24"/>
      <c r="T109" s="8"/>
    </row>
    <row r="110" spans="1:20" ht="18.75">
      <c r="A110" s="92">
        <f t="shared" si="2"/>
        <v>105</v>
      </c>
      <c r="B110" s="8"/>
      <c r="C110" s="18" t="s">
        <v>240</v>
      </c>
      <c r="D110" s="18" t="s">
        <v>352</v>
      </c>
      <c r="E110" s="21" t="s">
        <v>769</v>
      </c>
      <c r="F110" s="18"/>
      <c r="G110" s="18" t="s">
        <v>810</v>
      </c>
      <c r="H110" s="18">
        <v>34</v>
      </c>
      <c r="I110" s="8"/>
      <c r="J110" s="8"/>
      <c r="K110" s="8"/>
      <c r="L110" s="8"/>
      <c r="M110" s="8"/>
      <c r="N110" s="8"/>
      <c r="O110" s="18">
        <f t="shared" si="3"/>
        <v>9570.6999999999971</v>
      </c>
      <c r="P110" s="8"/>
      <c r="Q110" s="8"/>
      <c r="R110" s="24" t="s">
        <v>824</v>
      </c>
      <c r="S110" s="24"/>
      <c r="T110" s="8"/>
    </row>
    <row r="111" spans="1:20" ht="18.75">
      <c r="A111" s="92">
        <f t="shared" si="2"/>
        <v>106</v>
      </c>
      <c r="B111" s="8"/>
      <c r="C111" s="18" t="s">
        <v>352</v>
      </c>
      <c r="D111" s="18" t="s">
        <v>307</v>
      </c>
      <c r="E111" s="21" t="s">
        <v>769</v>
      </c>
      <c r="F111" s="18"/>
      <c r="G111" s="18" t="s">
        <v>810</v>
      </c>
      <c r="H111" s="18">
        <v>23.2</v>
      </c>
      <c r="I111" s="8"/>
      <c r="J111" s="8"/>
      <c r="K111" s="8"/>
      <c r="L111" s="8"/>
      <c r="M111" s="8"/>
      <c r="N111" s="8"/>
      <c r="O111" s="18">
        <f t="shared" si="3"/>
        <v>9593.8999999999978</v>
      </c>
      <c r="P111" s="8"/>
      <c r="Q111" s="8"/>
      <c r="R111" s="24" t="s">
        <v>824</v>
      </c>
      <c r="S111" s="24"/>
      <c r="T111" s="8"/>
    </row>
    <row r="112" spans="1:20" ht="18.75">
      <c r="A112" s="92">
        <f t="shared" si="2"/>
        <v>107</v>
      </c>
      <c r="B112" s="8"/>
      <c r="C112" s="18" t="s">
        <v>307</v>
      </c>
      <c r="D112" s="18" t="s">
        <v>225</v>
      </c>
      <c r="E112" s="21" t="s">
        <v>769</v>
      </c>
      <c r="F112" s="18"/>
      <c r="G112" s="18" t="s">
        <v>810</v>
      </c>
      <c r="H112" s="18">
        <v>40.299999999999997</v>
      </c>
      <c r="I112" s="8"/>
      <c r="J112" s="8"/>
      <c r="K112" s="8"/>
      <c r="L112" s="8"/>
      <c r="M112" s="8"/>
      <c r="N112" s="8"/>
      <c r="O112" s="18">
        <f t="shared" si="3"/>
        <v>9634.1999999999971</v>
      </c>
      <c r="P112" s="8"/>
      <c r="Q112" s="8"/>
      <c r="R112" s="24" t="s">
        <v>824</v>
      </c>
      <c r="S112" s="24"/>
      <c r="T112" s="8"/>
    </row>
    <row r="113" spans="1:20" ht="18.75">
      <c r="A113" s="92">
        <f t="shared" si="2"/>
        <v>108</v>
      </c>
      <c r="B113" s="8"/>
      <c r="C113" s="18" t="s">
        <v>307</v>
      </c>
      <c r="D113" s="18" t="s">
        <v>259</v>
      </c>
      <c r="E113" s="21" t="s">
        <v>769</v>
      </c>
      <c r="F113" s="18"/>
      <c r="G113" s="18" t="s">
        <v>810</v>
      </c>
      <c r="H113" s="18">
        <v>43.8</v>
      </c>
      <c r="I113" s="8"/>
      <c r="J113" s="8"/>
      <c r="K113" s="8"/>
      <c r="L113" s="8"/>
      <c r="M113" s="8"/>
      <c r="N113" s="8"/>
      <c r="O113" s="18">
        <f t="shared" si="3"/>
        <v>9677.9999999999964</v>
      </c>
      <c r="P113" s="8"/>
      <c r="Q113" s="8"/>
      <c r="R113" s="24" t="s">
        <v>824</v>
      </c>
      <c r="S113" s="24"/>
      <c r="T113" s="8"/>
    </row>
    <row r="114" spans="1:20" ht="18.75">
      <c r="A114" s="92">
        <f t="shared" si="2"/>
        <v>109</v>
      </c>
      <c r="B114" s="8"/>
      <c r="C114" s="18" t="s">
        <v>307</v>
      </c>
      <c r="D114" s="18" t="s">
        <v>259</v>
      </c>
      <c r="E114" s="18" t="s">
        <v>837</v>
      </c>
      <c r="F114" s="18">
        <v>0.36299999999999999</v>
      </c>
      <c r="G114" s="18" t="s">
        <v>810</v>
      </c>
      <c r="H114" s="18">
        <v>17</v>
      </c>
      <c r="I114" s="8"/>
      <c r="J114" s="8"/>
      <c r="K114" s="8"/>
      <c r="L114" s="8"/>
      <c r="M114" s="8"/>
      <c r="N114" s="8"/>
      <c r="O114" s="18">
        <f t="shared" si="3"/>
        <v>9694.9999999999964</v>
      </c>
      <c r="P114" s="8"/>
      <c r="Q114" s="8"/>
      <c r="R114" s="24" t="s">
        <v>824</v>
      </c>
      <c r="S114" s="18">
        <v>17</v>
      </c>
      <c r="T114" s="8"/>
    </row>
    <row r="115" spans="1:20" ht="18.75">
      <c r="A115" s="92">
        <f t="shared" si="2"/>
        <v>110</v>
      </c>
      <c r="B115" s="8"/>
      <c r="C115" s="18" t="s">
        <v>352</v>
      </c>
      <c r="D115" s="18" t="s">
        <v>426</v>
      </c>
      <c r="E115" s="21" t="s">
        <v>769</v>
      </c>
      <c r="F115" s="18"/>
      <c r="G115" s="18" t="s">
        <v>810</v>
      </c>
      <c r="H115" s="18">
        <v>25.8</v>
      </c>
      <c r="I115" s="8"/>
      <c r="J115" s="8"/>
      <c r="K115" s="8"/>
      <c r="L115" s="8"/>
      <c r="M115" s="8"/>
      <c r="N115" s="8"/>
      <c r="O115" s="18">
        <f t="shared" si="3"/>
        <v>9720.7999999999956</v>
      </c>
      <c r="P115" s="8"/>
      <c r="Q115" s="8"/>
      <c r="R115" s="24" t="s">
        <v>824</v>
      </c>
      <c r="S115" s="24"/>
      <c r="T115" s="8"/>
    </row>
    <row r="116" spans="1:20" ht="18.75">
      <c r="A116" s="92">
        <f t="shared" si="2"/>
        <v>111</v>
      </c>
      <c r="B116" s="8"/>
      <c r="C116" s="18" t="s">
        <v>352</v>
      </c>
      <c r="D116" s="18" t="s">
        <v>426</v>
      </c>
      <c r="E116" s="18" t="s">
        <v>771</v>
      </c>
      <c r="F116" s="18">
        <v>0.36299999999999999</v>
      </c>
      <c r="G116" s="18" t="s">
        <v>810</v>
      </c>
      <c r="H116" s="18">
        <v>4.4000000000000004</v>
      </c>
      <c r="I116" s="8"/>
      <c r="J116" s="8"/>
      <c r="K116" s="8"/>
      <c r="L116" s="8"/>
      <c r="M116" s="8"/>
      <c r="N116" s="8"/>
      <c r="O116" s="18">
        <f t="shared" si="3"/>
        <v>9725.1999999999953</v>
      </c>
      <c r="P116" s="8"/>
      <c r="Q116" s="8"/>
      <c r="R116" s="24" t="s">
        <v>824</v>
      </c>
      <c r="S116" s="18">
        <v>4.4000000000000004</v>
      </c>
      <c r="T116" s="8"/>
    </row>
    <row r="117" spans="1:20" ht="18.75">
      <c r="A117" s="92">
        <f t="shared" si="2"/>
        <v>112</v>
      </c>
      <c r="B117" s="8"/>
      <c r="C117" s="18" t="s">
        <v>426</v>
      </c>
      <c r="D117" s="18" t="s">
        <v>311</v>
      </c>
      <c r="E117" s="21" t="s">
        <v>769</v>
      </c>
      <c r="F117" s="18"/>
      <c r="G117" s="18" t="s">
        <v>810</v>
      </c>
      <c r="H117" s="18">
        <v>109.5</v>
      </c>
      <c r="I117" s="8"/>
      <c r="J117" s="8"/>
      <c r="K117" s="8"/>
      <c r="L117" s="8"/>
      <c r="M117" s="8"/>
      <c r="N117" s="8"/>
      <c r="O117" s="18">
        <f t="shared" si="3"/>
        <v>9834.6999999999953</v>
      </c>
      <c r="P117" s="8"/>
      <c r="Q117" s="8"/>
      <c r="R117" s="24" t="s">
        <v>824</v>
      </c>
      <c r="S117" s="24"/>
      <c r="T117" s="8"/>
    </row>
    <row r="118" spans="1:20" ht="18.75">
      <c r="A118" s="92">
        <f t="shared" si="2"/>
        <v>113</v>
      </c>
      <c r="B118" s="8"/>
      <c r="C118" s="18" t="s">
        <v>345</v>
      </c>
      <c r="D118" s="18" t="s">
        <v>426</v>
      </c>
      <c r="E118" s="21" t="s">
        <v>769</v>
      </c>
      <c r="F118" s="18"/>
      <c r="G118" s="18" t="s">
        <v>810</v>
      </c>
      <c r="H118" s="18">
        <v>24</v>
      </c>
      <c r="I118" s="8"/>
      <c r="J118" s="8"/>
      <c r="K118" s="8"/>
      <c r="L118" s="8"/>
      <c r="M118" s="8"/>
      <c r="N118" s="8"/>
      <c r="O118" s="18">
        <f t="shared" si="3"/>
        <v>9858.6999999999953</v>
      </c>
      <c r="P118" s="8"/>
      <c r="Q118" s="8"/>
      <c r="R118" s="24" t="s">
        <v>824</v>
      </c>
      <c r="S118" s="24"/>
      <c r="T118" s="8"/>
    </row>
    <row r="119" spans="1:20" ht="18.75">
      <c r="A119" s="92">
        <f t="shared" si="2"/>
        <v>114</v>
      </c>
      <c r="B119" s="8"/>
      <c r="C119" s="18" t="s">
        <v>240</v>
      </c>
      <c r="D119" s="18" t="s">
        <v>322</v>
      </c>
      <c r="E119" s="21" t="s">
        <v>769</v>
      </c>
      <c r="F119" s="18"/>
      <c r="G119" s="18" t="s">
        <v>810</v>
      </c>
      <c r="H119" s="18">
        <v>32</v>
      </c>
      <c r="I119" s="8"/>
      <c r="J119" s="8"/>
      <c r="K119" s="8"/>
      <c r="L119" s="8"/>
      <c r="M119" s="8"/>
      <c r="N119" s="8"/>
      <c r="O119" s="18">
        <f t="shared" si="3"/>
        <v>9890.6999999999953</v>
      </c>
      <c r="P119" s="8"/>
      <c r="Q119" s="8"/>
      <c r="R119" s="24" t="s">
        <v>824</v>
      </c>
      <c r="S119" s="24"/>
      <c r="T119" s="8"/>
    </row>
    <row r="120" spans="1:20" ht="18.75">
      <c r="A120" s="92">
        <f t="shared" si="2"/>
        <v>115</v>
      </c>
      <c r="B120" s="8"/>
      <c r="C120" s="18" t="s">
        <v>337</v>
      </c>
      <c r="D120" s="18" t="s">
        <v>336</v>
      </c>
      <c r="E120" s="21" t="s">
        <v>769</v>
      </c>
      <c r="F120" s="18"/>
      <c r="G120" s="18" t="s">
        <v>810</v>
      </c>
      <c r="H120" s="18">
        <v>35.4</v>
      </c>
      <c r="I120" s="8"/>
      <c r="J120" s="8"/>
      <c r="K120" s="8"/>
      <c r="L120" s="8"/>
      <c r="M120" s="8"/>
      <c r="N120" s="8"/>
      <c r="O120" s="18">
        <f t="shared" si="3"/>
        <v>9926.0999999999949</v>
      </c>
      <c r="P120" s="8"/>
      <c r="Q120" s="8"/>
      <c r="R120" s="24" t="s">
        <v>824</v>
      </c>
      <c r="S120" s="24"/>
      <c r="T120" s="8"/>
    </row>
    <row r="121" spans="1:20" ht="18.75">
      <c r="A121" s="92">
        <f t="shared" si="2"/>
        <v>116</v>
      </c>
      <c r="B121" s="8"/>
      <c r="C121" s="5" t="s">
        <v>275</v>
      </c>
      <c r="D121" s="5" t="s">
        <v>260</v>
      </c>
      <c r="E121" s="5" t="s">
        <v>771</v>
      </c>
      <c r="F121" s="18">
        <v>0.36299999999999999</v>
      </c>
      <c r="G121" s="18" t="s">
        <v>810</v>
      </c>
      <c r="H121" s="5">
        <v>2.2999999999999998</v>
      </c>
      <c r="I121" s="8"/>
      <c r="J121" s="8"/>
      <c r="K121" s="8"/>
      <c r="L121" s="8"/>
      <c r="M121" s="8"/>
      <c r="N121" s="8"/>
      <c r="O121" s="18">
        <f t="shared" si="3"/>
        <v>9928.3999999999942</v>
      </c>
      <c r="P121" s="8"/>
      <c r="Q121" s="8"/>
      <c r="R121" s="24" t="s">
        <v>824</v>
      </c>
      <c r="S121" s="5">
        <v>2.2999999999999998</v>
      </c>
      <c r="T121" s="8"/>
    </row>
    <row r="122" spans="1:20" ht="18.75">
      <c r="A122" s="92">
        <f t="shared" si="2"/>
        <v>117</v>
      </c>
      <c r="B122" s="8"/>
      <c r="C122" s="5" t="s">
        <v>275</v>
      </c>
      <c r="D122" s="5" t="s">
        <v>260</v>
      </c>
      <c r="E122" s="5" t="s">
        <v>845</v>
      </c>
      <c r="F122" s="18">
        <v>0.36299999999999999</v>
      </c>
      <c r="G122" s="18" t="s">
        <v>810</v>
      </c>
      <c r="H122" s="5">
        <v>232.7</v>
      </c>
      <c r="I122" s="8"/>
      <c r="J122" s="8"/>
      <c r="K122" s="8"/>
      <c r="L122" s="8"/>
      <c r="M122" s="8"/>
      <c r="N122" s="8"/>
      <c r="O122" s="18">
        <f t="shared" si="3"/>
        <v>10161.099999999995</v>
      </c>
      <c r="P122" s="8"/>
      <c r="Q122" s="8"/>
      <c r="R122" s="24" t="s">
        <v>824</v>
      </c>
      <c r="S122" s="5">
        <v>232.7</v>
      </c>
      <c r="T122" s="8"/>
    </row>
    <row r="123" spans="1:20" ht="18.75">
      <c r="A123" s="92">
        <f t="shared" si="2"/>
        <v>118</v>
      </c>
      <c r="B123" s="8"/>
      <c r="C123" s="5" t="s">
        <v>275</v>
      </c>
      <c r="D123" s="5" t="s">
        <v>260</v>
      </c>
      <c r="E123" s="21" t="s">
        <v>769</v>
      </c>
      <c r="F123" s="5"/>
      <c r="G123" s="18" t="s">
        <v>810</v>
      </c>
      <c r="H123" s="5">
        <v>131.4</v>
      </c>
      <c r="I123" s="8"/>
      <c r="J123" s="8"/>
      <c r="K123" s="8"/>
      <c r="L123" s="8"/>
      <c r="M123" s="8"/>
      <c r="N123" s="8"/>
      <c r="O123" s="18">
        <f t="shared" si="3"/>
        <v>10292.499999999995</v>
      </c>
      <c r="P123" s="8"/>
      <c r="Q123" s="8"/>
      <c r="R123" s="24" t="s">
        <v>824</v>
      </c>
      <c r="S123" s="24"/>
      <c r="T123" s="8"/>
    </row>
    <row r="124" spans="1:20" ht="18.75">
      <c r="A124" s="92">
        <f t="shared" si="2"/>
        <v>119</v>
      </c>
      <c r="B124" s="8"/>
      <c r="C124" s="5" t="s">
        <v>275</v>
      </c>
      <c r="D124" s="5" t="s">
        <v>358</v>
      </c>
      <c r="E124" s="21" t="s">
        <v>769</v>
      </c>
      <c r="F124" s="5"/>
      <c r="G124" s="18" t="s">
        <v>810</v>
      </c>
      <c r="H124" s="5"/>
      <c r="I124" s="8"/>
      <c r="J124" s="8"/>
      <c r="K124" s="5">
        <v>67.7</v>
      </c>
      <c r="L124" s="8"/>
      <c r="M124" s="8"/>
      <c r="N124" s="8"/>
      <c r="O124" s="18">
        <f t="shared" si="3"/>
        <v>10360.199999999995</v>
      </c>
      <c r="P124" s="8"/>
      <c r="Q124" s="8"/>
      <c r="R124" s="24" t="s">
        <v>824</v>
      </c>
      <c r="S124" s="24"/>
      <c r="T124" s="8"/>
    </row>
    <row r="125" spans="1:20" ht="18.75">
      <c r="A125" s="92">
        <f t="shared" si="2"/>
        <v>120</v>
      </c>
      <c r="B125" s="8"/>
      <c r="C125" s="5" t="s">
        <v>358</v>
      </c>
      <c r="D125" s="5" t="s">
        <v>436</v>
      </c>
      <c r="E125" s="5" t="s">
        <v>771</v>
      </c>
      <c r="F125" s="18">
        <v>0.36299999999999999</v>
      </c>
      <c r="G125" s="18" t="s">
        <v>810</v>
      </c>
      <c r="H125" s="5">
        <v>3</v>
      </c>
      <c r="I125" s="8"/>
      <c r="J125" s="8"/>
      <c r="K125" s="5"/>
      <c r="L125" s="8"/>
      <c r="M125" s="8"/>
      <c r="N125" s="8"/>
      <c r="O125" s="18">
        <f t="shared" si="3"/>
        <v>10363.199999999995</v>
      </c>
      <c r="P125" s="8"/>
      <c r="Q125" s="8"/>
      <c r="R125" s="24" t="s">
        <v>824</v>
      </c>
      <c r="S125" s="5">
        <v>3</v>
      </c>
      <c r="T125" s="8"/>
    </row>
    <row r="126" spans="1:20" ht="18.75">
      <c r="A126" s="92">
        <f t="shared" si="2"/>
        <v>121</v>
      </c>
      <c r="B126" s="8"/>
      <c r="C126" s="5" t="s">
        <v>358</v>
      </c>
      <c r="D126" s="5" t="s">
        <v>436</v>
      </c>
      <c r="E126" s="21" t="s">
        <v>769</v>
      </c>
      <c r="F126" s="5"/>
      <c r="G126" s="18" t="s">
        <v>810</v>
      </c>
      <c r="H126" s="5">
        <v>27.4</v>
      </c>
      <c r="I126" s="8"/>
      <c r="J126" s="8"/>
      <c r="K126" s="5"/>
      <c r="L126" s="8"/>
      <c r="M126" s="8"/>
      <c r="N126" s="8"/>
      <c r="O126" s="18">
        <f t="shared" si="3"/>
        <v>10390.599999999995</v>
      </c>
      <c r="P126" s="8"/>
      <c r="Q126" s="8"/>
      <c r="R126" s="24" t="s">
        <v>824</v>
      </c>
      <c r="S126" s="24"/>
      <c r="T126" s="8"/>
    </row>
    <row r="127" spans="1:20" ht="18.75">
      <c r="A127" s="92">
        <f t="shared" si="2"/>
        <v>122</v>
      </c>
      <c r="B127" s="8"/>
      <c r="C127" s="5" t="s">
        <v>358</v>
      </c>
      <c r="D127" s="5" t="s">
        <v>346</v>
      </c>
      <c r="E127" s="21" t="s">
        <v>769</v>
      </c>
      <c r="F127" s="5"/>
      <c r="G127" s="18" t="s">
        <v>810</v>
      </c>
      <c r="H127" s="5"/>
      <c r="I127" s="8"/>
      <c r="J127" s="8"/>
      <c r="K127" s="5">
        <v>519.1</v>
      </c>
      <c r="L127" s="8"/>
      <c r="M127" s="8"/>
      <c r="N127" s="8"/>
      <c r="O127" s="18">
        <f t="shared" si="3"/>
        <v>10909.699999999995</v>
      </c>
      <c r="P127" s="8"/>
      <c r="Q127" s="8"/>
      <c r="R127" s="24" t="s">
        <v>824</v>
      </c>
      <c r="S127" s="24"/>
      <c r="T127" s="8"/>
    </row>
    <row r="128" spans="1:20" ht="18.75">
      <c r="A128" s="92">
        <f t="shared" si="2"/>
        <v>123</v>
      </c>
      <c r="B128" s="8"/>
      <c r="C128" s="5" t="s">
        <v>346</v>
      </c>
      <c r="D128" s="5" t="s">
        <v>244</v>
      </c>
      <c r="E128" s="21" t="s">
        <v>769</v>
      </c>
      <c r="F128" s="5"/>
      <c r="G128" s="18" t="s">
        <v>810</v>
      </c>
      <c r="H128" s="5">
        <v>38.200000000000003</v>
      </c>
      <c r="I128" s="8"/>
      <c r="J128" s="8"/>
      <c r="K128" s="8"/>
      <c r="L128" s="8"/>
      <c r="M128" s="8"/>
      <c r="N128" s="8"/>
      <c r="O128" s="18">
        <f t="shared" si="3"/>
        <v>10947.899999999996</v>
      </c>
      <c r="P128" s="8"/>
      <c r="Q128" s="8"/>
      <c r="R128" s="24" t="s">
        <v>824</v>
      </c>
      <c r="S128" s="24"/>
      <c r="T128" s="8"/>
    </row>
    <row r="129" spans="1:20" ht="18.75">
      <c r="A129" s="92">
        <f t="shared" si="2"/>
        <v>124</v>
      </c>
      <c r="B129" s="8"/>
      <c r="C129" s="5" t="s">
        <v>244</v>
      </c>
      <c r="D129" s="5" t="s">
        <v>640</v>
      </c>
      <c r="E129" s="21" t="s">
        <v>769</v>
      </c>
      <c r="F129" s="5"/>
      <c r="G129" s="18" t="s">
        <v>810</v>
      </c>
      <c r="H129" s="5">
        <v>82.5</v>
      </c>
      <c r="I129" s="8"/>
      <c r="J129" s="8"/>
      <c r="K129" s="8"/>
      <c r="L129" s="8"/>
      <c r="M129" s="8"/>
      <c r="N129" s="8"/>
      <c r="O129" s="18">
        <f t="shared" si="3"/>
        <v>11030.399999999996</v>
      </c>
      <c r="P129" s="8"/>
      <c r="Q129" s="8"/>
      <c r="R129" s="24" t="s">
        <v>824</v>
      </c>
      <c r="S129" s="24"/>
      <c r="T129" s="8"/>
    </row>
    <row r="130" spans="1:20" ht="18.75">
      <c r="A130" s="92">
        <f t="shared" si="2"/>
        <v>125</v>
      </c>
      <c r="B130" s="8"/>
      <c r="C130" s="5" t="s">
        <v>640</v>
      </c>
      <c r="D130" s="5" t="s">
        <v>265</v>
      </c>
      <c r="E130" s="21" t="s">
        <v>769</v>
      </c>
      <c r="F130" s="5"/>
      <c r="G130" s="18" t="s">
        <v>810</v>
      </c>
      <c r="H130" s="5">
        <v>56.8</v>
      </c>
      <c r="I130" s="8"/>
      <c r="J130" s="8"/>
      <c r="K130" s="8"/>
      <c r="L130" s="8"/>
      <c r="M130" s="8"/>
      <c r="N130" s="8"/>
      <c r="O130" s="18">
        <f t="shared" si="3"/>
        <v>11087.199999999995</v>
      </c>
      <c r="P130" s="8"/>
      <c r="Q130" s="8"/>
      <c r="R130" s="24" t="s">
        <v>824</v>
      </c>
      <c r="S130" s="24"/>
      <c r="T130" s="8"/>
    </row>
    <row r="131" spans="1:20" ht="18.75">
      <c r="A131" s="92">
        <f t="shared" si="2"/>
        <v>126</v>
      </c>
      <c r="B131" s="8"/>
      <c r="C131" s="5" t="s">
        <v>640</v>
      </c>
      <c r="D131" s="5" t="s">
        <v>342</v>
      </c>
      <c r="E131" s="21" t="s">
        <v>769</v>
      </c>
      <c r="F131" s="5"/>
      <c r="G131" s="18" t="s">
        <v>810</v>
      </c>
      <c r="H131" s="5">
        <v>87.2</v>
      </c>
      <c r="I131" s="8"/>
      <c r="J131" s="8"/>
      <c r="K131" s="8"/>
      <c r="L131" s="8"/>
      <c r="M131" s="8"/>
      <c r="N131" s="8"/>
      <c r="O131" s="18">
        <f t="shared" si="3"/>
        <v>11174.399999999996</v>
      </c>
      <c r="P131" s="8"/>
      <c r="Q131" s="8"/>
      <c r="R131" s="24" t="s">
        <v>824</v>
      </c>
      <c r="S131" s="24"/>
      <c r="T131" s="8"/>
    </row>
    <row r="132" spans="1:20" ht="18.75">
      <c r="A132" s="92">
        <f t="shared" si="2"/>
        <v>127</v>
      </c>
      <c r="B132" s="8"/>
      <c r="C132" s="5" t="s">
        <v>342</v>
      </c>
      <c r="D132" s="5" t="s">
        <v>235</v>
      </c>
      <c r="E132" s="21" t="s">
        <v>769</v>
      </c>
      <c r="F132" s="5"/>
      <c r="G132" s="18" t="s">
        <v>810</v>
      </c>
      <c r="H132" s="5">
        <v>14.2</v>
      </c>
      <c r="I132" s="8"/>
      <c r="J132" s="8"/>
      <c r="K132" s="8"/>
      <c r="L132" s="8"/>
      <c r="M132" s="8"/>
      <c r="N132" s="8"/>
      <c r="O132" s="18">
        <f t="shared" si="3"/>
        <v>11188.599999999997</v>
      </c>
      <c r="P132" s="8"/>
      <c r="Q132" s="8"/>
      <c r="R132" s="24" t="s">
        <v>824</v>
      </c>
      <c r="S132" s="24"/>
      <c r="T132" s="8"/>
    </row>
    <row r="133" spans="1:20" ht="18.75">
      <c r="A133" s="92">
        <f t="shared" si="2"/>
        <v>128</v>
      </c>
      <c r="B133" s="8"/>
      <c r="C133" s="5" t="s">
        <v>342</v>
      </c>
      <c r="D133" s="5" t="s">
        <v>524</v>
      </c>
      <c r="E133" s="21" t="s">
        <v>769</v>
      </c>
      <c r="F133" s="5"/>
      <c r="G133" s="18" t="s">
        <v>810</v>
      </c>
      <c r="H133" s="5">
        <v>27</v>
      </c>
      <c r="I133" s="8"/>
      <c r="J133" s="8"/>
      <c r="K133" s="8"/>
      <c r="L133" s="8"/>
      <c r="M133" s="8"/>
      <c r="N133" s="8"/>
      <c r="O133" s="18">
        <f t="shared" si="3"/>
        <v>11215.599999999997</v>
      </c>
      <c r="P133" s="8"/>
      <c r="Q133" s="8"/>
      <c r="R133" s="24" t="s">
        <v>824</v>
      </c>
      <c r="S133" s="24"/>
      <c r="T133" s="8"/>
    </row>
    <row r="134" spans="1:20" ht="18.75">
      <c r="A134" s="92">
        <f t="shared" si="2"/>
        <v>129</v>
      </c>
      <c r="B134" s="8"/>
      <c r="C134" s="5" t="s">
        <v>516</v>
      </c>
      <c r="D134" s="5" t="s">
        <v>419</v>
      </c>
      <c r="E134" s="5" t="s">
        <v>771</v>
      </c>
      <c r="F134" s="18">
        <v>0.36299999999999999</v>
      </c>
      <c r="G134" s="18" t="s">
        <v>810</v>
      </c>
      <c r="H134" s="5">
        <v>3</v>
      </c>
      <c r="I134" s="8"/>
      <c r="J134" s="8"/>
      <c r="K134" s="8"/>
      <c r="L134" s="8"/>
      <c r="M134" s="8"/>
      <c r="N134" s="8"/>
      <c r="O134" s="18">
        <f t="shared" si="3"/>
        <v>11218.599999999997</v>
      </c>
      <c r="P134" s="8"/>
      <c r="Q134" s="8"/>
      <c r="R134" s="24" t="s">
        <v>824</v>
      </c>
      <c r="S134" s="5">
        <v>3</v>
      </c>
      <c r="T134" s="8"/>
    </row>
    <row r="135" spans="1:20" ht="18.75">
      <c r="A135" s="92">
        <f t="shared" si="2"/>
        <v>130</v>
      </c>
      <c r="B135" s="8"/>
      <c r="C135" s="5" t="s">
        <v>516</v>
      </c>
      <c r="D135" s="5" t="s">
        <v>419</v>
      </c>
      <c r="E135" s="21" t="s">
        <v>769</v>
      </c>
      <c r="F135" s="5"/>
      <c r="G135" s="18" t="s">
        <v>810</v>
      </c>
      <c r="H135" s="5">
        <v>22</v>
      </c>
      <c r="I135" s="8"/>
      <c r="J135" s="8"/>
      <c r="K135" s="8"/>
      <c r="L135" s="8"/>
      <c r="M135" s="8"/>
      <c r="N135" s="8"/>
      <c r="O135" s="18">
        <f t="shared" si="3"/>
        <v>11240.599999999997</v>
      </c>
      <c r="P135" s="8"/>
      <c r="Q135" s="8"/>
      <c r="R135" s="24" t="s">
        <v>824</v>
      </c>
      <c r="S135" s="24"/>
      <c r="T135" s="8"/>
    </row>
    <row r="136" spans="1:20" ht="18.75">
      <c r="A136" s="92">
        <f t="shared" ref="A136:A172" si="4">1+A135</f>
        <v>131</v>
      </c>
      <c r="B136" s="8"/>
      <c r="C136" s="5" t="s">
        <v>516</v>
      </c>
      <c r="D136" s="5" t="s">
        <v>510</v>
      </c>
      <c r="E136" s="21" t="s">
        <v>769</v>
      </c>
      <c r="F136" s="5"/>
      <c r="G136" s="18" t="s">
        <v>810</v>
      </c>
      <c r="H136" s="5">
        <v>3.3</v>
      </c>
      <c r="I136" s="8"/>
      <c r="J136" s="8"/>
      <c r="K136" s="8"/>
      <c r="L136" s="8"/>
      <c r="M136" s="8"/>
      <c r="N136" s="8"/>
      <c r="O136" s="18">
        <f t="shared" ref="O136:O172" si="5">+O135+H136+I136+J136+K136+L136+M136+N136</f>
        <v>11243.899999999996</v>
      </c>
      <c r="P136" s="8"/>
      <c r="Q136" s="8"/>
      <c r="R136" s="24" t="s">
        <v>824</v>
      </c>
      <c r="S136" s="24"/>
      <c r="T136" s="8"/>
    </row>
    <row r="137" spans="1:20" ht="18.75">
      <c r="A137" s="92">
        <f t="shared" si="4"/>
        <v>132</v>
      </c>
      <c r="B137" s="8"/>
      <c r="C137" s="5" t="s">
        <v>510</v>
      </c>
      <c r="D137" s="5" t="s">
        <v>338</v>
      </c>
      <c r="E137" s="21" t="s">
        <v>769</v>
      </c>
      <c r="F137" s="5"/>
      <c r="G137" s="18" t="s">
        <v>810</v>
      </c>
      <c r="H137" s="5">
        <v>121</v>
      </c>
      <c r="I137" s="8"/>
      <c r="J137" s="8"/>
      <c r="K137" s="8"/>
      <c r="L137" s="8"/>
      <c r="M137" s="8"/>
      <c r="N137" s="8"/>
      <c r="O137" s="18">
        <f t="shared" si="5"/>
        <v>11364.899999999996</v>
      </c>
      <c r="P137" s="8"/>
      <c r="Q137" s="8"/>
      <c r="R137" s="24" t="s">
        <v>824</v>
      </c>
      <c r="S137" s="24"/>
      <c r="T137" s="8"/>
    </row>
    <row r="138" spans="1:20" ht="18.75">
      <c r="A138" s="92">
        <f t="shared" si="4"/>
        <v>133</v>
      </c>
      <c r="B138" s="8"/>
      <c r="C138" s="5" t="s">
        <v>326</v>
      </c>
      <c r="D138" s="5" t="s">
        <v>327</v>
      </c>
      <c r="E138" s="21" t="s">
        <v>769</v>
      </c>
      <c r="F138" s="5"/>
      <c r="G138" s="18" t="s">
        <v>810</v>
      </c>
      <c r="H138" s="5">
        <v>20.6</v>
      </c>
      <c r="I138" s="8"/>
      <c r="J138" s="8"/>
      <c r="K138" s="8"/>
      <c r="L138" s="8"/>
      <c r="M138" s="8"/>
      <c r="N138" s="8"/>
      <c r="O138" s="18">
        <f t="shared" si="5"/>
        <v>11385.499999999996</v>
      </c>
      <c r="P138" s="8"/>
      <c r="Q138" s="8"/>
      <c r="R138" s="24" t="s">
        <v>824</v>
      </c>
      <c r="S138" s="24"/>
      <c r="T138" s="8"/>
    </row>
    <row r="139" spans="1:20" ht="18.75">
      <c r="A139" s="92">
        <f t="shared" si="4"/>
        <v>134</v>
      </c>
      <c r="B139" s="8"/>
      <c r="C139" s="5" t="s">
        <v>338</v>
      </c>
      <c r="D139" s="5" t="s">
        <v>228</v>
      </c>
      <c r="E139" s="21" t="s">
        <v>769</v>
      </c>
      <c r="F139" s="5"/>
      <c r="G139" s="18" t="s">
        <v>810</v>
      </c>
      <c r="H139" s="5">
        <v>26.5</v>
      </c>
      <c r="I139" s="8"/>
      <c r="J139" s="8"/>
      <c r="K139" s="8"/>
      <c r="L139" s="8"/>
      <c r="M139" s="8"/>
      <c r="N139" s="8"/>
      <c r="O139" s="18">
        <f t="shared" si="5"/>
        <v>11411.999999999996</v>
      </c>
      <c r="P139" s="8"/>
      <c r="Q139" s="8"/>
      <c r="R139" s="24" t="s">
        <v>824</v>
      </c>
      <c r="S139" s="24"/>
      <c r="T139" s="8"/>
    </row>
    <row r="140" spans="1:20" ht="18.75">
      <c r="A140" s="92">
        <f t="shared" si="4"/>
        <v>135</v>
      </c>
      <c r="B140" s="8"/>
      <c r="C140" s="5" t="s">
        <v>228</v>
      </c>
      <c r="D140" s="5" t="s">
        <v>296</v>
      </c>
      <c r="E140" s="21" t="s">
        <v>769</v>
      </c>
      <c r="F140" s="5"/>
      <c r="G140" s="18" t="s">
        <v>810</v>
      </c>
      <c r="H140" s="5">
        <v>29</v>
      </c>
      <c r="I140" s="8"/>
      <c r="J140" s="8"/>
      <c r="K140" s="8"/>
      <c r="L140" s="8"/>
      <c r="M140" s="8"/>
      <c r="N140" s="8"/>
      <c r="O140" s="18">
        <f t="shared" si="5"/>
        <v>11440.999999999996</v>
      </c>
      <c r="P140" s="8"/>
      <c r="Q140" s="8"/>
      <c r="R140" s="24" t="s">
        <v>824</v>
      </c>
      <c r="S140" s="24"/>
      <c r="T140" s="8"/>
    </row>
    <row r="141" spans="1:20" ht="18.75">
      <c r="A141" s="92">
        <f t="shared" si="4"/>
        <v>136</v>
      </c>
      <c r="B141" s="8"/>
      <c r="C141" s="5" t="s">
        <v>228</v>
      </c>
      <c r="D141" s="5" t="s">
        <v>243</v>
      </c>
      <c r="E141" s="5" t="s">
        <v>837</v>
      </c>
      <c r="F141" s="18">
        <v>0.36299999999999999</v>
      </c>
      <c r="G141" s="18" t="s">
        <v>810</v>
      </c>
      <c r="H141" s="5">
        <v>45.7</v>
      </c>
      <c r="I141" s="8"/>
      <c r="J141" s="8"/>
      <c r="K141" s="8"/>
      <c r="L141" s="8"/>
      <c r="M141" s="8"/>
      <c r="N141" s="8"/>
      <c r="O141" s="18">
        <f t="shared" si="5"/>
        <v>11486.699999999997</v>
      </c>
      <c r="P141" s="8"/>
      <c r="Q141" s="8"/>
      <c r="R141" s="24" t="s">
        <v>824</v>
      </c>
      <c r="S141" s="5">
        <v>45.7</v>
      </c>
      <c r="T141" s="8"/>
    </row>
    <row r="142" spans="1:20" ht="18.75">
      <c r="A142" s="92">
        <f t="shared" si="4"/>
        <v>137</v>
      </c>
      <c r="B142" s="8"/>
      <c r="C142" s="5" t="s">
        <v>228</v>
      </c>
      <c r="D142" s="5" t="s">
        <v>243</v>
      </c>
      <c r="E142" s="21" t="s">
        <v>769</v>
      </c>
      <c r="F142" s="5"/>
      <c r="G142" s="18" t="s">
        <v>810</v>
      </c>
      <c r="H142" s="5">
        <v>9.8000000000000007</v>
      </c>
      <c r="I142" s="8"/>
      <c r="J142" s="8"/>
      <c r="K142" s="8"/>
      <c r="L142" s="8"/>
      <c r="M142" s="8"/>
      <c r="N142" s="8"/>
      <c r="O142" s="18">
        <f t="shared" si="5"/>
        <v>11496.499999999996</v>
      </c>
      <c r="P142" s="8"/>
      <c r="Q142" s="8"/>
      <c r="R142" s="24" t="s">
        <v>824</v>
      </c>
      <c r="S142" s="24"/>
      <c r="T142" s="8"/>
    </row>
    <row r="143" spans="1:20" ht="18.75">
      <c r="A143" s="92">
        <f t="shared" si="4"/>
        <v>138</v>
      </c>
      <c r="B143" s="8"/>
      <c r="C143" s="5" t="s">
        <v>359</v>
      </c>
      <c r="D143" s="5" t="s">
        <v>509</v>
      </c>
      <c r="E143" s="5" t="s">
        <v>771</v>
      </c>
      <c r="F143" s="18">
        <v>0.36299999999999999</v>
      </c>
      <c r="G143" s="18" t="s">
        <v>810</v>
      </c>
      <c r="H143" s="5">
        <v>3</v>
      </c>
      <c r="I143" s="8"/>
      <c r="J143" s="8"/>
      <c r="K143" s="8"/>
      <c r="L143" s="8"/>
      <c r="M143" s="8"/>
      <c r="N143" s="8"/>
      <c r="O143" s="18">
        <f t="shared" si="5"/>
        <v>11499.499999999996</v>
      </c>
      <c r="P143" s="8"/>
      <c r="Q143" s="8"/>
      <c r="R143" s="24" t="s">
        <v>824</v>
      </c>
      <c r="S143" s="5">
        <v>3</v>
      </c>
      <c r="T143" s="8"/>
    </row>
    <row r="144" spans="1:20" ht="18.75">
      <c r="A144" s="92">
        <f t="shared" si="4"/>
        <v>139</v>
      </c>
      <c r="B144" s="8"/>
      <c r="C144" s="5" t="s">
        <v>359</v>
      </c>
      <c r="D144" s="5" t="s">
        <v>509</v>
      </c>
      <c r="E144" s="21" t="s">
        <v>769</v>
      </c>
      <c r="F144" s="8"/>
      <c r="G144" s="18" t="s">
        <v>810</v>
      </c>
      <c r="H144" s="5">
        <v>35.200000000000003</v>
      </c>
      <c r="I144" s="8"/>
      <c r="J144" s="18"/>
      <c r="K144" s="18"/>
      <c r="L144" s="18"/>
      <c r="M144" s="18"/>
      <c r="N144" s="8"/>
      <c r="O144" s="18">
        <f t="shared" si="5"/>
        <v>11534.699999999997</v>
      </c>
      <c r="P144" s="8"/>
      <c r="Q144" s="8"/>
      <c r="R144" s="24" t="s">
        <v>824</v>
      </c>
      <c r="S144" s="24"/>
      <c r="T144" s="8"/>
    </row>
    <row r="145" spans="1:20" ht="18.75">
      <c r="A145" s="92">
        <f t="shared" si="4"/>
        <v>140</v>
      </c>
      <c r="B145" s="193"/>
      <c r="C145" s="6" t="s">
        <v>245</v>
      </c>
      <c r="D145" s="6" t="s">
        <v>198</v>
      </c>
      <c r="E145" s="19" t="s">
        <v>769</v>
      </c>
      <c r="F145" s="8"/>
      <c r="G145" s="18" t="s">
        <v>810</v>
      </c>
      <c r="H145" s="5"/>
      <c r="I145" s="8"/>
      <c r="J145" s="18"/>
      <c r="K145" s="18"/>
      <c r="L145" s="18"/>
      <c r="M145" s="18">
        <v>133.5</v>
      </c>
      <c r="N145" s="8"/>
      <c r="O145" s="18">
        <f t="shared" si="5"/>
        <v>11668.199999999997</v>
      </c>
      <c r="P145" s="8"/>
      <c r="Q145" s="8"/>
      <c r="R145" s="24" t="s">
        <v>824</v>
      </c>
      <c r="S145" s="24"/>
      <c r="T145" s="8"/>
    </row>
    <row r="146" spans="1:20" ht="18.75">
      <c r="A146" s="92">
        <f t="shared" si="4"/>
        <v>141</v>
      </c>
      <c r="B146" s="8"/>
      <c r="C146" s="5" t="s">
        <v>198</v>
      </c>
      <c r="D146" s="5" t="s">
        <v>631</v>
      </c>
      <c r="E146" s="21" t="s">
        <v>769</v>
      </c>
      <c r="F146" s="8"/>
      <c r="G146" s="18" t="s">
        <v>810</v>
      </c>
      <c r="H146" s="5"/>
      <c r="I146" s="8"/>
      <c r="J146" s="18"/>
      <c r="K146" s="18"/>
      <c r="L146" s="18">
        <v>100</v>
      </c>
      <c r="M146" s="18"/>
      <c r="N146" s="8"/>
      <c r="O146" s="18">
        <f t="shared" si="5"/>
        <v>11768.199999999997</v>
      </c>
      <c r="P146" s="8"/>
      <c r="Q146" s="8"/>
      <c r="R146" s="24" t="s">
        <v>824</v>
      </c>
      <c r="S146" s="24"/>
      <c r="T146" s="8"/>
    </row>
    <row r="147" spans="1:20" ht="18.75">
      <c r="A147" s="92">
        <f t="shared" si="4"/>
        <v>142</v>
      </c>
      <c r="B147" s="8"/>
      <c r="C147" s="5" t="s">
        <v>631</v>
      </c>
      <c r="D147" s="5" t="s">
        <v>256</v>
      </c>
      <c r="E147" s="21" t="s">
        <v>769</v>
      </c>
      <c r="F147" s="8"/>
      <c r="G147" s="18" t="s">
        <v>810</v>
      </c>
      <c r="H147" s="5"/>
      <c r="I147" s="8"/>
      <c r="J147" s="18"/>
      <c r="K147" s="18">
        <v>49</v>
      </c>
      <c r="L147" s="18"/>
      <c r="M147" s="18"/>
      <c r="N147" s="8"/>
      <c r="O147" s="18">
        <f t="shared" si="5"/>
        <v>11817.199999999997</v>
      </c>
      <c r="P147" s="8"/>
      <c r="Q147" s="8"/>
      <c r="R147" s="24" t="s">
        <v>824</v>
      </c>
      <c r="S147" s="24"/>
      <c r="T147" s="8"/>
    </row>
    <row r="148" spans="1:20" ht="18.75">
      <c r="A148" s="92">
        <f t="shared" si="4"/>
        <v>143</v>
      </c>
      <c r="B148" s="8"/>
      <c r="C148" s="5" t="s">
        <v>256</v>
      </c>
      <c r="D148" s="5" t="s">
        <v>306</v>
      </c>
      <c r="E148" s="21" t="s">
        <v>769</v>
      </c>
      <c r="F148" s="8"/>
      <c r="G148" s="18" t="s">
        <v>810</v>
      </c>
      <c r="H148" s="5"/>
      <c r="I148" s="8"/>
      <c r="J148" s="18">
        <v>86</v>
      </c>
      <c r="K148" s="18"/>
      <c r="L148" s="18"/>
      <c r="M148" s="18"/>
      <c r="N148" s="8"/>
      <c r="O148" s="18">
        <f t="shared" si="5"/>
        <v>11903.199999999997</v>
      </c>
      <c r="P148" s="8"/>
      <c r="Q148" s="8"/>
      <c r="R148" s="24" t="s">
        <v>824</v>
      </c>
      <c r="S148" s="24"/>
      <c r="T148" s="8"/>
    </row>
    <row r="149" spans="1:20" ht="18.75">
      <c r="A149" s="92">
        <f t="shared" si="4"/>
        <v>144</v>
      </c>
      <c r="B149" s="8"/>
      <c r="C149" s="5" t="s">
        <v>417</v>
      </c>
      <c r="D149" s="5" t="s">
        <v>399</v>
      </c>
      <c r="E149" s="21" t="s">
        <v>769</v>
      </c>
      <c r="F149" s="8"/>
      <c r="G149" s="18" t="s">
        <v>810</v>
      </c>
      <c r="H149" s="5"/>
      <c r="I149" s="8"/>
      <c r="J149" s="8"/>
      <c r="K149" s="18">
        <v>216.9</v>
      </c>
      <c r="L149" s="8"/>
      <c r="M149" s="8"/>
      <c r="N149" s="8"/>
      <c r="O149" s="18">
        <f t="shared" si="5"/>
        <v>12120.099999999997</v>
      </c>
      <c r="P149" s="8"/>
      <c r="Q149" s="8"/>
      <c r="R149" s="24"/>
      <c r="S149" s="24"/>
      <c r="T149" s="8"/>
    </row>
    <row r="150" spans="1:20" ht="18.75">
      <c r="A150" s="92">
        <f t="shared" si="4"/>
        <v>145</v>
      </c>
      <c r="B150" s="8"/>
      <c r="C150" s="5" t="s">
        <v>399</v>
      </c>
      <c r="D150" s="5" t="s">
        <v>252</v>
      </c>
      <c r="E150" s="21" t="s">
        <v>769</v>
      </c>
      <c r="F150" s="8"/>
      <c r="G150" s="18" t="s">
        <v>810</v>
      </c>
      <c r="H150" s="5">
        <v>27.8</v>
      </c>
      <c r="I150" s="8"/>
      <c r="J150" s="8"/>
      <c r="K150" s="8"/>
      <c r="L150" s="8"/>
      <c r="M150" s="8"/>
      <c r="N150" s="8"/>
      <c r="O150" s="18">
        <f t="shared" si="5"/>
        <v>12147.899999999996</v>
      </c>
      <c r="P150" s="8"/>
      <c r="Q150" s="8"/>
      <c r="R150" s="24"/>
      <c r="S150" s="24"/>
      <c r="T150" s="8"/>
    </row>
    <row r="151" spans="1:20" ht="18.75">
      <c r="A151" s="92">
        <f t="shared" si="4"/>
        <v>146</v>
      </c>
      <c r="B151" s="8"/>
      <c r="C151" s="5" t="s">
        <v>399</v>
      </c>
      <c r="D151" s="5" t="s">
        <v>343</v>
      </c>
      <c r="E151" s="8"/>
      <c r="F151" s="8"/>
      <c r="G151" s="18" t="s">
        <v>810</v>
      </c>
      <c r="H151" s="5"/>
      <c r="I151" s="8"/>
      <c r="J151" s="5">
        <v>133.6</v>
      </c>
      <c r="K151" s="8"/>
      <c r="L151" s="8"/>
      <c r="M151" s="8"/>
      <c r="N151" s="8"/>
      <c r="O151" s="18">
        <f t="shared" si="5"/>
        <v>12281.499999999996</v>
      </c>
      <c r="P151" s="8"/>
      <c r="Q151" s="8"/>
      <c r="R151" s="24"/>
      <c r="S151" s="24"/>
      <c r="T151" s="8"/>
    </row>
    <row r="152" spans="1:20" ht="18.75">
      <c r="A152" s="92">
        <f t="shared" si="4"/>
        <v>147</v>
      </c>
      <c r="B152" s="8"/>
      <c r="C152" s="5" t="s">
        <v>399</v>
      </c>
      <c r="D152" s="5" t="s">
        <v>343</v>
      </c>
      <c r="E152" s="18" t="s">
        <v>771</v>
      </c>
      <c r="F152" s="18">
        <v>0.39</v>
      </c>
      <c r="G152" s="18" t="s">
        <v>810</v>
      </c>
      <c r="H152" s="5"/>
      <c r="I152" s="8"/>
      <c r="J152" s="5">
        <v>3</v>
      </c>
      <c r="K152" s="8"/>
      <c r="L152" s="8"/>
      <c r="M152" s="8"/>
      <c r="N152" s="8"/>
      <c r="O152" s="18">
        <f t="shared" si="5"/>
        <v>12284.499999999996</v>
      </c>
      <c r="P152" s="8"/>
      <c r="Q152" s="8"/>
      <c r="R152" s="24"/>
      <c r="S152" s="24"/>
      <c r="T152" s="8"/>
    </row>
    <row r="153" spans="1:20" ht="15.75">
      <c r="A153" s="92">
        <f t="shared" si="4"/>
        <v>148</v>
      </c>
      <c r="B153" s="8"/>
      <c r="C153" s="18" t="s">
        <v>343</v>
      </c>
      <c r="D153" s="18" t="s">
        <v>292</v>
      </c>
      <c r="E153" s="8"/>
      <c r="F153" s="8"/>
      <c r="G153" s="18" t="s">
        <v>810</v>
      </c>
      <c r="H153" s="5">
        <v>202.5</v>
      </c>
      <c r="I153" s="8"/>
      <c r="J153" s="8"/>
      <c r="K153" s="8"/>
      <c r="L153" s="8"/>
      <c r="M153" s="8"/>
      <c r="N153" s="8"/>
      <c r="O153" s="18">
        <f t="shared" si="5"/>
        <v>12486.999999999996</v>
      </c>
      <c r="P153" s="8"/>
      <c r="Q153" s="8"/>
      <c r="R153" s="8"/>
      <c r="S153" s="8"/>
      <c r="T153" s="8"/>
    </row>
    <row r="154" spans="1:20" ht="15.75">
      <c r="A154" s="92">
        <f t="shared" si="4"/>
        <v>149</v>
      </c>
      <c r="B154" s="8"/>
      <c r="C154" s="18" t="s">
        <v>270</v>
      </c>
      <c r="D154" s="18" t="s">
        <v>846</v>
      </c>
      <c r="E154" s="8"/>
      <c r="F154" s="8"/>
      <c r="G154" s="18" t="s">
        <v>810</v>
      </c>
      <c r="H154" s="5">
        <v>56.9</v>
      </c>
      <c r="I154" s="8"/>
      <c r="J154" s="8"/>
      <c r="K154" s="8"/>
      <c r="L154" s="8"/>
      <c r="M154" s="8"/>
      <c r="N154" s="8"/>
      <c r="O154" s="18">
        <f t="shared" si="5"/>
        <v>12543.899999999996</v>
      </c>
      <c r="P154" s="8"/>
      <c r="Q154" s="8"/>
      <c r="R154" s="8"/>
      <c r="S154" s="8"/>
      <c r="T154" s="8"/>
    </row>
    <row r="155" spans="1:20" ht="15.75">
      <c r="A155" s="92">
        <f t="shared" si="4"/>
        <v>150</v>
      </c>
      <c r="B155" s="8"/>
      <c r="C155" s="18" t="s">
        <v>846</v>
      </c>
      <c r="D155" s="18" t="s">
        <v>662</v>
      </c>
      <c r="E155" s="8"/>
      <c r="F155" s="8"/>
      <c r="G155" s="18" t="s">
        <v>810</v>
      </c>
      <c r="H155" s="5">
        <v>45.4</v>
      </c>
      <c r="I155" s="8"/>
      <c r="J155" s="8"/>
      <c r="K155" s="8"/>
      <c r="L155" s="8"/>
      <c r="M155" s="8"/>
      <c r="N155" s="8"/>
      <c r="O155" s="18">
        <f t="shared" si="5"/>
        <v>12589.299999999996</v>
      </c>
      <c r="P155" s="8"/>
      <c r="Q155" s="8"/>
      <c r="R155" s="8"/>
      <c r="S155" s="8"/>
      <c r="T155" s="8"/>
    </row>
    <row r="156" spans="1:20" ht="15.75">
      <c r="A156" s="92">
        <f t="shared" si="4"/>
        <v>151</v>
      </c>
      <c r="B156" s="8"/>
      <c r="C156" s="18" t="s">
        <v>662</v>
      </c>
      <c r="D156" s="18" t="s">
        <v>847</v>
      </c>
      <c r="E156" s="8"/>
      <c r="F156" s="8"/>
      <c r="G156" s="18" t="s">
        <v>810</v>
      </c>
      <c r="H156" s="5">
        <v>101.2</v>
      </c>
      <c r="I156" s="8"/>
      <c r="J156" s="8"/>
      <c r="K156" s="8"/>
      <c r="L156" s="8"/>
      <c r="M156" s="8"/>
      <c r="N156" s="8"/>
      <c r="O156" s="18">
        <f t="shared" si="5"/>
        <v>12690.499999999996</v>
      </c>
      <c r="P156" s="8"/>
      <c r="Q156" s="8"/>
      <c r="R156" s="8"/>
      <c r="S156" s="8"/>
      <c r="T156" s="8"/>
    </row>
    <row r="157" spans="1:20" ht="15.75">
      <c r="A157" s="92">
        <f t="shared" si="4"/>
        <v>152</v>
      </c>
      <c r="B157" s="8"/>
      <c r="C157" s="18" t="s">
        <v>847</v>
      </c>
      <c r="D157" s="18" t="s">
        <v>319</v>
      </c>
      <c r="E157" s="8"/>
      <c r="F157" s="8"/>
      <c r="G157" s="18" t="s">
        <v>810</v>
      </c>
      <c r="H157" s="5">
        <v>31.6</v>
      </c>
      <c r="I157" s="8"/>
      <c r="J157" s="8"/>
      <c r="K157" s="8"/>
      <c r="L157" s="8"/>
      <c r="M157" s="8"/>
      <c r="N157" s="8"/>
      <c r="O157" s="18">
        <f t="shared" si="5"/>
        <v>12722.099999999997</v>
      </c>
      <c r="P157" s="8"/>
      <c r="Q157" s="8"/>
      <c r="R157" s="8"/>
      <c r="S157" s="8"/>
      <c r="T157" s="8"/>
    </row>
    <row r="158" spans="1:20" ht="15.75">
      <c r="A158" s="92">
        <f t="shared" si="4"/>
        <v>153</v>
      </c>
      <c r="B158" s="8"/>
      <c r="C158" s="18" t="s">
        <v>847</v>
      </c>
      <c r="D158" s="18" t="s">
        <v>248</v>
      </c>
      <c r="E158" s="8"/>
      <c r="F158" s="8"/>
      <c r="G158" s="18" t="s">
        <v>810</v>
      </c>
      <c r="H158" s="5">
        <v>121.1</v>
      </c>
      <c r="I158" s="8"/>
      <c r="J158" s="8"/>
      <c r="K158" s="8"/>
      <c r="L158" s="8"/>
      <c r="M158" s="8"/>
      <c r="N158" s="8"/>
      <c r="O158" s="18">
        <f t="shared" si="5"/>
        <v>12843.199999999997</v>
      </c>
      <c r="P158" s="8"/>
      <c r="Q158" s="8"/>
      <c r="R158" s="8"/>
      <c r="S158" s="8"/>
      <c r="T158" s="8"/>
    </row>
    <row r="159" spans="1:20" ht="15.75">
      <c r="A159" s="92">
        <f t="shared" si="4"/>
        <v>154</v>
      </c>
      <c r="B159" s="8"/>
      <c r="C159" s="5" t="s">
        <v>248</v>
      </c>
      <c r="D159" s="5" t="s">
        <v>283</v>
      </c>
      <c r="E159" s="8"/>
      <c r="F159" s="8"/>
      <c r="G159" s="18" t="s">
        <v>810</v>
      </c>
      <c r="H159" s="5">
        <v>34</v>
      </c>
      <c r="I159" s="8"/>
      <c r="J159" s="8"/>
      <c r="K159" s="8"/>
      <c r="L159" s="8"/>
      <c r="M159" s="8"/>
      <c r="N159" s="8"/>
      <c r="O159" s="18">
        <f t="shared" si="5"/>
        <v>12877.199999999997</v>
      </c>
      <c r="P159" s="8"/>
      <c r="Q159" s="8"/>
      <c r="R159" s="8"/>
      <c r="S159" s="8"/>
      <c r="T159" s="8"/>
    </row>
    <row r="160" spans="1:20" ht="15.75">
      <c r="A160" s="92">
        <f t="shared" si="4"/>
        <v>155</v>
      </c>
      <c r="B160" s="8"/>
      <c r="C160" s="5" t="s">
        <v>283</v>
      </c>
      <c r="D160" s="5" t="s">
        <v>325</v>
      </c>
      <c r="E160" s="5"/>
      <c r="F160" s="5"/>
      <c r="G160" s="18" t="s">
        <v>810</v>
      </c>
      <c r="H160" s="5">
        <v>22.8</v>
      </c>
      <c r="I160" s="8"/>
      <c r="J160" s="8"/>
      <c r="K160" s="8"/>
      <c r="L160" s="8"/>
      <c r="M160" s="8"/>
      <c r="N160" s="8"/>
      <c r="O160" s="18">
        <f t="shared" si="5"/>
        <v>12899.999999999996</v>
      </c>
      <c r="P160" s="8"/>
      <c r="Q160" s="8"/>
      <c r="R160" s="8"/>
      <c r="S160" s="8"/>
      <c r="T160" s="8"/>
    </row>
    <row r="161" spans="1:20" ht="15.75">
      <c r="A161" s="92">
        <f t="shared" si="4"/>
        <v>156</v>
      </c>
      <c r="B161" s="8"/>
      <c r="C161" s="5" t="s">
        <v>283</v>
      </c>
      <c r="D161" s="5" t="s">
        <v>523</v>
      </c>
      <c r="E161" s="5"/>
      <c r="F161" s="5"/>
      <c r="G161" s="18" t="s">
        <v>810</v>
      </c>
      <c r="H161" s="5">
        <v>52.4</v>
      </c>
      <c r="I161" s="8"/>
      <c r="J161" s="8"/>
      <c r="K161" s="8"/>
      <c r="L161" s="8"/>
      <c r="M161" s="8"/>
      <c r="N161" s="8"/>
      <c r="O161" s="18">
        <f t="shared" si="5"/>
        <v>12952.399999999996</v>
      </c>
      <c r="P161" s="8"/>
      <c r="Q161" s="8"/>
      <c r="R161" s="8"/>
      <c r="S161" s="8"/>
      <c r="T161" s="8"/>
    </row>
    <row r="162" spans="1:20" ht="15.75">
      <c r="A162" s="92">
        <f t="shared" si="4"/>
        <v>157</v>
      </c>
      <c r="B162" s="8"/>
      <c r="C162" s="5" t="s">
        <v>283</v>
      </c>
      <c r="D162" s="5" t="s">
        <v>523</v>
      </c>
      <c r="E162" s="18" t="s">
        <v>771</v>
      </c>
      <c r="F162" s="5">
        <v>0.39</v>
      </c>
      <c r="G162" s="18" t="s">
        <v>810</v>
      </c>
      <c r="H162" s="5">
        <v>3</v>
      </c>
      <c r="I162" s="8"/>
      <c r="J162" s="8"/>
      <c r="K162" s="8"/>
      <c r="L162" s="8"/>
      <c r="M162" s="8"/>
      <c r="N162" s="8"/>
      <c r="O162" s="18">
        <f t="shared" si="5"/>
        <v>12955.399999999996</v>
      </c>
      <c r="P162" s="8"/>
      <c r="Q162" s="8"/>
      <c r="R162" s="8"/>
      <c r="S162" s="8"/>
      <c r="T162" s="8"/>
    </row>
    <row r="163" spans="1:20" ht="15.75">
      <c r="A163" s="92">
        <f t="shared" si="4"/>
        <v>158</v>
      </c>
      <c r="B163" s="8"/>
      <c r="C163" s="5" t="s">
        <v>282</v>
      </c>
      <c r="D163" s="5" t="s">
        <v>229</v>
      </c>
      <c r="E163" s="5"/>
      <c r="F163" s="5"/>
      <c r="G163" s="18" t="s">
        <v>810</v>
      </c>
      <c r="H163" s="5">
        <v>35.9</v>
      </c>
      <c r="I163" s="8"/>
      <c r="J163" s="8"/>
      <c r="K163" s="8"/>
      <c r="L163" s="8"/>
      <c r="M163" s="8"/>
      <c r="N163" s="8"/>
      <c r="O163" s="18">
        <f t="shared" si="5"/>
        <v>12991.299999999996</v>
      </c>
      <c r="P163" s="8"/>
      <c r="Q163" s="8"/>
      <c r="R163" s="8"/>
      <c r="S163" s="8"/>
      <c r="T163" s="8"/>
    </row>
    <row r="164" spans="1:20" ht="15.75">
      <c r="A164" s="92">
        <f t="shared" si="4"/>
        <v>159</v>
      </c>
      <c r="B164" s="8"/>
      <c r="C164" s="5" t="s">
        <v>282</v>
      </c>
      <c r="D164" s="5" t="s">
        <v>229</v>
      </c>
      <c r="E164" s="18" t="s">
        <v>771</v>
      </c>
      <c r="F164" s="5">
        <v>0.39</v>
      </c>
      <c r="G164" s="18" t="s">
        <v>810</v>
      </c>
      <c r="H164" s="5">
        <v>3</v>
      </c>
      <c r="I164" s="8"/>
      <c r="J164" s="8"/>
      <c r="K164" s="8"/>
      <c r="L164" s="8"/>
      <c r="M164" s="8"/>
      <c r="N164" s="8"/>
      <c r="O164" s="18">
        <f t="shared" si="5"/>
        <v>12994.299999999996</v>
      </c>
      <c r="P164" s="8"/>
      <c r="Q164" s="8"/>
      <c r="R164" s="8"/>
      <c r="S164" s="8"/>
      <c r="T164" s="8"/>
    </row>
    <row r="165" spans="1:20" ht="15.75">
      <c r="A165" s="92">
        <f t="shared" si="4"/>
        <v>160</v>
      </c>
      <c r="B165" s="8"/>
      <c r="C165" s="5" t="s">
        <v>229</v>
      </c>
      <c r="D165" s="5" t="s">
        <v>665</v>
      </c>
      <c r="E165" s="5"/>
      <c r="F165" s="5"/>
      <c r="G165" s="18" t="s">
        <v>810</v>
      </c>
      <c r="H165" s="5">
        <v>36.700000000000003</v>
      </c>
      <c r="I165" s="8"/>
      <c r="J165" s="8"/>
      <c r="K165" s="8"/>
      <c r="L165" s="8"/>
      <c r="M165" s="8"/>
      <c r="N165" s="8"/>
      <c r="O165" s="18">
        <f t="shared" si="5"/>
        <v>13030.999999999996</v>
      </c>
      <c r="P165" s="8"/>
      <c r="Q165" s="8"/>
      <c r="R165" s="8"/>
      <c r="S165" s="8"/>
      <c r="T165" s="8"/>
    </row>
    <row r="166" spans="1:20" ht="15.75">
      <c r="A166" s="92">
        <f t="shared" si="4"/>
        <v>161</v>
      </c>
      <c r="B166" s="8"/>
      <c r="C166" s="5" t="s">
        <v>344</v>
      </c>
      <c r="D166" s="5" t="s">
        <v>229</v>
      </c>
      <c r="E166" s="5"/>
      <c r="F166" s="5"/>
      <c r="G166" s="18" t="s">
        <v>810</v>
      </c>
      <c r="H166" s="5">
        <v>19.2</v>
      </c>
      <c r="I166" s="8"/>
      <c r="J166" s="8"/>
      <c r="K166" s="8"/>
      <c r="L166" s="8"/>
      <c r="M166" s="8"/>
      <c r="N166" s="8"/>
      <c r="O166" s="18">
        <f t="shared" si="5"/>
        <v>13050.199999999997</v>
      </c>
      <c r="P166" s="8"/>
      <c r="Q166" s="8"/>
      <c r="R166" s="8"/>
      <c r="S166" s="8"/>
      <c r="T166" s="8"/>
    </row>
    <row r="167" spans="1:20" ht="15.75">
      <c r="A167" s="92">
        <f t="shared" si="4"/>
        <v>162</v>
      </c>
      <c r="B167" s="8"/>
      <c r="C167" s="5" t="s">
        <v>662</v>
      </c>
      <c r="D167" s="5" t="s">
        <v>325</v>
      </c>
      <c r="E167" s="5"/>
      <c r="F167" s="5"/>
      <c r="G167" s="18" t="s">
        <v>810</v>
      </c>
      <c r="H167" s="5">
        <v>71.599999999999994</v>
      </c>
      <c r="I167" s="8"/>
      <c r="J167" s="8"/>
      <c r="K167" s="8"/>
      <c r="L167" s="8"/>
      <c r="M167" s="8"/>
      <c r="N167" s="8"/>
      <c r="O167" s="18">
        <f t="shared" si="5"/>
        <v>13121.799999999997</v>
      </c>
      <c r="P167" s="8"/>
      <c r="Q167" s="8"/>
      <c r="R167" s="8"/>
      <c r="S167" s="8"/>
      <c r="T167" s="8"/>
    </row>
    <row r="168" spans="1:20" ht="15.75">
      <c r="A168" s="92">
        <f t="shared" si="4"/>
        <v>163</v>
      </c>
      <c r="B168" s="8"/>
      <c r="C168" s="5" t="s">
        <v>293</v>
      </c>
      <c r="D168" s="5" t="s">
        <v>242</v>
      </c>
      <c r="E168" s="5"/>
      <c r="F168" s="5"/>
      <c r="G168" s="18" t="s">
        <v>810</v>
      </c>
      <c r="H168" s="5">
        <v>61.7</v>
      </c>
      <c r="I168" s="8"/>
      <c r="J168" s="8"/>
      <c r="K168" s="8"/>
      <c r="L168" s="8"/>
      <c r="M168" s="8"/>
      <c r="N168" s="8"/>
      <c r="O168" s="18">
        <f t="shared" si="5"/>
        <v>13183.499999999998</v>
      </c>
      <c r="P168" s="8"/>
      <c r="Q168" s="8"/>
      <c r="R168" s="8"/>
      <c r="S168" s="8"/>
      <c r="T168" s="8"/>
    </row>
    <row r="169" spans="1:20" ht="15.75">
      <c r="A169" s="92">
        <f t="shared" si="4"/>
        <v>164</v>
      </c>
      <c r="B169" s="8"/>
      <c r="C169" s="5" t="s">
        <v>343</v>
      </c>
      <c r="D169" s="5" t="s">
        <v>516</v>
      </c>
      <c r="E169" s="5"/>
      <c r="F169" s="5"/>
      <c r="G169" s="18" t="s">
        <v>810</v>
      </c>
      <c r="H169" s="5">
        <v>55.3</v>
      </c>
      <c r="I169" s="8"/>
      <c r="J169" s="8"/>
      <c r="K169" s="8"/>
      <c r="L169" s="8"/>
      <c r="M169" s="8"/>
      <c r="N169" s="8"/>
      <c r="O169" s="18">
        <f t="shared" si="5"/>
        <v>13238.799999999997</v>
      </c>
      <c r="P169" s="8"/>
      <c r="Q169" s="8"/>
      <c r="R169" s="8"/>
      <c r="S169" s="8"/>
      <c r="T169" s="8"/>
    </row>
    <row r="170" spans="1:20" ht="15.75">
      <c r="A170" s="92">
        <f t="shared" si="4"/>
        <v>165</v>
      </c>
      <c r="B170" s="8"/>
      <c r="C170" s="5" t="s">
        <v>446</v>
      </c>
      <c r="D170" s="5" t="s">
        <v>268</v>
      </c>
      <c r="E170" s="5"/>
      <c r="F170" s="5"/>
      <c r="G170" s="18" t="s">
        <v>810</v>
      </c>
      <c r="H170" s="5">
        <v>38.700000000000003</v>
      </c>
      <c r="I170" s="8"/>
      <c r="J170" s="8"/>
      <c r="K170" s="8"/>
      <c r="L170" s="8"/>
      <c r="M170" s="8"/>
      <c r="N170" s="8"/>
      <c r="O170" s="18">
        <f t="shared" si="5"/>
        <v>13277.499999999998</v>
      </c>
      <c r="P170" s="8"/>
      <c r="Q170" s="8"/>
      <c r="R170" s="8"/>
      <c r="S170" s="8"/>
      <c r="T170" s="8"/>
    </row>
    <row r="171" spans="1:20" ht="15.75">
      <c r="A171" s="92">
        <f t="shared" si="4"/>
        <v>166</v>
      </c>
      <c r="B171" s="8"/>
      <c r="C171" s="5" t="s">
        <v>461</v>
      </c>
      <c r="D171" s="5" t="s">
        <v>298</v>
      </c>
      <c r="E171" s="5"/>
      <c r="F171" s="5"/>
      <c r="G171" s="18" t="s">
        <v>810</v>
      </c>
      <c r="H171" s="5">
        <v>265</v>
      </c>
      <c r="I171" s="8"/>
      <c r="J171" s="8"/>
      <c r="K171" s="8"/>
      <c r="L171" s="8"/>
      <c r="M171" s="8"/>
      <c r="N171" s="8"/>
      <c r="O171" s="18">
        <f t="shared" si="5"/>
        <v>13542.499999999998</v>
      </c>
      <c r="P171" s="8"/>
      <c r="Q171" s="8"/>
      <c r="R171" s="8"/>
      <c r="S171" s="8"/>
      <c r="T171" s="8"/>
    </row>
    <row r="172" spans="1:20" ht="15.75">
      <c r="A172" s="92">
        <f t="shared" si="4"/>
        <v>167</v>
      </c>
      <c r="C172" s="5" t="s">
        <v>461</v>
      </c>
      <c r="D172" s="5" t="s">
        <v>298</v>
      </c>
      <c r="E172" s="18" t="s">
        <v>771</v>
      </c>
      <c r="F172" s="5">
        <v>0.39</v>
      </c>
      <c r="G172" s="18" t="s">
        <v>810</v>
      </c>
      <c r="H172" s="5">
        <v>10</v>
      </c>
      <c r="I172" s="8"/>
      <c r="J172" s="8"/>
      <c r="K172" s="8"/>
      <c r="L172" s="8"/>
      <c r="M172" s="8"/>
      <c r="N172" s="8"/>
      <c r="O172" s="18">
        <f t="shared" si="5"/>
        <v>13552.499999999998</v>
      </c>
      <c r="T172" s="8"/>
    </row>
    <row r="173" spans="1:20" ht="15.75">
      <c r="A173" s="92"/>
      <c r="G173" s="96"/>
      <c r="H173" s="8"/>
      <c r="I173" s="8"/>
      <c r="J173" s="8"/>
      <c r="K173" s="8"/>
      <c r="L173" s="8"/>
      <c r="M173" s="8"/>
      <c r="N173" s="8"/>
      <c r="O173" s="108"/>
      <c r="T173" s="8"/>
    </row>
    <row r="174" spans="1:20" ht="18">
      <c r="A174" s="92"/>
      <c r="H174" s="194">
        <f>+SUM(H6:H172)</f>
        <v>10420.900000000003</v>
      </c>
      <c r="I174" s="194">
        <f t="shared" ref="I174:N174" si="6">+SUM(I6:I171)</f>
        <v>0</v>
      </c>
      <c r="J174" s="194">
        <f t="shared" ref="J174" si="7">+SUM(J6:J171)</f>
        <v>436.6</v>
      </c>
      <c r="K174" s="194">
        <f t="shared" ref="K174" si="8">+SUM(K6:K171)</f>
        <v>852.7</v>
      </c>
      <c r="L174" s="194">
        <f t="shared" ref="L174" si="9">+SUM(L6:L171)</f>
        <v>282.3</v>
      </c>
      <c r="M174" s="194">
        <f t="shared" ref="M174" si="10">+SUM(M6:M171)</f>
        <v>1368</v>
      </c>
      <c r="N174" s="194">
        <f t="shared" si="6"/>
        <v>192</v>
      </c>
      <c r="O174" s="194">
        <f>SUM(H174:N174)</f>
        <v>13552.500000000004</v>
      </c>
      <c r="P174" s="196"/>
      <c r="T174" s="8"/>
    </row>
    <row r="175" spans="1:20" ht="18">
      <c r="A175" s="92"/>
      <c r="H175" s="195">
        <v>10844</v>
      </c>
      <c r="I175" s="195">
        <v>202</v>
      </c>
      <c r="J175" s="195">
        <v>450</v>
      </c>
      <c r="K175" s="195">
        <v>950</v>
      </c>
      <c r="L175" s="195">
        <v>285</v>
      </c>
      <c r="M175" s="195">
        <v>1370</v>
      </c>
      <c r="N175" s="195">
        <v>195</v>
      </c>
      <c r="O175" s="197">
        <f>N175+M175+L175+K175+J175+I175+H175+G175</f>
        <v>14296</v>
      </c>
      <c r="P175" s="197"/>
      <c r="T175" s="8"/>
    </row>
    <row r="176" spans="1:20">
      <c r="A176" s="8"/>
    </row>
    <row r="177" spans="1:16" ht="15.75">
      <c r="A177" s="7" t="s">
        <v>365</v>
      </c>
      <c r="B177" s="8"/>
      <c r="C177" s="8"/>
      <c r="D177" s="8"/>
      <c r="E177" s="8" t="s">
        <v>366</v>
      </c>
      <c r="F177" s="8"/>
      <c r="G177" s="8"/>
      <c r="H177" s="8"/>
      <c r="I177" s="8"/>
      <c r="J177" s="8" t="s">
        <v>367</v>
      </c>
      <c r="K177" s="8"/>
      <c r="L177" s="8"/>
      <c r="M177" s="8"/>
    </row>
    <row r="178" spans="1:16" ht="15.75">
      <c r="A178" s="7" t="s">
        <v>368</v>
      </c>
      <c r="B178" s="8"/>
      <c r="C178" s="499"/>
      <c r="D178" s="501"/>
      <c r="E178" s="8" t="s">
        <v>368</v>
      </c>
      <c r="F178" s="79"/>
      <c r="G178" s="499"/>
      <c r="H178" s="500"/>
      <c r="I178" s="501"/>
      <c r="J178" s="8" t="s">
        <v>368</v>
      </c>
      <c r="K178" s="8"/>
      <c r="L178" s="499"/>
      <c r="M178" s="501"/>
      <c r="O178">
        <f>1504-1370</f>
        <v>134</v>
      </c>
    </row>
    <row r="179" spans="1:16" ht="15.75">
      <c r="A179" s="7" t="s">
        <v>369</v>
      </c>
      <c r="B179" s="8"/>
      <c r="C179" s="499"/>
      <c r="D179" s="501"/>
      <c r="E179" s="8" t="s">
        <v>369</v>
      </c>
      <c r="F179" s="79"/>
      <c r="G179" s="499"/>
      <c r="H179" s="500"/>
      <c r="I179" s="501"/>
      <c r="J179" s="8" t="s">
        <v>369</v>
      </c>
      <c r="K179" s="499"/>
      <c r="L179" s="500"/>
      <c r="M179" s="501"/>
    </row>
    <row r="180" spans="1:16" ht="15.75">
      <c r="A180" s="7" t="s">
        <v>370</v>
      </c>
      <c r="B180" s="8"/>
      <c r="C180" s="499"/>
      <c r="D180" s="501"/>
      <c r="E180" s="8" t="s">
        <v>370</v>
      </c>
      <c r="F180" s="79"/>
      <c r="G180" s="499"/>
      <c r="H180" s="500"/>
      <c r="I180" s="501"/>
      <c r="J180" s="8" t="s">
        <v>370</v>
      </c>
      <c r="K180" s="8"/>
      <c r="L180" s="499"/>
      <c r="M180" s="501"/>
      <c r="P180" s="96"/>
    </row>
    <row r="183" spans="1:16" ht="15.75">
      <c r="A183" s="152" t="s">
        <v>757</v>
      </c>
      <c r="B183" s="152"/>
      <c r="C183" s="152"/>
      <c r="D183" s="152" t="s">
        <v>758</v>
      </c>
      <c r="E183" s="152" t="s">
        <v>751</v>
      </c>
      <c r="F183" s="152" t="s">
        <v>752</v>
      </c>
      <c r="G183" s="152" t="s">
        <v>753</v>
      </c>
      <c r="H183" s="152" t="s">
        <v>755</v>
      </c>
      <c r="I183" s="152" t="s">
        <v>759</v>
      </c>
      <c r="J183" s="198" t="s">
        <v>848</v>
      </c>
    </row>
    <row r="184" spans="1:16" ht="18.75">
      <c r="A184" s="153" t="s">
        <v>199</v>
      </c>
      <c r="B184" s="153"/>
      <c r="C184" s="153"/>
      <c r="D184" s="18">
        <f ca="1">+SUMIF($E$6:$E$172,$A184,H$6:H$114)</f>
        <v>363.49999999999994</v>
      </c>
      <c r="E184" s="18">
        <f t="shared" ref="E184:H186" si="11">+SUMIF($E$6:$E$114,$A184,I$6:I$114)</f>
        <v>0</v>
      </c>
      <c r="F184" s="18">
        <f t="shared" si="11"/>
        <v>0</v>
      </c>
      <c r="G184" s="18">
        <f t="shared" si="11"/>
        <v>0</v>
      </c>
      <c r="H184" s="18">
        <f t="shared" si="11"/>
        <v>0</v>
      </c>
      <c r="I184" s="18">
        <f ca="1">+SUM(D184:H184)</f>
        <v>363.49999999999994</v>
      </c>
      <c r="J184">
        <v>0.36299999999999999</v>
      </c>
      <c r="K184">
        <f ca="1">+I184*J184</f>
        <v>131.95049999999998</v>
      </c>
    </row>
    <row r="185" spans="1:16" ht="15.75">
      <c r="A185" s="21" t="s">
        <v>193</v>
      </c>
      <c r="B185" s="21"/>
      <c r="C185" s="21"/>
      <c r="D185" s="18">
        <f>+SUMIF($E$6:$E$172,$A185,H$6:H$172)</f>
        <v>79.3</v>
      </c>
      <c r="E185" s="18">
        <f t="shared" ref="E185:H185" si="12">+SUMIF($E$6:$E$172,$A185,I$6:I$172)</f>
        <v>0</v>
      </c>
      <c r="F185" s="18">
        <f t="shared" si="12"/>
        <v>3</v>
      </c>
      <c r="G185" s="18">
        <f t="shared" si="12"/>
        <v>0</v>
      </c>
      <c r="H185" s="18">
        <f t="shared" si="12"/>
        <v>0</v>
      </c>
      <c r="I185" s="18">
        <f>+SUM(D185:H185)</f>
        <v>82.3</v>
      </c>
      <c r="J185">
        <v>0.372</v>
      </c>
      <c r="K185">
        <f t="shared" ref="K185:K186" si="13">+I185*J185</f>
        <v>30.615599999999997</v>
      </c>
    </row>
    <row r="186" spans="1:16" ht="15.75">
      <c r="A186" s="5" t="s">
        <v>845</v>
      </c>
      <c r="B186" s="92"/>
      <c r="C186" s="92"/>
      <c r="D186" s="18">
        <v>232.7</v>
      </c>
      <c r="E186" s="18">
        <f t="shared" si="11"/>
        <v>0</v>
      </c>
      <c r="F186" s="18">
        <f t="shared" si="11"/>
        <v>0</v>
      </c>
      <c r="G186" s="18">
        <f t="shared" si="11"/>
        <v>0</v>
      </c>
      <c r="H186" s="18">
        <f t="shared" si="11"/>
        <v>0</v>
      </c>
      <c r="I186" s="18">
        <f>+SUM(D186:H186)</f>
        <v>232.7</v>
      </c>
      <c r="J186">
        <v>0.36299999999999999</v>
      </c>
      <c r="K186">
        <f t="shared" si="13"/>
        <v>84.470099999999988</v>
      </c>
    </row>
    <row r="191" spans="1:16" ht="18.75">
      <c r="H191" s="643" t="s">
        <v>822</v>
      </c>
      <c r="I191" s="643"/>
    </row>
    <row r="192" spans="1:16" ht="47.25">
      <c r="E192" s="25" t="s">
        <v>448</v>
      </c>
      <c r="F192" s="25" t="s">
        <v>180</v>
      </c>
      <c r="G192" s="25" t="s">
        <v>13</v>
      </c>
      <c r="H192" s="25" t="s">
        <v>181</v>
      </c>
      <c r="I192" s="27" t="s">
        <v>449</v>
      </c>
      <c r="J192" s="25" t="s">
        <v>719</v>
      </c>
      <c r="K192" s="25" t="s">
        <v>849</v>
      </c>
      <c r="L192" s="25" t="s">
        <v>800</v>
      </c>
    </row>
    <row r="193" spans="5:12" ht="15.75">
      <c r="E193" s="107">
        <v>1</v>
      </c>
      <c r="F193" s="199" t="s">
        <v>825</v>
      </c>
      <c r="G193" s="199" t="s">
        <v>60</v>
      </c>
      <c r="H193" s="200"/>
      <c r="I193" s="199"/>
      <c r="J193" s="199">
        <v>63</v>
      </c>
      <c r="K193" s="199">
        <v>733.7</v>
      </c>
      <c r="L193" s="5">
        <f>+K193</f>
        <v>733.7</v>
      </c>
    </row>
    <row r="194" spans="5:12" ht="15.75">
      <c r="E194" s="5">
        <f>+E193+1</f>
        <v>2</v>
      </c>
      <c r="F194" s="18" t="s">
        <v>825</v>
      </c>
      <c r="G194" s="18" t="s">
        <v>826</v>
      </c>
      <c r="H194" s="21"/>
      <c r="I194" s="18"/>
      <c r="J194" s="18">
        <v>63</v>
      </c>
      <c r="K194" s="18">
        <v>116</v>
      </c>
      <c r="L194" s="5">
        <f>+L193+K194</f>
        <v>849.7</v>
      </c>
    </row>
    <row r="195" spans="5:12">
      <c r="E195" s="5">
        <f t="shared" ref="E195:E258" si="14">+E194+1</f>
        <v>3</v>
      </c>
      <c r="F195" s="18" t="s">
        <v>825</v>
      </c>
      <c r="G195" s="18" t="s">
        <v>826</v>
      </c>
      <c r="H195" s="18" t="s">
        <v>771</v>
      </c>
      <c r="I195" s="18">
        <v>0.36</v>
      </c>
      <c r="J195" s="18">
        <v>63</v>
      </c>
      <c r="K195" s="18">
        <v>3.5</v>
      </c>
      <c r="L195" s="5">
        <f t="shared" ref="L195:L258" si="15">+L194+K195</f>
        <v>853.2</v>
      </c>
    </row>
    <row r="196" spans="5:12" ht="15.75">
      <c r="E196" s="5">
        <f t="shared" si="14"/>
        <v>4</v>
      </c>
      <c r="F196" s="18" t="s">
        <v>60</v>
      </c>
      <c r="G196" s="18" t="s">
        <v>39</v>
      </c>
      <c r="H196" s="21"/>
      <c r="I196" s="18"/>
      <c r="J196" s="18">
        <v>63</v>
      </c>
      <c r="K196" s="18">
        <v>33.4</v>
      </c>
      <c r="L196" s="5">
        <f t="shared" si="15"/>
        <v>886.6</v>
      </c>
    </row>
    <row r="197" spans="5:12" ht="15.75">
      <c r="E197" s="5">
        <f t="shared" si="14"/>
        <v>5</v>
      </c>
      <c r="F197" s="18" t="s">
        <v>39</v>
      </c>
      <c r="G197" s="18" t="s">
        <v>88</v>
      </c>
      <c r="H197" s="21"/>
      <c r="I197" s="18"/>
      <c r="J197" s="18">
        <v>63</v>
      </c>
      <c r="K197" s="18">
        <v>65.099999999999994</v>
      </c>
      <c r="L197" s="5">
        <f t="shared" si="15"/>
        <v>951.7</v>
      </c>
    </row>
    <row r="198" spans="5:12" ht="15.75">
      <c r="E198" s="5">
        <f t="shared" si="14"/>
        <v>6</v>
      </c>
      <c r="F198" s="18" t="s">
        <v>88</v>
      </c>
      <c r="G198" s="18" t="s">
        <v>77</v>
      </c>
      <c r="H198" s="21"/>
      <c r="I198" s="18"/>
      <c r="J198" s="18">
        <v>63</v>
      </c>
      <c r="K198" s="18">
        <v>49</v>
      </c>
      <c r="L198" s="5">
        <f t="shared" si="15"/>
        <v>1000.7</v>
      </c>
    </row>
    <row r="199" spans="5:12" ht="15.75">
      <c r="E199" s="5">
        <f t="shared" si="14"/>
        <v>7</v>
      </c>
      <c r="F199" s="18" t="s">
        <v>88</v>
      </c>
      <c r="G199" s="18" t="s">
        <v>116</v>
      </c>
      <c r="H199" s="21"/>
      <c r="I199" s="18"/>
      <c r="J199" s="18">
        <v>63</v>
      </c>
      <c r="K199" s="18">
        <v>168.3</v>
      </c>
      <c r="L199" s="5">
        <f t="shared" si="15"/>
        <v>1169</v>
      </c>
    </row>
    <row r="200" spans="5:12">
      <c r="E200" s="5">
        <f t="shared" si="14"/>
        <v>8</v>
      </c>
      <c r="F200" s="18" t="s">
        <v>88</v>
      </c>
      <c r="G200" s="18" t="s">
        <v>116</v>
      </c>
      <c r="H200" s="18" t="s">
        <v>771</v>
      </c>
      <c r="I200" s="18">
        <v>0.36</v>
      </c>
      <c r="J200" s="18">
        <v>63</v>
      </c>
      <c r="K200" s="18">
        <v>3.5</v>
      </c>
      <c r="L200" s="5">
        <f t="shared" si="15"/>
        <v>1172.5</v>
      </c>
    </row>
    <row r="201" spans="5:12" ht="15.75">
      <c r="E201" s="5">
        <f t="shared" si="14"/>
        <v>9</v>
      </c>
      <c r="F201" s="18" t="s">
        <v>116</v>
      </c>
      <c r="G201" s="18" t="s">
        <v>827</v>
      </c>
      <c r="H201" s="21"/>
      <c r="I201" s="18"/>
      <c r="J201" s="18">
        <v>63</v>
      </c>
      <c r="K201" s="18">
        <v>40.5</v>
      </c>
      <c r="L201" s="5">
        <f t="shared" si="15"/>
        <v>1213</v>
      </c>
    </row>
    <row r="202" spans="5:12" ht="15.75">
      <c r="E202" s="5">
        <f t="shared" si="14"/>
        <v>10</v>
      </c>
      <c r="F202" s="18" t="s">
        <v>116</v>
      </c>
      <c r="G202" s="18" t="s">
        <v>152</v>
      </c>
      <c r="H202" s="21"/>
      <c r="I202" s="18"/>
      <c r="J202" s="18">
        <v>63</v>
      </c>
      <c r="K202" s="18">
        <v>46.4</v>
      </c>
      <c r="L202" s="5">
        <f t="shared" si="15"/>
        <v>1259.4000000000001</v>
      </c>
    </row>
    <row r="203" spans="5:12" ht="15.75">
      <c r="E203" s="5">
        <f t="shared" si="14"/>
        <v>11</v>
      </c>
      <c r="F203" s="18" t="s">
        <v>152</v>
      </c>
      <c r="G203" s="18" t="s">
        <v>39</v>
      </c>
      <c r="H203" s="21"/>
      <c r="I203" s="18"/>
      <c r="J203" s="18">
        <v>63</v>
      </c>
      <c r="K203" s="18">
        <v>68</v>
      </c>
      <c r="L203" s="5">
        <f t="shared" si="15"/>
        <v>1327.4</v>
      </c>
    </row>
    <row r="204" spans="5:12">
      <c r="E204" s="5">
        <f t="shared" si="14"/>
        <v>12</v>
      </c>
      <c r="F204" s="18" t="s">
        <v>152</v>
      </c>
      <c r="G204" s="18" t="s">
        <v>39</v>
      </c>
      <c r="H204" s="18" t="s">
        <v>771</v>
      </c>
      <c r="I204" s="18">
        <v>0.36</v>
      </c>
      <c r="J204" s="18">
        <v>63</v>
      </c>
      <c r="K204" s="18">
        <v>3.5</v>
      </c>
      <c r="L204" s="5">
        <f t="shared" si="15"/>
        <v>1330.9</v>
      </c>
    </row>
    <row r="205" spans="5:12" ht="15.75">
      <c r="E205" s="5">
        <f t="shared" si="14"/>
        <v>13</v>
      </c>
      <c r="F205" s="18" t="s">
        <v>152</v>
      </c>
      <c r="G205" s="18" t="s">
        <v>118</v>
      </c>
      <c r="H205" s="21"/>
      <c r="I205" s="18"/>
      <c r="J205" s="18">
        <v>63</v>
      </c>
      <c r="K205" s="18">
        <v>104.2</v>
      </c>
      <c r="L205" s="5">
        <f t="shared" si="15"/>
        <v>1435.1000000000001</v>
      </c>
    </row>
    <row r="206" spans="5:12" ht="15.75">
      <c r="E206" s="5">
        <f t="shared" si="14"/>
        <v>14</v>
      </c>
      <c r="F206" s="18" t="s">
        <v>60</v>
      </c>
      <c r="G206" s="18" t="s">
        <v>146</v>
      </c>
      <c r="H206" s="21"/>
      <c r="I206" s="18"/>
      <c r="J206" s="18">
        <v>63</v>
      </c>
      <c r="K206" s="18">
        <v>72.7</v>
      </c>
      <c r="L206" s="5">
        <f t="shared" si="15"/>
        <v>1507.8000000000002</v>
      </c>
    </row>
    <row r="207" spans="5:12" ht="15.75">
      <c r="E207" s="5">
        <f t="shared" si="14"/>
        <v>15</v>
      </c>
      <c r="F207" s="18" t="s">
        <v>60</v>
      </c>
      <c r="G207" s="18" t="s">
        <v>146</v>
      </c>
      <c r="H207" s="21"/>
      <c r="I207" s="18"/>
      <c r="J207" s="18">
        <v>63</v>
      </c>
      <c r="K207" s="18">
        <v>26.6</v>
      </c>
      <c r="L207" s="5">
        <f t="shared" si="15"/>
        <v>1534.4</v>
      </c>
    </row>
    <row r="208" spans="5:12" ht="15.75">
      <c r="E208" s="5">
        <f t="shared" si="14"/>
        <v>16</v>
      </c>
      <c r="F208" s="18" t="s">
        <v>106</v>
      </c>
      <c r="G208" s="18" t="s">
        <v>105</v>
      </c>
      <c r="H208" s="21"/>
      <c r="I208" s="18"/>
      <c r="J208" s="18">
        <v>63</v>
      </c>
      <c r="K208" s="18">
        <v>86</v>
      </c>
      <c r="L208" s="5">
        <f t="shared" si="15"/>
        <v>1620.4</v>
      </c>
    </row>
    <row r="209" spans="5:12">
      <c r="E209" s="67">
        <f t="shared" si="14"/>
        <v>17</v>
      </c>
      <c r="F209" s="102" t="s">
        <v>106</v>
      </c>
      <c r="G209" s="102" t="s">
        <v>105</v>
      </c>
      <c r="H209" s="102" t="s">
        <v>771</v>
      </c>
      <c r="I209" s="18">
        <v>0.36</v>
      </c>
      <c r="J209" s="102">
        <v>63</v>
      </c>
      <c r="K209" s="102">
        <v>3.5</v>
      </c>
      <c r="L209" s="67">
        <f t="shared" si="15"/>
        <v>1623.9</v>
      </c>
    </row>
    <row r="210" spans="5:12" ht="15.75">
      <c r="E210" s="5">
        <f t="shared" si="14"/>
        <v>18</v>
      </c>
      <c r="F210" s="18" t="s">
        <v>105</v>
      </c>
      <c r="G210" s="18" t="s">
        <v>54</v>
      </c>
      <c r="H210" s="21"/>
      <c r="I210" s="18"/>
      <c r="J210" s="18">
        <v>63</v>
      </c>
      <c r="K210" s="18">
        <v>335</v>
      </c>
      <c r="L210" s="5">
        <f t="shared" si="15"/>
        <v>1958.9</v>
      </c>
    </row>
    <row r="211" spans="5:12" ht="15.75">
      <c r="E211" s="5">
        <f t="shared" si="14"/>
        <v>19</v>
      </c>
      <c r="F211" s="18" t="s">
        <v>54</v>
      </c>
      <c r="G211" s="18" t="s">
        <v>151</v>
      </c>
      <c r="H211" s="21"/>
      <c r="I211" s="18"/>
      <c r="J211" s="18">
        <v>63</v>
      </c>
      <c r="K211" s="18">
        <v>142.69999999999999</v>
      </c>
      <c r="L211" s="5">
        <f t="shared" si="15"/>
        <v>2101.6</v>
      </c>
    </row>
    <row r="212" spans="5:12" ht="15.75">
      <c r="E212" s="5">
        <f t="shared" si="14"/>
        <v>20</v>
      </c>
      <c r="F212" s="18" t="s">
        <v>151</v>
      </c>
      <c r="G212" s="18" t="s">
        <v>828</v>
      </c>
      <c r="H212" s="21"/>
      <c r="I212" s="18"/>
      <c r="J212" s="18">
        <v>63</v>
      </c>
      <c r="K212" s="18">
        <v>27.8</v>
      </c>
      <c r="L212" s="5">
        <f t="shared" si="15"/>
        <v>2129.4</v>
      </c>
    </row>
    <row r="213" spans="5:12">
      <c r="E213" s="5">
        <f t="shared" si="14"/>
        <v>21</v>
      </c>
      <c r="F213" s="18" t="s">
        <v>151</v>
      </c>
      <c r="G213" s="18" t="s">
        <v>828</v>
      </c>
      <c r="H213" s="18" t="s">
        <v>771</v>
      </c>
      <c r="I213" s="18">
        <v>0.36</v>
      </c>
      <c r="J213" s="18">
        <v>63</v>
      </c>
      <c r="K213" s="18">
        <v>3.5</v>
      </c>
      <c r="L213" s="5">
        <f t="shared" si="15"/>
        <v>2132.9</v>
      </c>
    </row>
    <row r="214" spans="5:12" ht="15.75">
      <c r="E214" s="5">
        <f t="shared" si="14"/>
        <v>22</v>
      </c>
      <c r="F214" s="18" t="s">
        <v>54</v>
      </c>
      <c r="G214" s="18" t="s">
        <v>29</v>
      </c>
      <c r="H214" s="21"/>
      <c r="I214" s="18"/>
      <c r="J214" s="18">
        <v>63</v>
      </c>
      <c r="K214" s="18">
        <v>53.2</v>
      </c>
      <c r="L214" s="5">
        <f t="shared" si="15"/>
        <v>2186.1</v>
      </c>
    </row>
    <row r="215" spans="5:12" ht="15.75">
      <c r="E215" s="5">
        <f t="shared" si="14"/>
        <v>23</v>
      </c>
      <c r="F215" s="18" t="s">
        <v>29</v>
      </c>
      <c r="G215" s="18" t="s">
        <v>57</v>
      </c>
      <c r="H215" s="21"/>
      <c r="I215" s="18"/>
      <c r="J215" s="18">
        <v>63</v>
      </c>
      <c r="K215" s="18">
        <v>52.4</v>
      </c>
      <c r="L215" s="5">
        <f t="shared" si="15"/>
        <v>2238.5</v>
      </c>
    </row>
    <row r="216" spans="5:12" ht="15.75">
      <c r="E216" s="5">
        <f t="shared" si="14"/>
        <v>24</v>
      </c>
      <c r="F216" s="18" t="s">
        <v>57</v>
      </c>
      <c r="G216" s="18" t="s">
        <v>829</v>
      </c>
      <c r="H216" s="21"/>
      <c r="I216" s="18"/>
      <c r="J216" s="18">
        <v>63</v>
      </c>
      <c r="K216" s="18">
        <v>67.2</v>
      </c>
      <c r="L216" s="5">
        <f t="shared" si="15"/>
        <v>2305.6999999999998</v>
      </c>
    </row>
    <row r="217" spans="5:12" ht="15.75">
      <c r="E217" s="5">
        <f t="shared" si="14"/>
        <v>25</v>
      </c>
      <c r="F217" s="18" t="s">
        <v>829</v>
      </c>
      <c r="G217" s="18" t="s">
        <v>29</v>
      </c>
      <c r="H217" s="21"/>
      <c r="I217" s="8"/>
      <c r="J217" s="18">
        <v>63</v>
      </c>
      <c r="K217" s="5">
        <v>74</v>
      </c>
      <c r="L217" s="5">
        <f t="shared" si="15"/>
        <v>2379.6999999999998</v>
      </c>
    </row>
    <row r="218" spans="5:12" ht="15.75">
      <c r="E218" s="5">
        <f t="shared" si="14"/>
        <v>26</v>
      </c>
      <c r="F218" s="18" t="s">
        <v>151</v>
      </c>
      <c r="G218" s="18" t="s">
        <v>830</v>
      </c>
      <c r="H218" s="21"/>
      <c r="I218" s="8"/>
      <c r="J218" s="18">
        <v>63</v>
      </c>
      <c r="K218" s="18">
        <v>100</v>
      </c>
      <c r="L218" s="5">
        <f t="shared" si="15"/>
        <v>2479.6999999999998</v>
      </c>
    </row>
    <row r="219" spans="5:12" ht="15.75">
      <c r="E219" s="5">
        <f t="shared" si="14"/>
        <v>27</v>
      </c>
      <c r="F219" s="18" t="s">
        <v>830</v>
      </c>
      <c r="G219" s="18" t="s">
        <v>831</v>
      </c>
      <c r="H219" s="21"/>
      <c r="I219" s="8"/>
      <c r="J219" s="18">
        <v>63</v>
      </c>
      <c r="K219" s="18">
        <v>362</v>
      </c>
      <c r="L219" s="5">
        <f t="shared" si="15"/>
        <v>2841.7</v>
      </c>
    </row>
    <row r="220" spans="5:12" ht="15.75">
      <c r="E220" s="5">
        <f t="shared" si="14"/>
        <v>28</v>
      </c>
      <c r="F220" s="5" t="s">
        <v>89</v>
      </c>
      <c r="G220" s="5" t="s">
        <v>57</v>
      </c>
      <c r="H220" s="21"/>
      <c r="I220" s="8"/>
      <c r="J220" s="18">
        <v>63</v>
      </c>
      <c r="K220" s="18">
        <v>305.2</v>
      </c>
      <c r="L220" s="5">
        <f t="shared" si="15"/>
        <v>3146.8999999999996</v>
      </c>
    </row>
    <row r="221" spans="5:12" ht="15.75">
      <c r="E221" s="5">
        <f t="shared" si="14"/>
        <v>29</v>
      </c>
      <c r="F221" s="18" t="s">
        <v>105</v>
      </c>
      <c r="G221" s="18" t="s">
        <v>91</v>
      </c>
      <c r="H221" s="21"/>
      <c r="I221" s="8"/>
      <c r="J221" s="18">
        <v>63</v>
      </c>
      <c r="K221" s="18">
        <v>133.1</v>
      </c>
      <c r="L221" s="5">
        <f t="shared" si="15"/>
        <v>3279.9999999999995</v>
      </c>
    </row>
    <row r="222" spans="5:12" ht="15.75">
      <c r="E222" s="5">
        <f t="shared" si="14"/>
        <v>30</v>
      </c>
      <c r="F222" s="18" t="s">
        <v>91</v>
      </c>
      <c r="G222" s="5" t="s">
        <v>89</v>
      </c>
      <c r="H222" s="21"/>
      <c r="I222" s="8"/>
      <c r="J222" s="18">
        <v>63</v>
      </c>
      <c r="K222" s="18">
        <v>211.3</v>
      </c>
      <c r="L222" s="5">
        <f t="shared" si="15"/>
        <v>3491.2999999999997</v>
      </c>
    </row>
    <row r="223" spans="5:12">
      <c r="E223" s="5">
        <f t="shared" si="14"/>
        <v>31</v>
      </c>
      <c r="F223" s="18" t="s">
        <v>91</v>
      </c>
      <c r="G223" s="5" t="s">
        <v>89</v>
      </c>
      <c r="H223" s="18" t="s">
        <v>771</v>
      </c>
      <c r="I223" s="18">
        <v>0.36</v>
      </c>
      <c r="J223" s="18">
        <v>63</v>
      </c>
      <c r="K223" s="18">
        <v>7.5</v>
      </c>
      <c r="L223" s="5">
        <f t="shared" si="15"/>
        <v>3498.7999999999997</v>
      </c>
    </row>
    <row r="224" spans="5:12" ht="15.75">
      <c r="E224" s="5">
        <f t="shared" si="14"/>
        <v>32</v>
      </c>
      <c r="F224" s="5" t="s">
        <v>89</v>
      </c>
      <c r="G224" s="5" t="s">
        <v>165</v>
      </c>
      <c r="H224" s="21"/>
      <c r="I224" s="8"/>
      <c r="J224" s="18">
        <v>63</v>
      </c>
      <c r="K224" s="18">
        <v>106.3</v>
      </c>
      <c r="L224" s="5">
        <f t="shared" si="15"/>
        <v>3605.1</v>
      </c>
    </row>
    <row r="225" spans="5:12" ht="15.75">
      <c r="E225" s="5">
        <f t="shared" si="14"/>
        <v>33</v>
      </c>
      <c r="F225" s="5" t="s">
        <v>165</v>
      </c>
      <c r="G225" s="5" t="s">
        <v>52</v>
      </c>
      <c r="H225" s="21"/>
      <c r="I225" s="8"/>
      <c r="J225" s="18">
        <v>63</v>
      </c>
      <c r="K225" s="18">
        <v>132.80000000000001</v>
      </c>
      <c r="L225" s="5">
        <f t="shared" si="15"/>
        <v>3737.9</v>
      </c>
    </row>
    <row r="226" spans="5:12" ht="15.75">
      <c r="E226" s="5">
        <f t="shared" si="14"/>
        <v>34</v>
      </c>
      <c r="F226" s="18" t="s">
        <v>52</v>
      </c>
      <c r="G226" s="18" t="s">
        <v>502</v>
      </c>
      <c r="H226" s="21"/>
      <c r="I226" s="8"/>
      <c r="J226" s="18">
        <v>63</v>
      </c>
      <c r="K226" s="18">
        <v>61.4</v>
      </c>
      <c r="L226" s="5">
        <f t="shared" si="15"/>
        <v>3799.3</v>
      </c>
    </row>
    <row r="227" spans="5:12" ht="15.75">
      <c r="E227" s="5">
        <f t="shared" si="14"/>
        <v>35</v>
      </c>
      <c r="F227" s="18" t="s">
        <v>52</v>
      </c>
      <c r="G227" s="18" t="s">
        <v>67</v>
      </c>
      <c r="H227" s="21"/>
      <c r="I227" s="8"/>
      <c r="J227" s="18">
        <v>63</v>
      </c>
      <c r="K227" s="18">
        <v>31.9</v>
      </c>
      <c r="L227" s="5">
        <f t="shared" si="15"/>
        <v>3831.2000000000003</v>
      </c>
    </row>
    <row r="228" spans="5:12" ht="15.75">
      <c r="E228" s="5">
        <f t="shared" si="14"/>
        <v>36</v>
      </c>
      <c r="F228" s="18" t="s">
        <v>67</v>
      </c>
      <c r="G228" s="18" t="s">
        <v>164</v>
      </c>
      <c r="H228" s="21"/>
      <c r="I228" s="8"/>
      <c r="J228" s="18">
        <v>63</v>
      </c>
      <c r="K228" s="18">
        <v>61.4</v>
      </c>
      <c r="L228" s="5">
        <f t="shared" si="15"/>
        <v>3892.6000000000004</v>
      </c>
    </row>
    <row r="229" spans="5:12" ht="15.75">
      <c r="E229" s="5">
        <f t="shared" si="14"/>
        <v>37</v>
      </c>
      <c r="F229" s="18" t="s">
        <v>67</v>
      </c>
      <c r="G229" s="18" t="s">
        <v>150</v>
      </c>
      <c r="H229" s="21"/>
      <c r="I229" s="8"/>
      <c r="J229" s="18">
        <v>63</v>
      </c>
      <c r="K229" s="18">
        <v>100.6</v>
      </c>
      <c r="L229" s="5">
        <f t="shared" si="15"/>
        <v>3993.2000000000003</v>
      </c>
    </row>
    <row r="230" spans="5:12" ht="15.75">
      <c r="E230" s="5">
        <f t="shared" si="14"/>
        <v>38</v>
      </c>
      <c r="F230" s="18" t="s">
        <v>30</v>
      </c>
      <c r="G230" s="18" t="s">
        <v>123</v>
      </c>
      <c r="H230" s="21"/>
      <c r="I230" s="8"/>
      <c r="J230" s="18">
        <v>63</v>
      </c>
      <c r="K230" s="5">
        <v>112.2</v>
      </c>
      <c r="L230" s="5">
        <f t="shared" si="15"/>
        <v>4105.4000000000005</v>
      </c>
    </row>
    <row r="231" spans="5:12" ht="15.75">
      <c r="E231" s="5">
        <f t="shared" si="14"/>
        <v>39</v>
      </c>
      <c r="F231" s="18" t="s">
        <v>165</v>
      </c>
      <c r="G231" s="18" t="s">
        <v>832</v>
      </c>
      <c r="H231" s="21"/>
      <c r="I231" s="8"/>
      <c r="J231" s="18">
        <v>63</v>
      </c>
      <c r="K231" s="5">
        <v>74.599999999999994</v>
      </c>
      <c r="L231" s="5">
        <f t="shared" si="15"/>
        <v>4180.0000000000009</v>
      </c>
    </row>
    <row r="232" spans="5:12" ht="15.75">
      <c r="E232" s="5">
        <f t="shared" si="14"/>
        <v>40</v>
      </c>
      <c r="F232" s="18" t="s">
        <v>832</v>
      </c>
      <c r="G232" s="18" t="s">
        <v>145</v>
      </c>
      <c r="H232" s="21"/>
      <c r="I232" s="8"/>
      <c r="J232" s="18">
        <v>63</v>
      </c>
      <c r="K232" s="5">
        <v>51.1</v>
      </c>
      <c r="L232" s="5">
        <f t="shared" si="15"/>
        <v>4231.1000000000013</v>
      </c>
    </row>
    <row r="233" spans="5:12" ht="15.75">
      <c r="E233" s="5">
        <f t="shared" si="14"/>
        <v>41</v>
      </c>
      <c r="F233" s="5" t="s">
        <v>91</v>
      </c>
      <c r="G233" s="5" t="s">
        <v>132</v>
      </c>
      <c r="H233" s="21"/>
      <c r="I233" s="8"/>
      <c r="J233" s="18">
        <v>63</v>
      </c>
      <c r="K233" s="18">
        <v>170.9</v>
      </c>
      <c r="L233" s="5">
        <f t="shared" si="15"/>
        <v>4402.0000000000009</v>
      </c>
    </row>
    <row r="234" spans="5:12" ht="15.75">
      <c r="E234" s="5">
        <f t="shared" si="14"/>
        <v>42</v>
      </c>
      <c r="F234" s="76" t="s">
        <v>132</v>
      </c>
      <c r="G234" s="76" t="s">
        <v>39</v>
      </c>
      <c r="H234" s="21"/>
      <c r="I234" s="77"/>
      <c r="J234" s="18">
        <v>63</v>
      </c>
      <c r="K234" s="108">
        <v>123</v>
      </c>
      <c r="L234" s="5">
        <f t="shared" si="15"/>
        <v>4525.0000000000009</v>
      </c>
    </row>
    <row r="235" spans="5:12" ht="15.75">
      <c r="E235" s="5">
        <f t="shared" si="14"/>
        <v>43</v>
      </c>
      <c r="F235" s="5" t="s">
        <v>103</v>
      </c>
      <c r="G235" s="5" t="s">
        <v>69</v>
      </c>
      <c r="H235" s="21"/>
      <c r="I235" s="77"/>
      <c r="J235" s="18">
        <v>63</v>
      </c>
      <c r="K235" s="5">
        <v>81</v>
      </c>
      <c r="L235" s="5">
        <f t="shared" si="15"/>
        <v>4606.0000000000009</v>
      </c>
    </row>
    <row r="236" spans="5:12" ht="15.75">
      <c r="E236" s="5">
        <f t="shared" si="14"/>
        <v>44</v>
      </c>
      <c r="F236" s="5" t="s">
        <v>69</v>
      </c>
      <c r="G236" s="5" t="s">
        <v>106</v>
      </c>
      <c r="H236" s="21"/>
      <c r="I236" s="76"/>
      <c r="J236" s="18">
        <v>63</v>
      </c>
      <c r="K236" s="5">
        <v>177</v>
      </c>
      <c r="L236" s="5">
        <f t="shared" si="15"/>
        <v>4783.0000000000009</v>
      </c>
    </row>
    <row r="237" spans="5:12" ht="15.75">
      <c r="E237" s="5">
        <f t="shared" si="14"/>
        <v>45</v>
      </c>
      <c r="F237" s="108" t="s">
        <v>132</v>
      </c>
      <c r="G237" s="18" t="s">
        <v>833</v>
      </c>
      <c r="H237" s="21"/>
      <c r="I237" s="77"/>
      <c r="J237" s="18">
        <v>63</v>
      </c>
      <c r="K237" s="5">
        <v>71.7</v>
      </c>
      <c r="L237" s="5">
        <f t="shared" si="15"/>
        <v>4854.7000000000007</v>
      </c>
    </row>
    <row r="238" spans="5:12" ht="15.75">
      <c r="E238" s="5">
        <f t="shared" si="14"/>
        <v>46</v>
      </c>
      <c r="F238" s="18" t="s">
        <v>833</v>
      </c>
      <c r="G238" s="18" t="s">
        <v>124</v>
      </c>
      <c r="H238" s="21"/>
      <c r="I238" s="77"/>
      <c r="J238" s="18">
        <v>63</v>
      </c>
      <c r="K238" s="5">
        <v>126.5</v>
      </c>
      <c r="L238" s="5">
        <f t="shared" si="15"/>
        <v>4981.2000000000007</v>
      </c>
    </row>
    <row r="239" spans="5:12" ht="15.75">
      <c r="E239" s="5">
        <f t="shared" si="14"/>
        <v>47</v>
      </c>
      <c r="F239" s="18" t="s">
        <v>833</v>
      </c>
      <c r="G239" s="18" t="s">
        <v>40</v>
      </c>
      <c r="H239" s="21"/>
      <c r="I239" s="77"/>
      <c r="J239" s="18">
        <v>63</v>
      </c>
      <c r="K239" s="18">
        <v>269.39999999999998</v>
      </c>
      <c r="L239" s="5">
        <f t="shared" si="15"/>
        <v>5250.6</v>
      </c>
    </row>
    <row r="240" spans="5:12" ht="15.75">
      <c r="E240" s="5">
        <f t="shared" si="14"/>
        <v>48</v>
      </c>
      <c r="F240" s="18" t="s">
        <v>69</v>
      </c>
      <c r="G240" s="18" t="s">
        <v>126</v>
      </c>
      <c r="H240" s="21"/>
      <c r="I240" s="108"/>
      <c r="J240" s="18">
        <v>63</v>
      </c>
      <c r="K240" s="18">
        <v>90</v>
      </c>
      <c r="L240" s="5">
        <f t="shared" si="15"/>
        <v>5340.6</v>
      </c>
    </row>
    <row r="241" spans="5:12" ht="15.75">
      <c r="E241" s="5">
        <f t="shared" si="14"/>
        <v>49</v>
      </c>
      <c r="F241" s="18" t="s">
        <v>103</v>
      </c>
      <c r="G241" s="18" t="s">
        <v>78</v>
      </c>
      <c r="H241" s="21"/>
      <c r="I241" s="108"/>
      <c r="J241" s="18">
        <v>63</v>
      </c>
      <c r="K241" s="18">
        <v>72.099999999999994</v>
      </c>
      <c r="L241" s="5">
        <f t="shared" si="15"/>
        <v>5412.7000000000007</v>
      </c>
    </row>
    <row r="242" spans="5:12" ht="15.75">
      <c r="E242" s="5">
        <f t="shared" si="14"/>
        <v>50</v>
      </c>
      <c r="F242" s="18" t="s">
        <v>78</v>
      </c>
      <c r="G242" s="18" t="s">
        <v>834</v>
      </c>
      <c r="H242" s="21"/>
      <c r="I242" s="108"/>
      <c r="J242" s="18">
        <v>63</v>
      </c>
      <c r="K242" s="18">
        <v>73.7</v>
      </c>
      <c r="L242" s="5">
        <f t="shared" si="15"/>
        <v>5486.4000000000005</v>
      </c>
    </row>
    <row r="243" spans="5:12">
      <c r="E243" s="5">
        <f t="shared" si="14"/>
        <v>51</v>
      </c>
      <c r="F243" s="18" t="s">
        <v>78</v>
      </c>
      <c r="G243" s="18" t="s">
        <v>834</v>
      </c>
      <c r="H243" s="18" t="s">
        <v>771</v>
      </c>
      <c r="I243" s="18">
        <v>0.36</v>
      </c>
      <c r="J243" s="18">
        <v>63</v>
      </c>
      <c r="K243" s="18">
        <v>3.5</v>
      </c>
      <c r="L243" s="5">
        <f t="shared" si="15"/>
        <v>5489.9000000000005</v>
      </c>
    </row>
    <row r="244" spans="5:12" ht="15.75">
      <c r="E244" s="5">
        <f t="shared" si="14"/>
        <v>52</v>
      </c>
      <c r="F244" s="18" t="s">
        <v>122</v>
      </c>
      <c r="G244" s="18" t="s">
        <v>835</v>
      </c>
      <c r="H244" s="21"/>
      <c r="I244" s="108"/>
      <c r="J244" s="18">
        <v>63</v>
      </c>
      <c r="K244" s="18">
        <v>96.4</v>
      </c>
      <c r="L244" s="5">
        <f t="shared" si="15"/>
        <v>5586.3</v>
      </c>
    </row>
    <row r="245" spans="5:12" ht="15.75">
      <c r="E245" s="5">
        <f t="shared" si="14"/>
        <v>53</v>
      </c>
      <c r="F245" s="18" t="s">
        <v>122</v>
      </c>
      <c r="G245" s="18" t="s">
        <v>835</v>
      </c>
      <c r="H245" s="21"/>
      <c r="I245" s="108"/>
      <c r="J245" s="18">
        <v>63</v>
      </c>
      <c r="K245" s="18">
        <v>10.3</v>
      </c>
      <c r="L245" s="5">
        <f t="shared" si="15"/>
        <v>5596.6</v>
      </c>
    </row>
    <row r="246" spans="5:12" ht="15.75">
      <c r="E246" s="5">
        <f t="shared" si="14"/>
        <v>54</v>
      </c>
      <c r="F246" s="18" t="s">
        <v>835</v>
      </c>
      <c r="G246" s="18" t="s">
        <v>729</v>
      </c>
      <c r="H246" s="21"/>
      <c r="I246" s="108"/>
      <c r="J246" s="18">
        <v>63</v>
      </c>
      <c r="K246" s="5">
        <v>56</v>
      </c>
      <c r="L246" s="5">
        <f t="shared" si="15"/>
        <v>5652.6</v>
      </c>
    </row>
    <row r="247" spans="5:12" ht="15.75">
      <c r="E247" s="5">
        <f t="shared" si="14"/>
        <v>55</v>
      </c>
      <c r="F247" s="18" t="s">
        <v>729</v>
      </c>
      <c r="G247" s="18" t="s">
        <v>156</v>
      </c>
      <c r="H247" s="21"/>
      <c r="I247" s="77"/>
      <c r="J247" s="18">
        <v>63</v>
      </c>
      <c r="K247" s="18">
        <v>20</v>
      </c>
      <c r="L247" s="5">
        <f t="shared" si="15"/>
        <v>5672.6</v>
      </c>
    </row>
    <row r="248" spans="5:12">
      <c r="E248" s="5">
        <f t="shared" si="14"/>
        <v>56</v>
      </c>
      <c r="F248" s="18" t="s">
        <v>729</v>
      </c>
      <c r="G248" s="18" t="s">
        <v>836</v>
      </c>
      <c r="H248" s="18" t="s">
        <v>771</v>
      </c>
      <c r="I248" s="18">
        <v>0.36</v>
      </c>
      <c r="J248" s="18">
        <v>63</v>
      </c>
      <c r="K248" s="18">
        <v>12.6</v>
      </c>
      <c r="L248" s="5">
        <f t="shared" si="15"/>
        <v>5685.2000000000007</v>
      </c>
    </row>
    <row r="249" spans="5:12" ht="15.75">
      <c r="E249" s="5">
        <f t="shared" si="14"/>
        <v>57</v>
      </c>
      <c r="F249" s="18" t="s">
        <v>836</v>
      </c>
      <c r="G249" s="18" t="s">
        <v>723</v>
      </c>
      <c r="H249" s="21"/>
      <c r="I249" s="18"/>
      <c r="J249" s="18">
        <v>63</v>
      </c>
      <c r="K249" s="18">
        <v>47</v>
      </c>
      <c r="L249" s="5">
        <f t="shared" si="15"/>
        <v>5732.2000000000007</v>
      </c>
    </row>
    <row r="250" spans="5:12" ht="15.75">
      <c r="E250" s="5">
        <f t="shared" si="14"/>
        <v>58</v>
      </c>
      <c r="F250" s="18" t="s">
        <v>723</v>
      </c>
      <c r="G250" s="5" t="s">
        <v>76</v>
      </c>
      <c r="H250" s="21"/>
      <c r="I250" s="8"/>
      <c r="J250" s="18">
        <v>63</v>
      </c>
      <c r="K250" s="5">
        <v>100.2</v>
      </c>
      <c r="L250" s="5">
        <f t="shared" si="15"/>
        <v>5832.4000000000005</v>
      </c>
    </row>
    <row r="251" spans="5:12">
      <c r="E251" s="5">
        <f t="shared" si="14"/>
        <v>59</v>
      </c>
      <c r="F251" s="18" t="s">
        <v>723</v>
      </c>
      <c r="G251" s="5" t="s">
        <v>76</v>
      </c>
      <c r="H251" s="18" t="s">
        <v>837</v>
      </c>
      <c r="I251" s="18">
        <v>0.36</v>
      </c>
      <c r="J251" s="18">
        <v>63</v>
      </c>
      <c r="K251" s="5">
        <v>12.8</v>
      </c>
      <c r="L251" s="5">
        <f t="shared" si="15"/>
        <v>5845.2000000000007</v>
      </c>
    </row>
    <row r="252" spans="5:12">
      <c r="E252" s="5">
        <f t="shared" si="14"/>
        <v>60</v>
      </c>
      <c r="F252" s="18" t="s">
        <v>76</v>
      </c>
      <c r="G252" s="18" t="s">
        <v>838</v>
      </c>
      <c r="H252" s="18" t="s">
        <v>837</v>
      </c>
      <c r="I252" s="18">
        <v>0.36</v>
      </c>
      <c r="J252" s="18">
        <v>63</v>
      </c>
      <c r="K252" s="5">
        <v>21.7</v>
      </c>
      <c r="L252" s="5">
        <f t="shared" si="15"/>
        <v>5866.9000000000005</v>
      </c>
    </row>
    <row r="253" spans="5:12">
      <c r="E253" s="5">
        <f t="shared" si="14"/>
        <v>61</v>
      </c>
      <c r="F253" s="5" t="s">
        <v>838</v>
      </c>
      <c r="G253" s="5" t="s">
        <v>40</v>
      </c>
      <c r="H253" s="18" t="s">
        <v>837</v>
      </c>
      <c r="I253" s="18">
        <v>0.36</v>
      </c>
      <c r="J253" s="18">
        <v>63</v>
      </c>
      <c r="K253" s="5">
        <v>78</v>
      </c>
      <c r="L253" s="5">
        <f t="shared" si="15"/>
        <v>5944.9000000000005</v>
      </c>
    </row>
    <row r="254" spans="5:12">
      <c r="E254" s="5">
        <f t="shared" si="14"/>
        <v>62</v>
      </c>
      <c r="F254" s="18" t="s">
        <v>726</v>
      </c>
      <c r="G254" s="18" t="s">
        <v>134</v>
      </c>
      <c r="H254" s="18" t="s">
        <v>837</v>
      </c>
      <c r="I254" s="18">
        <v>0.36</v>
      </c>
      <c r="J254" s="18">
        <v>63</v>
      </c>
      <c r="K254" s="18">
        <v>28</v>
      </c>
      <c r="L254" s="5">
        <f t="shared" si="15"/>
        <v>5972.9000000000005</v>
      </c>
    </row>
    <row r="255" spans="5:12" ht="15.75">
      <c r="E255" s="5">
        <f t="shared" si="14"/>
        <v>63</v>
      </c>
      <c r="F255" s="18" t="s">
        <v>134</v>
      </c>
      <c r="G255" s="5" t="s">
        <v>125</v>
      </c>
      <c r="H255" s="21"/>
      <c r="I255" s="8"/>
      <c r="J255" s="18">
        <v>63</v>
      </c>
      <c r="K255" s="5">
        <v>27.4</v>
      </c>
      <c r="L255" s="5">
        <f t="shared" si="15"/>
        <v>6000.3</v>
      </c>
    </row>
    <row r="256" spans="5:12">
      <c r="E256" s="5">
        <f t="shared" si="14"/>
        <v>64</v>
      </c>
      <c r="F256" s="18" t="s">
        <v>134</v>
      </c>
      <c r="G256" s="5" t="s">
        <v>125</v>
      </c>
      <c r="H256" s="18" t="s">
        <v>837</v>
      </c>
      <c r="I256" s="18">
        <v>0.36</v>
      </c>
      <c r="J256" s="18">
        <v>63</v>
      </c>
      <c r="K256" s="5">
        <v>33.700000000000003</v>
      </c>
      <c r="L256" s="5">
        <f t="shared" si="15"/>
        <v>6034</v>
      </c>
    </row>
    <row r="257" spans="5:12">
      <c r="E257" s="5">
        <f t="shared" si="14"/>
        <v>65</v>
      </c>
      <c r="F257" s="5" t="s">
        <v>125</v>
      </c>
      <c r="G257" s="5" t="s">
        <v>838</v>
      </c>
      <c r="H257" s="18" t="s">
        <v>837</v>
      </c>
      <c r="I257" s="18">
        <v>0.36</v>
      </c>
      <c r="J257" s="18">
        <v>63</v>
      </c>
      <c r="K257" s="5">
        <v>39</v>
      </c>
      <c r="L257" s="5">
        <f t="shared" si="15"/>
        <v>6073</v>
      </c>
    </row>
    <row r="258" spans="5:12" ht="15.75">
      <c r="E258" s="5">
        <f t="shared" si="14"/>
        <v>66</v>
      </c>
      <c r="F258" s="5" t="s">
        <v>125</v>
      </c>
      <c r="G258" s="5" t="s">
        <v>44</v>
      </c>
      <c r="H258" s="21"/>
      <c r="J258" s="18">
        <v>63</v>
      </c>
      <c r="K258" s="5">
        <v>86</v>
      </c>
      <c r="L258" s="5">
        <f t="shared" si="15"/>
        <v>6159</v>
      </c>
    </row>
    <row r="259" spans="5:12" ht="15.75">
      <c r="E259" s="5">
        <f t="shared" ref="E259:E322" si="16">+E258+1</f>
        <v>67</v>
      </c>
      <c r="F259" s="18" t="s">
        <v>44</v>
      </c>
      <c r="G259" s="18" t="s">
        <v>839</v>
      </c>
      <c r="H259" s="21"/>
      <c r="I259" s="8"/>
      <c r="J259" s="18">
        <v>63</v>
      </c>
      <c r="K259" s="5">
        <v>56.8</v>
      </c>
      <c r="L259" s="5">
        <f t="shared" ref="L259:L322" si="17">+L258+K259</f>
        <v>6215.8</v>
      </c>
    </row>
    <row r="260" spans="5:12">
      <c r="E260" s="5">
        <f t="shared" si="16"/>
        <v>68</v>
      </c>
      <c r="F260" s="108" t="s">
        <v>44</v>
      </c>
      <c r="G260" s="108" t="s">
        <v>839</v>
      </c>
      <c r="H260" s="108" t="s">
        <v>837</v>
      </c>
      <c r="I260" s="18">
        <v>0.36</v>
      </c>
      <c r="J260" s="18">
        <v>63</v>
      </c>
      <c r="K260" s="76">
        <v>18.2</v>
      </c>
      <c r="L260" s="5">
        <f t="shared" si="17"/>
        <v>6234</v>
      </c>
    </row>
    <row r="261" spans="5:12">
      <c r="E261" s="5">
        <f t="shared" si="16"/>
        <v>69</v>
      </c>
      <c r="F261" s="108" t="s">
        <v>44</v>
      </c>
      <c r="G261" s="108" t="s">
        <v>724</v>
      </c>
      <c r="H261" s="108" t="s">
        <v>837</v>
      </c>
      <c r="I261" s="18">
        <v>0.36</v>
      </c>
      <c r="J261" s="18">
        <v>63</v>
      </c>
      <c r="K261" s="5">
        <v>61.2</v>
      </c>
      <c r="L261" s="5">
        <f t="shared" si="17"/>
        <v>6295.2</v>
      </c>
    </row>
    <row r="262" spans="5:12" ht="15.75">
      <c r="E262" s="5">
        <f t="shared" si="16"/>
        <v>70</v>
      </c>
      <c r="F262" s="108" t="s">
        <v>37</v>
      </c>
      <c r="G262" s="5" t="s">
        <v>56</v>
      </c>
      <c r="H262" s="21"/>
      <c r="I262" s="77"/>
      <c r="J262" s="18">
        <v>63</v>
      </c>
      <c r="K262" s="5">
        <v>38.9</v>
      </c>
      <c r="L262" s="5">
        <f t="shared" si="17"/>
        <v>6334.0999999999995</v>
      </c>
    </row>
    <row r="263" spans="5:12" ht="15.75">
      <c r="E263" s="5">
        <f t="shared" si="16"/>
        <v>71</v>
      </c>
      <c r="F263" s="5" t="s">
        <v>56</v>
      </c>
      <c r="G263" s="5" t="s">
        <v>135</v>
      </c>
      <c r="H263" s="21"/>
      <c r="I263" s="77"/>
      <c r="J263" s="18">
        <v>63</v>
      </c>
      <c r="K263" s="5">
        <v>90</v>
      </c>
      <c r="L263" s="5">
        <f t="shared" si="17"/>
        <v>6424.0999999999995</v>
      </c>
    </row>
    <row r="264" spans="5:12">
      <c r="E264" s="5">
        <f t="shared" si="16"/>
        <v>72</v>
      </c>
      <c r="F264" s="5" t="s">
        <v>56</v>
      </c>
      <c r="G264" s="5" t="s">
        <v>135</v>
      </c>
      <c r="H264" s="108" t="s">
        <v>837</v>
      </c>
      <c r="I264" s="18">
        <v>0.36</v>
      </c>
      <c r="J264" s="18">
        <v>63</v>
      </c>
      <c r="K264" s="5">
        <v>8.1999999999999993</v>
      </c>
      <c r="L264" s="5">
        <f t="shared" si="17"/>
        <v>6432.2999999999993</v>
      </c>
    </row>
    <row r="265" spans="5:12" ht="15.75">
      <c r="E265" s="5">
        <f t="shared" si="16"/>
        <v>73</v>
      </c>
      <c r="F265" s="5" t="s">
        <v>135</v>
      </c>
      <c r="G265" s="5" t="s">
        <v>134</v>
      </c>
      <c r="H265" s="21"/>
      <c r="I265" s="77"/>
      <c r="J265" s="18">
        <v>63</v>
      </c>
      <c r="K265" s="5">
        <v>21.6</v>
      </c>
      <c r="L265" s="5">
        <f t="shared" si="17"/>
        <v>6453.9</v>
      </c>
    </row>
    <row r="266" spans="5:12" ht="15.75">
      <c r="E266" s="5">
        <f t="shared" si="16"/>
        <v>74</v>
      </c>
      <c r="F266" s="5" t="s">
        <v>56</v>
      </c>
      <c r="G266" s="18" t="s">
        <v>41</v>
      </c>
      <c r="H266" s="21"/>
      <c r="I266" s="77"/>
      <c r="J266" s="18">
        <v>63</v>
      </c>
      <c r="K266" s="5">
        <v>102.6</v>
      </c>
      <c r="L266" s="5">
        <f t="shared" si="17"/>
        <v>6556.5</v>
      </c>
    </row>
    <row r="267" spans="5:12" ht="15.75">
      <c r="E267" s="5">
        <f t="shared" si="16"/>
        <v>75</v>
      </c>
      <c r="F267" s="18" t="s">
        <v>41</v>
      </c>
      <c r="G267" s="18" t="s">
        <v>728</v>
      </c>
      <c r="H267" s="21"/>
      <c r="I267" s="77"/>
      <c r="J267" s="18">
        <v>63</v>
      </c>
      <c r="K267" s="5">
        <v>18.100000000000001</v>
      </c>
      <c r="L267" s="5">
        <f t="shared" si="17"/>
        <v>6574.6</v>
      </c>
    </row>
    <row r="268" spans="5:12" ht="15.75">
      <c r="E268" s="5">
        <f t="shared" si="16"/>
        <v>76</v>
      </c>
      <c r="F268" s="18" t="s">
        <v>840</v>
      </c>
      <c r="G268" s="18" t="s">
        <v>41</v>
      </c>
      <c r="H268" s="21"/>
      <c r="I268" s="77"/>
      <c r="J268" s="18">
        <v>63</v>
      </c>
      <c r="K268" s="5">
        <v>13.5</v>
      </c>
      <c r="L268" s="5">
        <f t="shared" si="17"/>
        <v>6588.1</v>
      </c>
    </row>
    <row r="269" spans="5:12" ht="15.75">
      <c r="E269" s="5">
        <f t="shared" si="16"/>
        <v>77</v>
      </c>
      <c r="F269" s="18" t="s">
        <v>43</v>
      </c>
      <c r="G269" s="18" t="s">
        <v>840</v>
      </c>
      <c r="H269" s="21"/>
      <c r="I269" s="77"/>
      <c r="J269" s="18">
        <v>63</v>
      </c>
      <c r="K269" s="5">
        <v>29</v>
      </c>
      <c r="L269" s="5">
        <f t="shared" si="17"/>
        <v>6617.1</v>
      </c>
    </row>
    <row r="270" spans="5:12" ht="15.75">
      <c r="E270" s="5">
        <f t="shared" si="16"/>
        <v>78</v>
      </c>
      <c r="F270" s="18" t="s">
        <v>841</v>
      </c>
      <c r="G270" s="18" t="s">
        <v>138</v>
      </c>
      <c r="H270" s="21"/>
      <c r="I270" s="76"/>
      <c r="J270" s="18">
        <v>63</v>
      </c>
      <c r="K270" s="5">
        <v>44</v>
      </c>
      <c r="L270" s="5">
        <f t="shared" si="17"/>
        <v>6661.1</v>
      </c>
    </row>
    <row r="271" spans="5:12" ht="15.75">
      <c r="E271" s="5">
        <f t="shared" si="16"/>
        <v>79</v>
      </c>
      <c r="F271" s="18" t="s">
        <v>138</v>
      </c>
      <c r="G271" s="18" t="s">
        <v>143</v>
      </c>
      <c r="H271" s="21"/>
      <c r="I271" s="5"/>
      <c r="J271" s="18">
        <v>63</v>
      </c>
      <c r="K271" s="5">
        <v>77</v>
      </c>
      <c r="L271" s="5">
        <f t="shared" si="17"/>
        <v>6738.1</v>
      </c>
    </row>
    <row r="272" spans="5:12" ht="15.75">
      <c r="E272" s="5">
        <f t="shared" si="16"/>
        <v>80</v>
      </c>
      <c r="F272" s="18" t="s">
        <v>138</v>
      </c>
      <c r="G272" s="5" t="s">
        <v>842</v>
      </c>
      <c r="H272" s="21"/>
      <c r="I272" s="5"/>
      <c r="J272" s="18">
        <v>63</v>
      </c>
      <c r="K272" s="5">
        <v>8.3000000000000007</v>
      </c>
      <c r="L272" s="5">
        <f t="shared" si="17"/>
        <v>6746.4000000000005</v>
      </c>
    </row>
    <row r="273" spans="5:12" ht="15.75">
      <c r="E273" s="5">
        <f t="shared" si="16"/>
        <v>81</v>
      </c>
      <c r="F273" s="5" t="s">
        <v>842</v>
      </c>
      <c r="G273" s="5" t="s">
        <v>727</v>
      </c>
      <c r="H273" s="21"/>
      <c r="I273" s="5"/>
      <c r="J273" s="18">
        <v>63</v>
      </c>
      <c r="K273" s="5">
        <v>35.299999999999997</v>
      </c>
      <c r="L273" s="5">
        <f t="shared" si="17"/>
        <v>6781.7000000000007</v>
      </c>
    </row>
    <row r="274" spans="5:12" ht="15.75">
      <c r="E274" s="5">
        <f t="shared" si="16"/>
        <v>82</v>
      </c>
      <c r="F274" s="18" t="s">
        <v>138</v>
      </c>
      <c r="G274" s="5" t="s">
        <v>115</v>
      </c>
      <c r="H274" s="21"/>
      <c r="I274" s="5"/>
      <c r="J274" s="18">
        <v>63</v>
      </c>
      <c r="K274" s="5">
        <v>37.299999999999997</v>
      </c>
      <c r="L274" s="5">
        <f t="shared" si="17"/>
        <v>6819.0000000000009</v>
      </c>
    </row>
    <row r="275" spans="5:12" ht="15.75">
      <c r="E275" s="5">
        <f t="shared" si="16"/>
        <v>83</v>
      </c>
      <c r="F275" s="5" t="s">
        <v>843</v>
      </c>
      <c r="G275" s="5" t="s">
        <v>841</v>
      </c>
      <c r="H275" s="21"/>
      <c r="I275" s="5"/>
      <c r="J275" s="18">
        <v>63</v>
      </c>
      <c r="K275" s="5"/>
      <c r="L275" s="5">
        <f t="shared" si="17"/>
        <v>6819.0000000000009</v>
      </c>
    </row>
    <row r="276" spans="5:12" ht="15.75">
      <c r="E276" s="5">
        <f t="shared" si="16"/>
        <v>84</v>
      </c>
      <c r="F276" s="18" t="s">
        <v>34</v>
      </c>
      <c r="G276" s="18" t="s">
        <v>844</v>
      </c>
      <c r="H276" s="21"/>
      <c r="I276" s="18"/>
      <c r="J276" s="18">
        <v>63</v>
      </c>
      <c r="K276" s="5">
        <v>55.5</v>
      </c>
      <c r="L276" s="5">
        <f t="shared" si="17"/>
        <v>6874.5000000000009</v>
      </c>
    </row>
    <row r="277" spans="5:12">
      <c r="E277" s="5">
        <f t="shared" si="16"/>
        <v>85</v>
      </c>
      <c r="F277" s="18" t="s">
        <v>34</v>
      </c>
      <c r="G277" s="18" t="s">
        <v>844</v>
      </c>
      <c r="H277" s="18" t="s">
        <v>771</v>
      </c>
      <c r="I277" s="18">
        <v>0.36</v>
      </c>
      <c r="J277" s="18">
        <v>63</v>
      </c>
      <c r="K277" s="5">
        <v>3.5</v>
      </c>
      <c r="L277" s="5">
        <f t="shared" si="17"/>
        <v>6878.0000000000009</v>
      </c>
    </row>
    <row r="278" spans="5:12" ht="15.75">
      <c r="E278" s="5">
        <f t="shared" si="16"/>
        <v>86</v>
      </c>
      <c r="F278" s="18" t="s">
        <v>66</v>
      </c>
      <c r="G278" s="18" t="s">
        <v>64</v>
      </c>
      <c r="H278" s="21"/>
      <c r="I278" s="18"/>
      <c r="J278" s="18">
        <v>63</v>
      </c>
      <c r="K278" s="5">
        <v>60.6</v>
      </c>
      <c r="L278" s="5">
        <f t="shared" si="17"/>
        <v>6938.6000000000013</v>
      </c>
    </row>
    <row r="279" spans="5:12" ht="15.75">
      <c r="E279" s="5">
        <f t="shared" si="16"/>
        <v>87</v>
      </c>
      <c r="F279" s="18" t="s">
        <v>66</v>
      </c>
      <c r="G279" s="18" t="s">
        <v>722</v>
      </c>
      <c r="H279" s="21"/>
      <c r="I279" s="18"/>
      <c r="J279" s="18">
        <v>63</v>
      </c>
      <c r="K279" s="18">
        <v>81.5</v>
      </c>
      <c r="L279" s="5">
        <f t="shared" si="17"/>
        <v>7020.1000000000013</v>
      </c>
    </row>
    <row r="280" spans="5:12" ht="15.75">
      <c r="E280" s="5">
        <f t="shared" si="16"/>
        <v>88</v>
      </c>
      <c r="F280" s="18" t="s">
        <v>722</v>
      </c>
      <c r="G280" s="18" t="s">
        <v>148</v>
      </c>
      <c r="H280" s="21"/>
      <c r="I280" s="18"/>
      <c r="J280" s="18">
        <v>63</v>
      </c>
      <c r="K280" s="5">
        <v>37.4</v>
      </c>
      <c r="L280" s="5">
        <f t="shared" si="17"/>
        <v>7057.5000000000009</v>
      </c>
    </row>
    <row r="281" spans="5:12" ht="15.75">
      <c r="E281" s="5">
        <f t="shared" si="16"/>
        <v>89</v>
      </c>
      <c r="F281" s="18" t="s">
        <v>722</v>
      </c>
      <c r="G281" s="18" t="s">
        <v>110</v>
      </c>
      <c r="H281" s="21"/>
      <c r="I281" s="8"/>
      <c r="J281" s="18">
        <v>63</v>
      </c>
      <c r="K281" s="5">
        <v>47.6</v>
      </c>
      <c r="L281" s="5">
        <f t="shared" si="17"/>
        <v>7105.1000000000013</v>
      </c>
    </row>
    <row r="282" spans="5:12" ht="15.75">
      <c r="E282" s="5">
        <f t="shared" si="16"/>
        <v>90</v>
      </c>
      <c r="F282" s="18" t="s">
        <v>49</v>
      </c>
      <c r="G282" s="18" t="s">
        <v>66</v>
      </c>
      <c r="H282" s="21"/>
      <c r="I282" s="8"/>
      <c r="J282" s="18">
        <v>63</v>
      </c>
      <c r="K282" s="5">
        <v>147</v>
      </c>
      <c r="L282" s="5">
        <f t="shared" si="17"/>
        <v>7252.1000000000013</v>
      </c>
    </row>
    <row r="283" spans="5:12" ht="15.75">
      <c r="E283" s="5">
        <f t="shared" si="16"/>
        <v>91</v>
      </c>
      <c r="F283" s="18" t="s">
        <v>235</v>
      </c>
      <c r="G283" s="18" t="s">
        <v>253</v>
      </c>
      <c r="H283" s="21"/>
      <c r="I283" s="18"/>
      <c r="J283" s="18">
        <v>63</v>
      </c>
      <c r="K283" s="18">
        <v>373.4</v>
      </c>
      <c r="L283" s="5">
        <f t="shared" si="17"/>
        <v>7625.5000000000009</v>
      </c>
    </row>
    <row r="284" spans="5:12">
      <c r="E284" s="5">
        <f t="shared" si="16"/>
        <v>92</v>
      </c>
      <c r="F284" s="18" t="s">
        <v>235</v>
      </c>
      <c r="G284" s="18" t="s">
        <v>253</v>
      </c>
      <c r="H284" s="18" t="s">
        <v>771</v>
      </c>
      <c r="I284" s="18">
        <v>0.36</v>
      </c>
      <c r="J284" s="18">
        <v>63</v>
      </c>
      <c r="K284" s="18">
        <v>3</v>
      </c>
      <c r="L284" s="5">
        <f t="shared" si="17"/>
        <v>7628.5000000000009</v>
      </c>
    </row>
    <row r="285" spans="5:12" ht="15.75">
      <c r="E285" s="5">
        <f t="shared" si="16"/>
        <v>93</v>
      </c>
      <c r="F285" s="18" t="s">
        <v>235</v>
      </c>
      <c r="G285" s="18" t="s">
        <v>337</v>
      </c>
      <c r="H285" s="21"/>
      <c r="I285" s="18"/>
      <c r="J285" s="18">
        <v>63</v>
      </c>
      <c r="K285" s="18">
        <v>27.4</v>
      </c>
      <c r="L285" s="5">
        <f t="shared" si="17"/>
        <v>7655.9000000000005</v>
      </c>
    </row>
    <row r="286" spans="5:12" ht="15.75">
      <c r="E286" s="5">
        <f t="shared" si="16"/>
        <v>94</v>
      </c>
      <c r="F286" s="18" t="s">
        <v>337</v>
      </c>
      <c r="G286" s="18" t="s">
        <v>240</v>
      </c>
      <c r="H286" s="21"/>
      <c r="I286" s="18"/>
      <c r="J286" s="18">
        <v>63</v>
      </c>
      <c r="K286" s="18">
        <v>12</v>
      </c>
      <c r="L286" s="5">
        <f t="shared" si="17"/>
        <v>7667.9000000000005</v>
      </c>
    </row>
    <row r="287" spans="5:12" ht="15.75">
      <c r="E287" s="5">
        <f t="shared" si="16"/>
        <v>95</v>
      </c>
      <c r="F287" s="18" t="s">
        <v>240</v>
      </c>
      <c r="G287" s="18" t="s">
        <v>352</v>
      </c>
      <c r="H287" s="21"/>
      <c r="I287" s="18"/>
      <c r="J287" s="18">
        <v>63</v>
      </c>
      <c r="K287" s="18">
        <v>34</v>
      </c>
      <c r="L287" s="5">
        <f t="shared" si="17"/>
        <v>7701.9000000000005</v>
      </c>
    </row>
    <row r="288" spans="5:12" ht="15.75">
      <c r="E288" s="5">
        <f t="shared" si="16"/>
        <v>96</v>
      </c>
      <c r="F288" s="18" t="s">
        <v>352</v>
      </c>
      <c r="G288" s="18" t="s">
        <v>307</v>
      </c>
      <c r="H288" s="21"/>
      <c r="I288" s="18"/>
      <c r="J288" s="18">
        <v>63</v>
      </c>
      <c r="K288" s="18">
        <v>23.2</v>
      </c>
      <c r="L288" s="5">
        <f t="shared" si="17"/>
        <v>7725.1</v>
      </c>
    </row>
    <row r="289" spans="5:12" ht="15.75">
      <c r="E289" s="5">
        <f t="shared" si="16"/>
        <v>97</v>
      </c>
      <c r="F289" s="18" t="s">
        <v>307</v>
      </c>
      <c r="G289" s="18" t="s">
        <v>225</v>
      </c>
      <c r="H289" s="21"/>
      <c r="I289" s="18"/>
      <c r="J289" s="18">
        <v>63</v>
      </c>
      <c r="K289" s="18">
        <v>40.299999999999997</v>
      </c>
      <c r="L289" s="5">
        <f t="shared" si="17"/>
        <v>7765.4000000000005</v>
      </c>
    </row>
    <row r="290" spans="5:12" ht="15.75">
      <c r="E290" s="5">
        <f t="shared" si="16"/>
        <v>98</v>
      </c>
      <c r="F290" s="18" t="s">
        <v>307</v>
      </c>
      <c r="G290" s="18" t="s">
        <v>259</v>
      </c>
      <c r="H290" s="21"/>
      <c r="I290" s="18"/>
      <c r="J290" s="18">
        <v>63</v>
      </c>
      <c r="K290" s="18">
        <v>43.8</v>
      </c>
      <c r="L290" s="5">
        <f t="shared" si="17"/>
        <v>7809.2000000000007</v>
      </c>
    </row>
    <row r="291" spans="5:12">
      <c r="E291" s="5">
        <f t="shared" si="16"/>
        <v>99</v>
      </c>
      <c r="F291" s="18" t="s">
        <v>307</v>
      </c>
      <c r="G291" s="18" t="s">
        <v>259</v>
      </c>
      <c r="H291" s="18" t="s">
        <v>837</v>
      </c>
      <c r="I291" s="18">
        <v>0.36</v>
      </c>
      <c r="J291" s="18">
        <v>63</v>
      </c>
      <c r="K291" s="18">
        <v>17</v>
      </c>
      <c r="L291" s="5">
        <f t="shared" si="17"/>
        <v>7826.2000000000007</v>
      </c>
    </row>
    <row r="292" spans="5:12" ht="15.75">
      <c r="E292" s="5">
        <f t="shared" si="16"/>
        <v>100</v>
      </c>
      <c r="F292" s="18" t="s">
        <v>352</v>
      </c>
      <c r="G292" s="18" t="s">
        <v>426</v>
      </c>
      <c r="H292" s="21"/>
      <c r="I292" s="18"/>
      <c r="J292" s="18">
        <v>63</v>
      </c>
      <c r="K292" s="18">
        <v>25.8</v>
      </c>
      <c r="L292" s="5">
        <f t="shared" si="17"/>
        <v>7852.0000000000009</v>
      </c>
    </row>
    <row r="293" spans="5:12">
      <c r="E293" s="5">
        <f t="shared" si="16"/>
        <v>101</v>
      </c>
      <c r="F293" s="18" t="s">
        <v>352</v>
      </c>
      <c r="G293" s="18" t="s">
        <v>426</v>
      </c>
      <c r="H293" s="18" t="s">
        <v>771</v>
      </c>
      <c r="I293" s="18">
        <v>0.36</v>
      </c>
      <c r="J293" s="18">
        <v>63</v>
      </c>
      <c r="K293" s="18">
        <v>4.4000000000000004</v>
      </c>
      <c r="L293" s="5">
        <f t="shared" si="17"/>
        <v>7856.4000000000005</v>
      </c>
    </row>
    <row r="294" spans="5:12" ht="15.75">
      <c r="E294" s="5">
        <f t="shared" si="16"/>
        <v>102</v>
      </c>
      <c r="F294" s="18" t="s">
        <v>426</v>
      </c>
      <c r="G294" s="18" t="s">
        <v>311</v>
      </c>
      <c r="H294" s="21"/>
      <c r="I294" s="18"/>
      <c r="J294" s="18">
        <v>63</v>
      </c>
      <c r="K294" s="18">
        <v>109.5</v>
      </c>
      <c r="L294" s="5">
        <f t="shared" si="17"/>
        <v>7965.9000000000005</v>
      </c>
    </row>
    <row r="295" spans="5:12" ht="15.75">
      <c r="E295" s="5">
        <f t="shared" si="16"/>
        <v>103</v>
      </c>
      <c r="F295" s="18" t="s">
        <v>345</v>
      </c>
      <c r="G295" s="18" t="s">
        <v>426</v>
      </c>
      <c r="H295" s="21"/>
      <c r="I295" s="18"/>
      <c r="J295" s="18">
        <v>63</v>
      </c>
      <c r="K295" s="18">
        <v>24</v>
      </c>
      <c r="L295" s="5">
        <f t="shared" si="17"/>
        <v>7989.9000000000005</v>
      </c>
    </row>
    <row r="296" spans="5:12" ht="15.75">
      <c r="E296" s="5">
        <f t="shared" si="16"/>
        <v>104</v>
      </c>
      <c r="F296" s="18" t="s">
        <v>240</v>
      </c>
      <c r="G296" s="18" t="s">
        <v>322</v>
      </c>
      <c r="H296" s="21"/>
      <c r="I296" s="18"/>
      <c r="J296" s="18">
        <v>63</v>
      </c>
      <c r="K296" s="18">
        <v>32</v>
      </c>
      <c r="L296" s="5">
        <f t="shared" si="17"/>
        <v>8021.9000000000005</v>
      </c>
    </row>
    <row r="297" spans="5:12" ht="15.75">
      <c r="E297" s="5">
        <f t="shared" si="16"/>
        <v>105</v>
      </c>
      <c r="F297" s="18" t="s">
        <v>337</v>
      </c>
      <c r="G297" s="18" t="s">
        <v>336</v>
      </c>
      <c r="H297" s="21"/>
      <c r="I297" s="18"/>
      <c r="J297" s="18">
        <v>63</v>
      </c>
      <c r="K297" s="18">
        <v>35.4</v>
      </c>
      <c r="L297" s="5">
        <f t="shared" si="17"/>
        <v>8057.3</v>
      </c>
    </row>
    <row r="298" spans="5:12">
      <c r="E298" s="5">
        <f t="shared" si="16"/>
        <v>106</v>
      </c>
      <c r="F298" s="5" t="s">
        <v>275</v>
      </c>
      <c r="G298" s="5" t="s">
        <v>260</v>
      </c>
      <c r="H298" s="5" t="s">
        <v>771</v>
      </c>
      <c r="I298" s="18">
        <v>0.36</v>
      </c>
      <c r="J298" s="18">
        <v>63</v>
      </c>
      <c r="K298" s="5">
        <v>2.2999999999999998</v>
      </c>
      <c r="L298" s="5">
        <f t="shared" si="17"/>
        <v>8059.6</v>
      </c>
    </row>
    <row r="299" spans="5:12" ht="15.75">
      <c r="E299" s="5">
        <f t="shared" si="16"/>
        <v>107</v>
      </c>
      <c r="F299" s="5" t="s">
        <v>275</v>
      </c>
      <c r="G299" s="5" t="s">
        <v>260</v>
      </c>
      <c r="H299" s="92" t="s">
        <v>301</v>
      </c>
      <c r="I299" s="18">
        <v>0.36</v>
      </c>
      <c r="J299" s="18">
        <v>63</v>
      </c>
      <c r="K299" s="5">
        <v>232.7</v>
      </c>
      <c r="L299" s="5">
        <f t="shared" si="17"/>
        <v>8292.3000000000011</v>
      </c>
    </row>
    <row r="300" spans="5:12" ht="15.75">
      <c r="E300" s="5">
        <f t="shared" si="16"/>
        <v>108</v>
      </c>
      <c r="F300" s="5" t="s">
        <v>275</v>
      </c>
      <c r="G300" s="5" t="s">
        <v>260</v>
      </c>
      <c r="H300" s="21"/>
      <c r="I300" s="5"/>
      <c r="J300" s="18">
        <v>63</v>
      </c>
      <c r="K300" s="5">
        <v>131.4</v>
      </c>
      <c r="L300" s="5">
        <f t="shared" si="17"/>
        <v>8423.7000000000007</v>
      </c>
    </row>
    <row r="301" spans="5:12">
      <c r="E301" s="5">
        <f t="shared" si="16"/>
        <v>109</v>
      </c>
      <c r="F301" s="5" t="s">
        <v>358</v>
      </c>
      <c r="G301" s="5" t="s">
        <v>436</v>
      </c>
      <c r="H301" s="5" t="s">
        <v>771</v>
      </c>
      <c r="I301" s="18">
        <v>0.36</v>
      </c>
      <c r="J301" s="18">
        <v>63</v>
      </c>
      <c r="K301" s="5">
        <v>3</v>
      </c>
      <c r="L301" s="5">
        <f t="shared" si="17"/>
        <v>8426.7000000000007</v>
      </c>
    </row>
    <row r="302" spans="5:12" ht="15.75">
      <c r="E302" s="5">
        <f t="shared" si="16"/>
        <v>110</v>
      </c>
      <c r="F302" s="5" t="s">
        <v>358</v>
      </c>
      <c r="G302" s="5" t="s">
        <v>436</v>
      </c>
      <c r="H302" s="21"/>
      <c r="I302" s="5"/>
      <c r="J302" s="18">
        <v>63</v>
      </c>
      <c r="K302" s="5">
        <v>27.4</v>
      </c>
      <c r="L302" s="5">
        <f t="shared" si="17"/>
        <v>8454.1</v>
      </c>
    </row>
    <row r="303" spans="5:12" ht="15.75">
      <c r="E303" s="5">
        <f t="shared" si="16"/>
        <v>111</v>
      </c>
      <c r="F303" s="5" t="s">
        <v>346</v>
      </c>
      <c r="G303" s="5" t="s">
        <v>244</v>
      </c>
      <c r="H303" s="21"/>
      <c r="I303" s="5"/>
      <c r="J303" s="18">
        <v>63</v>
      </c>
      <c r="K303" s="5">
        <v>38.200000000000003</v>
      </c>
      <c r="L303" s="5">
        <f t="shared" si="17"/>
        <v>8492.3000000000011</v>
      </c>
    </row>
    <row r="304" spans="5:12" ht="15.75">
      <c r="E304" s="5">
        <f t="shared" si="16"/>
        <v>112</v>
      </c>
      <c r="F304" s="5" t="s">
        <v>244</v>
      </c>
      <c r="G304" s="5" t="s">
        <v>640</v>
      </c>
      <c r="H304" s="21"/>
      <c r="I304" s="5"/>
      <c r="J304" s="18">
        <v>63</v>
      </c>
      <c r="K304" s="5">
        <v>82.5</v>
      </c>
      <c r="L304" s="5">
        <f t="shared" si="17"/>
        <v>8574.8000000000011</v>
      </c>
    </row>
    <row r="305" spans="5:12" ht="15.75">
      <c r="E305" s="5">
        <f t="shared" si="16"/>
        <v>113</v>
      </c>
      <c r="F305" s="5" t="s">
        <v>640</v>
      </c>
      <c r="G305" s="5" t="s">
        <v>265</v>
      </c>
      <c r="H305" s="21"/>
      <c r="I305" s="5"/>
      <c r="J305" s="18">
        <v>63</v>
      </c>
      <c r="K305" s="5">
        <v>56.8</v>
      </c>
      <c r="L305" s="5">
        <f t="shared" si="17"/>
        <v>8631.6</v>
      </c>
    </row>
    <row r="306" spans="5:12" ht="15.75">
      <c r="E306" s="5">
        <f t="shared" si="16"/>
        <v>114</v>
      </c>
      <c r="F306" s="5" t="s">
        <v>640</v>
      </c>
      <c r="G306" s="5" t="s">
        <v>342</v>
      </c>
      <c r="H306" s="21"/>
      <c r="I306" s="5"/>
      <c r="J306" s="18">
        <v>63</v>
      </c>
      <c r="K306" s="5">
        <v>87.2</v>
      </c>
      <c r="L306" s="5">
        <f t="shared" si="17"/>
        <v>8718.8000000000011</v>
      </c>
    </row>
    <row r="307" spans="5:12" ht="15.75">
      <c r="E307" s="5">
        <f t="shared" si="16"/>
        <v>115</v>
      </c>
      <c r="F307" s="5" t="s">
        <v>342</v>
      </c>
      <c r="G307" s="5" t="s">
        <v>235</v>
      </c>
      <c r="H307" s="21"/>
      <c r="I307" s="5"/>
      <c r="J307" s="18">
        <v>63</v>
      </c>
      <c r="K307" s="5">
        <v>14.2</v>
      </c>
      <c r="L307" s="5">
        <f t="shared" si="17"/>
        <v>8733.0000000000018</v>
      </c>
    </row>
    <row r="308" spans="5:12" ht="15.75">
      <c r="E308" s="5">
        <f t="shared" si="16"/>
        <v>116</v>
      </c>
      <c r="F308" s="5" t="s">
        <v>342</v>
      </c>
      <c r="G308" s="5" t="s">
        <v>524</v>
      </c>
      <c r="H308" s="21"/>
      <c r="I308" s="5"/>
      <c r="J308" s="18">
        <v>63</v>
      </c>
      <c r="K308" s="5">
        <v>27</v>
      </c>
      <c r="L308" s="5">
        <f t="shared" si="17"/>
        <v>8760.0000000000018</v>
      </c>
    </row>
    <row r="309" spans="5:12">
      <c r="E309" s="5">
        <f t="shared" si="16"/>
        <v>117</v>
      </c>
      <c r="F309" s="5" t="s">
        <v>516</v>
      </c>
      <c r="G309" s="5" t="s">
        <v>419</v>
      </c>
      <c r="H309" s="5" t="s">
        <v>771</v>
      </c>
      <c r="I309" s="18">
        <v>0.36</v>
      </c>
      <c r="J309" s="18">
        <v>63</v>
      </c>
      <c r="K309" s="5">
        <v>3</v>
      </c>
      <c r="L309" s="5">
        <f t="shared" si="17"/>
        <v>8763.0000000000018</v>
      </c>
    </row>
    <row r="310" spans="5:12" ht="15.75">
      <c r="E310" s="5">
        <f t="shared" si="16"/>
        <v>118</v>
      </c>
      <c r="F310" s="5" t="s">
        <v>516</v>
      </c>
      <c r="G310" s="5" t="s">
        <v>419</v>
      </c>
      <c r="H310" s="21"/>
      <c r="I310" s="5"/>
      <c r="J310" s="18">
        <v>63</v>
      </c>
      <c r="K310" s="5">
        <v>22</v>
      </c>
      <c r="L310" s="5">
        <f t="shared" si="17"/>
        <v>8785.0000000000018</v>
      </c>
    </row>
    <row r="311" spans="5:12" ht="15.75">
      <c r="E311" s="5">
        <f t="shared" si="16"/>
        <v>119</v>
      </c>
      <c r="F311" s="5" t="s">
        <v>516</v>
      </c>
      <c r="G311" s="5" t="s">
        <v>510</v>
      </c>
      <c r="H311" s="21"/>
      <c r="I311" s="5"/>
      <c r="J311" s="18">
        <v>63</v>
      </c>
      <c r="K311" s="5">
        <v>3.3</v>
      </c>
      <c r="L311" s="5">
        <f t="shared" si="17"/>
        <v>8788.3000000000011</v>
      </c>
    </row>
    <row r="312" spans="5:12" ht="15.75">
      <c r="E312" s="5">
        <f t="shared" si="16"/>
        <v>120</v>
      </c>
      <c r="F312" s="5" t="s">
        <v>510</v>
      </c>
      <c r="G312" s="5" t="s">
        <v>338</v>
      </c>
      <c r="H312" s="21"/>
      <c r="I312" s="5"/>
      <c r="J312" s="18">
        <v>63</v>
      </c>
      <c r="K312" s="5">
        <v>121</v>
      </c>
      <c r="L312" s="5">
        <f t="shared" si="17"/>
        <v>8909.3000000000011</v>
      </c>
    </row>
    <row r="313" spans="5:12" ht="15.75">
      <c r="E313" s="5">
        <f t="shared" si="16"/>
        <v>121</v>
      </c>
      <c r="F313" s="5" t="s">
        <v>326</v>
      </c>
      <c r="G313" s="5" t="s">
        <v>327</v>
      </c>
      <c r="H313" s="21"/>
      <c r="I313" s="5"/>
      <c r="J313" s="18">
        <v>63</v>
      </c>
      <c r="K313" s="5">
        <v>20.6</v>
      </c>
      <c r="L313" s="5">
        <f t="shared" si="17"/>
        <v>8929.9000000000015</v>
      </c>
    </row>
    <row r="314" spans="5:12" ht="15.75">
      <c r="E314" s="5">
        <f t="shared" si="16"/>
        <v>122</v>
      </c>
      <c r="F314" s="5" t="s">
        <v>338</v>
      </c>
      <c r="G314" s="5" t="s">
        <v>228</v>
      </c>
      <c r="H314" s="21"/>
      <c r="I314" s="5"/>
      <c r="J314" s="18">
        <v>63</v>
      </c>
      <c r="K314" s="5">
        <v>26.5</v>
      </c>
      <c r="L314" s="5">
        <f t="shared" si="17"/>
        <v>8956.4000000000015</v>
      </c>
    </row>
    <row r="315" spans="5:12" ht="15.75">
      <c r="E315" s="5">
        <f t="shared" si="16"/>
        <v>123</v>
      </c>
      <c r="F315" s="5" t="s">
        <v>228</v>
      </c>
      <c r="G315" s="5" t="s">
        <v>296</v>
      </c>
      <c r="H315" s="21"/>
      <c r="I315" s="5"/>
      <c r="J315" s="18">
        <v>63</v>
      </c>
      <c r="K315" s="5">
        <v>29</v>
      </c>
      <c r="L315" s="5">
        <f t="shared" si="17"/>
        <v>8985.4000000000015</v>
      </c>
    </row>
    <row r="316" spans="5:12">
      <c r="E316" s="5">
        <f t="shared" si="16"/>
        <v>124</v>
      </c>
      <c r="F316" s="5" t="s">
        <v>228</v>
      </c>
      <c r="G316" s="5" t="s">
        <v>243</v>
      </c>
      <c r="H316" s="5" t="s">
        <v>837</v>
      </c>
      <c r="I316" s="18">
        <v>0.36</v>
      </c>
      <c r="J316" s="18">
        <v>63</v>
      </c>
      <c r="K316" s="5">
        <v>45.7</v>
      </c>
      <c r="L316" s="5">
        <f t="shared" si="17"/>
        <v>9031.1000000000022</v>
      </c>
    </row>
    <row r="317" spans="5:12" ht="15.75">
      <c r="E317" s="5">
        <f t="shared" si="16"/>
        <v>125</v>
      </c>
      <c r="F317" s="5" t="s">
        <v>228</v>
      </c>
      <c r="G317" s="5" t="s">
        <v>243</v>
      </c>
      <c r="H317" s="21"/>
      <c r="I317" s="5"/>
      <c r="J317" s="18">
        <v>63</v>
      </c>
      <c r="K317" s="5">
        <v>9.8000000000000007</v>
      </c>
      <c r="L317" s="5">
        <f t="shared" si="17"/>
        <v>9040.9000000000015</v>
      </c>
    </row>
    <row r="318" spans="5:12">
      <c r="E318" s="5">
        <f t="shared" si="16"/>
        <v>126</v>
      </c>
      <c r="F318" s="5" t="s">
        <v>359</v>
      </c>
      <c r="G318" s="5" t="s">
        <v>509</v>
      </c>
      <c r="H318" s="5" t="s">
        <v>771</v>
      </c>
      <c r="I318" s="18">
        <v>0.36</v>
      </c>
      <c r="J318" s="18">
        <v>63</v>
      </c>
      <c r="K318" s="5">
        <v>3</v>
      </c>
      <c r="L318" s="5">
        <f t="shared" si="17"/>
        <v>9043.9000000000015</v>
      </c>
    </row>
    <row r="319" spans="5:12" ht="15.75">
      <c r="E319" s="5">
        <f t="shared" si="16"/>
        <v>127</v>
      </c>
      <c r="F319" s="5" t="s">
        <v>359</v>
      </c>
      <c r="G319" s="5" t="s">
        <v>509</v>
      </c>
      <c r="H319" s="21"/>
      <c r="I319" s="8"/>
      <c r="J319" s="18">
        <v>63</v>
      </c>
      <c r="K319" s="5">
        <v>35.200000000000003</v>
      </c>
      <c r="L319" s="5">
        <f t="shared" si="17"/>
        <v>9079.1000000000022</v>
      </c>
    </row>
    <row r="320" spans="5:12" ht="15.75">
      <c r="E320" s="5">
        <f t="shared" si="16"/>
        <v>128</v>
      </c>
      <c r="F320" s="5" t="s">
        <v>399</v>
      </c>
      <c r="G320" s="5" t="s">
        <v>252</v>
      </c>
      <c r="H320" s="21"/>
      <c r="I320" s="8"/>
      <c r="J320" s="18">
        <v>63</v>
      </c>
      <c r="K320" s="5">
        <v>27.8</v>
      </c>
      <c r="L320" s="5">
        <f t="shared" si="17"/>
        <v>9106.9000000000015</v>
      </c>
    </row>
    <row r="321" spans="5:12">
      <c r="E321" s="5">
        <f t="shared" si="16"/>
        <v>129</v>
      </c>
      <c r="F321" s="18" t="s">
        <v>343</v>
      </c>
      <c r="G321" s="18" t="s">
        <v>292</v>
      </c>
      <c r="H321" s="8"/>
      <c r="I321" s="8"/>
      <c r="J321" s="18">
        <v>63</v>
      </c>
      <c r="K321" s="5">
        <v>202.5</v>
      </c>
      <c r="L321" s="5">
        <f t="shared" si="17"/>
        <v>9309.4000000000015</v>
      </c>
    </row>
    <row r="322" spans="5:12">
      <c r="E322" s="5">
        <f t="shared" si="16"/>
        <v>130</v>
      </c>
      <c r="F322" s="18" t="s">
        <v>270</v>
      </c>
      <c r="G322" s="18" t="s">
        <v>846</v>
      </c>
      <c r="H322" s="8"/>
      <c r="I322" s="8"/>
      <c r="J322" s="18">
        <v>63</v>
      </c>
      <c r="K322" s="5">
        <v>56.9</v>
      </c>
      <c r="L322" s="5">
        <f t="shared" si="17"/>
        <v>9366.3000000000011</v>
      </c>
    </row>
    <row r="323" spans="5:12">
      <c r="E323" s="5">
        <f t="shared" ref="E323:E363" si="18">+E322+1</f>
        <v>131</v>
      </c>
      <c r="F323" s="18" t="s">
        <v>846</v>
      </c>
      <c r="G323" s="18" t="s">
        <v>662</v>
      </c>
      <c r="H323" s="8"/>
      <c r="I323" s="8"/>
      <c r="J323" s="18">
        <v>63</v>
      </c>
      <c r="K323" s="5">
        <v>45.4</v>
      </c>
      <c r="L323" s="5">
        <f t="shared" ref="L323:L363" si="19">+L322+K323</f>
        <v>9411.7000000000007</v>
      </c>
    </row>
    <row r="324" spans="5:12">
      <c r="E324" s="5">
        <f t="shared" si="18"/>
        <v>132</v>
      </c>
      <c r="F324" s="18" t="s">
        <v>662</v>
      </c>
      <c r="G324" s="18" t="s">
        <v>847</v>
      </c>
      <c r="H324" s="8"/>
      <c r="I324" s="8"/>
      <c r="J324" s="18">
        <v>63</v>
      </c>
      <c r="K324" s="5">
        <v>101.2</v>
      </c>
      <c r="L324" s="5">
        <f t="shared" si="19"/>
        <v>9512.9000000000015</v>
      </c>
    </row>
    <row r="325" spans="5:12">
      <c r="E325" s="5">
        <f t="shared" si="18"/>
        <v>133</v>
      </c>
      <c r="F325" s="18" t="s">
        <v>847</v>
      </c>
      <c r="G325" s="18" t="s">
        <v>319</v>
      </c>
      <c r="H325" s="8"/>
      <c r="I325" s="8"/>
      <c r="J325" s="18">
        <v>63</v>
      </c>
      <c r="K325" s="5">
        <v>31.6</v>
      </c>
      <c r="L325" s="5">
        <f t="shared" si="19"/>
        <v>9544.5000000000018</v>
      </c>
    </row>
    <row r="326" spans="5:12">
      <c r="E326" s="5">
        <f t="shared" si="18"/>
        <v>134</v>
      </c>
      <c r="F326" s="18" t="s">
        <v>847</v>
      </c>
      <c r="G326" s="18" t="s">
        <v>248</v>
      </c>
      <c r="H326" s="8"/>
      <c r="I326" s="8"/>
      <c r="J326" s="18">
        <v>63</v>
      </c>
      <c r="K326" s="5">
        <v>121.1</v>
      </c>
      <c r="L326" s="5">
        <f t="shared" si="19"/>
        <v>9665.6000000000022</v>
      </c>
    </row>
    <row r="327" spans="5:12">
      <c r="E327" s="5">
        <f t="shared" si="18"/>
        <v>135</v>
      </c>
      <c r="F327" s="5" t="s">
        <v>248</v>
      </c>
      <c r="G327" s="5" t="s">
        <v>283</v>
      </c>
      <c r="H327" s="8"/>
      <c r="I327" s="8"/>
      <c r="J327" s="18">
        <v>63</v>
      </c>
      <c r="K327" s="5">
        <v>34</v>
      </c>
      <c r="L327" s="5">
        <f t="shared" si="19"/>
        <v>9699.6000000000022</v>
      </c>
    </row>
    <row r="328" spans="5:12">
      <c r="E328" s="5">
        <f t="shared" si="18"/>
        <v>136</v>
      </c>
      <c r="F328" s="5" t="s">
        <v>283</v>
      </c>
      <c r="G328" s="5" t="s">
        <v>325</v>
      </c>
      <c r="H328" s="5"/>
      <c r="I328" s="5"/>
      <c r="J328" s="18">
        <v>63</v>
      </c>
      <c r="K328" s="5">
        <v>22.8</v>
      </c>
      <c r="L328" s="5">
        <f t="shared" si="19"/>
        <v>9722.4000000000015</v>
      </c>
    </row>
    <row r="329" spans="5:12">
      <c r="E329" s="5">
        <f t="shared" si="18"/>
        <v>137</v>
      </c>
      <c r="F329" s="5" t="s">
        <v>283</v>
      </c>
      <c r="G329" s="5" t="s">
        <v>523</v>
      </c>
      <c r="H329" s="5"/>
      <c r="I329" s="5"/>
      <c r="J329" s="18">
        <v>63</v>
      </c>
      <c r="K329" s="5">
        <v>52.4</v>
      </c>
      <c r="L329" s="5">
        <f t="shared" si="19"/>
        <v>9774.8000000000011</v>
      </c>
    </row>
    <row r="330" spans="5:12">
      <c r="E330" s="5">
        <f t="shared" si="18"/>
        <v>138</v>
      </c>
      <c r="F330" s="5" t="s">
        <v>283</v>
      </c>
      <c r="G330" s="5" t="s">
        <v>523</v>
      </c>
      <c r="H330" s="18" t="s">
        <v>771</v>
      </c>
      <c r="I330" s="18">
        <v>0.36</v>
      </c>
      <c r="J330" s="18">
        <v>63</v>
      </c>
      <c r="K330" s="5">
        <v>3</v>
      </c>
      <c r="L330" s="5">
        <f t="shared" si="19"/>
        <v>9777.8000000000011</v>
      </c>
    </row>
    <row r="331" spans="5:12">
      <c r="E331" s="5">
        <f t="shared" si="18"/>
        <v>139</v>
      </c>
      <c r="F331" s="102" t="s">
        <v>836</v>
      </c>
      <c r="G331" s="102" t="s">
        <v>723</v>
      </c>
      <c r="H331" s="102" t="s">
        <v>771</v>
      </c>
      <c r="I331" s="18">
        <v>0.36</v>
      </c>
      <c r="J331" s="102">
        <v>63</v>
      </c>
      <c r="K331" s="67">
        <f>46</f>
        <v>46</v>
      </c>
      <c r="L331" s="5">
        <f t="shared" si="19"/>
        <v>9823.8000000000011</v>
      </c>
    </row>
    <row r="332" spans="5:12">
      <c r="E332" s="5">
        <f t="shared" si="18"/>
        <v>140</v>
      </c>
      <c r="F332" s="5" t="s">
        <v>282</v>
      </c>
      <c r="G332" s="5" t="s">
        <v>229</v>
      </c>
      <c r="H332" s="5"/>
      <c r="I332" s="5"/>
      <c r="J332" s="18">
        <v>63</v>
      </c>
      <c r="K332" s="5">
        <v>35.9</v>
      </c>
      <c r="L332" s="5">
        <f t="shared" si="19"/>
        <v>9859.7000000000007</v>
      </c>
    </row>
    <row r="333" spans="5:12">
      <c r="E333" s="5">
        <f t="shared" si="18"/>
        <v>141</v>
      </c>
      <c r="F333" s="5" t="s">
        <v>282</v>
      </c>
      <c r="G333" s="5" t="s">
        <v>229</v>
      </c>
      <c r="H333" s="18" t="s">
        <v>771</v>
      </c>
      <c r="I333" s="18">
        <v>0.36</v>
      </c>
      <c r="J333" s="18">
        <v>63</v>
      </c>
      <c r="K333" s="5">
        <v>3</v>
      </c>
      <c r="L333" s="5">
        <f t="shared" si="19"/>
        <v>9862.7000000000007</v>
      </c>
    </row>
    <row r="334" spans="5:12">
      <c r="E334" s="5">
        <f t="shared" si="18"/>
        <v>142</v>
      </c>
      <c r="F334" s="5" t="s">
        <v>229</v>
      </c>
      <c r="G334" s="5" t="s">
        <v>665</v>
      </c>
      <c r="H334" s="5"/>
      <c r="I334" s="5"/>
      <c r="J334" s="18">
        <v>63</v>
      </c>
      <c r="K334" s="5">
        <v>36.700000000000003</v>
      </c>
      <c r="L334" s="5">
        <f t="shared" si="19"/>
        <v>9899.4000000000015</v>
      </c>
    </row>
    <row r="335" spans="5:12">
      <c r="E335" s="5">
        <f t="shared" si="18"/>
        <v>143</v>
      </c>
      <c r="F335" s="5" t="s">
        <v>344</v>
      </c>
      <c r="G335" s="5" t="s">
        <v>229</v>
      </c>
      <c r="H335" s="5"/>
      <c r="I335" s="5"/>
      <c r="J335" s="18">
        <v>63</v>
      </c>
      <c r="K335" s="5">
        <v>19.2</v>
      </c>
      <c r="L335" s="5">
        <f t="shared" si="19"/>
        <v>9918.6000000000022</v>
      </c>
    </row>
    <row r="336" spans="5:12">
      <c r="E336" s="5">
        <f t="shared" si="18"/>
        <v>144</v>
      </c>
      <c r="F336" s="5" t="s">
        <v>662</v>
      </c>
      <c r="G336" s="5" t="s">
        <v>325</v>
      </c>
      <c r="H336" s="5"/>
      <c r="I336" s="5"/>
      <c r="J336" s="18">
        <v>63</v>
      </c>
      <c r="K336" s="5">
        <v>71.599999999999994</v>
      </c>
      <c r="L336" s="5">
        <f t="shared" si="19"/>
        <v>9990.2000000000025</v>
      </c>
    </row>
    <row r="337" spans="5:12">
      <c r="E337" s="5">
        <f t="shared" si="18"/>
        <v>145</v>
      </c>
      <c r="F337" s="5" t="s">
        <v>293</v>
      </c>
      <c r="G337" s="5" t="s">
        <v>242</v>
      </c>
      <c r="H337" s="5"/>
      <c r="I337" s="5"/>
      <c r="J337" s="18">
        <v>63</v>
      </c>
      <c r="K337" s="5">
        <v>61.7</v>
      </c>
      <c r="L337" s="5">
        <f t="shared" si="19"/>
        <v>10051.900000000003</v>
      </c>
    </row>
    <row r="338" spans="5:12">
      <c r="E338" s="5">
        <f t="shared" si="18"/>
        <v>146</v>
      </c>
      <c r="F338" s="5" t="s">
        <v>343</v>
      </c>
      <c r="G338" s="5" t="s">
        <v>516</v>
      </c>
      <c r="H338" s="5"/>
      <c r="I338" s="5"/>
      <c r="J338" s="18">
        <v>63</v>
      </c>
      <c r="K338" s="5">
        <v>55.3</v>
      </c>
      <c r="L338" s="5">
        <f t="shared" si="19"/>
        <v>10107.200000000003</v>
      </c>
    </row>
    <row r="339" spans="5:12">
      <c r="E339" s="5">
        <f t="shared" si="18"/>
        <v>147</v>
      </c>
      <c r="F339" s="5" t="s">
        <v>446</v>
      </c>
      <c r="G339" s="5" t="s">
        <v>268</v>
      </c>
      <c r="H339" s="5"/>
      <c r="I339" s="5"/>
      <c r="J339" s="18">
        <v>63</v>
      </c>
      <c r="K339" s="5">
        <v>38.700000000000003</v>
      </c>
      <c r="L339" s="5">
        <f t="shared" si="19"/>
        <v>10145.900000000003</v>
      </c>
    </row>
    <row r="340" spans="5:12">
      <c r="E340" s="5">
        <f t="shared" si="18"/>
        <v>148</v>
      </c>
      <c r="F340" s="5" t="s">
        <v>461</v>
      </c>
      <c r="G340" s="5" t="s">
        <v>298</v>
      </c>
      <c r="H340" s="5"/>
      <c r="I340" s="5"/>
      <c r="J340" s="18">
        <v>63</v>
      </c>
      <c r="K340" s="5">
        <v>265</v>
      </c>
      <c r="L340" s="5">
        <f t="shared" si="19"/>
        <v>10410.900000000003</v>
      </c>
    </row>
    <row r="341" spans="5:12">
      <c r="E341" s="5">
        <f t="shared" si="18"/>
        <v>149</v>
      </c>
      <c r="F341" s="5" t="s">
        <v>461</v>
      </c>
      <c r="G341" s="5" t="s">
        <v>298</v>
      </c>
      <c r="H341" s="18" t="s">
        <v>771</v>
      </c>
      <c r="I341" s="18">
        <v>0.36</v>
      </c>
      <c r="J341" s="18">
        <v>63</v>
      </c>
      <c r="K341" s="5">
        <v>10</v>
      </c>
      <c r="L341" s="5">
        <f t="shared" si="19"/>
        <v>10420.900000000003</v>
      </c>
    </row>
    <row r="342" spans="5:12" ht="15.75">
      <c r="E342" s="5">
        <f t="shared" si="18"/>
        <v>150</v>
      </c>
      <c r="F342" s="18" t="s">
        <v>306</v>
      </c>
      <c r="G342" s="18" t="s">
        <v>825</v>
      </c>
      <c r="H342" s="21"/>
      <c r="I342" s="8"/>
      <c r="J342" s="18">
        <v>90</v>
      </c>
      <c r="K342" s="5">
        <v>214</v>
      </c>
      <c r="L342" s="5">
        <f t="shared" si="19"/>
        <v>10634.900000000003</v>
      </c>
    </row>
    <row r="343" spans="5:12" ht="15.75">
      <c r="E343" s="5">
        <f t="shared" si="18"/>
        <v>151</v>
      </c>
      <c r="F343" s="5" t="s">
        <v>256</v>
      </c>
      <c r="G343" s="5" t="s">
        <v>306</v>
      </c>
      <c r="H343" s="21"/>
      <c r="I343" s="8"/>
      <c r="J343" s="18">
        <v>90</v>
      </c>
      <c r="K343" s="18">
        <v>86</v>
      </c>
      <c r="L343" s="5">
        <f t="shared" si="19"/>
        <v>10720.900000000003</v>
      </c>
    </row>
    <row r="344" spans="5:12">
      <c r="E344" s="5">
        <f t="shared" si="18"/>
        <v>152</v>
      </c>
      <c r="F344" s="5" t="s">
        <v>399</v>
      </c>
      <c r="G344" s="5" t="s">
        <v>343</v>
      </c>
      <c r="H344" s="8"/>
      <c r="I344" s="8"/>
      <c r="J344" s="18">
        <v>90</v>
      </c>
      <c r="K344" s="5">
        <v>133.6</v>
      </c>
      <c r="L344" s="5">
        <f t="shared" si="19"/>
        <v>10854.500000000004</v>
      </c>
    </row>
    <row r="345" spans="5:12">
      <c r="E345" s="5">
        <f t="shared" si="18"/>
        <v>153</v>
      </c>
      <c r="F345" s="5" t="s">
        <v>399</v>
      </c>
      <c r="G345" s="5" t="s">
        <v>343</v>
      </c>
      <c r="H345" s="18" t="s">
        <v>771</v>
      </c>
      <c r="I345" s="18">
        <v>0.39</v>
      </c>
      <c r="J345" s="18">
        <v>90</v>
      </c>
      <c r="K345" s="5">
        <v>3</v>
      </c>
      <c r="L345" s="5">
        <f t="shared" si="19"/>
        <v>10857.500000000004</v>
      </c>
    </row>
    <row r="346" spans="5:12" ht="15.75">
      <c r="E346" s="5">
        <f t="shared" si="18"/>
        <v>154</v>
      </c>
      <c r="F346" s="5" t="s">
        <v>275</v>
      </c>
      <c r="G346" s="5" t="s">
        <v>358</v>
      </c>
      <c r="H346" s="21"/>
      <c r="I346" s="5"/>
      <c r="J346" s="18">
        <v>110</v>
      </c>
      <c r="K346" s="5">
        <v>67.7</v>
      </c>
      <c r="L346" s="5">
        <f t="shared" si="19"/>
        <v>10925.200000000004</v>
      </c>
    </row>
    <row r="347" spans="5:12" ht="15.75">
      <c r="E347" s="5">
        <f t="shared" si="18"/>
        <v>155</v>
      </c>
      <c r="F347" s="5" t="s">
        <v>358</v>
      </c>
      <c r="G347" s="5" t="s">
        <v>346</v>
      </c>
      <c r="H347" s="21"/>
      <c r="I347" s="5"/>
      <c r="J347" s="18">
        <v>110</v>
      </c>
      <c r="K347" s="5">
        <v>519.1</v>
      </c>
      <c r="L347" s="5">
        <f t="shared" si="19"/>
        <v>11444.300000000005</v>
      </c>
    </row>
    <row r="348" spans="5:12" ht="15.75">
      <c r="E348" s="5">
        <f t="shared" si="18"/>
        <v>156</v>
      </c>
      <c r="F348" s="5" t="s">
        <v>631</v>
      </c>
      <c r="G348" s="5" t="s">
        <v>256</v>
      </c>
      <c r="H348" s="21"/>
      <c r="I348" s="8"/>
      <c r="J348" s="18">
        <v>110</v>
      </c>
      <c r="K348" s="18">
        <v>49</v>
      </c>
      <c r="L348" s="5">
        <f t="shared" si="19"/>
        <v>11493.300000000005</v>
      </c>
    </row>
    <row r="349" spans="5:12" ht="15.75">
      <c r="E349" s="5">
        <f t="shared" si="18"/>
        <v>157</v>
      </c>
      <c r="F349" s="5" t="s">
        <v>417</v>
      </c>
      <c r="G349" s="5" t="s">
        <v>399</v>
      </c>
      <c r="H349" s="21"/>
      <c r="I349" s="8"/>
      <c r="J349" s="18">
        <v>110</v>
      </c>
      <c r="K349" s="18">
        <v>216.9</v>
      </c>
      <c r="L349" s="5">
        <f t="shared" si="19"/>
        <v>11710.200000000004</v>
      </c>
    </row>
    <row r="350" spans="5:12" ht="15.75">
      <c r="E350" s="5">
        <f t="shared" si="18"/>
        <v>158</v>
      </c>
      <c r="F350" s="18" t="s">
        <v>65</v>
      </c>
      <c r="G350" s="18" t="s">
        <v>42</v>
      </c>
      <c r="H350" s="21"/>
      <c r="I350" s="18"/>
      <c r="J350" s="18">
        <v>125</v>
      </c>
      <c r="K350" s="18">
        <v>88</v>
      </c>
      <c r="L350" s="5">
        <f t="shared" si="19"/>
        <v>11798.200000000004</v>
      </c>
    </row>
    <row r="351" spans="5:12" ht="15.75">
      <c r="E351" s="5">
        <f t="shared" si="18"/>
        <v>159</v>
      </c>
      <c r="F351" s="18" t="s">
        <v>42</v>
      </c>
      <c r="G351" s="18" t="s">
        <v>72</v>
      </c>
      <c r="H351" s="21"/>
      <c r="I351" s="18"/>
      <c r="J351" s="18">
        <v>125</v>
      </c>
      <c r="K351" s="18">
        <v>69.3</v>
      </c>
      <c r="L351" s="5">
        <f t="shared" si="19"/>
        <v>11867.500000000004</v>
      </c>
    </row>
    <row r="352" spans="5:12" ht="15.75">
      <c r="E352" s="5">
        <f t="shared" si="18"/>
        <v>160</v>
      </c>
      <c r="F352" s="18" t="s">
        <v>42</v>
      </c>
      <c r="G352" s="18" t="s">
        <v>72</v>
      </c>
      <c r="H352" s="21"/>
      <c r="I352" s="18"/>
      <c r="J352" s="18">
        <v>125</v>
      </c>
      <c r="K352" s="18">
        <v>25</v>
      </c>
      <c r="L352" s="5">
        <f t="shared" si="19"/>
        <v>11892.500000000004</v>
      </c>
    </row>
    <row r="353" spans="5:13" ht="15.75">
      <c r="E353" s="5">
        <f t="shared" si="18"/>
        <v>161</v>
      </c>
      <c r="F353" s="5" t="s">
        <v>198</v>
      </c>
      <c r="G353" s="5" t="s">
        <v>631</v>
      </c>
      <c r="H353" s="21"/>
      <c r="I353" s="8"/>
      <c r="J353" s="18">
        <v>125</v>
      </c>
      <c r="K353" s="18">
        <v>100</v>
      </c>
      <c r="L353" s="5">
        <f t="shared" si="19"/>
        <v>11992.500000000004</v>
      </c>
    </row>
    <row r="354" spans="5:13" ht="15.75">
      <c r="E354" s="5">
        <f t="shared" si="18"/>
        <v>162</v>
      </c>
      <c r="F354" s="18" t="s">
        <v>115</v>
      </c>
      <c r="G354" s="18" t="s">
        <v>169</v>
      </c>
      <c r="H354" s="21"/>
      <c r="I354" s="18"/>
      <c r="J354" s="18">
        <v>140</v>
      </c>
      <c r="K354" s="18">
        <v>461.9</v>
      </c>
      <c r="L354" s="5">
        <f t="shared" si="19"/>
        <v>12454.400000000003</v>
      </c>
    </row>
    <row r="355" spans="5:13" ht="15.75">
      <c r="E355" s="5">
        <f t="shared" si="18"/>
        <v>163</v>
      </c>
      <c r="F355" s="18" t="s">
        <v>169</v>
      </c>
      <c r="G355" s="18" t="s">
        <v>120</v>
      </c>
      <c r="H355" s="21"/>
      <c r="I355" s="18"/>
      <c r="J355" s="18">
        <v>140</v>
      </c>
      <c r="K355" s="18">
        <v>438.8</v>
      </c>
      <c r="L355" s="5">
        <f t="shared" si="19"/>
        <v>12893.200000000003</v>
      </c>
    </row>
    <row r="356" spans="5:13">
      <c r="E356" s="5">
        <f t="shared" si="18"/>
        <v>164</v>
      </c>
      <c r="F356" s="18" t="s">
        <v>169</v>
      </c>
      <c r="G356" s="18" t="s">
        <v>120</v>
      </c>
      <c r="H356" s="18" t="s">
        <v>771</v>
      </c>
      <c r="I356" s="18">
        <v>0.44</v>
      </c>
      <c r="J356" s="18">
        <v>140</v>
      </c>
      <c r="K356" s="18">
        <v>3.5</v>
      </c>
      <c r="L356" s="5">
        <f t="shared" si="19"/>
        <v>12896.700000000003</v>
      </c>
    </row>
    <row r="357" spans="5:13" ht="15.75">
      <c r="E357" s="5">
        <f t="shared" si="18"/>
        <v>165</v>
      </c>
      <c r="F357" s="18" t="s">
        <v>120</v>
      </c>
      <c r="G357" s="18" t="s">
        <v>65</v>
      </c>
      <c r="H357" s="21"/>
      <c r="I357" s="18"/>
      <c r="J357" s="18">
        <v>140</v>
      </c>
      <c r="K357" s="18">
        <v>227.8</v>
      </c>
      <c r="L357" s="5">
        <f t="shared" si="19"/>
        <v>13124.500000000002</v>
      </c>
    </row>
    <row r="358" spans="5:13" ht="17.25" customHeight="1">
      <c r="E358" s="5">
        <f t="shared" si="18"/>
        <v>166</v>
      </c>
      <c r="F358" s="102" t="s">
        <v>65</v>
      </c>
      <c r="G358" s="102" t="s">
        <v>37</v>
      </c>
      <c r="H358" s="102" t="s">
        <v>771</v>
      </c>
      <c r="I358" s="102">
        <v>0.44</v>
      </c>
      <c r="J358" s="102">
        <v>140</v>
      </c>
      <c r="K358" s="102">
        <v>35.4</v>
      </c>
      <c r="L358" s="5">
        <f t="shared" si="19"/>
        <v>13159.900000000001</v>
      </c>
    </row>
    <row r="359" spans="5:13" ht="17.25" customHeight="1">
      <c r="E359" s="5">
        <f t="shared" si="18"/>
        <v>167</v>
      </c>
      <c r="F359" s="18" t="s">
        <v>65</v>
      </c>
      <c r="G359" s="18" t="s">
        <v>37</v>
      </c>
      <c r="H359" s="21"/>
      <c r="I359" s="18"/>
      <c r="J359" s="18">
        <v>140</v>
      </c>
      <c r="K359" s="18">
        <v>32.6</v>
      </c>
      <c r="L359" s="5">
        <f t="shared" si="19"/>
        <v>13192.500000000002</v>
      </c>
    </row>
    <row r="360" spans="5:13" ht="15.75">
      <c r="E360" s="5">
        <f t="shared" si="18"/>
        <v>168</v>
      </c>
      <c r="F360" s="18" t="s">
        <v>37</v>
      </c>
      <c r="G360" s="18" t="s">
        <v>724</v>
      </c>
      <c r="H360" s="21"/>
      <c r="I360" s="18"/>
      <c r="J360" s="18">
        <v>140</v>
      </c>
      <c r="K360" s="18">
        <v>34.5</v>
      </c>
      <c r="L360" s="5">
        <f t="shared" si="19"/>
        <v>13227.000000000002</v>
      </c>
    </row>
    <row r="361" spans="5:13" ht="15.75">
      <c r="E361" s="5">
        <f t="shared" si="18"/>
        <v>169</v>
      </c>
      <c r="F361" s="6" t="s">
        <v>245</v>
      </c>
      <c r="G361" s="6" t="s">
        <v>198</v>
      </c>
      <c r="H361" s="19"/>
      <c r="I361" s="8"/>
      <c r="J361" s="18">
        <v>140</v>
      </c>
      <c r="K361" s="18">
        <v>79.099999999999994</v>
      </c>
      <c r="L361" s="5">
        <f t="shared" si="19"/>
        <v>13306.100000000002</v>
      </c>
    </row>
    <row r="362" spans="5:13">
      <c r="E362" s="5">
        <f t="shared" si="18"/>
        <v>170</v>
      </c>
      <c r="F362" s="67" t="s">
        <v>724</v>
      </c>
      <c r="G362" s="67" t="s">
        <v>35</v>
      </c>
      <c r="H362" s="102" t="s">
        <v>771</v>
      </c>
      <c r="I362" s="102">
        <v>0.44</v>
      </c>
      <c r="J362" s="102">
        <v>140</v>
      </c>
      <c r="K362" s="102">
        <f>14+40.4</f>
        <v>54.4</v>
      </c>
      <c r="L362" s="5">
        <f t="shared" si="19"/>
        <v>13360.500000000002</v>
      </c>
    </row>
    <row r="363" spans="5:13" ht="15.75">
      <c r="E363" s="5">
        <f t="shared" si="18"/>
        <v>171</v>
      </c>
      <c r="F363" s="5" t="s">
        <v>850</v>
      </c>
      <c r="G363" s="5" t="s">
        <v>851</v>
      </c>
      <c r="H363" s="21"/>
      <c r="I363" s="5"/>
      <c r="J363" s="18">
        <v>160</v>
      </c>
      <c r="K363" s="18">
        <v>192</v>
      </c>
      <c r="L363" s="5">
        <f t="shared" si="19"/>
        <v>13552.500000000002</v>
      </c>
    </row>
    <row r="365" spans="5:13">
      <c r="E365" s="18">
        <v>63</v>
      </c>
      <c r="F365" s="18">
        <v>90</v>
      </c>
      <c r="G365" s="18">
        <v>110</v>
      </c>
      <c r="H365" s="18">
        <v>125</v>
      </c>
      <c r="I365" s="18">
        <v>140</v>
      </c>
      <c r="J365" s="18">
        <v>160</v>
      </c>
      <c r="K365" s="8"/>
      <c r="L365" s="8"/>
    </row>
    <row r="366" spans="5:13">
      <c r="E366" s="5">
        <f t="shared" ref="E366:J366" si="20">+SUMIF($J$193:$J$363,E365,$K$193:$K$363)</f>
        <v>10420.900000000003</v>
      </c>
      <c r="F366" s="5">
        <f t="shared" si="20"/>
        <v>436.6</v>
      </c>
      <c r="G366" s="5">
        <f t="shared" si="20"/>
        <v>852.7</v>
      </c>
      <c r="H366" s="5">
        <f t="shared" si="20"/>
        <v>282.3</v>
      </c>
      <c r="I366" s="5">
        <f t="shared" si="20"/>
        <v>1368</v>
      </c>
      <c r="J366" s="5">
        <f t="shared" si="20"/>
        <v>192</v>
      </c>
      <c r="K366" s="8"/>
      <c r="L366" s="56">
        <f>+E366+F366+G366+H366+I366+J366</f>
        <v>13552.500000000004</v>
      </c>
    </row>
    <row r="367" spans="5:13" ht="18">
      <c r="E367" s="132">
        <v>10844</v>
      </c>
      <c r="F367" s="132">
        <v>450</v>
      </c>
      <c r="G367" s="132">
        <v>950</v>
      </c>
      <c r="H367" s="132">
        <v>285</v>
      </c>
      <c r="I367" s="132">
        <v>1370</v>
      </c>
      <c r="J367" s="132">
        <v>195</v>
      </c>
      <c r="K367" s="8"/>
      <c r="L367" s="201">
        <f>E367+F367+G367+H367+I367+J367</f>
        <v>14094</v>
      </c>
    </row>
    <row r="368" spans="5:13">
      <c r="E368" s="8" t="s">
        <v>366</v>
      </c>
      <c r="F368" s="8"/>
      <c r="G368" s="8"/>
      <c r="H368" s="8"/>
      <c r="I368" s="8"/>
      <c r="J368" s="8" t="s">
        <v>367</v>
      </c>
      <c r="K368" s="8"/>
      <c r="L368" s="8"/>
      <c r="M368" s="8"/>
    </row>
    <row r="369" spans="5:17">
      <c r="E369" s="8" t="s">
        <v>368</v>
      </c>
      <c r="F369" s="79"/>
      <c r="G369" s="10"/>
      <c r="H369" s="29"/>
      <c r="I369" s="11"/>
      <c r="J369" s="8" t="s">
        <v>368</v>
      </c>
      <c r="K369" s="8"/>
      <c r="L369" s="498"/>
      <c r="M369" s="498"/>
      <c r="P369" s="609"/>
      <c r="Q369" s="609"/>
    </row>
    <row r="370" spans="5:17">
      <c r="E370" s="8" t="s">
        <v>369</v>
      </c>
      <c r="F370" s="79"/>
      <c r="G370" s="10"/>
      <c r="H370" s="29"/>
      <c r="I370" s="11"/>
      <c r="J370" s="8" t="s">
        <v>369</v>
      </c>
      <c r="K370" s="498"/>
      <c r="L370" s="498"/>
      <c r="M370" s="498"/>
      <c r="O370" s="609"/>
      <c r="P370" s="609"/>
      <c r="Q370" s="609"/>
    </row>
    <row r="371" spans="5:17">
      <c r="E371" s="8" t="s">
        <v>370</v>
      </c>
      <c r="F371" s="499"/>
      <c r="G371" s="500"/>
      <c r="H371" s="500"/>
      <c r="I371" s="501"/>
      <c r="J371" s="8" t="s">
        <v>370</v>
      </c>
      <c r="K371" s="499"/>
      <c r="L371" s="500"/>
      <c r="M371" s="501"/>
      <c r="P371" s="609"/>
      <c r="Q371" s="609"/>
    </row>
    <row r="373" spans="5:17" ht="15.75">
      <c r="E373" s="152" t="s">
        <v>757</v>
      </c>
      <c r="F373" s="152"/>
      <c r="G373" s="152"/>
      <c r="H373" s="152" t="s">
        <v>758</v>
      </c>
      <c r="I373" s="152" t="s">
        <v>751</v>
      </c>
      <c r="J373" s="152" t="s">
        <v>752</v>
      </c>
      <c r="K373" s="152" t="s">
        <v>753</v>
      </c>
      <c r="L373" s="152" t="s">
        <v>755</v>
      </c>
      <c r="M373" s="152" t="s">
        <v>759</v>
      </c>
    </row>
    <row r="374" spans="5:17" ht="18.75">
      <c r="E374" s="153" t="s">
        <v>199</v>
      </c>
      <c r="F374" s="153"/>
      <c r="G374" s="153"/>
      <c r="H374" s="18">
        <v>317.8</v>
      </c>
      <c r="I374" s="18">
        <f t="shared" ref="I374:I376" si="21">+SUMIF($E$6:$E$114,$A374,M$6:M$114)</f>
        <v>0</v>
      </c>
      <c r="J374" s="18">
        <f t="shared" ref="J374:J376" si="22">+SUMIF($E$6:$E$114,$A374,N$6:N$114)</f>
        <v>0</v>
      </c>
      <c r="K374" s="18">
        <f t="shared" ref="K374:K376" si="23">+SUMIF($E$6:$E$114,$A374,O$6:O$114)</f>
        <v>0</v>
      </c>
      <c r="L374" s="18">
        <f t="shared" ref="L374:L376" si="24">+SUMIF($E$6:$E$114,$A374,P$6:P$114)</f>
        <v>0</v>
      </c>
      <c r="M374" s="18">
        <f>+SUM(H374:L374)</f>
        <v>317.8</v>
      </c>
    </row>
    <row r="375" spans="5:17" ht="15.75">
      <c r="E375" s="21" t="s">
        <v>193</v>
      </c>
      <c r="F375" s="21"/>
      <c r="G375" s="21"/>
      <c r="H375" s="18">
        <v>47.6</v>
      </c>
      <c r="I375" s="18">
        <f t="shared" si="21"/>
        <v>0</v>
      </c>
      <c r="J375" s="18">
        <f t="shared" si="22"/>
        <v>0</v>
      </c>
      <c r="K375" s="18">
        <f t="shared" si="23"/>
        <v>0</v>
      </c>
      <c r="L375" s="18">
        <f t="shared" si="24"/>
        <v>0</v>
      </c>
      <c r="M375" s="18">
        <f>+SUM(H375:L375)</f>
        <v>47.6</v>
      </c>
    </row>
    <row r="376" spans="5:17" ht="15.75">
      <c r="E376" s="92" t="s">
        <v>301</v>
      </c>
      <c r="F376" s="92"/>
      <c r="G376" s="92"/>
      <c r="H376" s="18">
        <v>232.7</v>
      </c>
      <c r="I376" s="18">
        <f t="shared" si="21"/>
        <v>0</v>
      </c>
      <c r="J376" s="18">
        <f t="shared" si="22"/>
        <v>0</v>
      </c>
      <c r="K376" s="18">
        <f t="shared" si="23"/>
        <v>0</v>
      </c>
      <c r="L376" s="18">
        <f t="shared" si="24"/>
        <v>0</v>
      </c>
      <c r="M376" s="18">
        <f>+SUM(H376:L376)</f>
        <v>232.7</v>
      </c>
    </row>
  </sheetData>
  <autoFilter ref="E192:L363"/>
  <mergeCells count="19">
    <mergeCell ref="C3:T3"/>
    <mergeCell ref="H4:M4"/>
    <mergeCell ref="C178:D178"/>
    <mergeCell ref="G178:I178"/>
    <mergeCell ref="L178:M178"/>
    <mergeCell ref="C179:D179"/>
    <mergeCell ref="G179:I179"/>
    <mergeCell ref="K179:M179"/>
    <mergeCell ref="C180:D180"/>
    <mergeCell ref="G180:I180"/>
    <mergeCell ref="L180:M180"/>
    <mergeCell ref="F371:I371"/>
    <mergeCell ref="K371:M371"/>
    <mergeCell ref="P371:Q371"/>
    <mergeCell ref="H191:I191"/>
    <mergeCell ref="L369:M369"/>
    <mergeCell ref="P369:Q369"/>
    <mergeCell ref="K370:M370"/>
    <mergeCell ref="O370:Q370"/>
  </mergeCells>
  <printOptions horizontalCentered="1"/>
  <pageMargins left="0.23622047244094499" right="0.23622047244094499" top="0.74803149606299202" bottom="0.74803149606299202" header="0.31496062992126" footer="0.31496062992126"/>
  <pageSetup paperSize="9" fitToHeight="0" orientation="landscape"/>
  <rowBreaks count="5" manualBreakCount="5">
    <brk id="219" max="11" man="1"/>
    <brk id="250" max="11" man="1"/>
    <brk id="281" max="11" man="1"/>
    <brk id="313" max="11" man="1"/>
    <brk id="346"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2:AH227"/>
  <sheetViews>
    <sheetView topLeftCell="A152" zoomScaleSheetLayoutView="40" workbookViewId="0">
      <selection activeCell="E93" sqref="E93:G94"/>
    </sheetView>
  </sheetViews>
  <sheetFormatPr defaultColWidth="9" defaultRowHeight="15"/>
  <cols>
    <col min="1" max="1" width="15.85546875" customWidth="1"/>
    <col min="2" max="2" width="14.42578125" hidden="1" customWidth="1"/>
    <col min="3" max="3" width="15.5703125" customWidth="1"/>
    <col min="4" max="4" width="16.7109375" customWidth="1"/>
    <col min="5" max="6" width="20.5703125" customWidth="1"/>
    <col min="7" max="7" width="16" customWidth="1"/>
    <col min="8" max="8" width="19.5703125" customWidth="1"/>
    <col min="9" max="10" width="9.140625" hidden="1" customWidth="1"/>
    <col min="11" max="11" width="10.42578125" hidden="1" customWidth="1"/>
    <col min="12" max="12" width="12" hidden="1" customWidth="1"/>
    <col min="13" max="13" width="11.140625" hidden="1" customWidth="1"/>
    <col min="14" max="14" width="18.85546875" customWidth="1"/>
    <col min="15" max="16" width="13.5703125" hidden="1" customWidth="1"/>
    <col min="17" max="17" width="15" hidden="1" customWidth="1"/>
    <col min="18" max="18" width="13.28515625" customWidth="1"/>
    <col min="19" max="19" width="9.140625" customWidth="1"/>
    <col min="20" max="20" width="0.28515625" customWidth="1"/>
    <col min="21" max="21" width="13.7109375" customWidth="1"/>
    <col min="22" max="22" width="12.140625" customWidth="1"/>
    <col min="23" max="23" width="15.140625" customWidth="1"/>
    <col min="24" max="24" width="11.42578125" customWidth="1"/>
    <col min="25" max="25" width="12.7109375" customWidth="1"/>
    <col min="27" max="27" width="0.140625" customWidth="1"/>
    <col min="28" max="29" width="9.140625" hidden="1" customWidth="1"/>
    <col min="30" max="31" width="6" hidden="1" customWidth="1"/>
    <col min="32" max="32" width="8.28515625" hidden="1" customWidth="1"/>
  </cols>
  <sheetData>
    <row r="2" spans="1:32" ht="18.75">
      <c r="A2" s="637" t="s">
        <v>852</v>
      </c>
      <c r="B2" s="638"/>
      <c r="C2" s="638"/>
      <c r="D2" s="638"/>
      <c r="E2" s="638"/>
      <c r="F2" s="638"/>
      <c r="G2" s="638"/>
      <c r="H2" s="638"/>
      <c r="I2" s="638"/>
      <c r="J2" s="638"/>
      <c r="K2" s="638"/>
      <c r="L2" s="638"/>
      <c r="M2" s="638"/>
      <c r="N2" s="638"/>
      <c r="O2" s="160"/>
      <c r="P2" s="160"/>
      <c r="Q2" s="149"/>
      <c r="S2" s="502" t="s">
        <v>852</v>
      </c>
      <c r="T2" s="502"/>
      <c r="U2" s="502"/>
      <c r="V2" s="502"/>
      <c r="W2" s="502"/>
      <c r="X2" s="502"/>
      <c r="Y2" s="502"/>
      <c r="Z2" s="502"/>
      <c r="AA2" s="502"/>
      <c r="AB2" s="502"/>
      <c r="AC2" s="502"/>
      <c r="AD2" s="502"/>
      <c r="AE2" s="502"/>
      <c r="AF2" s="502"/>
    </row>
    <row r="3" spans="1:32" ht="63">
      <c r="A3" s="25" t="s">
        <v>448</v>
      </c>
      <c r="B3" s="25" t="s">
        <v>743</v>
      </c>
      <c r="C3" s="25" t="s">
        <v>180</v>
      </c>
      <c r="D3" s="25" t="s">
        <v>13</v>
      </c>
      <c r="E3" s="25" t="s">
        <v>181</v>
      </c>
      <c r="F3" s="27" t="s">
        <v>449</v>
      </c>
      <c r="G3" s="25" t="s">
        <v>853</v>
      </c>
      <c r="H3" s="157" t="s">
        <v>184</v>
      </c>
      <c r="I3" s="128"/>
      <c r="J3" s="128"/>
      <c r="K3" s="128"/>
      <c r="L3" s="128"/>
      <c r="M3" s="129"/>
      <c r="N3" s="26" t="s">
        <v>185</v>
      </c>
      <c r="O3" s="26" t="s">
        <v>854</v>
      </c>
      <c r="P3" s="69" t="s">
        <v>809</v>
      </c>
      <c r="Q3" s="150" t="s">
        <v>750</v>
      </c>
      <c r="S3" s="25" t="s">
        <v>448</v>
      </c>
      <c r="T3" s="25" t="s">
        <v>743</v>
      </c>
      <c r="U3" s="25" t="s">
        <v>180</v>
      </c>
      <c r="V3" s="25" t="s">
        <v>13</v>
      </c>
      <c r="W3" s="25" t="s">
        <v>181</v>
      </c>
      <c r="X3" s="27" t="s">
        <v>449</v>
      </c>
      <c r="Y3" s="25" t="s">
        <v>853</v>
      </c>
      <c r="Z3" s="161" t="s">
        <v>184</v>
      </c>
      <c r="AA3" s="162"/>
      <c r="AB3" s="162"/>
      <c r="AC3" s="162"/>
      <c r="AD3" s="162"/>
      <c r="AE3" s="162"/>
      <c r="AF3" s="26" t="s">
        <v>185</v>
      </c>
    </row>
    <row r="4" spans="1:32" ht="15.75">
      <c r="A4" s="5">
        <v>1</v>
      </c>
      <c r="B4" s="158">
        <v>44999</v>
      </c>
      <c r="C4" s="18" t="s">
        <v>239</v>
      </c>
      <c r="D4" s="18" t="s">
        <v>396</v>
      </c>
      <c r="E4" s="21" t="s">
        <v>769</v>
      </c>
      <c r="F4" s="18"/>
      <c r="G4" s="18">
        <v>63</v>
      </c>
      <c r="H4" s="18">
        <v>32</v>
      </c>
      <c r="I4" s="18"/>
      <c r="J4" s="18"/>
      <c r="K4" s="18"/>
      <c r="L4" s="18"/>
      <c r="M4" s="18"/>
      <c r="N4" s="18">
        <f>+H4</f>
        <v>32</v>
      </c>
      <c r="Q4" s="5"/>
      <c r="S4" s="646" t="s">
        <v>855</v>
      </c>
      <c r="T4" s="646"/>
      <c r="U4" s="646"/>
      <c r="V4" s="646"/>
      <c r="W4" s="646"/>
      <c r="X4" s="646"/>
      <c r="Y4" s="646"/>
      <c r="Z4" s="646"/>
      <c r="AA4" s="18"/>
      <c r="AB4" s="18"/>
      <c r="AC4" s="18"/>
      <c r="AD4" s="18"/>
      <c r="AE4" s="18"/>
      <c r="AF4" s="18" t="e">
        <f>+#REF!+Z4+AA4+AB4+AC4+AD4+AE4</f>
        <v>#REF!</v>
      </c>
    </row>
    <row r="5" spans="1:32" ht="15.75">
      <c r="A5" s="5">
        <f t="shared" ref="A5:A67" si="0">1+A4</f>
        <v>2</v>
      </c>
      <c r="B5" s="158">
        <v>44999</v>
      </c>
      <c r="C5" s="18" t="s">
        <v>396</v>
      </c>
      <c r="D5" s="18" t="s">
        <v>847</v>
      </c>
      <c r="E5" s="92" t="s">
        <v>193</v>
      </c>
      <c r="F5" s="92">
        <v>0.39</v>
      </c>
      <c r="G5" s="18">
        <v>63</v>
      </c>
      <c r="H5" s="18">
        <v>3.5</v>
      </c>
      <c r="I5" s="18"/>
      <c r="J5" s="18"/>
      <c r="K5" s="18"/>
      <c r="L5" s="18"/>
      <c r="M5" s="18"/>
      <c r="N5" s="18">
        <f>+N4+H5</f>
        <v>35.5</v>
      </c>
      <c r="Q5" s="5"/>
      <c r="R5">
        <f>+H5*F5</f>
        <v>1.365</v>
      </c>
      <c r="S5" s="5">
        <f>1</f>
        <v>1</v>
      </c>
      <c r="T5" s="158">
        <v>44999</v>
      </c>
      <c r="U5" s="18" t="s">
        <v>1927</v>
      </c>
      <c r="V5" s="18" t="s">
        <v>847</v>
      </c>
      <c r="W5" s="92" t="s">
        <v>193</v>
      </c>
      <c r="X5" s="92">
        <v>0.39</v>
      </c>
      <c r="Y5" s="18">
        <v>63</v>
      </c>
      <c r="Z5" s="18">
        <v>3.5</v>
      </c>
      <c r="AA5" s="18"/>
      <c r="AB5" s="18"/>
      <c r="AC5" s="18"/>
      <c r="AD5" s="18"/>
      <c r="AE5" s="18"/>
      <c r="AF5" s="18" t="e">
        <f>+AF4+Z5</f>
        <v>#REF!</v>
      </c>
    </row>
    <row r="6" spans="1:32" ht="15.75">
      <c r="A6" s="5">
        <f t="shared" si="0"/>
        <v>3</v>
      </c>
      <c r="B6" s="158">
        <v>44999</v>
      </c>
      <c r="C6" s="18" t="s">
        <v>396</v>
      </c>
      <c r="D6" s="18" t="s">
        <v>847</v>
      </c>
      <c r="E6" s="21" t="s">
        <v>769</v>
      </c>
      <c r="F6" s="18"/>
      <c r="G6" s="18">
        <v>63</v>
      </c>
      <c r="H6" s="18">
        <v>49</v>
      </c>
      <c r="I6" s="18"/>
      <c r="J6" s="18"/>
      <c r="K6" s="18"/>
      <c r="L6" s="18"/>
      <c r="M6" s="18"/>
      <c r="N6" s="18">
        <f t="shared" ref="N6:N70" si="1">+N5+H6</f>
        <v>84.5</v>
      </c>
      <c r="Q6" s="5"/>
      <c r="R6">
        <f t="shared" ref="R6:R69" si="2">+H6*F6</f>
        <v>0</v>
      </c>
      <c r="S6" s="5">
        <f t="shared" ref="S6:S27" si="3">1+S5</f>
        <v>2</v>
      </c>
      <c r="T6" s="158"/>
      <c r="U6" s="18" t="s">
        <v>314</v>
      </c>
      <c r="V6" s="18" t="s">
        <v>375</v>
      </c>
      <c r="W6" s="18" t="s">
        <v>199</v>
      </c>
      <c r="X6" s="92">
        <v>0.39</v>
      </c>
      <c r="Y6" s="18">
        <v>63</v>
      </c>
      <c r="Z6" s="18">
        <v>100.2</v>
      </c>
      <c r="AA6" s="18"/>
      <c r="AB6" s="18"/>
      <c r="AC6" s="18"/>
      <c r="AD6" s="18"/>
      <c r="AE6" s="18"/>
      <c r="AF6" s="18" t="e">
        <f>+AF5+#REF!</f>
        <v>#REF!</v>
      </c>
    </row>
    <row r="7" spans="1:32" ht="15.75">
      <c r="A7" s="5">
        <f t="shared" si="0"/>
        <v>4</v>
      </c>
      <c r="B7" s="158">
        <v>44999</v>
      </c>
      <c r="C7" s="18" t="s">
        <v>281</v>
      </c>
      <c r="D7" s="18" t="s">
        <v>235</v>
      </c>
      <c r="E7" s="21" t="s">
        <v>769</v>
      </c>
      <c r="F7" s="18"/>
      <c r="G7" s="18">
        <v>63</v>
      </c>
      <c r="H7" s="18">
        <v>17.2</v>
      </c>
      <c r="I7" s="18"/>
      <c r="J7" s="18"/>
      <c r="K7" s="18"/>
      <c r="L7" s="18"/>
      <c r="M7" s="18"/>
      <c r="N7" s="18">
        <f t="shared" si="1"/>
        <v>101.7</v>
      </c>
      <c r="Q7" s="5"/>
      <c r="R7">
        <f t="shared" si="2"/>
        <v>0</v>
      </c>
      <c r="S7" s="5">
        <f t="shared" si="3"/>
        <v>3</v>
      </c>
      <c r="T7" s="158"/>
      <c r="U7" s="18" t="s">
        <v>524</v>
      </c>
      <c r="V7" s="18" t="s">
        <v>443</v>
      </c>
      <c r="W7" s="18" t="s">
        <v>199</v>
      </c>
      <c r="X7" s="92">
        <v>0.39</v>
      </c>
      <c r="Y7" s="18">
        <v>63</v>
      </c>
      <c r="Z7" s="18">
        <v>51.2</v>
      </c>
      <c r="AA7" s="18"/>
      <c r="AB7" s="18"/>
      <c r="AC7" s="18"/>
      <c r="AD7" s="18"/>
      <c r="AE7" s="18"/>
      <c r="AF7" s="18" t="e">
        <f>+AF6+#REF!</f>
        <v>#REF!</v>
      </c>
    </row>
    <row r="8" spans="1:32" ht="15.75">
      <c r="A8" s="5">
        <f t="shared" si="0"/>
        <v>5</v>
      </c>
      <c r="B8" s="158">
        <v>44999</v>
      </c>
      <c r="C8" s="18" t="s">
        <v>403</v>
      </c>
      <c r="D8" s="18" t="s">
        <v>412</v>
      </c>
      <c r="E8" s="21" t="s">
        <v>769</v>
      </c>
      <c r="F8" s="18"/>
      <c r="G8" s="18">
        <v>63</v>
      </c>
      <c r="H8" s="18">
        <v>210</v>
      </c>
      <c r="I8" s="18"/>
      <c r="J8" s="18"/>
      <c r="K8" s="18"/>
      <c r="L8" s="18"/>
      <c r="M8" s="18"/>
      <c r="N8" s="18">
        <f t="shared" si="1"/>
        <v>311.7</v>
      </c>
      <c r="Q8" s="5"/>
      <c r="R8">
        <f t="shared" si="2"/>
        <v>0</v>
      </c>
      <c r="S8" s="5">
        <f t="shared" si="3"/>
        <v>4</v>
      </c>
      <c r="T8" s="158"/>
      <c r="U8" s="18" t="s">
        <v>342</v>
      </c>
      <c r="V8" s="18" t="s">
        <v>446</v>
      </c>
      <c r="W8" s="18" t="s">
        <v>193</v>
      </c>
      <c r="X8" s="92">
        <v>0.39</v>
      </c>
      <c r="Y8" s="18">
        <v>63</v>
      </c>
      <c r="Z8" s="18">
        <v>3.5</v>
      </c>
      <c r="AA8" s="18"/>
      <c r="AB8" s="18"/>
      <c r="AC8" s="18"/>
      <c r="AD8" s="18"/>
      <c r="AE8" s="18"/>
      <c r="AF8" s="18" t="e">
        <f>+AF7+#REF!</f>
        <v>#REF!</v>
      </c>
    </row>
    <row r="9" spans="1:32" ht="15.75">
      <c r="A9" s="5">
        <f t="shared" si="0"/>
        <v>6</v>
      </c>
      <c r="B9" s="158">
        <v>44999</v>
      </c>
      <c r="C9" s="18" t="s">
        <v>400</v>
      </c>
      <c r="D9" s="18" t="s">
        <v>363</v>
      </c>
      <c r="E9" s="21" t="s">
        <v>769</v>
      </c>
      <c r="F9" s="18"/>
      <c r="G9" s="18">
        <v>63</v>
      </c>
      <c r="H9" s="18">
        <v>62</v>
      </c>
      <c r="I9" s="18"/>
      <c r="J9" s="18"/>
      <c r="K9" s="18"/>
      <c r="L9" s="18"/>
      <c r="M9" s="18"/>
      <c r="N9" s="18">
        <f t="shared" si="1"/>
        <v>373.7</v>
      </c>
      <c r="Q9" s="5"/>
      <c r="R9">
        <f t="shared" si="2"/>
        <v>0</v>
      </c>
      <c r="S9" s="5">
        <f t="shared" si="3"/>
        <v>5</v>
      </c>
      <c r="T9" s="158"/>
      <c r="U9" s="18" t="s">
        <v>342</v>
      </c>
      <c r="V9" s="18" t="s">
        <v>446</v>
      </c>
      <c r="W9" s="18" t="s">
        <v>199</v>
      </c>
      <c r="X9" s="92">
        <v>0.39</v>
      </c>
      <c r="Y9" s="18">
        <v>63</v>
      </c>
      <c r="Z9" s="18">
        <v>41.3</v>
      </c>
      <c r="AA9" s="18"/>
      <c r="AB9" s="18"/>
      <c r="AC9" s="18"/>
      <c r="AD9" s="18"/>
      <c r="AE9" s="18"/>
      <c r="AF9" s="18" t="e">
        <f>+AF8+#REF!</f>
        <v>#REF!</v>
      </c>
    </row>
    <row r="10" spans="1:32" ht="15.75">
      <c r="A10" s="5">
        <f t="shared" si="0"/>
        <v>7</v>
      </c>
      <c r="B10" s="158">
        <v>44999</v>
      </c>
      <c r="C10" s="18" t="s">
        <v>363</v>
      </c>
      <c r="D10" s="18" t="s">
        <v>261</v>
      </c>
      <c r="E10" s="21" t="s">
        <v>769</v>
      </c>
      <c r="F10" s="18"/>
      <c r="G10" s="18">
        <v>63</v>
      </c>
      <c r="H10" s="18">
        <v>68</v>
      </c>
      <c r="I10" s="18"/>
      <c r="J10" s="18"/>
      <c r="K10" s="18"/>
      <c r="L10" s="18"/>
      <c r="M10" s="18"/>
      <c r="N10" s="18">
        <f t="shared" si="1"/>
        <v>441.7</v>
      </c>
      <c r="Q10" s="5"/>
      <c r="R10">
        <f t="shared" si="2"/>
        <v>0</v>
      </c>
      <c r="S10" s="5">
        <f t="shared" si="3"/>
        <v>6</v>
      </c>
      <c r="T10" s="158"/>
      <c r="U10" s="18" t="s">
        <v>446</v>
      </c>
      <c r="V10" s="18" t="s">
        <v>846</v>
      </c>
      <c r="W10" s="18" t="s">
        <v>199</v>
      </c>
      <c r="X10" s="92">
        <v>0.39</v>
      </c>
      <c r="Y10" s="18">
        <v>63</v>
      </c>
      <c r="Z10" s="18">
        <v>16.100000000000001</v>
      </c>
      <c r="AA10" s="18"/>
      <c r="AB10" s="18"/>
      <c r="AC10" s="18"/>
      <c r="AD10" s="18"/>
      <c r="AE10" s="18"/>
      <c r="AF10" s="18" t="e">
        <f>+AF9+#REF!</f>
        <v>#REF!</v>
      </c>
    </row>
    <row r="11" spans="1:32" ht="15.75">
      <c r="A11" s="5">
        <f t="shared" si="0"/>
        <v>8</v>
      </c>
      <c r="B11" s="158">
        <v>44999</v>
      </c>
      <c r="C11" s="18" t="s">
        <v>348</v>
      </c>
      <c r="D11" s="18" t="s">
        <v>341</v>
      </c>
      <c r="E11" s="21" t="s">
        <v>769</v>
      </c>
      <c r="F11" s="18"/>
      <c r="G11" s="18">
        <v>63</v>
      </c>
      <c r="H11" s="18">
        <v>6.2</v>
      </c>
      <c r="I11" s="18"/>
      <c r="J11" s="18"/>
      <c r="K11" s="18"/>
      <c r="L11" s="18"/>
      <c r="M11" s="18"/>
      <c r="N11" s="18">
        <f t="shared" si="1"/>
        <v>447.9</v>
      </c>
      <c r="Q11" s="5"/>
      <c r="R11">
        <f t="shared" si="2"/>
        <v>0</v>
      </c>
      <c r="S11" s="5">
        <f t="shared" si="3"/>
        <v>7</v>
      </c>
      <c r="T11" s="158"/>
      <c r="U11" s="18" t="s">
        <v>446</v>
      </c>
      <c r="V11" s="18" t="s">
        <v>856</v>
      </c>
      <c r="W11" s="18" t="s">
        <v>199</v>
      </c>
      <c r="X11" s="92">
        <v>0.39</v>
      </c>
      <c r="Y11" s="18">
        <v>63</v>
      </c>
      <c r="Z11" s="18">
        <v>25.1</v>
      </c>
      <c r="AA11" s="18"/>
      <c r="AB11" s="18"/>
      <c r="AC11" s="18"/>
      <c r="AD11" s="18"/>
      <c r="AE11" s="18"/>
      <c r="AF11" s="18" t="e">
        <f>+AF10+#REF!</f>
        <v>#REF!</v>
      </c>
    </row>
    <row r="12" spans="1:32" ht="15.75">
      <c r="A12" s="5">
        <f t="shared" si="0"/>
        <v>9</v>
      </c>
      <c r="B12" s="158">
        <v>44999</v>
      </c>
      <c r="C12" s="18" t="s">
        <v>348</v>
      </c>
      <c r="D12" s="18" t="s">
        <v>341</v>
      </c>
      <c r="E12" s="21" t="s">
        <v>769</v>
      </c>
      <c r="F12" s="18"/>
      <c r="G12" s="18">
        <v>63</v>
      </c>
      <c r="H12" s="18">
        <v>120</v>
      </c>
      <c r="I12" s="18"/>
      <c r="J12" s="18"/>
      <c r="K12" s="18"/>
      <c r="L12" s="18"/>
      <c r="M12" s="18"/>
      <c r="N12" s="18">
        <f t="shared" si="1"/>
        <v>567.9</v>
      </c>
      <c r="Q12" s="5"/>
      <c r="R12">
        <f t="shared" si="2"/>
        <v>0</v>
      </c>
      <c r="S12" s="5">
        <f t="shared" si="3"/>
        <v>8</v>
      </c>
      <c r="T12" s="158"/>
      <c r="U12" s="18" t="s">
        <v>856</v>
      </c>
      <c r="V12" s="18" t="s">
        <v>386</v>
      </c>
      <c r="W12" s="18" t="s">
        <v>199</v>
      </c>
      <c r="X12" s="92">
        <v>0.39</v>
      </c>
      <c r="Y12" s="18">
        <v>63</v>
      </c>
      <c r="Z12" s="18">
        <v>68.7</v>
      </c>
      <c r="AA12" s="18"/>
      <c r="AB12" s="18"/>
      <c r="AC12" s="18"/>
      <c r="AD12" s="18"/>
      <c r="AE12" s="18"/>
      <c r="AF12" s="18" t="e">
        <f>+AF11+#REF!</f>
        <v>#REF!</v>
      </c>
    </row>
    <row r="13" spans="1:32" ht="15.75">
      <c r="A13" s="5">
        <f t="shared" si="0"/>
        <v>10</v>
      </c>
      <c r="B13" s="158">
        <v>44999</v>
      </c>
      <c r="C13" s="18" t="s">
        <v>396</v>
      </c>
      <c r="D13" s="18" t="s">
        <v>649</v>
      </c>
      <c r="E13" s="21" t="s">
        <v>769</v>
      </c>
      <c r="F13" s="18"/>
      <c r="G13" s="18">
        <v>63</v>
      </c>
      <c r="H13" s="18">
        <v>227.7</v>
      </c>
      <c r="I13" s="18"/>
      <c r="J13" s="18"/>
      <c r="K13" s="18"/>
      <c r="L13" s="18"/>
      <c r="M13" s="18"/>
      <c r="N13" s="18">
        <f t="shared" si="1"/>
        <v>795.59999999999991</v>
      </c>
      <c r="Q13" s="5"/>
      <c r="R13">
        <f t="shared" si="2"/>
        <v>0</v>
      </c>
      <c r="S13" s="5">
        <f t="shared" si="3"/>
        <v>9</v>
      </c>
      <c r="T13" s="158"/>
      <c r="U13" s="5" t="s">
        <v>65</v>
      </c>
      <c r="V13" s="5" t="s">
        <v>838</v>
      </c>
      <c r="W13" s="18" t="s">
        <v>193</v>
      </c>
      <c r="X13" s="92">
        <v>0.36</v>
      </c>
      <c r="Y13" s="18">
        <v>63</v>
      </c>
      <c r="Z13" s="5">
        <v>3.5</v>
      </c>
      <c r="AA13" s="18"/>
      <c r="AB13" s="18"/>
      <c r="AC13" s="18"/>
      <c r="AD13" s="18"/>
      <c r="AE13" s="18"/>
      <c r="AF13" s="18" t="e">
        <f>+AF12+#REF!</f>
        <v>#REF!</v>
      </c>
    </row>
    <row r="14" spans="1:32" ht="15.75">
      <c r="A14" s="5">
        <f t="shared" si="0"/>
        <v>11</v>
      </c>
      <c r="B14" s="158">
        <v>44999</v>
      </c>
      <c r="C14" s="18" t="s">
        <v>857</v>
      </c>
      <c r="D14" s="18" t="s">
        <v>858</v>
      </c>
      <c r="E14" s="21" t="s">
        <v>769</v>
      </c>
      <c r="F14" s="18"/>
      <c r="G14" s="18">
        <v>63</v>
      </c>
      <c r="H14" s="18">
        <v>11</v>
      </c>
      <c r="I14" s="18"/>
      <c r="J14" s="18"/>
      <c r="K14" s="18"/>
      <c r="L14" s="18"/>
      <c r="M14" s="18"/>
      <c r="N14" s="18">
        <f t="shared" si="1"/>
        <v>806.59999999999991</v>
      </c>
      <c r="Q14" s="5"/>
      <c r="R14">
        <f t="shared" si="2"/>
        <v>0</v>
      </c>
      <c r="S14" s="5">
        <f t="shared" si="3"/>
        <v>10</v>
      </c>
      <c r="T14" s="158"/>
      <c r="U14" s="5" t="s">
        <v>65</v>
      </c>
      <c r="V14" s="5" t="s">
        <v>838</v>
      </c>
      <c r="W14" s="18" t="s">
        <v>199</v>
      </c>
      <c r="X14" s="92">
        <v>0.39</v>
      </c>
      <c r="Y14" s="18">
        <v>63</v>
      </c>
      <c r="Z14" s="5">
        <v>21</v>
      </c>
      <c r="AA14" s="18"/>
      <c r="AB14" s="18"/>
      <c r="AC14" s="18"/>
      <c r="AD14" s="18"/>
      <c r="AE14" s="18"/>
      <c r="AF14" s="18" t="e">
        <f>+AF13+#REF!</f>
        <v>#REF!</v>
      </c>
    </row>
    <row r="15" spans="1:32" ht="15.75">
      <c r="A15" s="5">
        <f t="shared" si="0"/>
        <v>12</v>
      </c>
      <c r="B15" s="158">
        <v>44999</v>
      </c>
      <c r="C15" s="18" t="s">
        <v>395</v>
      </c>
      <c r="D15" s="18" t="s">
        <v>521</v>
      </c>
      <c r="E15" s="21" t="s">
        <v>769</v>
      </c>
      <c r="F15" s="92"/>
      <c r="G15" s="18">
        <v>63</v>
      </c>
      <c r="H15" s="18">
        <v>84.6</v>
      </c>
      <c r="I15" s="18"/>
      <c r="J15" s="18"/>
      <c r="K15" s="18"/>
      <c r="L15" s="18"/>
      <c r="M15" s="18"/>
      <c r="N15" s="18">
        <f t="shared" si="1"/>
        <v>891.19999999999993</v>
      </c>
      <c r="Q15" s="5">
        <v>84.6</v>
      </c>
      <c r="R15">
        <f t="shared" si="2"/>
        <v>0</v>
      </c>
      <c r="S15" s="5">
        <f t="shared" si="3"/>
        <v>11</v>
      </c>
      <c r="T15" s="158"/>
      <c r="U15" s="5" t="s">
        <v>65</v>
      </c>
      <c r="V15" s="5" t="s">
        <v>132</v>
      </c>
      <c r="W15" s="5" t="s">
        <v>301</v>
      </c>
      <c r="X15" s="92">
        <v>0.39</v>
      </c>
      <c r="Y15" s="18">
        <v>63</v>
      </c>
      <c r="Z15" s="5">
        <v>6</v>
      </c>
      <c r="AA15" s="18"/>
      <c r="AB15" s="18"/>
      <c r="AC15" s="18"/>
      <c r="AD15" s="18"/>
      <c r="AE15" s="18"/>
      <c r="AF15" s="18" t="e">
        <f t="shared" ref="AF15:AF69" si="4">+AF14+Z15</f>
        <v>#REF!</v>
      </c>
    </row>
    <row r="16" spans="1:32" ht="15.75">
      <c r="A16" s="5">
        <f t="shared" si="0"/>
        <v>13</v>
      </c>
      <c r="B16" s="158">
        <v>44999</v>
      </c>
      <c r="C16" s="18" t="s">
        <v>859</v>
      </c>
      <c r="D16" s="18" t="s">
        <v>860</v>
      </c>
      <c r="E16" s="21" t="s">
        <v>769</v>
      </c>
      <c r="F16" s="18"/>
      <c r="G16" s="18">
        <v>63</v>
      </c>
      <c r="H16" s="18">
        <v>47.4</v>
      </c>
      <c r="I16" s="18"/>
      <c r="J16" s="18"/>
      <c r="K16" s="18"/>
      <c r="L16" s="18"/>
      <c r="M16" s="18"/>
      <c r="N16" s="18">
        <f t="shared" si="1"/>
        <v>938.59999999999991</v>
      </c>
      <c r="Q16" s="5"/>
      <c r="R16">
        <f t="shared" si="2"/>
        <v>0</v>
      </c>
      <c r="S16" s="5">
        <f t="shared" si="3"/>
        <v>12</v>
      </c>
      <c r="T16" s="158"/>
      <c r="U16" s="5" t="s">
        <v>111</v>
      </c>
      <c r="V16" s="5" t="s">
        <v>171</v>
      </c>
      <c r="W16" s="18" t="s">
        <v>193</v>
      </c>
      <c r="X16" s="92">
        <v>0.39</v>
      </c>
      <c r="Y16" s="18">
        <v>63</v>
      </c>
      <c r="Z16" s="5">
        <v>3.5</v>
      </c>
      <c r="AA16" s="18"/>
      <c r="AB16" s="18"/>
      <c r="AC16" s="18"/>
      <c r="AD16" s="18"/>
      <c r="AE16" s="18"/>
      <c r="AF16" s="18" t="e">
        <f>+AF15+#REF!</f>
        <v>#REF!</v>
      </c>
    </row>
    <row r="17" spans="1:32" ht="15.75">
      <c r="A17" s="5">
        <f t="shared" si="0"/>
        <v>14</v>
      </c>
      <c r="B17" s="158">
        <v>44999</v>
      </c>
      <c r="C17" s="18" t="s">
        <v>314</v>
      </c>
      <c r="D17" s="18" t="s">
        <v>375</v>
      </c>
      <c r="E17" s="21" t="s">
        <v>769</v>
      </c>
      <c r="F17" s="92">
        <v>0.39</v>
      </c>
      <c r="G17" s="18">
        <v>63</v>
      </c>
      <c r="H17" s="18">
        <v>196.2</v>
      </c>
      <c r="I17" s="18"/>
      <c r="J17" s="18"/>
      <c r="K17" s="18"/>
      <c r="L17" s="18"/>
      <c r="M17" s="18"/>
      <c r="N17" s="18">
        <f t="shared" si="1"/>
        <v>1134.8</v>
      </c>
      <c r="Q17" s="5">
        <v>296</v>
      </c>
      <c r="R17">
        <f t="shared" si="2"/>
        <v>76.518000000000001</v>
      </c>
      <c r="S17" s="5">
        <f t="shared" si="3"/>
        <v>13</v>
      </c>
      <c r="T17" s="158"/>
      <c r="U17" s="5" t="s">
        <v>111</v>
      </c>
      <c r="V17" s="5" t="s">
        <v>171</v>
      </c>
      <c r="W17" s="5" t="s">
        <v>301</v>
      </c>
      <c r="X17" s="92">
        <v>0.44</v>
      </c>
      <c r="Y17" s="18">
        <v>63</v>
      </c>
      <c r="Z17" s="5">
        <v>100.2</v>
      </c>
      <c r="AA17" s="18"/>
      <c r="AB17" s="18"/>
      <c r="AC17" s="18"/>
      <c r="AD17" s="18"/>
      <c r="AE17" s="18"/>
      <c r="AF17" s="18" t="e">
        <f>+AF16+#REF!</f>
        <v>#REF!</v>
      </c>
    </row>
    <row r="18" spans="1:32" ht="15.75">
      <c r="A18" s="5">
        <f t="shared" si="0"/>
        <v>15</v>
      </c>
      <c r="B18" s="158"/>
      <c r="C18" s="18" t="s">
        <v>314</v>
      </c>
      <c r="D18" s="18" t="s">
        <v>375</v>
      </c>
      <c r="E18" s="18" t="s">
        <v>199</v>
      </c>
      <c r="F18" s="92">
        <v>0.39</v>
      </c>
      <c r="G18" s="18">
        <v>63</v>
      </c>
      <c r="H18" s="18">
        <v>100.2</v>
      </c>
      <c r="I18" s="18"/>
      <c r="J18" s="18"/>
      <c r="K18" s="18"/>
      <c r="L18" s="18"/>
      <c r="M18" s="18"/>
      <c r="N18" s="18">
        <f t="shared" si="1"/>
        <v>1235</v>
      </c>
      <c r="Q18" s="5"/>
      <c r="R18">
        <f t="shared" si="2"/>
        <v>39.078000000000003</v>
      </c>
      <c r="S18" s="5">
        <f t="shared" si="3"/>
        <v>14</v>
      </c>
      <c r="T18" s="158"/>
      <c r="U18" s="18" t="s">
        <v>356</v>
      </c>
      <c r="V18" s="18" t="s">
        <v>283</v>
      </c>
      <c r="W18" s="18" t="s">
        <v>199</v>
      </c>
      <c r="X18" s="92">
        <v>0.39</v>
      </c>
      <c r="Y18" s="18">
        <v>75</v>
      </c>
      <c r="Z18" s="18">
        <v>68.2</v>
      </c>
      <c r="AA18" s="18"/>
      <c r="AB18" s="18"/>
      <c r="AC18" s="18"/>
      <c r="AD18" s="18"/>
      <c r="AE18" s="18"/>
      <c r="AF18" s="18" t="e">
        <f>+AF17+Z6</f>
        <v>#REF!</v>
      </c>
    </row>
    <row r="19" spans="1:32" ht="15.75">
      <c r="A19" s="5">
        <f t="shared" si="0"/>
        <v>16</v>
      </c>
      <c r="B19" s="158">
        <v>44999</v>
      </c>
      <c r="C19" s="18" t="s">
        <v>524</v>
      </c>
      <c r="D19" s="18" t="s">
        <v>443</v>
      </c>
      <c r="E19" s="21" t="s">
        <v>769</v>
      </c>
      <c r="F19" s="18"/>
      <c r="G19" s="18">
        <v>63</v>
      </c>
      <c r="H19" s="18">
        <v>3.2</v>
      </c>
      <c r="I19" s="18"/>
      <c r="J19" s="18"/>
      <c r="K19" s="18"/>
      <c r="L19" s="18"/>
      <c r="M19" s="18"/>
      <c r="N19" s="18">
        <f t="shared" si="1"/>
        <v>1238.2</v>
      </c>
      <c r="Q19" s="5"/>
      <c r="R19">
        <f t="shared" si="2"/>
        <v>0</v>
      </c>
      <c r="S19" s="5">
        <f t="shared" si="3"/>
        <v>15</v>
      </c>
      <c r="T19" s="158"/>
      <c r="U19" s="18" t="s">
        <v>382</v>
      </c>
      <c r="V19" s="18" t="s">
        <v>238</v>
      </c>
      <c r="W19" s="18" t="s">
        <v>199</v>
      </c>
      <c r="X19" s="5">
        <v>0.39</v>
      </c>
      <c r="Y19" s="18">
        <v>63</v>
      </c>
      <c r="Z19" s="18">
        <v>12.2</v>
      </c>
      <c r="AA19" s="18"/>
      <c r="AB19" s="18"/>
      <c r="AC19" s="18"/>
      <c r="AD19" s="18"/>
      <c r="AE19" s="18"/>
      <c r="AF19" s="18" t="e">
        <f>+AF18+#REF!</f>
        <v>#REF!</v>
      </c>
    </row>
    <row r="20" spans="1:32" ht="15.75">
      <c r="A20" s="5">
        <f t="shared" si="0"/>
        <v>17</v>
      </c>
      <c r="B20" s="158">
        <v>44999</v>
      </c>
      <c r="C20" s="18" t="s">
        <v>524</v>
      </c>
      <c r="D20" s="18" t="s">
        <v>443</v>
      </c>
      <c r="E20" s="18" t="s">
        <v>199</v>
      </c>
      <c r="F20" s="92">
        <v>0.39</v>
      </c>
      <c r="G20" s="18">
        <v>63</v>
      </c>
      <c r="H20" s="18">
        <v>51.2</v>
      </c>
      <c r="I20" s="18"/>
      <c r="J20" s="18"/>
      <c r="K20" s="18"/>
      <c r="L20" s="18"/>
      <c r="M20" s="18"/>
      <c r="N20" s="18">
        <f t="shared" si="1"/>
        <v>1289.4000000000001</v>
      </c>
      <c r="Q20" s="5">
        <v>51.2</v>
      </c>
      <c r="R20">
        <f t="shared" si="2"/>
        <v>19.968000000000004</v>
      </c>
      <c r="S20" s="5">
        <f t="shared" si="3"/>
        <v>16</v>
      </c>
      <c r="T20" s="158">
        <v>44999</v>
      </c>
      <c r="U20" s="18" t="s">
        <v>279</v>
      </c>
      <c r="V20" s="18" t="s">
        <v>509</v>
      </c>
      <c r="W20" s="18" t="s">
        <v>199</v>
      </c>
      <c r="X20" s="5">
        <v>0.39</v>
      </c>
      <c r="Y20" s="18">
        <v>63</v>
      </c>
      <c r="Z20" s="18">
        <v>89.6</v>
      </c>
      <c r="AA20" s="18"/>
      <c r="AB20" s="18"/>
      <c r="AC20" s="18"/>
      <c r="AD20" s="18"/>
      <c r="AE20" s="18"/>
      <c r="AF20" s="18" t="e">
        <f>+AF19+Z7</f>
        <v>#REF!</v>
      </c>
    </row>
    <row r="21" spans="1:32" ht="15.75">
      <c r="A21" s="5">
        <f t="shared" si="0"/>
        <v>18</v>
      </c>
      <c r="B21" s="158">
        <v>44999</v>
      </c>
      <c r="C21" s="18" t="s">
        <v>260</v>
      </c>
      <c r="D21" s="18" t="s">
        <v>351</v>
      </c>
      <c r="E21" s="21" t="s">
        <v>769</v>
      </c>
      <c r="F21" s="18"/>
      <c r="G21" s="18">
        <v>63</v>
      </c>
      <c r="H21" s="18">
        <v>12.5</v>
      </c>
      <c r="I21" s="18"/>
      <c r="J21" s="18"/>
      <c r="K21" s="18"/>
      <c r="L21" s="18"/>
      <c r="M21" s="18"/>
      <c r="N21" s="18">
        <f t="shared" si="1"/>
        <v>1301.9000000000001</v>
      </c>
      <c r="Q21" s="5"/>
      <c r="R21">
        <f t="shared" si="2"/>
        <v>0</v>
      </c>
      <c r="S21" s="5">
        <f t="shared" si="3"/>
        <v>17</v>
      </c>
      <c r="T21" s="158">
        <v>44999</v>
      </c>
      <c r="U21" s="18" t="s">
        <v>279</v>
      </c>
      <c r="V21" s="18" t="s">
        <v>248</v>
      </c>
      <c r="W21" s="92" t="s">
        <v>301</v>
      </c>
      <c r="X21" s="5">
        <v>0.44</v>
      </c>
      <c r="Y21" s="18">
        <v>63</v>
      </c>
      <c r="Z21" s="18">
        <v>203</v>
      </c>
      <c r="AA21" s="18"/>
      <c r="AB21" s="18"/>
      <c r="AC21" s="18"/>
      <c r="AD21" s="18"/>
      <c r="AE21" s="18"/>
      <c r="AF21" s="18" t="e">
        <f>+AF20+#REF!</f>
        <v>#REF!</v>
      </c>
    </row>
    <row r="22" spans="1:32" ht="15.75">
      <c r="A22" s="5">
        <f t="shared" si="0"/>
        <v>19</v>
      </c>
      <c r="B22" s="158">
        <v>44999</v>
      </c>
      <c r="C22" s="18" t="s">
        <v>351</v>
      </c>
      <c r="D22" s="18" t="s">
        <v>311</v>
      </c>
      <c r="E22" s="21" t="s">
        <v>769</v>
      </c>
      <c r="F22" s="18"/>
      <c r="G22" s="18">
        <v>63</v>
      </c>
      <c r="H22" s="18">
        <v>21</v>
      </c>
      <c r="I22" s="96"/>
      <c r="J22" s="18"/>
      <c r="K22" s="18"/>
      <c r="L22" s="18"/>
      <c r="M22" s="18"/>
      <c r="N22" s="18">
        <f t="shared" si="1"/>
        <v>1322.9</v>
      </c>
      <c r="Q22" s="5"/>
      <c r="R22">
        <f t="shared" si="2"/>
        <v>0</v>
      </c>
      <c r="S22" s="5">
        <f t="shared" si="3"/>
        <v>18</v>
      </c>
      <c r="T22" s="158">
        <v>44999</v>
      </c>
      <c r="U22" s="18" t="s">
        <v>315</v>
      </c>
      <c r="V22" s="18" t="s">
        <v>279</v>
      </c>
      <c r="W22" s="92" t="s">
        <v>301</v>
      </c>
      <c r="X22" s="5">
        <v>0.44</v>
      </c>
      <c r="Y22" s="18">
        <v>63</v>
      </c>
      <c r="Z22" s="18">
        <v>57</v>
      </c>
      <c r="AA22" s="18"/>
      <c r="AB22" s="18"/>
      <c r="AC22" s="18"/>
      <c r="AD22" s="18"/>
      <c r="AE22" s="18"/>
      <c r="AF22" s="18" t="e">
        <f>+AF21+#REF!</f>
        <v>#REF!</v>
      </c>
    </row>
    <row r="23" spans="1:32" ht="15.75">
      <c r="A23" s="5">
        <f t="shared" si="0"/>
        <v>20</v>
      </c>
      <c r="B23" s="158">
        <v>44999</v>
      </c>
      <c r="C23" s="18" t="s">
        <v>351</v>
      </c>
      <c r="D23" s="18" t="s">
        <v>322</v>
      </c>
      <c r="E23" s="21" t="s">
        <v>769</v>
      </c>
      <c r="F23" s="18"/>
      <c r="G23" s="18">
        <v>63</v>
      </c>
      <c r="H23" s="18">
        <v>42</v>
      </c>
      <c r="I23" s="18"/>
      <c r="J23" s="18"/>
      <c r="K23" s="18"/>
      <c r="L23" s="18"/>
      <c r="M23" s="18"/>
      <c r="N23" s="18">
        <f t="shared" si="1"/>
        <v>1364.9</v>
      </c>
      <c r="Q23" s="5"/>
      <c r="R23">
        <f t="shared" si="2"/>
        <v>0</v>
      </c>
      <c r="S23" s="5">
        <f t="shared" si="3"/>
        <v>19</v>
      </c>
      <c r="T23" s="158">
        <v>44999</v>
      </c>
      <c r="U23" s="18" t="s">
        <v>283</v>
      </c>
      <c r="V23" s="18" t="s">
        <v>315</v>
      </c>
      <c r="W23" s="18" t="s">
        <v>199</v>
      </c>
      <c r="X23" s="5">
        <v>0.39</v>
      </c>
      <c r="Y23" s="18">
        <v>75</v>
      </c>
      <c r="Z23" s="18">
        <v>183.2</v>
      </c>
      <c r="AA23" s="18"/>
      <c r="AB23" s="18"/>
      <c r="AC23" s="18"/>
      <c r="AD23" s="18"/>
      <c r="AE23" s="18"/>
      <c r="AF23" s="18" t="e">
        <f>+AF22+#REF!</f>
        <v>#REF!</v>
      </c>
    </row>
    <row r="24" spans="1:32" ht="15.75">
      <c r="A24" s="5">
        <f t="shared" si="0"/>
        <v>21</v>
      </c>
      <c r="B24" s="158">
        <v>44999</v>
      </c>
      <c r="C24" s="18" t="s">
        <v>342</v>
      </c>
      <c r="D24" s="18" t="s">
        <v>446</v>
      </c>
      <c r="E24" s="18" t="s">
        <v>193</v>
      </c>
      <c r="F24" s="92">
        <v>0.39</v>
      </c>
      <c r="G24" s="18">
        <v>63</v>
      </c>
      <c r="H24" s="18">
        <v>3.5</v>
      </c>
      <c r="I24" s="18"/>
      <c r="J24" s="18"/>
      <c r="K24" s="18"/>
      <c r="L24" s="18"/>
      <c r="M24" s="18"/>
      <c r="N24" s="18">
        <f t="shared" si="1"/>
        <v>1368.4</v>
      </c>
      <c r="Q24" s="5">
        <v>3.5</v>
      </c>
      <c r="R24">
        <f t="shared" si="2"/>
        <v>1.365</v>
      </c>
      <c r="S24" s="5">
        <f t="shared" si="3"/>
        <v>20</v>
      </c>
      <c r="T24" s="158">
        <v>44999</v>
      </c>
      <c r="U24" s="18" t="s">
        <v>277</v>
      </c>
      <c r="V24" s="18" t="s">
        <v>649</v>
      </c>
      <c r="W24" s="18" t="s">
        <v>199</v>
      </c>
      <c r="X24" s="92">
        <v>0.39</v>
      </c>
      <c r="Y24" s="18">
        <v>75</v>
      </c>
      <c r="Z24" s="163">
        <v>50</v>
      </c>
      <c r="AA24" s="18"/>
      <c r="AB24" s="18"/>
      <c r="AC24" s="18"/>
      <c r="AD24" s="18"/>
      <c r="AE24" s="18"/>
      <c r="AF24" s="18" t="e">
        <f>+AF23+Z8</f>
        <v>#REF!</v>
      </c>
    </row>
    <row r="25" spans="1:32" ht="15.75">
      <c r="A25" s="5">
        <f t="shared" si="0"/>
        <v>22</v>
      </c>
      <c r="B25" s="158">
        <v>44999</v>
      </c>
      <c r="C25" s="18" t="s">
        <v>342</v>
      </c>
      <c r="D25" s="18" t="s">
        <v>446</v>
      </c>
      <c r="E25" s="18" t="s">
        <v>199</v>
      </c>
      <c r="F25" s="92">
        <v>0.39</v>
      </c>
      <c r="G25" s="18">
        <v>63</v>
      </c>
      <c r="H25" s="18">
        <v>41.3</v>
      </c>
      <c r="I25" s="18"/>
      <c r="J25" s="18"/>
      <c r="K25" s="18"/>
      <c r="L25" s="18"/>
      <c r="M25" s="18"/>
      <c r="N25" s="18">
        <f t="shared" si="1"/>
        <v>1409.7</v>
      </c>
      <c r="Q25" s="5">
        <v>41.3</v>
      </c>
      <c r="R25">
        <f t="shared" si="2"/>
        <v>16.106999999999999</v>
      </c>
      <c r="S25" s="5">
        <f t="shared" si="3"/>
        <v>21</v>
      </c>
      <c r="T25" s="158">
        <v>44999</v>
      </c>
      <c r="U25" s="18" t="s">
        <v>266</v>
      </c>
      <c r="V25" s="18" t="s">
        <v>349</v>
      </c>
      <c r="W25" s="18" t="s">
        <v>199</v>
      </c>
      <c r="X25" s="18">
        <v>0.39</v>
      </c>
      <c r="Y25" s="18">
        <v>90</v>
      </c>
      <c r="Z25" s="163">
        <v>96</v>
      </c>
      <c r="AA25" s="18"/>
      <c r="AB25" s="18"/>
      <c r="AC25" s="18"/>
      <c r="AD25" s="18"/>
      <c r="AE25" s="18"/>
      <c r="AF25" s="18" t="e">
        <f>+AF24+Z9</f>
        <v>#REF!</v>
      </c>
    </row>
    <row r="26" spans="1:32" ht="15.75">
      <c r="A26" s="5">
        <f t="shared" si="0"/>
        <v>23</v>
      </c>
      <c r="B26" s="158">
        <v>44999</v>
      </c>
      <c r="C26" s="18" t="s">
        <v>446</v>
      </c>
      <c r="D26" s="18" t="s">
        <v>846</v>
      </c>
      <c r="E26" s="18" t="s">
        <v>199</v>
      </c>
      <c r="F26" s="92">
        <v>0.39</v>
      </c>
      <c r="G26" s="18">
        <v>63</v>
      </c>
      <c r="H26" s="18">
        <v>16.100000000000001</v>
      </c>
      <c r="I26" s="18"/>
      <c r="J26" s="18"/>
      <c r="K26" s="18"/>
      <c r="L26" s="18"/>
      <c r="M26" s="18"/>
      <c r="N26" s="18">
        <f t="shared" si="1"/>
        <v>1425.8</v>
      </c>
      <c r="Q26" s="5">
        <v>16.100000000000001</v>
      </c>
      <c r="R26">
        <f t="shared" si="2"/>
        <v>6.2790000000000008</v>
      </c>
      <c r="S26" s="5">
        <f t="shared" si="3"/>
        <v>22</v>
      </c>
      <c r="T26" s="158">
        <v>44999</v>
      </c>
      <c r="U26" s="18" t="s">
        <v>349</v>
      </c>
      <c r="V26" s="18" t="s">
        <v>281</v>
      </c>
      <c r="W26" s="18" t="s">
        <v>199</v>
      </c>
      <c r="X26" s="18">
        <v>0.39</v>
      </c>
      <c r="Y26" s="18">
        <v>90</v>
      </c>
      <c r="Z26" s="163">
        <v>4</v>
      </c>
      <c r="AA26" s="18"/>
      <c r="AB26" s="18"/>
      <c r="AC26" s="18"/>
      <c r="AD26" s="18"/>
      <c r="AE26" s="18"/>
      <c r="AF26" s="18" t="e">
        <f>+AF25+Z10</f>
        <v>#REF!</v>
      </c>
    </row>
    <row r="27" spans="1:32" ht="15.75">
      <c r="A27" s="5">
        <f t="shared" si="0"/>
        <v>24</v>
      </c>
      <c r="B27" s="158">
        <v>44999</v>
      </c>
      <c r="C27" s="18" t="s">
        <v>446</v>
      </c>
      <c r="D27" s="18" t="s">
        <v>856</v>
      </c>
      <c r="E27" s="18" t="s">
        <v>199</v>
      </c>
      <c r="F27" s="92">
        <v>0.39</v>
      </c>
      <c r="G27" s="18">
        <v>63</v>
      </c>
      <c r="H27" s="18">
        <v>25.1</v>
      </c>
      <c r="I27" s="18"/>
      <c r="J27" s="18"/>
      <c r="K27" s="18"/>
      <c r="L27" s="18"/>
      <c r="M27" s="18"/>
      <c r="N27" s="18">
        <f t="shared" si="1"/>
        <v>1450.8999999999999</v>
      </c>
      <c r="Q27" s="5">
        <v>25.1</v>
      </c>
      <c r="R27">
        <f t="shared" si="2"/>
        <v>9.7890000000000015</v>
      </c>
      <c r="S27" s="5">
        <f t="shared" si="3"/>
        <v>23</v>
      </c>
      <c r="T27" s="158">
        <v>44999</v>
      </c>
      <c r="U27" s="18" t="s">
        <v>266</v>
      </c>
      <c r="V27" s="18" t="s">
        <v>268</v>
      </c>
      <c r="W27" s="18" t="s">
        <v>193</v>
      </c>
      <c r="X27" s="18">
        <v>0.39</v>
      </c>
      <c r="Y27" s="18">
        <v>90</v>
      </c>
      <c r="Z27" s="163">
        <v>3.5</v>
      </c>
      <c r="AA27" s="18"/>
      <c r="AB27" s="18"/>
      <c r="AC27" s="18"/>
      <c r="AD27" s="18"/>
      <c r="AE27" s="18"/>
      <c r="AF27" s="18" t="e">
        <f>+AF26+Z11</f>
        <v>#REF!</v>
      </c>
    </row>
    <row r="28" spans="1:32" ht="15.75">
      <c r="A28" s="5">
        <f t="shared" si="0"/>
        <v>25</v>
      </c>
      <c r="B28" s="158">
        <v>44999</v>
      </c>
      <c r="C28" s="18" t="s">
        <v>861</v>
      </c>
      <c r="D28" s="18" t="s">
        <v>856</v>
      </c>
      <c r="E28" s="21" t="s">
        <v>769</v>
      </c>
      <c r="F28" s="18"/>
      <c r="G28" s="18">
        <v>63</v>
      </c>
      <c r="H28" s="18">
        <v>45</v>
      </c>
      <c r="I28" s="18"/>
      <c r="J28" s="18"/>
      <c r="K28" s="18"/>
      <c r="L28" s="18"/>
      <c r="M28" s="18"/>
      <c r="N28" s="18">
        <f t="shared" si="1"/>
        <v>1495.8999999999999</v>
      </c>
      <c r="Q28" s="5"/>
      <c r="R28">
        <f t="shared" si="2"/>
        <v>0</v>
      </c>
      <c r="S28" s="5">
        <f t="shared" ref="S28:S62" si="5">1+S27</f>
        <v>24</v>
      </c>
      <c r="T28" s="158">
        <v>44999</v>
      </c>
      <c r="U28" s="18" t="s">
        <v>395</v>
      </c>
      <c r="V28" s="70" t="s">
        <v>325</v>
      </c>
      <c r="W28" s="92" t="s">
        <v>199</v>
      </c>
      <c r="X28" s="18">
        <v>0.39</v>
      </c>
      <c r="Y28" s="18">
        <v>63</v>
      </c>
      <c r="Z28" s="18">
        <v>84.6</v>
      </c>
      <c r="AA28" s="18"/>
      <c r="AB28" s="18"/>
      <c r="AC28" s="18"/>
      <c r="AD28" s="18"/>
      <c r="AE28" s="18"/>
      <c r="AF28" s="18" t="e">
        <f t="shared" si="4"/>
        <v>#REF!</v>
      </c>
    </row>
    <row r="29" spans="1:32" ht="15.75">
      <c r="A29" s="5">
        <f t="shared" si="0"/>
        <v>26</v>
      </c>
      <c r="B29" s="158">
        <v>44999</v>
      </c>
      <c r="C29" s="18" t="s">
        <v>856</v>
      </c>
      <c r="D29" s="18" t="s">
        <v>386</v>
      </c>
      <c r="E29" s="18" t="s">
        <v>199</v>
      </c>
      <c r="F29" s="92">
        <v>0.39</v>
      </c>
      <c r="G29" s="18">
        <v>63</v>
      </c>
      <c r="H29" s="18">
        <v>68.7</v>
      </c>
      <c r="I29" s="18"/>
      <c r="J29" s="18"/>
      <c r="K29" s="18"/>
      <c r="L29" s="18"/>
      <c r="M29" s="18"/>
      <c r="N29" s="18">
        <f t="shared" si="1"/>
        <v>1564.6</v>
      </c>
      <c r="Q29" s="5">
        <v>68.7</v>
      </c>
      <c r="R29">
        <f t="shared" si="2"/>
        <v>26.793000000000003</v>
      </c>
      <c r="S29" s="5">
        <f t="shared" si="5"/>
        <v>25</v>
      </c>
      <c r="T29" s="158">
        <v>44999</v>
      </c>
      <c r="U29" s="18" t="s">
        <v>357</v>
      </c>
      <c r="V29" s="18" t="s">
        <v>197</v>
      </c>
      <c r="W29" s="18" t="s">
        <v>301</v>
      </c>
      <c r="X29" s="18">
        <v>0.39</v>
      </c>
      <c r="Y29" s="18">
        <v>63</v>
      </c>
      <c r="Z29" s="18">
        <v>12.5</v>
      </c>
      <c r="AA29" s="18"/>
      <c r="AB29" s="18"/>
      <c r="AC29" s="18"/>
      <c r="AD29" s="18"/>
      <c r="AE29" s="18"/>
      <c r="AF29" s="18" t="e">
        <f>+AF28+Z12</f>
        <v>#REF!</v>
      </c>
    </row>
    <row r="30" spans="1:32" ht="15.75">
      <c r="A30" s="5">
        <f t="shared" si="0"/>
        <v>27</v>
      </c>
      <c r="B30" s="158">
        <v>44999</v>
      </c>
      <c r="C30" s="18" t="s">
        <v>386</v>
      </c>
      <c r="D30" s="18" t="s">
        <v>862</v>
      </c>
      <c r="E30" s="21" t="s">
        <v>769</v>
      </c>
      <c r="F30" s="18"/>
      <c r="G30" s="18">
        <v>63</v>
      </c>
      <c r="H30" s="18">
        <v>46.8</v>
      </c>
      <c r="I30" s="18"/>
      <c r="J30" s="18"/>
      <c r="K30" s="18"/>
      <c r="L30" s="18"/>
      <c r="M30" s="18"/>
      <c r="N30" s="18">
        <f t="shared" si="1"/>
        <v>1611.3999999999999</v>
      </c>
      <c r="Q30" s="5"/>
      <c r="R30">
        <f t="shared" si="2"/>
        <v>0</v>
      </c>
      <c r="S30" s="5">
        <f t="shared" si="5"/>
        <v>26</v>
      </c>
      <c r="T30" s="158">
        <v>44999</v>
      </c>
      <c r="U30" s="18" t="s">
        <v>357</v>
      </c>
      <c r="V30" s="18" t="s">
        <v>247</v>
      </c>
      <c r="W30" s="18" t="s">
        <v>199</v>
      </c>
      <c r="X30" s="18">
        <v>0.39</v>
      </c>
      <c r="Y30" s="18">
        <v>63</v>
      </c>
      <c r="Z30" s="18">
        <v>18</v>
      </c>
      <c r="AA30" s="18"/>
      <c r="AB30" s="18"/>
      <c r="AC30" s="18"/>
      <c r="AD30" s="18"/>
      <c r="AE30" s="18"/>
      <c r="AF30" s="18" t="e">
        <f t="shared" si="4"/>
        <v>#REF!</v>
      </c>
    </row>
    <row r="31" spans="1:32" ht="15.75">
      <c r="A31" s="5">
        <f t="shared" si="0"/>
        <v>28</v>
      </c>
      <c r="B31" s="158">
        <v>44999</v>
      </c>
      <c r="C31" s="18" t="s">
        <v>347</v>
      </c>
      <c r="D31" s="18" t="s">
        <v>665</v>
      </c>
      <c r="E31" s="21" t="s">
        <v>769</v>
      </c>
      <c r="F31" s="18"/>
      <c r="G31" s="18">
        <v>63</v>
      </c>
      <c r="H31" s="18">
        <v>55</v>
      </c>
      <c r="I31" s="18"/>
      <c r="J31" s="18"/>
      <c r="K31" s="18"/>
      <c r="L31" s="18"/>
      <c r="M31" s="18"/>
      <c r="N31" s="18">
        <f t="shared" si="1"/>
        <v>1666.3999999999999</v>
      </c>
      <c r="Q31" s="5"/>
      <c r="R31">
        <f t="shared" si="2"/>
        <v>0</v>
      </c>
      <c r="S31" s="5">
        <f t="shared" si="5"/>
        <v>27</v>
      </c>
      <c r="T31" s="158">
        <v>44999</v>
      </c>
      <c r="U31" s="18" t="s">
        <v>260</v>
      </c>
      <c r="V31" s="18" t="s">
        <v>311</v>
      </c>
      <c r="W31" s="92" t="s">
        <v>199</v>
      </c>
      <c r="X31" s="18">
        <v>0.39</v>
      </c>
      <c r="Y31" s="18">
        <v>63</v>
      </c>
      <c r="Z31" s="18">
        <v>13</v>
      </c>
      <c r="AA31" s="18"/>
      <c r="AB31" s="18"/>
      <c r="AC31" s="18"/>
      <c r="AD31" s="18"/>
      <c r="AE31" s="18"/>
      <c r="AF31" s="18" t="e">
        <f t="shared" si="4"/>
        <v>#REF!</v>
      </c>
    </row>
    <row r="32" spans="1:32" ht="15.75">
      <c r="A32" s="5">
        <f t="shared" si="0"/>
        <v>29</v>
      </c>
      <c r="B32" s="158">
        <v>44999</v>
      </c>
      <c r="C32" s="5" t="s">
        <v>863</v>
      </c>
      <c r="D32" s="5" t="s">
        <v>864</v>
      </c>
      <c r="E32" s="21" t="s">
        <v>769</v>
      </c>
      <c r="F32" s="8"/>
      <c r="G32" s="18">
        <v>63</v>
      </c>
      <c r="H32" s="5">
        <v>28.7</v>
      </c>
      <c r="I32" s="8"/>
      <c r="J32" s="8"/>
      <c r="K32" s="8"/>
      <c r="L32" s="8"/>
      <c r="M32" s="8"/>
      <c r="N32" s="18">
        <f t="shared" si="1"/>
        <v>1695.1</v>
      </c>
      <c r="Q32" s="5"/>
      <c r="R32">
        <f t="shared" si="2"/>
        <v>0</v>
      </c>
      <c r="S32" s="5">
        <f t="shared" si="5"/>
        <v>28</v>
      </c>
      <c r="T32" s="158">
        <v>44999</v>
      </c>
      <c r="U32" s="18" t="s">
        <v>524</v>
      </c>
      <c r="V32" s="18" t="s">
        <v>443</v>
      </c>
      <c r="W32" s="92" t="s">
        <v>193</v>
      </c>
      <c r="X32" s="18">
        <v>0.39</v>
      </c>
      <c r="Y32" s="18">
        <v>63</v>
      </c>
      <c r="Z32" s="18">
        <v>3.5</v>
      </c>
      <c r="AA32" s="8"/>
      <c r="AB32" s="8"/>
      <c r="AC32" s="8"/>
      <c r="AD32" s="8"/>
      <c r="AE32" s="8"/>
      <c r="AF32" s="18" t="e">
        <f t="shared" si="4"/>
        <v>#REF!</v>
      </c>
    </row>
    <row r="33" spans="1:32" ht="15.75">
      <c r="A33" s="5">
        <f t="shared" si="0"/>
        <v>30</v>
      </c>
      <c r="B33" s="158">
        <v>44999</v>
      </c>
      <c r="C33" s="5" t="s">
        <v>65</v>
      </c>
      <c r="D33" s="5" t="s">
        <v>838</v>
      </c>
      <c r="E33" s="18" t="s">
        <v>193</v>
      </c>
      <c r="F33" s="92">
        <v>0.36</v>
      </c>
      <c r="G33" s="18">
        <v>63</v>
      </c>
      <c r="H33" s="5">
        <v>3.5</v>
      </c>
      <c r="I33" s="8"/>
      <c r="J33" s="8"/>
      <c r="K33" s="8"/>
      <c r="L33" s="8"/>
      <c r="M33" s="8"/>
      <c r="N33" s="18">
        <f t="shared" si="1"/>
        <v>1698.6</v>
      </c>
      <c r="Q33" s="5">
        <v>3.5</v>
      </c>
      <c r="R33">
        <f t="shared" si="2"/>
        <v>1.26</v>
      </c>
      <c r="S33" s="5">
        <f t="shared" si="5"/>
        <v>29</v>
      </c>
      <c r="T33" s="158">
        <v>44999</v>
      </c>
      <c r="U33" s="18" t="s">
        <v>524</v>
      </c>
      <c r="V33" s="18" t="s">
        <v>443</v>
      </c>
      <c r="W33" s="92" t="s">
        <v>199</v>
      </c>
      <c r="X33" s="18">
        <v>0.39</v>
      </c>
      <c r="Y33" s="18">
        <v>63</v>
      </c>
      <c r="Z33" s="18">
        <v>43.4</v>
      </c>
      <c r="AA33" s="8"/>
      <c r="AB33" s="8"/>
      <c r="AC33" s="8"/>
      <c r="AD33" s="8"/>
      <c r="AE33" s="8"/>
      <c r="AF33" s="18" t="e">
        <f>+AF32+Z13</f>
        <v>#REF!</v>
      </c>
    </row>
    <row r="34" spans="1:32" ht="15.75">
      <c r="A34" s="5">
        <f t="shared" si="0"/>
        <v>31</v>
      </c>
      <c r="B34" s="158">
        <v>44999</v>
      </c>
      <c r="C34" s="5" t="s">
        <v>65</v>
      </c>
      <c r="D34" s="5" t="s">
        <v>838</v>
      </c>
      <c r="E34" s="21" t="s">
        <v>769</v>
      </c>
      <c r="F34" s="5"/>
      <c r="G34" s="18">
        <v>63</v>
      </c>
      <c r="H34" s="5">
        <f>134-21</f>
        <v>113</v>
      </c>
      <c r="I34" s="8"/>
      <c r="J34" s="8"/>
      <c r="K34" s="8"/>
      <c r="L34" s="8"/>
      <c r="M34" s="8"/>
      <c r="N34" s="18">
        <f t="shared" si="1"/>
        <v>1811.6</v>
      </c>
      <c r="Q34" s="5"/>
      <c r="R34">
        <f t="shared" si="2"/>
        <v>0</v>
      </c>
      <c r="S34" s="5">
        <f t="shared" si="5"/>
        <v>30</v>
      </c>
      <c r="T34" s="158">
        <v>44999</v>
      </c>
      <c r="U34" s="18" t="s">
        <v>239</v>
      </c>
      <c r="V34" s="18" t="s">
        <v>334</v>
      </c>
      <c r="W34" s="92" t="s">
        <v>193</v>
      </c>
      <c r="X34" s="18">
        <v>0.39</v>
      </c>
      <c r="Y34" s="18">
        <v>63</v>
      </c>
      <c r="Z34" s="18">
        <v>3.5</v>
      </c>
      <c r="AA34" s="8"/>
      <c r="AB34" s="8"/>
      <c r="AC34" s="8"/>
      <c r="AD34" s="8"/>
      <c r="AE34" s="8"/>
      <c r="AF34" s="18" t="e">
        <f t="shared" si="4"/>
        <v>#REF!</v>
      </c>
    </row>
    <row r="35" spans="1:32" ht="15.75">
      <c r="A35" s="5">
        <f t="shared" si="0"/>
        <v>32</v>
      </c>
      <c r="B35" s="158"/>
      <c r="C35" s="5" t="s">
        <v>65</v>
      </c>
      <c r="D35" s="5" t="s">
        <v>838</v>
      </c>
      <c r="E35" s="18" t="s">
        <v>199</v>
      </c>
      <c r="F35" s="92">
        <v>0.39</v>
      </c>
      <c r="G35" s="18">
        <v>63</v>
      </c>
      <c r="H35" s="5">
        <v>21</v>
      </c>
      <c r="I35" s="8"/>
      <c r="J35" s="8"/>
      <c r="K35" s="8"/>
      <c r="L35" s="8"/>
      <c r="M35" s="8"/>
      <c r="N35" s="18">
        <f t="shared" si="1"/>
        <v>1832.6</v>
      </c>
      <c r="Q35" s="5">
        <v>21</v>
      </c>
      <c r="R35">
        <f t="shared" si="2"/>
        <v>8.19</v>
      </c>
      <c r="S35" s="5">
        <f t="shared" si="5"/>
        <v>31</v>
      </c>
      <c r="T35" s="158"/>
      <c r="U35" s="18" t="s">
        <v>252</v>
      </c>
      <c r="V35" s="18" t="s">
        <v>364</v>
      </c>
      <c r="W35" s="92" t="s">
        <v>199</v>
      </c>
      <c r="X35" s="18">
        <v>0.39</v>
      </c>
      <c r="Y35" s="18">
        <v>75</v>
      </c>
      <c r="Z35" s="18">
        <v>46</v>
      </c>
      <c r="AA35" s="8"/>
      <c r="AB35" s="8"/>
      <c r="AC35" s="8"/>
      <c r="AD35" s="8"/>
      <c r="AE35" s="8"/>
      <c r="AF35" s="18" t="e">
        <f>+AF34+Z14</f>
        <v>#REF!</v>
      </c>
    </row>
    <row r="36" spans="1:32" ht="15.75">
      <c r="A36" s="5">
        <f t="shared" si="0"/>
        <v>33</v>
      </c>
      <c r="B36" s="158">
        <v>44999</v>
      </c>
      <c r="C36" s="5" t="s">
        <v>65</v>
      </c>
      <c r="D36" s="5" t="s">
        <v>132</v>
      </c>
      <c r="E36" s="21" t="s">
        <v>769</v>
      </c>
      <c r="F36" s="92"/>
      <c r="G36" s="18">
        <v>63</v>
      </c>
      <c r="H36" s="5">
        <f>27.3-6</f>
        <v>21.3</v>
      </c>
      <c r="I36" s="8"/>
      <c r="J36" s="8"/>
      <c r="K36" s="8"/>
      <c r="L36" s="8"/>
      <c r="M36" s="8"/>
      <c r="N36" s="18">
        <f t="shared" si="1"/>
        <v>1853.8999999999999</v>
      </c>
      <c r="Q36" s="5"/>
      <c r="R36">
        <f t="shared" si="2"/>
        <v>0</v>
      </c>
      <c r="S36" s="5">
        <f t="shared" si="5"/>
        <v>32</v>
      </c>
      <c r="T36" s="158">
        <v>44999</v>
      </c>
      <c r="U36" s="18" t="s">
        <v>364</v>
      </c>
      <c r="V36" s="18" t="s">
        <v>595</v>
      </c>
      <c r="W36" s="92" t="s">
        <v>199</v>
      </c>
      <c r="X36" s="18">
        <v>0.39</v>
      </c>
      <c r="Y36" s="18">
        <v>75</v>
      </c>
      <c r="Z36" s="18">
        <v>231.5</v>
      </c>
      <c r="AA36" s="8"/>
      <c r="AB36" s="8"/>
      <c r="AC36" s="8"/>
      <c r="AD36" s="8"/>
      <c r="AE36" s="8"/>
      <c r="AF36" s="18" t="e">
        <f t="shared" si="4"/>
        <v>#REF!</v>
      </c>
    </row>
    <row r="37" spans="1:32" ht="15.75">
      <c r="A37" s="5">
        <f t="shared" si="0"/>
        <v>34</v>
      </c>
      <c r="B37" s="158"/>
      <c r="C37" s="5" t="s">
        <v>65</v>
      </c>
      <c r="D37" s="5" t="s">
        <v>132</v>
      </c>
      <c r="E37" s="5" t="s">
        <v>301</v>
      </c>
      <c r="F37" s="92">
        <v>0.39</v>
      </c>
      <c r="G37" s="18">
        <v>63</v>
      </c>
      <c r="H37" s="5">
        <v>6</v>
      </c>
      <c r="I37" s="8"/>
      <c r="J37" s="8"/>
      <c r="K37" s="8"/>
      <c r="L37" s="8"/>
      <c r="M37" s="8"/>
      <c r="N37" s="18">
        <f t="shared" si="1"/>
        <v>1859.8999999999999</v>
      </c>
      <c r="Q37" s="5">
        <v>6</v>
      </c>
      <c r="R37">
        <f t="shared" si="2"/>
        <v>2.34</v>
      </c>
      <c r="S37" s="5">
        <f t="shared" si="5"/>
        <v>33</v>
      </c>
      <c r="T37" s="158"/>
      <c r="U37" s="18" t="s">
        <v>359</v>
      </c>
      <c r="V37" s="18" t="s">
        <v>198</v>
      </c>
      <c r="W37" s="92" t="s">
        <v>199</v>
      </c>
      <c r="X37" s="18">
        <v>0.39</v>
      </c>
      <c r="Y37" s="18">
        <v>75</v>
      </c>
      <c r="Z37" s="18">
        <v>50</v>
      </c>
      <c r="AA37" s="8"/>
      <c r="AB37" s="8"/>
      <c r="AC37" s="8"/>
      <c r="AD37" s="8"/>
      <c r="AE37" s="8"/>
      <c r="AF37" s="18" t="e">
        <f t="shared" si="4"/>
        <v>#REF!</v>
      </c>
    </row>
    <row r="38" spans="1:32" ht="15.75">
      <c r="A38" s="5">
        <f t="shared" si="0"/>
        <v>35</v>
      </c>
      <c r="B38" s="158">
        <v>44999</v>
      </c>
      <c r="C38" s="5" t="s">
        <v>111</v>
      </c>
      <c r="D38" s="5" t="s">
        <v>171</v>
      </c>
      <c r="E38" s="21" t="s">
        <v>769</v>
      </c>
      <c r="F38" s="18"/>
      <c r="G38" s="18">
        <v>63</v>
      </c>
      <c r="H38" s="5">
        <f>31.6-4.7</f>
        <v>26.900000000000002</v>
      </c>
      <c r="I38" s="8"/>
      <c r="J38" s="8"/>
      <c r="K38" s="8"/>
      <c r="L38" s="8"/>
      <c r="M38" s="8"/>
      <c r="N38" s="18">
        <f t="shared" si="1"/>
        <v>1886.8</v>
      </c>
      <c r="Q38" s="5"/>
      <c r="R38">
        <f t="shared" si="2"/>
        <v>0</v>
      </c>
      <c r="S38" s="5">
        <f t="shared" si="5"/>
        <v>34</v>
      </c>
      <c r="T38" s="158">
        <v>44999</v>
      </c>
      <c r="U38" s="18" t="s">
        <v>198</v>
      </c>
      <c r="V38" s="18" t="s">
        <v>245</v>
      </c>
      <c r="W38" s="92" t="s">
        <v>199</v>
      </c>
      <c r="X38" s="18">
        <v>0.39</v>
      </c>
      <c r="Y38" s="18">
        <v>75</v>
      </c>
      <c r="Z38" s="18">
        <v>50</v>
      </c>
      <c r="AA38" s="8"/>
      <c r="AB38" s="8"/>
      <c r="AC38" s="8"/>
      <c r="AD38" s="8"/>
      <c r="AE38" s="8"/>
      <c r="AF38" s="18" t="e">
        <f t="shared" si="4"/>
        <v>#REF!</v>
      </c>
    </row>
    <row r="39" spans="1:32" ht="15.75">
      <c r="A39" s="5">
        <f t="shared" si="0"/>
        <v>36</v>
      </c>
      <c r="B39" s="158"/>
      <c r="C39" s="5" t="s">
        <v>111</v>
      </c>
      <c r="D39" s="5" t="s">
        <v>171</v>
      </c>
      <c r="E39" s="18" t="s">
        <v>193</v>
      </c>
      <c r="F39" s="92">
        <v>0.39</v>
      </c>
      <c r="G39" s="18">
        <v>63</v>
      </c>
      <c r="H39" s="5">
        <v>3.5</v>
      </c>
      <c r="I39" s="8"/>
      <c r="J39" s="8"/>
      <c r="K39" s="8"/>
      <c r="L39" s="8"/>
      <c r="M39" s="8"/>
      <c r="N39" s="18">
        <f t="shared" si="1"/>
        <v>1890.3</v>
      </c>
      <c r="Q39" s="5">
        <v>3.5</v>
      </c>
      <c r="R39">
        <f t="shared" si="2"/>
        <v>1.365</v>
      </c>
      <c r="S39" s="5">
        <f t="shared" si="5"/>
        <v>35</v>
      </c>
      <c r="T39" s="158"/>
      <c r="U39" s="18" t="s">
        <v>398</v>
      </c>
      <c r="V39" s="18" t="s">
        <v>865</v>
      </c>
      <c r="W39" s="92" t="s">
        <v>193</v>
      </c>
      <c r="X39" s="18">
        <v>0.39</v>
      </c>
      <c r="Y39" s="18">
        <v>75</v>
      </c>
      <c r="Z39" s="18">
        <v>3.5</v>
      </c>
      <c r="AA39" s="8"/>
      <c r="AB39" s="8"/>
      <c r="AC39" s="8"/>
      <c r="AD39" s="8"/>
      <c r="AE39" s="8"/>
      <c r="AF39" s="18" t="e">
        <f>+AF38+Z16</f>
        <v>#REF!</v>
      </c>
    </row>
    <row r="40" spans="1:32" ht="15.75">
      <c r="A40" s="5">
        <f t="shared" si="0"/>
        <v>37</v>
      </c>
      <c r="B40" s="158">
        <v>44999</v>
      </c>
      <c r="C40" s="5" t="s">
        <v>111</v>
      </c>
      <c r="D40" s="5" t="s">
        <v>171</v>
      </c>
      <c r="E40" s="5" t="s">
        <v>301</v>
      </c>
      <c r="F40" s="92">
        <v>0.44</v>
      </c>
      <c r="G40" s="18">
        <v>63</v>
      </c>
      <c r="H40" s="5">
        <v>100.2</v>
      </c>
      <c r="I40" s="8"/>
      <c r="J40" s="8"/>
      <c r="K40" s="8"/>
      <c r="L40" s="8"/>
      <c r="M40" s="8"/>
      <c r="N40" s="18">
        <f t="shared" si="1"/>
        <v>1990.5</v>
      </c>
      <c r="Q40" s="5">
        <v>100.2</v>
      </c>
      <c r="R40">
        <f t="shared" si="2"/>
        <v>44.088000000000001</v>
      </c>
      <c r="S40" s="5">
        <f t="shared" si="5"/>
        <v>36</v>
      </c>
      <c r="T40" s="158">
        <v>44999</v>
      </c>
      <c r="U40" s="18" t="s">
        <v>865</v>
      </c>
      <c r="V40" s="18" t="s">
        <v>537</v>
      </c>
      <c r="W40" s="92" t="s">
        <v>199</v>
      </c>
      <c r="X40" s="18">
        <v>0.39</v>
      </c>
      <c r="Y40" s="18">
        <v>75</v>
      </c>
      <c r="Z40" s="18">
        <v>113</v>
      </c>
      <c r="AA40" s="8"/>
      <c r="AB40" s="8"/>
      <c r="AC40" s="8"/>
      <c r="AD40" s="8"/>
      <c r="AE40" s="8"/>
      <c r="AF40" s="18" t="e">
        <f>+AF39+Z17</f>
        <v>#REF!</v>
      </c>
    </row>
    <row r="41" spans="1:32" ht="15.75">
      <c r="A41" s="5">
        <f t="shared" si="0"/>
        <v>38</v>
      </c>
      <c r="B41" s="158">
        <v>44999</v>
      </c>
      <c r="C41" s="5" t="s">
        <v>111</v>
      </c>
      <c r="D41" s="5" t="s">
        <v>171</v>
      </c>
      <c r="E41" s="21" t="s">
        <v>769</v>
      </c>
      <c r="F41" s="5"/>
      <c r="G41" s="18">
        <v>63</v>
      </c>
      <c r="H41" s="5">
        <v>337</v>
      </c>
      <c r="I41" s="8"/>
      <c r="J41" s="8"/>
      <c r="K41" s="8"/>
      <c r="L41" s="8"/>
      <c r="M41" s="8"/>
      <c r="N41" s="18">
        <f t="shared" si="1"/>
        <v>2327.5</v>
      </c>
      <c r="Q41" s="8"/>
      <c r="R41">
        <f t="shared" si="2"/>
        <v>0</v>
      </c>
      <c r="S41" s="5">
        <f t="shared" si="5"/>
        <v>37</v>
      </c>
      <c r="T41" s="158">
        <v>44999</v>
      </c>
      <c r="U41" s="18" t="s">
        <v>352</v>
      </c>
      <c r="V41" s="18" t="s">
        <v>416</v>
      </c>
      <c r="W41" s="92" t="s">
        <v>199</v>
      </c>
      <c r="X41" s="18">
        <v>0.39</v>
      </c>
      <c r="Y41" s="18">
        <v>75</v>
      </c>
      <c r="Z41" s="18">
        <v>155</v>
      </c>
      <c r="AA41" s="8"/>
      <c r="AB41" s="8"/>
      <c r="AC41" s="8"/>
      <c r="AD41" s="8"/>
      <c r="AE41" s="8"/>
      <c r="AF41" s="18" t="e">
        <f t="shared" si="4"/>
        <v>#REF!</v>
      </c>
    </row>
    <row r="42" spans="1:32" ht="15.75">
      <c r="A42" s="5">
        <f t="shared" si="0"/>
        <v>39</v>
      </c>
      <c r="B42" s="158">
        <v>44999</v>
      </c>
      <c r="C42" s="5" t="s">
        <v>171</v>
      </c>
      <c r="D42" s="5" t="s">
        <v>833</v>
      </c>
      <c r="E42" s="21" t="s">
        <v>769</v>
      </c>
      <c r="F42" s="5"/>
      <c r="G42" s="18">
        <v>63</v>
      </c>
      <c r="H42" s="5">
        <v>18.7</v>
      </c>
      <c r="I42" s="8"/>
      <c r="J42" s="8"/>
      <c r="K42" s="8"/>
      <c r="L42" s="8"/>
      <c r="M42" s="8"/>
      <c r="N42" s="18">
        <f t="shared" si="1"/>
        <v>2346.1999999999998</v>
      </c>
      <c r="Q42" s="5"/>
      <c r="R42">
        <f t="shared" si="2"/>
        <v>0</v>
      </c>
      <c r="S42" s="5">
        <f t="shared" si="5"/>
        <v>38</v>
      </c>
      <c r="T42" s="158">
        <v>44999</v>
      </c>
      <c r="U42" s="18" t="s">
        <v>361</v>
      </c>
      <c r="V42" s="18" t="s">
        <v>307</v>
      </c>
      <c r="W42" s="92" t="s">
        <v>199</v>
      </c>
      <c r="X42" s="92">
        <v>0.44</v>
      </c>
      <c r="Y42" s="18">
        <v>110</v>
      </c>
      <c r="Z42" s="18">
        <v>19</v>
      </c>
      <c r="AA42" s="8"/>
      <c r="AB42" s="8"/>
      <c r="AC42" s="8"/>
      <c r="AD42" s="8"/>
      <c r="AE42" s="8"/>
      <c r="AF42" s="18" t="e">
        <f t="shared" si="4"/>
        <v>#REF!</v>
      </c>
    </row>
    <row r="43" spans="1:32" ht="15.75">
      <c r="A43" s="5">
        <f t="shared" si="0"/>
        <v>40</v>
      </c>
      <c r="B43" s="158">
        <v>44999</v>
      </c>
      <c r="C43" s="18" t="s">
        <v>866</v>
      </c>
      <c r="D43" s="18" t="s">
        <v>867</v>
      </c>
      <c r="E43" s="21" t="s">
        <v>769</v>
      </c>
      <c r="F43" s="5"/>
      <c r="G43" s="18">
        <v>63</v>
      </c>
      <c r="H43" s="18">
        <v>12.6</v>
      </c>
      <c r="I43" s="8"/>
      <c r="J43" s="8"/>
      <c r="K43" s="8"/>
      <c r="L43" s="8"/>
      <c r="M43" s="8"/>
      <c r="N43" s="18">
        <f t="shared" si="1"/>
        <v>2358.7999999999997</v>
      </c>
      <c r="Q43" s="5"/>
      <c r="R43">
        <f t="shared" si="2"/>
        <v>0</v>
      </c>
      <c r="S43" s="5">
        <f t="shared" si="5"/>
        <v>39</v>
      </c>
      <c r="T43" s="158">
        <v>44999</v>
      </c>
      <c r="U43" s="18" t="s">
        <v>307</v>
      </c>
      <c r="V43" s="18" t="s">
        <v>436</v>
      </c>
      <c r="W43" s="92" t="s">
        <v>199</v>
      </c>
      <c r="X43" s="92">
        <v>0.44</v>
      </c>
      <c r="Y43" s="18">
        <v>110</v>
      </c>
      <c r="Z43" s="18">
        <v>11</v>
      </c>
      <c r="AA43" s="8"/>
      <c r="AB43" s="8"/>
      <c r="AC43" s="8"/>
      <c r="AD43" s="8"/>
      <c r="AE43" s="8"/>
      <c r="AF43" s="18" t="e">
        <f t="shared" si="4"/>
        <v>#REF!</v>
      </c>
    </row>
    <row r="44" spans="1:32" ht="15.75">
      <c r="A44" s="5">
        <f t="shared" si="0"/>
        <v>41</v>
      </c>
      <c r="B44" s="158">
        <v>44999</v>
      </c>
      <c r="C44" s="18" t="s">
        <v>139</v>
      </c>
      <c r="D44" s="18" t="s">
        <v>146</v>
      </c>
      <c r="E44" s="21" t="s">
        <v>769</v>
      </c>
      <c r="F44" s="18"/>
      <c r="G44" s="18">
        <v>63</v>
      </c>
      <c r="H44" s="18">
        <v>106.9</v>
      </c>
      <c r="I44" s="8"/>
      <c r="J44" s="8"/>
      <c r="K44" s="8"/>
      <c r="L44" s="8"/>
      <c r="M44" s="8"/>
      <c r="N44" s="18">
        <f t="shared" si="1"/>
        <v>2465.6999999999998</v>
      </c>
      <c r="Q44" s="5"/>
      <c r="R44">
        <f t="shared" si="2"/>
        <v>0</v>
      </c>
      <c r="S44" s="5">
        <f t="shared" si="5"/>
        <v>40</v>
      </c>
      <c r="T44" s="158">
        <v>44999</v>
      </c>
      <c r="U44" s="18" t="s">
        <v>307</v>
      </c>
      <c r="V44" s="18" t="s">
        <v>436</v>
      </c>
      <c r="W44" s="92" t="s">
        <v>199</v>
      </c>
      <c r="X44" s="92">
        <v>0.44</v>
      </c>
      <c r="Y44" s="18">
        <v>110</v>
      </c>
      <c r="Z44" s="18">
        <v>11</v>
      </c>
      <c r="AA44" s="8"/>
      <c r="AB44" s="8"/>
      <c r="AC44" s="8"/>
      <c r="AD44" s="8"/>
      <c r="AE44" s="8"/>
      <c r="AF44" s="18" t="e">
        <f t="shared" si="4"/>
        <v>#REF!</v>
      </c>
    </row>
    <row r="45" spans="1:32" ht="15.75">
      <c r="A45" s="5">
        <f t="shared" si="0"/>
        <v>42</v>
      </c>
      <c r="B45" s="158">
        <v>44999</v>
      </c>
      <c r="C45" s="18" t="s">
        <v>115</v>
      </c>
      <c r="D45" s="18" t="s">
        <v>119</v>
      </c>
      <c r="E45" s="21" t="s">
        <v>769</v>
      </c>
      <c r="F45" s="18"/>
      <c r="G45" s="18">
        <v>63</v>
      </c>
      <c r="H45" s="18">
        <v>57.3</v>
      </c>
      <c r="I45" s="8"/>
      <c r="J45" s="8"/>
      <c r="K45" s="8"/>
      <c r="L45" s="8"/>
      <c r="M45" s="8"/>
      <c r="N45" s="18">
        <f t="shared" si="1"/>
        <v>2523</v>
      </c>
      <c r="Q45" s="5"/>
      <c r="R45">
        <f t="shared" si="2"/>
        <v>0</v>
      </c>
      <c r="S45" s="5">
        <f t="shared" si="5"/>
        <v>41</v>
      </c>
      <c r="T45" s="158">
        <v>44999</v>
      </c>
      <c r="U45" s="18" t="s">
        <v>307</v>
      </c>
      <c r="V45" s="18" t="s">
        <v>347</v>
      </c>
      <c r="W45" s="92" t="s">
        <v>199</v>
      </c>
      <c r="X45" s="92">
        <v>0.44</v>
      </c>
      <c r="Y45" s="18">
        <v>110</v>
      </c>
      <c r="Z45" s="18">
        <v>24.2</v>
      </c>
      <c r="AA45" s="8"/>
      <c r="AB45" s="8"/>
      <c r="AC45" s="8"/>
      <c r="AD45" s="8"/>
      <c r="AE45" s="8"/>
      <c r="AF45" s="18" t="e">
        <f>+AF44+#REF!</f>
        <v>#REF!</v>
      </c>
    </row>
    <row r="46" spans="1:32" ht="15.75">
      <c r="A46" s="5">
        <f t="shared" si="0"/>
        <v>43</v>
      </c>
      <c r="B46" s="158">
        <v>44999</v>
      </c>
      <c r="C46" s="18" t="s">
        <v>115</v>
      </c>
      <c r="D46" s="18" t="s">
        <v>119</v>
      </c>
      <c r="E46" s="21" t="s">
        <v>769</v>
      </c>
      <c r="F46" s="5"/>
      <c r="G46" s="18">
        <v>63</v>
      </c>
      <c r="H46" s="18">
        <v>80.599999999999994</v>
      </c>
      <c r="I46" s="8"/>
      <c r="J46" s="8"/>
      <c r="K46" s="8"/>
      <c r="L46" s="8"/>
      <c r="M46" s="8"/>
      <c r="N46" s="18">
        <f t="shared" si="1"/>
        <v>2603.6</v>
      </c>
      <c r="Q46" s="5"/>
      <c r="R46">
        <f t="shared" si="2"/>
        <v>0</v>
      </c>
      <c r="S46" s="5">
        <f t="shared" si="5"/>
        <v>42</v>
      </c>
      <c r="T46" s="158">
        <v>44999</v>
      </c>
      <c r="U46" s="18" t="s">
        <v>275</v>
      </c>
      <c r="V46" s="18" t="s">
        <v>386</v>
      </c>
      <c r="W46" s="92" t="s">
        <v>199</v>
      </c>
      <c r="X46" s="92">
        <v>0.44</v>
      </c>
      <c r="Y46" s="18">
        <v>110</v>
      </c>
      <c r="Z46" s="18">
        <v>108</v>
      </c>
      <c r="AA46" s="8"/>
      <c r="AB46" s="8"/>
      <c r="AC46" s="8"/>
      <c r="AD46" s="8"/>
      <c r="AE46" s="8"/>
      <c r="AF46" s="18" t="e">
        <f>+AF45+Z45</f>
        <v>#REF!</v>
      </c>
    </row>
    <row r="47" spans="1:32" ht="15.75">
      <c r="A47" s="5">
        <f t="shared" si="0"/>
        <v>44</v>
      </c>
      <c r="B47" s="158">
        <v>44999</v>
      </c>
      <c r="C47" s="18" t="s">
        <v>119</v>
      </c>
      <c r="D47" s="18" t="s">
        <v>64</v>
      </c>
      <c r="E47" s="21" t="s">
        <v>769</v>
      </c>
      <c r="F47" s="5"/>
      <c r="G47" s="18">
        <v>63</v>
      </c>
      <c r="H47" s="18">
        <v>70.7</v>
      </c>
      <c r="I47" s="8"/>
      <c r="J47" s="8"/>
      <c r="K47" s="8"/>
      <c r="L47" s="8"/>
      <c r="M47" s="8"/>
      <c r="N47" s="18">
        <f t="shared" si="1"/>
        <v>2674.2999999999997</v>
      </c>
      <c r="Q47" s="5"/>
      <c r="R47">
        <f t="shared" si="2"/>
        <v>0</v>
      </c>
      <c r="S47" s="5">
        <f t="shared" si="5"/>
        <v>43</v>
      </c>
      <c r="T47" s="158"/>
      <c r="U47" s="18" t="s">
        <v>340</v>
      </c>
      <c r="V47" s="18" t="s">
        <v>344</v>
      </c>
      <c r="W47" s="92" t="s">
        <v>199</v>
      </c>
      <c r="X47" s="92">
        <v>0.44</v>
      </c>
      <c r="Y47" s="18">
        <v>110</v>
      </c>
      <c r="Z47" s="18">
        <v>72</v>
      </c>
      <c r="AA47" s="8"/>
      <c r="AB47" s="8"/>
      <c r="AC47" s="8"/>
      <c r="AD47" s="8"/>
      <c r="AE47" s="8"/>
      <c r="AF47" s="18" t="e">
        <f>+AF46+Z46</f>
        <v>#REF!</v>
      </c>
    </row>
    <row r="48" spans="1:32" ht="15.75">
      <c r="A48" s="5">
        <f t="shared" si="0"/>
        <v>45</v>
      </c>
      <c r="B48" s="158"/>
      <c r="C48" s="18" t="s">
        <v>152</v>
      </c>
      <c r="D48" s="18" t="s">
        <v>538</v>
      </c>
      <c r="E48" s="21" t="s">
        <v>769</v>
      </c>
      <c r="F48" s="5"/>
      <c r="G48" s="18">
        <v>63</v>
      </c>
      <c r="H48" s="18">
        <f>37.4+2.3</f>
        <v>39.699999999999996</v>
      </c>
      <c r="I48" s="8"/>
      <c r="J48" s="8"/>
      <c r="K48" s="8"/>
      <c r="L48" s="8"/>
      <c r="M48" s="8"/>
      <c r="N48" s="18">
        <f t="shared" si="1"/>
        <v>2713.9999999999995</v>
      </c>
      <c r="Q48" s="5"/>
      <c r="R48">
        <f t="shared" si="2"/>
        <v>0</v>
      </c>
      <c r="S48" s="5">
        <f t="shared" si="5"/>
        <v>44</v>
      </c>
      <c r="T48" s="158"/>
      <c r="U48" s="18" t="s">
        <v>344</v>
      </c>
      <c r="V48" s="18" t="s">
        <v>274</v>
      </c>
      <c r="W48" s="92" t="s">
        <v>199</v>
      </c>
      <c r="X48" s="92">
        <v>0.44</v>
      </c>
      <c r="Y48" s="18">
        <v>110</v>
      </c>
      <c r="Z48" s="18">
        <v>57.3</v>
      </c>
      <c r="AA48" s="8"/>
      <c r="AB48" s="8"/>
      <c r="AC48" s="8"/>
      <c r="AD48" s="8"/>
      <c r="AE48" s="8"/>
      <c r="AF48" s="18" t="e">
        <f>+AF47+Z47</f>
        <v>#REF!</v>
      </c>
    </row>
    <row r="49" spans="1:32" ht="15.75">
      <c r="A49" s="5">
        <f t="shared" si="0"/>
        <v>46</v>
      </c>
      <c r="B49" s="158"/>
      <c r="C49" s="18" t="s">
        <v>628</v>
      </c>
      <c r="D49" s="18" t="s">
        <v>350</v>
      </c>
      <c r="E49" s="21" t="s">
        <v>769</v>
      </c>
      <c r="F49" s="5"/>
      <c r="G49" s="18">
        <v>63</v>
      </c>
      <c r="H49" s="18">
        <v>83</v>
      </c>
      <c r="I49" s="8"/>
      <c r="J49" s="8"/>
      <c r="K49" s="8"/>
      <c r="L49" s="8"/>
      <c r="M49" s="8"/>
      <c r="N49" s="18">
        <f t="shared" si="1"/>
        <v>2796.9999999999995</v>
      </c>
      <c r="Q49" s="5"/>
      <c r="R49">
        <f t="shared" si="2"/>
        <v>0</v>
      </c>
      <c r="S49" s="5">
        <f t="shared" si="5"/>
        <v>45</v>
      </c>
      <c r="T49" s="158"/>
      <c r="U49" s="18" t="s">
        <v>355</v>
      </c>
      <c r="V49" s="18" t="s">
        <v>395</v>
      </c>
      <c r="W49" s="92" t="s">
        <v>193</v>
      </c>
      <c r="X49" s="92">
        <v>0.44</v>
      </c>
      <c r="Y49" s="18">
        <v>140</v>
      </c>
      <c r="Z49" s="18">
        <v>6</v>
      </c>
      <c r="AA49" s="8"/>
      <c r="AB49" s="8"/>
      <c r="AC49" s="8"/>
      <c r="AD49" s="8"/>
      <c r="AE49" s="8"/>
      <c r="AF49" s="18" t="e">
        <f>+AF48+Z48</f>
        <v>#REF!</v>
      </c>
    </row>
    <row r="50" spans="1:32" ht="15.75">
      <c r="A50" s="5">
        <f t="shared" si="0"/>
        <v>47</v>
      </c>
      <c r="B50" s="158"/>
      <c r="C50" s="18" t="s">
        <v>250</v>
      </c>
      <c r="D50" s="18" t="s">
        <v>259</v>
      </c>
      <c r="E50" s="21" t="s">
        <v>769</v>
      </c>
      <c r="F50" s="5"/>
      <c r="G50" s="18">
        <v>63</v>
      </c>
      <c r="H50" s="18">
        <v>9</v>
      </c>
      <c r="I50" s="8"/>
      <c r="J50" s="8"/>
      <c r="K50" s="8"/>
      <c r="L50" s="8"/>
      <c r="M50" s="8"/>
      <c r="N50" s="18">
        <f t="shared" si="1"/>
        <v>2805.9999999999995</v>
      </c>
      <c r="Q50" s="5"/>
      <c r="R50">
        <f t="shared" si="2"/>
        <v>0</v>
      </c>
      <c r="S50" s="5">
        <f t="shared" si="5"/>
        <v>46</v>
      </c>
      <c r="T50" s="158"/>
      <c r="U50" s="18" t="s">
        <v>355</v>
      </c>
      <c r="V50" s="18" t="s">
        <v>395</v>
      </c>
      <c r="W50" s="92" t="s">
        <v>199</v>
      </c>
      <c r="X50" s="92">
        <v>0.44</v>
      </c>
      <c r="Y50" s="18">
        <v>140</v>
      </c>
      <c r="Z50" s="18">
        <v>225</v>
      </c>
      <c r="AA50" s="8"/>
      <c r="AB50" s="8"/>
      <c r="AC50" s="8"/>
      <c r="AD50" s="8"/>
      <c r="AE50" s="8"/>
      <c r="AF50" s="18" t="e">
        <f>+AF49+Z49</f>
        <v>#REF!</v>
      </c>
    </row>
    <row r="51" spans="1:32" ht="15.75">
      <c r="A51" s="5">
        <f t="shared" si="0"/>
        <v>48</v>
      </c>
      <c r="B51" s="158"/>
      <c r="C51" s="18" t="s">
        <v>356</v>
      </c>
      <c r="D51" s="18" t="s">
        <v>283</v>
      </c>
      <c r="E51" s="18" t="s">
        <v>199</v>
      </c>
      <c r="F51" s="92">
        <v>0.39</v>
      </c>
      <c r="G51" s="18">
        <v>75</v>
      </c>
      <c r="H51" s="18">
        <v>68.2</v>
      </c>
      <c r="I51" s="8"/>
      <c r="J51" s="8"/>
      <c r="K51" s="8"/>
      <c r="L51" s="8"/>
      <c r="M51" s="8"/>
      <c r="N51" s="18">
        <f t="shared" si="1"/>
        <v>2874.1999999999994</v>
      </c>
      <c r="Q51" s="5"/>
      <c r="R51">
        <f t="shared" si="2"/>
        <v>26.598000000000003</v>
      </c>
      <c r="S51" s="5">
        <f t="shared" si="5"/>
        <v>47</v>
      </c>
      <c r="T51" s="158"/>
      <c r="U51" s="18" t="s">
        <v>355</v>
      </c>
      <c r="V51" s="18" t="s">
        <v>395</v>
      </c>
      <c r="W51" s="92" t="s">
        <v>199</v>
      </c>
      <c r="X51" s="92">
        <v>0.44</v>
      </c>
      <c r="Y51" s="18">
        <v>140</v>
      </c>
      <c r="Z51" s="18">
        <f>41+AG51</f>
        <v>41</v>
      </c>
      <c r="AA51" s="8"/>
      <c r="AB51" s="8"/>
      <c r="AC51" s="8"/>
      <c r="AD51" s="8"/>
      <c r="AE51" s="8"/>
      <c r="AF51" s="18" t="e">
        <f>+AF50+Z18</f>
        <v>#REF!</v>
      </c>
    </row>
    <row r="52" spans="1:32" ht="15.75">
      <c r="A52" s="5">
        <f t="shared" si="0"/>
        <v>49</v>
      </c>
      <c r="B52" s="158"/>
      <c r="C52" s="18" t="s">
        <v>382</v>
      </c>
      <c r="D52" s="18" t="s">
        <v>238</v>
      </c>
      <c r="E52" s="18" t="s">
        <v>199</v>
      </c>
      <c r="F52" s="5">
        <v>0.39</v>
      </c>
      <c r="G52" s="18">
        <v>63</v>
      </c>
      <c r="H52" s="18">
        <v>12.2</v>
      </c>
      <c r="I52" s="8"/>
      <c r="J52" s="8"/>
      <c r="K52" s="8"/>
      <c r="L52" s="8"/>
      <c r="M52" s="8"/>
      <c r="N52" s="18">
        <f t="shared" si="1"/>
        <v>2886.3999999999992</v>
      </c>
      <c r="Q52" s="5"/>
      <c r="R52">
        <f t="shared" si="2"/>
        <v>4.758</v>
      </c>
      <c r="S52" s="5">
        <f t="shared" si="5"/>
        <v>48</v>
      </c>
      <c r="T52" s="158"/>
      <c r="U52" s="18" t="s">
        <v>395</v>
      </c>
      <c r="V52" s="18" t="s">
        <v>541</v>
      </c>
      <c r="W52" s="92" t="s">
        <v>199</v>
      </c>
      <c r="X52" s="92">
        <v>0.44</v>
      </c>
      <c r="Y52" s="18">
        <v>140</v>
      </c>
      <c r="Z52" s="18">
        <v>53.7</v>
      </c>
      <c r="AA52" s="8"/>
      <c r="AB52" s="8"/>
      <c r="AC52" s="8"/>
      <c r="AD52" s="8"/>
      <c r="AE52" s="8"/>
      <c r="AF52" s="18" t="e">
        <f>+AF51+Z19</f>
        <v>#REF!</v>
      </c>
    </row>
    <row r="53" spans="1:32" ht="15.75">
      <c r="A53" s="5">
        <f t="shared" si="0"/>
        <v>50</v>
      </c>
      <c r="B53" s="158"/>
      <c r="C53" s="18" t="s">
        <v>382</v>
      </c>
      <c r="D53" s="18" t="s">
        <v>238</v>
      </c>
      <c r="E53" s="21" t="s">
        <v>769</v>
      </c>
      <c r="F53" s="5"/>
      <c r="G53" s="18">
        <v>63</v>
      </c>
      <c r="H53" s="18">
        <v>25.2</v>
      </c>
      <c r="I53" s="8"/>
      <c r="J53" s="8"/>
      <c r="K53" s="8"/>
      <c r="L53" s="8"/>
      <c r="M53" s="8"/>
      <c r="N53" s="18">
        <f t="shared" si="1"/>
        <v>2911.599999999999</v>
      </c>
      <c r="Q53" s="5"/>
      <c r="R53">
        <f t="shared" si="2"/>
        <v>0</v>
      </c>
      <c r="S53" s="5">
        <f t="shared" si="5"/>
        <v>49</v>
      </c>
      <c r="T53" s="158"/>
      <c r="U53" s="18" t="s">
        <v>355</v>
      </c>
      <c r="V53" s="18" t="s">
        <v>314</v>
      </c>
      <c r="W53" s="18" t="s">
        <v>301</v>
      </c>
      <c r="X53" s="18">
        <v>0.44</v>
      </c>
      <c r="Y53" s="18">
        <v>140</v>
      </c>
      <c r="Z53" s="18">
        <v>3.5</v>
      </c>
      <c r="AA53" s="8"/>
      <c r="AB53" s="8"/>
      <c r="AC53" s="8"/>
      <c r="AD53" s="8"/>
      <c r="AE53" s="8"/>
      <c r="AF53" s="18" t="e">
        <f>+AF52+Z52</f>
        <v>#REF!</v>
      </c>
    </row>
    <row r="54" spans="1:32" ht="15.75">
      <c r="A54" s="5">
        <f t="shared" si="0"/>
        <v>51</v>
      </c>
      <c r="B54" s="158"/>
      <c r="C54" s="18" t="s">
        <v>279</v>
      </c>
      <c r="D54" s="18" t="s">
        <v>509</v>
      </c>
      <c r="E54" s="21" t="s">
        <v>769</v>
      </c>
      <c r="F54" s="5"/>
      <c r="G54" s="18">
        <v>63</v>
      </c>
      <c r="H54" s="18">
        <v>59.6</v>
      </c>
      <c r="I54" s="8"/>
      <c r="J54" s="8"/>
      <c r="K54" s="8"/>
      <c r="L54" s="8"/>
      <c r="M54" s="8"/>
      <c r="N54" s="18">
        <f t="shared" si="1"/>
        <v>2971.1999999999989</v>
      </c>
      <c r="Q54" s="5"/>
      <c r="R54">
        <f t="shared" si="2"/>
        <v>0</v>
      </c>
      <c r="S54" s="5">
        <f t="shared" si="5"/>
        <v>50</v>
      </c>
      <c r="T54" s="158"/>
      <c r="U54" s="18" t="s">
        <v>868</v>
      </c>
      <c r="V54" s="18" t="s">
        <v>869</v>
      </c>
      <c r="W54" s="92" t="s">
        <v>193</v>
      </c>
      <c r="X54" s="92">
        <v>0.44</v>
      </c>
      <c r="Y54" s="18">
        <v>140</v>
      </c>
      <c r="Z54" s="18">
        <v>4</v>
      </c>
      <c r="AA54" s="8"/>
      <c r="AB54" s="8"/>
      <c r="AC54" s="8"/>
      <c r="AD54" s="8"/>
      <c r="AE54" s="8"/>
      <c r="AF54" s="18" t="e">
        <f>+AF53+Z53</f>
        <v>#REF!</v>
      </c>
    </row>
    <row r="55" spans="1:32" ht="15.75">
      <c r="A55" s="5">
        <f t="shared" si="0"/>
        <v>52</v>
      </c>
      <c r="B55" s="158"/>
      <c r="C55" s="18" t="s">
        <v>279</v>
      </c>
      <c r="D55" s="18" t="s">
        <v>509</v>
      </c>
      <c r="E55" s="18" t="s">
        <v>199</v>
      </c>
      <c r="F55" s="5"/>
      <c r="G55" s="18">
        <v>63</v>
      </c>
      <c r="H55" s="18">
        <v>89.6</v>
      </c>
      <c r="I55" s="8"/>
      <c r="J55" s="8"/>
      <c r="K55" s="8"/>
      <c r="L55" s="8"/>
      <c r="M55" s="8"/>
      <c r="N55" s="18">
        <f t="shared" si="1"/>
        <v>3060.7999999999988</v>
      </c>
      <c r="Q55" s="5"/>
      <c r="R55">
        <f t="shared" si="2"/>
        <v>0</v>
      </c>
      <c r="S55" s="5">
        <f t="shared" si="5"/>
        <v>51</v>
      </c>
      <c r="T55" s="158"/>
      <c r="U55" s="18" t="s">
        <v>314</v>
      </c>
      <c r="V55" s="18" t="s">
        <v>260</v>
      </c>
      <c r="W55" s="92" t="s">
        <v>193</v>
      </c>
      <c r="X55" s="92">
        <v>0.44</v>
      </c>
      <c r="Y55" s="18">
        <v>140</v>
      </c>
      <c r="Z55" s="18">
        <v>4.7</v>
      </c>
      <c r="AA55" s="8"/>
      <c r="AB55" s="8"/>
      <c r="AC55" s="8"/>
      <c r="AD55" s="8"/>
      <c r="AE55" s="8"/>
      <c r="AF55" s="18" t="e">
        <f>+AF54+Z20</f>
        <v>#REF!</v>
      </c>
    </row>
    <row r="56" spans="1:32" ht="15.75">
      <c r="A56" s="5">
        <f t="shared" si="0"/>
        <v>53</v>
      </c>
      <c r="B56" s="158"/>
      <c r="C56" s="18" t="s">
        <v>279</v>
      </c>
      <c r="D56" s="18" t="s">
        <v>248</v>
      </c>
      <c r="E56" s="159" t="s">
        <v>301</v>
      </c>
      <c r="F56" s="5">
        <v>0.44</v>
      </c>
      <c r="G56" s="18">
        <v>63</v>
      </c>
      <c r="H56" s="18">
        <v>203</v>
      </c>
      <c r="I56" s="8"/>
      <c r="J56" s="8"/>
      <c r="K56" s="8"/>
      <c r="L56" s="8"/>
      <c r="M56" s="8"/>
      <c r="N56" s="18">
        <f t="shared" si="1"/>
        <v>3263.7999999999988</v>
      </c>
      <c r="Q56" s="5"/>
      <c r="R56">
        <f t="shared" si="2"/>
        <v>89.320000000000007</v>
      </c>
      <c r="S56" s="5">
        <f t="shared" si="5"/>
        <v>52</v>
      </c>
      <c r="T56" s="158"/>
      <c r="U56" s="18" t="s">
        <v>342</v>
      </c>
      <c r="V56" s="18" t="s">
        <v>346</v>
      </c>
      <c r="W56" s="92" t="s">
        <v>199</v>
      </c>
      <c r="X56" s="92">
        <v>0.44</v>
      </c>
      <c r="Y56" s="18">
        <v>140</v>
      </c>
      <c r="Z56" s="18">
        <v>4</v>
      </c>
      <c r="AA56" s="8"/>
      <c r="AB56" s="8"/>
      <c r="AC56" s="8"/>
      <c r="AD56" s="8"/>
      <c r="AE56" s="8"/>
      <c r="AF56" s="18" t="e">
        <f>+AF55+Z21</f>
        <v>#REF!</v>
      </c>
    </row>
    <row r="57" spans="1:32" ht="15.75">
      <c r="A57" s="5">
        <f t="shared" si="0"/>
        <v>54</v>
      </c>
      <c r="B57" s="158"/>
      <c r="C57" s="130" t="s">
        <v>315</v>
      </c>
      <c r="D57" s="130" t="s">
        <v>271</v>
      </c>
      <c r="E57" s="21" t="s">
        <v>769</v>
      </c>
      <c r="G57" s="18">
        <v>63</v>
      </c>
      <c r="H57" s="130">
        <v>60.4</v>
      </c>
      <c r="I57" s="8"/>
      <c r="J57" s="8"/>
      <c r="K57" s="8"/>
      <c r="L57" s="8"/>
      <c r="M57" s="8"/>
      <c r="N57" s="18">
        <f t="shared" si="1"/>
        <v>3324.1999999999989</v>
      </c>
      <c r="Q57" s="5"/>
      <c r="R57">
        <f t="shared" si="2"/>
        <v>0</v>
      </c>
      <c r="S57" s="5">
        <f t="shared" si="5"/>
        <v>53</v>
      </c>
      <c r="T57" s="158"/>
      <c r="U57" s="18" t="s">
        <v>252</v>
      </c>
      <c r="V57" s="18" t="s">
        <v>361</v>
      </c>
      <c r="W57" s="92" t="s">
        <v>199</v>
      </c>
      <c r="X57" s="92">
        <v>0.44</v>
      </c>
      <c r="Y57" s="18">
        <v>140</v>
      </c>
      <c r="Z57" s="18">
        <v>88.9</v>
      </c>
      <c r="AA57" s="8"/>
      <c r="AB57" s="8"/>
      <c r="AC57" s="8"/>
      <c r="AD57" s="8"/>
      <c r="AE57" s="8"/>
      <c r="AF57" s="18" t="e">
        <f>+AF56+Z56</f>
        <v>#REF!</v>
      </c>
    </row>
    <row r="58" spans="1:32" ht="15.75">
      <c r="A58" s="5">
        <f t="shared" si="0"/>
        <v>55</v>
      </c>
      <c r="B58" s="158"/>
      <c r="C58" s="18" t="s">
        <v>315</v>
      </c>
      <c r="D58" s="18" t="s">
        <v>279</v>
      </c>
      <c r="E58" s="21" t="s">
        <v>769</v>
      </c>
      <c r="F58" s="5"/>
      <c r="G58" s="18">
        <v>63</v>
      </c>
      <c r="H58" s="18">
        <v>94.2</v>
      </c>
      <c r="I58" s="8"/>
      <c r="J58" s="8"/>
      <c r="K58" s="8"/>
      <c r="L58" s="8"/>
      <c r="M58" s="8"/>
      <c r="N58" s="18">
        <f t="shared" si="1"/>
        <v>3418.3999999999987</v>
      </c>
      <c r="Q58" s="5"/>
      <c r="R58">
        <f t="shared" si="2"/>
        <v>0</v>
      </c>
      <c r="S58" s="5">
        <f t="shared" si="5"/>
        <v>54</v>
      </c>
      <c r="T58" s="158"/>
      <c r="U58" s="18" t="s">
        <v>361</v>
      </c>
      <c r="V58" s="18" t="s">
        <v>340</v>
      </c>
      <c r="W58" s="92" t="s">
        <v>199</v>
      </c>
      <c r="X58" s="92">
        <v>0.44</v>
      </c>
      <c r="Y58" s="18">
        <v>140</v>
      </c>
      <c r="Z58" s="18">
        <v>181.6</v>
      </c>
      <c r="AA58" s="8"/>
      <c r="AB58" s="8"/>
      <c r="AC58" s="8"/>
      <c r="AD58" s="8"/>
      <c r="AE58" s="8"/>
      <c r="AF58" s="18" t="e">
        <f>+AF57+Z57</f>
        <v>#REF!</v>
      </c>
    </row>
    <row r="59" spans="1:32" ht="15.75">
      <c r="A59" s="5">
        <f t="shared" si="0"/>
        <v>56</v>
      </c>
      <c r="B59" s="158"/>
      <c r="C59" s="18" t="s">
        <v>870</v>
      </c>
      <c r="D59" s="18" t="s">
        <v>871</v>
      </c>
      <c r="E59" s="21" t="s">
        <v>769</v>
      </c>
      <c r="F59" s="5"/>
      <c r="G59" s="18">
        <v>63</v>
      </c>
      <c r="H59" s="18">
        <v>36.5</v>
      </c>
      <c r="I59" s="8"/>
      <c r="J59" s="8"/>
      <c r="K59" s="8"/>
      <c r="L59" s="8"/>
      <c r="M59" s="8"/>
      <c r="N59" s="18">
        <f t="shared" si="1"/>
        <v>3454.8999999999987</v>
      </c>
      <c r="Q59" s="5"/>
      <c r="R59">
        <f t="shared" si="2"/>
        <v>0</v>
      </c>
      <c r="S59" s="5">
        <f t="shared" si="5"/>
        <v>55</v>
      </c>
      <c r="T59" s="158"/>
      <c r="U59" s="18" t="s">
        <v>340</v>
      </c>
      <c r="V59" s="18" t="s">
        <v>541</v>
      </c>
      <c r="W59" s="92" t="s">
        <v>199</v>
      </c>
      <c r="X59" s="92">
        <v>0.44</v>
      </c>
      <c r="Y59" s="18">
        <v>140</v>
      </c>
      <c r="Z59" s="18">
        <v>76</v>
      </c>
      <c r="AA59" s="8"/>
      <c r="AB59" s="8"/>
      <c r="AC59" s="8"/>
      <c r="AD59" s="8"/>
      <c r="AE59" s="8"/>
      <c r="AF59" s="18" t="e">
        <f>+AF58+Z58</f>
        <v>#REF!</v>
      </c>
    </row>
    <row r="60" spans="1:32" ht="15.75">
      <c r="A60" s="5">
        <f t="shared" si="0"/>
        <v>57</v>
      </c>
      <c r="B60" s="158"/>
      <c r="C60" s="18" t="s">
        <v>315</v>
      </c>
      <c r="D60" s="18" t="s">
        <v>279</v>
      </c>
      <c r="E60" s="159" t="s">
        <v>301</v>
      </c>
      <c r="F60" s="5">
        <v>0.44</v>
      </c>
      <c r="G60" s="18">
        <v>63</v>
      </c>
      <c r="H60" s="18">
        <v>57</v>
      </c>
      <c r="I60" s="8"/>
      <c r="J60" s="8"/>
      <c r="K60" s="8"/>
      <c r="L60" s="8"/>
      <c r="M60" s="8"/>
      <c r="N60" s="18">
        <f t="shared" si="1"/>
        <v>3511.8999999999987</v>
      </c>
      <c r="Q60" s="5"/>
      <c r="R60">
        <f t="shared" si="2"/>
        <v>25.080000000000002</v>
      </c>
      <c r="S60" s="5">
        <f t="shared" si="5"/>
        <v>56</v>
      </c>
      <c r="T60" s="158"/>
      <c r="U60" s="5" t="s">
        <v>362</v>
      </c>
      <c r="V60" s="5" t="s">
        <v>382</v>
      </c>
      <c r="W60" s="92" t="s">
        <v>199</v>
      </c>
      <c r="X60" s="92">
        <v>0.44</v>
      </c>
      <c r="Y60" s="18">
        <v>140</v>
      </c>
      <c r="Z60" s="5">
        <v>125.5</v>
      </c>
      <c r="AA60" s="8"/>
      <c r="AB60" s="8"/>
      <c r="AC60" s="8"/>
      <c r="AD60" s="8"/>
      <c r="AE60" s="8"/>
      <c r="AF60" s="18" t="e">
        <f>+AF59+Z22</f>
        <v>#REF!</v>
      </c>
    </row>
    <row r="61" spans="1:32" ht="15.75">
      <c r="A61" s="5">
        <f t="shared" si="0"/>
        <v>58</v>
      </c>
      <c r="B61" s="158"/>
      <c r="C61" s="18" t="s">
        <v>283</v>
      </c>
      <c r="D61" s="18" t="s">
        <v>315</v>
      </c>
      <c r="E61" s="18" t="s">
        <v>199</v>
      </c>
      <c r="F61" s="5">
        <v>0.39</v>
      </c>
      <c r="G61" s="18">
        <v>75</v>
      </c>
      <c r="H61" s="18">
        <v>183.2</v>
      </c>
      <c r="I61" s="8"/>
      <c r="J61" s="8"/>
      <c r="K61" s="8"/>
      <c r="L61" s="8"/>
      <c r="M61" s="8"/>
      <c r="N61" s="18">
        <f t="shared" si="1"/>
        <v>3695.0999999999985</v>
      </c>
      <c r="Q61" s="5"/>
      <c r="R61">
        <f t="shared" si="2"/>
        <v>71.447999999999993</v>
      </c>
      <c r="S61" s="5">
        <f t="shared" si="5"/>
        <v>57</v>
      </c>
      <c r="T61" s="158">
        <v>44999</v>
      </c>
      <c r="U61" s="18" t="s">
        <v>278</v>
      </c>
      <c r="V61" s="18" t="s">
        <v>356</v>
      </c>
      <c r="W61" s="92" t="s">
        <v>199</v>
      </c>
      <c r="X61" s="92">
        <v>0.44</v>
      </c>
      <c r="Y61" s="18">
        <v>140</v>
      </c>
      <c r="Z61" s="18">
        <v>314.8</v>
      </c>
      <c r="AA61" s="8"/>
      <c r="AB61" s="8"/>
      <c r="AC61" s="8"/>
      <c r="AD61" s="8"/>
      <c r="AE61" s="8"/>
      <c r="AF61" s="18" t="e">
        <f>+AF60+Z23</f>
        <v>#REF!</v>
      </c>
    </row>
    <row r="62" spans="1:32" ht="15.75">
      <c r="A62" s="5">
        <f t="shared" si="0"/>
        <v>59</v>
      </c>
      <c r="B62" s="158">
        <v>44999</v>
      </c>
      <c r="C62" s="18" t="s">
        <v>403</v>
      </c>
      <c r="D62" s="18" t="s">
        <v>251</v>
      </c>
      <c r="E62" s="21" t="s">
        <v>769</v>
      </c>
      <c r="F62" s="18"/>
      <c r="G62" s="18">
        <v>75</v>
      </c>
      <c r="H62" s="18">
        <v>24.3</v>
      </c>
      <c r="I62" s="18">
        <v>24.3</v>
      </c>
      <c r="J62" s="18"/>
      <c r="K62" s="18"/>
      <c r="L62" s="18"/>
      <c r="M62" s="18"/>
      <c r="N62" s="18">
        <f t="shared" si="1"/>
        <v>3719.3999999999987</v>
      </c>
      <c r="Q62" s="5"/>
      <c r="R62">
        <f t="shared" si="2"/>
        <v>0</v>
      </c>
      <c r="S62" s="5">
        <f t="shared" si="5"/>
        <v>58</v>
      </c>
      <c r="T62" s="158">
        <v>44999</v>
      </c>
      <c r="U62" s="18" t="s">
        <v>541</v>
      </c>
      <c r="V62" s="18" t="s">
        <v>821</v>
      </c>
      <c r="W62" s="92" t="s">
        <v>199</v>
      </c>
      <c r="X62" s="92">
        <v>0.44</v>
      </c>
      <c r="Y62" s="18">
        <v>160</v>
      </c>
      <c r="Z62" s="18">
        <v>100</v>
      </c>
      <c r="AA62" s="18"/>
      <c r="AB62" s="18"/>
      <c r="AC62" s="18"/>
      <c r="AD62" s="18"/>
      <c r="AE62" s="18"/>
      <c r="AF62" s="18" t="e">
        <f>+AF61+Z61</f>
        <v>#REF!</v>
      </c>
    </row>
    <row r="63" spans="1:32" ht="15.75">
      <c r="A63" s="5">
        <f t="shared" si="0"/>
        <v>60</v>
      </c>
      <c r="B63" s="158">
        <v>44999</v>
      </c>
      <c r="C63" s="18" t="s">
        <v>251</v>
      </c>
      <c r="D63" s="18" t="s">
        <v>316</v>
      </c>
      <c r="E63" s="21" t="s">
        <v>769</v>
      </c>
      <c r="F63" s="18"/>
      <c r="G63" s="18">
        <v>75</v>
      </c>
      <c r="H63" s="18">
        <v>23.6</v>
      </c>
      <c r="I63" s="18">
        <v>23.6</v>
      </c>
      <c r="J63" s="18"/>
      <c r="K63" s="18"/>
      <c r="L63" s="18"/>
      <c r="M63" s="18"/>
      <c r="N63" s="18">
        <f t="shared" si="1"/>
        <v>3742.9999999999986</v>
      </c>
      <c r="Q63" s="5"/>
      <c r="R63">
        <f t="shared" si="2"/>
        <v>0</v>
      </c>
      <c r="S63" s="8"/>
      <c r="T63" s="8"/>
      <c r="U63" s="8"/>
      <c r="V63" s="8"/>
      <c r="W63" s="8"/>
      <c r="X63" s="8"/>
      <c r="Y63" s="8"/>
      <c r="Z63" s="8"/>
      <c r="AA63" s="18"/>
      <c r="AB63" s="18"/>
      <c r="AC63" s="18"/>
      <c r="AD63" s="18"/>
      <c r="AE63" s="18"/>
      <c r="AF63" s="18" t="e">
        <f>+AF62+Z62</f>
        <v>#REF!</v>
      </c>
    </row>
    <row r="64" spans="1:32" ht="15.75">
      <c r="A64" s="5">
        <f t="shared" si="0"/>
        <v>61</v>
      </c>
      <c r="B64" s="158">
        <v>44999</v>
      </c>
      <c r="C64" s="18" t="s">
        <v>282</v>
      </c>
      <c r="D64" s="18" t="s">
        <v>400</v>
      </c>
      <c r="E64" s="21" t="s">
        <v>769</v>
      </c>
      <c r="F64" s="18"/>
      <c r="G64" s="18">
        <v>75</v>
      </c>
      <c r="H64" s="18">
        <v>74</v>
      </c>
      <c r="I64" s="18">
        <v>74</v>
      </c>
      <c r="J64" s="18"/>
      <c r="K64" s="18"/>
      <c r="L64" s="18"/>
      <c r="M64" s="18"/>
      <c r="N64" s="18">
        <f t="shared" si="1"/>
        <v>3816.9999999999986</v>
      </c>
      <c r="Q64" s="5"/>
      <c r="R64">
        <f t="shared" si="2"/>
        <v>0</v>
      </c>
      <c r="S64" s="5"/>
      <c r="T64" s="158">
        <v>44999</v>
      </c>
      <c r="U64" s="18">
        <v>63</v>
      </c>
      <c r="V64" s="18">
        <v>75</v>
      </c>
      <c r="W64" s="21">
        <v>110</v>
      </c>
      <c r="X64" s="18">
        <v>140</v>
      </c>
      <c r="Y64" s="18">
        <v>160</v>
      </c>
      <c r="Z64" s="18"/>
      <c r="AA64" s="18"/>
      <c r="AB64" s="18"/>
      <c r="AC64" s="18"/>
      <c r="AD64" s="18"/>
      <c r="AE64" s="18"/>
      <c r="AF64" s="18" t="e">
        <f t="shared" si="4"/>
        <v>#REF!</v>
      </c>
    </row>
    <row r="65" spans="1:32" ht="15.75">
      <c r="A65" s="5">
        <f t="shared" si="0"/>
        <v>62</v>
      </c>
      <c r="B65" s="158">
        <v>44999</v>
      </c>
      <c r="C65" s="18" t="s">
        <v>363</v>
      </c>
      <c r="D65" s="18" t="s">
        <v>418</v>
      </c>
      <c r="E65" s="21" t="s">
        <v>769</v>
      </c>
      <c r="F65" s="18"/>
      <c r="G65" s="18">
        <v>75</v>
      </c>
      <c r="H65" s="18">
        <v>41.2</v>
      </c>
      <c r="I65" s="18">
        <v>41.2</v>
      </c>
      <c r="J65" s="18"/>
      <c r="K65" s="18"/>
      <c r="L65" s="18"/>
      <c r="M65" s="18"/>
      <c r="N65" s="18">
        <f t="shared" si="1"/>
        <v>3858.1999999999985</v>
      </c>
      <c r="Q65" s="5"/>
      <c r="R65">
        <f t="shared" si="2"/>
        <v>0</v>
      </c>
      <c r="S65" s="5"/>
      <c r="T65" s="158">
        <v>44999</v>
      </c>
      <c r="U65" s="18">
        <f>+SUMIF($Y$5:$Y$62,U64,$Z$5:$Z$62)</f>
        <v>984.09999999999991</v>
      </c>
      <c r="V65" s="18">
        <f t="shared" ref="V65:Y65" si="6">+SUMIF($Y$5:$Y$62,V64,$Z$5:$Z$62)</f>
        <v>950.4</v>
      </c>
      <c r="W65" s="18">
        <f t="shared" si="6"/>
        <v>302.5</v>
      </c>
      <c r="X65" s="18">
        <f t="shared" si="6"/>
        <v>1128.7</v>
      </c>
      <c r="Y65" s="18">
        <f t="shared" si="6"/>
        <v>100</v>
      </c>
      <c r="Z65" s="18">
        <f>+SUM(U65:Y65)</f>
        <v>3465.7</v>
      </c>
      <c r="AA65" s="18"/>
      <c r="AB65" s="18"/>
      <c r="AC65" s="18"/>
      <c r="AD65" s="18"/>
      <c r="AE65" s="18"/>
      <c r="AF65" s="18" t="e">
        <f t="shared" si="4"/>
        <v>#REF!</v>
      </c>
    </row>
    <row r="66" spans="1:32" ht="15.75">
      <c r="A66" s="5">
        <f t="shared" si="0"/>
        <v>63</v>
      </c>
      <c r="B66" s="158">
        <v>44999</v>
      </c>
      <c r="C66" s="18" t="s">
        <v>418</v>
      </c>
      <c r="D66" s="18" t="s">
        <v>282</v>
      </c>
      <c r="E66" s="21" t="s">
        <v>769</v>
      </c>
      <c r="F66" s="18"/>
      <c r="G66" s="18">
        <v>75</v>
      </c>
      <c r="H66" s="18">
        <v>74.5</v>
      </c>
      <c r="I66" s="18">
        <v>74.5</v>
      </c>
      <c r="J66" s="18"/>
      <c r="K66" s="18"/>
      <c r="L66" s="18"/>
      <c r="M66" s="18"/>
      <c r="N66" s="18">
        <f t="shared" si="1"/>
        <v>3932.6999999999985</v>
      </c>
      <c r="Q66" s="5"/>
      <c r="R66">
        <f t="shared" si="2"/>
        <v>0</v>
      </c>
      <c r="S66" s="76"/>
      <c r="T66" s="173">
        <v>44999</v>
      </c>
      <c r="U66" s="108"/>
      <c r="V66" s="108"/>
      <c r="W66" s="174"/>
      <c r="X66" s="108"/>
      <c r="Y66" s="108"/>
      <c r="Z66" s="108"/>
      <c r="AA66" s="18"/>
      <c r="AB66" s="18"/>
      <c r="AC66" s="18"/>
      <c r="AD66" s="18"/>
      <c r="AE66" s="18"/>
      <c r="AF66" s="18" t="e">
        <f t="shared" si="4"/>
        <v>#REF!</v>
      </c>
    </row>
    <row r="67" spans="1:32" ht="15.75">
      <c r="A67" s="5">
        <f t="shared" si="0"/>
        <v>64</v>
      </c>
      <c r="B67" s="158">
        <v>44999</v>
      </c>
      <c r="C67" s="18" t="s">
        <v>277</v>
      </c>
      <c r="D67" s="18" t="s">
        <v>649</v>
      </c>
      <c r="E67" s="21" t="s">
        <v>769</v>
      </c>
      <c r="F67" s="18"/>
      <c r="G67" s="18">
        <v>75</v>
      </c>
      <c r="H67" s="18">
        <f>102+103.1</f>
        <v>205.1</v>
      </c>
      <c r="I67" s="18">
        <f>102+103.1</f>
        <v>205.1</v>
      </c>
      <c r="J67" s="18"/>
      <c r="K67" s="18"/>
      <c r="L67" s="18"/>
      <c r="M67" s="18"/>
      <c r="N67" s="18">
        <f t="shared" si="1"/>
        <v>4137.7999999999984</v>
      </c>
      <c r="Q67" s="5"/>
      <c r="R67">
        <f t="shared" si="2"/>
        <v>0</v>
      </c>
      <c r="S67" s="16"/>
      <c r="T67" s="175">
        <v>44999</v>
      </c>
      <c r="U67" s="176"/>
      <c r="V67" s="176"/>
      <c r="W67" s="177"/>
      <c r="X67" s="176"/>
      <c r="Y67" s="176"/>
      <c r="Z67" s="176"/>
      <c r="AA67" s="172"/>
      <c r="AB67" s="18"/>
      <c r="AC67" s="18"/>
      <c r="AD67" s="18"/>
      <c r="AE67" s="18"/>
      <c r="AF67" s="18" t="e">
        <f t="shared" si="4"/>
        <v>#REF!</v>
      </c>
    </row>
    <row r="68" spans="1:32" ht="15.75">
      <c r="A68" s="5">
        <f t="shared" ref="A68:A79" si="7">1+A67</f>
        <v>65</v>
      </c>
      <c r="B68" s="158">
        <v>44999</v>
      </c>
      <c r="C68" s="18" t="s">
        <v>277</v>
      </c>
      <c r="D68" s="18" t="s">
        <v>649</v>
      </c>
      <c r="E68" s="18" t="s">
        <v>199</v>
      </c>
      <c r="F68" s="92">
        <v>0.39</v>
      </c>
      <c r="G68" s="18">
        <v>75</v>
      </c>
      <c r="H68" s="18">
        <v>50</v>
      </c>
      <c r="I68" s="18">
        <v>50</v>
      </c>
      <c r="J68" s="18"/>
      <c r="K68" s="18"/>
      <c r="L68" s="18"/>
      <c r="M68" s="18"/>
      <c r="N68" s="18">
        <f t="shared" si="1"/>
        <v>4187.7999999999984</v>
      </c>
      <c r="Q68" s="5">
        <v>50</v>
      </c>
      <c r="R68">
        <f t="shared" si="2"/>
        <v>19.5</v>
      </c>
      <c r="S68" s="16"/>
      <c r="T68" s="175">
        <v>44999</v>
      </c>
      <c r="U68" s="58"/>
      <c r="V68" s="58"/>
      <c r="W68" s="58"/>
      <c r="X68" s="58"/>
      <c r="Y68" s="58"/>
      <c r="Z68" s="176"/>
      <c r="AA68" s="172"/>
      <c r="AB68" s="18"/>
      <c r="AC68" s="18"/>
      <c r="AD68" s="18"/>
      <c r="AE68" s="18"/>
      <c r="AF68" s="18" t="e">
        <f t="shared" si="4"/>
        <v>#REF!</v>
      </c>
    </row>
    <row r="69" spans="1:32" ht="15.75">
      <c r="A69" s="5">
        <f t="shared" si="7"/>
        <v>66</v>
      </c>
      <c r="B69" s="158">
        <v>44999</v>
      </c>
      <c r="C69" s="18" t="s">
        <v>266</v>
      </c>
      <c r="D69" s="18" t="s">
        <v>349</v>
      </c>
      <c r="E69" s="21" t="s">
        <v>769</v>
      </c>
      <c r="F69" s="18"/>
      <c r="G69" s="18">
        <v>90</v>
      </c>
      <c r="H69" s="18">
        <v>42.3</v>
      </c>
      <c r="I69" s="18"/>
      <c r="J69" s="18">
        <v>42.3</v>
      </c>
      <c r="K69" s="18"/>
      <c r="L69" s="18"/>
      <c r="M69" s="18"/>
      <c r="N69" s="18">
        <f t="shared" si="1"/>
        <v>4230.0999999999985</v>
      </c>
      <c r="Q69" s="5"/>
      <c r="R69">
        <f t="shared" si="2"/>
        <v>0</v>
      </c>
      <c r="S69" s="16"/>
      <c r="T69" s="175">
        <v>44999</v>
      </c>
      <c r="U69" s="176"/>
      <c r="V69" s="176"/>
      <c r="W69" s="177"/>
      <c r="X69" s="176"/>
      <c r="Y69" s="176"/>
      <c r="Z69" s="176"/>
      <c r="AA69" s="172"/>
      <c r="AB69" s="18"/>
      <c r="AC69" s="18"/>
      <c r="AD69" s="18"/>
      <c r="AE69" s="18"/>
      <c r="AF69" s="18" t="e">
        <f t="shared" si="4"/>
        <v>#REF!</v>
      </c>
    </row>
    <row r="70" spans="1:32">
      <c r="A70" s="5">
        <f t="shared" si="7"/>
        <v>67</v>
      </c>
      <c r="B70" s="158">
        <v>44999</v>
      </c>
      <c r="C70" s="18" t="s">
        <v>266</v>
      </c>
      <c r="D70" s="18" t="s">
        <v>349</v>
      </c>
      <c r="E70" s="18" t="s">
        <v>199</v>
      </c>
      <c r="F70" s="18">
        <v>0.39</v>
      </c>
      <c r="G70" s="18">
        <v>90</v>
      </c>
      <c r="H70" s="18">
        <v>96</v>
      </c>
      <c r="I70" s="18"/>
      <c r="J70" s="18">
        <v>96</v>
      </c>
      <c r="K70" s="18"/>
      <c r="L70" s="18"/>
      <c r="M70" s="18"/>
      <c r="N70" s="18">
        <f t="shared" si="1"/>
        <v>4326.0999999999985</v>
      </c>
      <c r="Q70" s="5">
        <v>96</v>
      </c>
      <c r="R70">
        <f t="shared" ref="R70:R79" si="8">+H70*F70</f>
        <v>37.44</v>
      </c>
      <c r="S70" s="16"/>
      <c r="T70" s="175">
        <v>44999</v>
      </c>
      <c r="U70" s="58"/>
      <c r="V70" s="58"/>
      <c r="W70" s="58"/>
      <c r="X70" s="58"/>
      <c r="Y70" s="58"/>
      <c r="Z70" s="176"/>
      <c r="AA70" s="172"/>
      <c r="AB70" s="18"/>
      <c r="AC70" s="18"/>
      <c r="AD70" s="18"/>
      <c r="AE70" s="18"/>
      <c r="AF70" s="18" t="e">
        <f t="shared" ref="AF70:AF79" si="9">+AF69+Z70</f>
        <v>#REF!</v>
      </c>
    </row>
    <row r="71" spans="1:32">
      <c r="A71" s="5">
        <f t="shared" si="7"/>
        <v>68</v>
      </c>
      <c r="B71" s="158">
        <v>44999</v>
      </c>
      <c r="C71" s="18" t="s">
        <v>349</v>
      </c>
      <c r="D71" s="18" t="s">
        <v>281</v>
      </c>
      <c r="E71" s="18" t="s">
        <v>199</v>
      </c>
      <c r="F71" s="18">
        <v>0.39</v>
      </c>
      <c r="G71" s="18">
        <v>90</v>
      </c>
      <c r="H71" s="18">
        <v>4</v>
      </c>
      <c r="I71" s="18"/>
      <c r="J71" s="18">
        <v>4</v>
      </c>
      <c r="K71" s="18"/>
      <c r="L71" s="18"/>
      <c r="M71" s="18"/>
      <c r="N71" s="18">
        <f t="shared" ref="N71:N79" si="10">+N70+H71</f>
        <v>4330.0999999999985</v>
      </c>
      <c r="Q71" s="5">
        <v>4</v>
      </c>
      <c r="R71">
        <f t="shared" si="8"/>
        <v>1.56</v>
      </c>
      <c r="S71" s="16"/>
      <c r="T71" s="175">
        <v>44999</v>
      </c>
      <c r="U71" s="58"/>
      <c r="V71" s="58"/>
      <c r="W71" s="58"/>
      <c r="X71" s="58"/>
      <c r="Y71" s="58"/>
      <c r="Z71" s="176"/>
      <c r="AA71" s="172"/>
      <c r="AB71" s="18"/>
      <c r="AC71" s="18"/>
      <c r="AD71" s="18"/>
      <c r="AE71" s="18"/>
      <c r="AF71" s="18" t="e">
        <f t="shared" si="9"/>
        <v>#REF!</v>
      </c>
    </row>
    <row r="72" spans="1:32" ht="15.75">
      <c r="A72" s="5">
        <f t="shared" si="7"/>
        <v>69</v>
      </c>
      <c r="B72" s="158">
        <v>44999</v>
      </c>
      <c r="C72" s="18" t="s">
        <v>349</v>
      </c>
      <c r="D72" s="18" t="s">
        <v>281</v>
      </c>
      <c r="E72" s="21" t="s">
        <v>769</v>
      </c>
      <c r="F72" s="18"/>
      <c r="G72" s="18">
        <v>90</v>
      </c>
      <c r="H72" s="18">
        <v>120.1</v>
      </c>
      <c r="I72" s="18"/>
      <c r="J72" s="18">
        <v>102</v>
      </c>
      <c r="K72" s="18"/>
      <c r="L72" s="18"/>
      <c r="M72" s="18"/>
      <c r="N72" s="18">
        <f t="shared" si="10"/>
        <v>4450.1999999999989</v>
      </c>
      <c r="Q72" s="5"/>
      <c r="R72">
        <f t="shared" si="8"/>
        <v>0</v>
      </c>
      <c r="S72" s="16"/>
      <c r="T72" s="175">
        <v>44999</v>
      </c>
      <c r="U72" s="176"/>
      <c r="V72" s="176"/>
      <c r="W72" s="177"/>
      <c r="X72" s="176"/>
      <c r="Y72" s="176"/>
      <c r="Z72" s="176"/>
      <c r="AA72" s="172"/>
      <c r="AB72" s="18"/>
      <c r="AC72" s="18"/>
      <c r="AD72" s="18"/>
      <c r="AE72" s="18"/>
      <c r="AF72" s="18" t="e">
        <f t="shared" si="9"/>
        <v>#REF!</v>
      </c>
    </row>
    <row r="73" spans="1:32" ht="15.75">
      <c r="A73" s="5">
        <f t="shared" si="7"/>
        <v>70</v>
      </c>
      <c r="B73" s="158">
        <v>44999</v>
      </c>
      <c r="C73" s="18" t="s">
        <v>349</v>
      </c>
      <c r="D73" s="18" t="s">
        <v>403</v>
      </c>
      <c r="E73" s="21" t="s">
        <v>769</v>
      </c>
      <c r="F73" s="18"/>
      <c r="G73" s="18">
        <v>90</v>
      </c>
      <c r="H73" s="18">
        <v>90</v>
      </c>
      <c r="I73" s="18"/>
      <c r="J73" s="18">
        <v>101</v>
      </c>
      <c r="K73" s="18"/>
      <c r="L73" s="18"/>
      <c r="M73" s="18"/>
      <c r="N73" s="18">
        <f t="shared" si="10"/>
        <v>4540.1999999999989</v>
      </c>
      <c r="Q73" s="63"/>
      <c r="R73">
        <f t="shared" si="8"/>
        <v>0</v>
      </c>
      <c r="S73" s="16"/>
      <c r="T73" s="175">
        <v>44999</v>
      </c>
      <c r="U73" s="176"/>
      <c r="V73" s="176"/>
      <c r="W73" s="177"/>
      <c r="X73" s="176"/>
      <c r="Y73" s="176"/>
      <c r="Z73" s="176"/>
      <c r="AA73" s="172"/>
      <c r="AB73" s="18"/>
      <c r="AC73" s="18"/>
      <c r="AD73" s="18"/>
      <c r="AE73" s="18"/>
      <c r="AF73" s="18" t="e">
        <f t="shared" si="9"/>
        <v>#REF!</v>
      </c>
    </row>
    <row r="74" spans="1:32">
      <c r="A74" s="5">
        <f t="shared" si="7"/>
        <v>71</v>
      </c>
      <c r="B74" s="158">
        <v>44999</v>
      </c>
      <c r="C74" s="18" t="s">
        <v>266</v>
      </c>
      <c r="D74" s="18" t="s">
        <v>268</v>
      </c>
      <c r="E74" s="18" t="s">
        <v>193</v>
      </c>
      <c r="F74" s="18">
        <v>0.39</v>
      </c>
      <c r="G74" s="18">
        <v>90</v>
      </c>
      <c r="H74" s="18">
        <v>3.5</v>
      </c>
      <c r="I74" s="18"/>
      <c r="J74" s="18">
        <v>3.5</v>
      </c>
      <c r="K74" s="18"/>
      <c r="L74" s="18"/>
      <c r="M74" s="18"/>
      <c r="N74" s="18">
        <f t="shared" si="10"/>
        <v>4543.6999999999989</v>
      </c>
      <c r="Q74" s="5">
        <v>3.5</v>
      </c>
      <c r="R74">
        <f t="shared" si="8"/>
        <v>1.365</v>
      </c>
      <c r="S74" s="16"/>
      <c r="T74" s="175">
        <v>44999</v>
      </c>
      <c r="U74" s="176"/>
      <c r="V74" s="176"/>
      <c r="W74" s="176"/>
      <c r="X74" s="176"/>
      <c r="Y74" s="176"/>
      <c r="Z74" s="176"/>
      <c r="AA74" s="172"/>
      <c r="AB74" s="18"/>
      <c r="AC74" s="18"/>
      <c r="AD74" s="18"/>
      <c r="AE74" s="18"/>
      <c r="AF74" s="18" t="e">
        <f t="shared" si="9"/>
        <v>#REF!</v>
      </c>
    </row>
    <row r="75" spans="1:32" ht="15.75">
      <c r="A75" s="5">
        <f t="shared" si="7"/>
        <v>72</v>
      </c>
      <c r="B75" s="158">
        <v>44999</v>
      </c>
      <c r="C75" s="18" t="s">
        <v>266</v>
      </c>
      <c r="D75" s="18" t="s">
        <v>268</v>
      </c>
      <c r="E75" s="21" t="s">
        <v>769</v>
      </c>
      <c r="F75" s="18"/>
      <c r="G75" s="18">
        <v>90</v>
      </c>
      <c r="H75" s="18">
        <v>86</v>
      </c>
      <c r="I75" s="18"/>
      <c r="J75" s="18">
        <v>86</v>
      </c>
      <c r="K75" s="18"/>
      <c r="L75" s="18"/>
      <c r="M75" s="18"/>
      <c r="N75" s="18">
        <f t="shared" si="10"/>
        <v>4629.6999999999989</v>
      </c>
      <c r="Q75" s="5">
        <v>86</v>
      </c>
      <c r="R75">
        <f t="shared" si="8"/>
        <v>0</v>
      </c>
      <c r="S75" s="16"/>
      <c r="T75" s="175">
        <v>44999</v>
      </c>
      <c r="U75" s="176"/>
      <c r="V75" s="176"/>
      <c r="W75" s="177"/>
      <c r="X75" s="176"/>
      <c r="Y75" s="176"/>
      <c r="Z75" s="176"/>
      <c r="AA75" s="172"/>
      <c r="AB75" s="18"/>
      <c r="AC75" s="18"/>
      <c r="AD75" s="18"/>
      <c r="AE75" s="18"/>
      <c r="AF75" s="18" t="e">
        <f t="shared" si="9"/>
        <v>#REF!</v>
      </c>
    </row>
    <row r="76" spans="1:32" ht="15.75">
      <c r="A76" s="5">
        <f t="shared" si="7"/>
        <v>73</v>
      </c>
      <c r="B76" s="158">
        <v>44999</v>
      </c>
      <c r="C76" s="18" t="s">
        <v>426</v>
      </c>
      <c r="D76" s="18" t="s">
        <v>277</v>
      </c>
      <c r="E76" s="21" t="s">
        <v>769</v>
      </c>
      <c r="F76" s="18"/>
      <c r="G76" s="18">
        <v>90</v>
      </c>
      <c r="H76" s="18">
        <v>273.60000000000002</v>
      </c>
      <c r="I76" s="18"/>
      <c r="J76" s="18">
        <v>273.60000000000002</v>
      </c>
      <c r="K76" s="18"/>
      <c r="L76" s="18"/>
      <c r="M76" s="18"/>
      <c r="N76" s="18">
        <f t="shared" si="10"/>
        <v>4903.2999999999993</v>
      </c>
      <c r="Q76" s="5"/>
      <c r="R76">
        <f t="shared" si="8"/>
        <v>0</v>
      </c>
      <c r="S76" s="16"/>
      <c r="T76" s="175">
        <v>44999</v>
      </c>
      <c r="U76" s="176"/>
      <c r="V76" s="176"/>
      <c r="W76" s="177"/>
      <c r="X76" s="176"/>
      <c r="Y76" s="176"/>
      <c r="Z76" s="176"/>
      <c r="AA76" s="172"/>
      <c r="AB76" s="18"/>
      <c r="AC76" s="18"/>
      <c r="AD76" s="18"/>
      <c r="AE76" s="18"/>
      <c r="AF76" s="18" t="e">
        <f t="shared" si="9"/>
        <v>#REF!</v>
      </c>
    </row>
    <row r="77" spans="1:32" ht="15.75">
      <c r="A77" s="5">
        <f t="shared" si="7"/>
        <v>74</v>
      </c>
      <c r="B77" s="158">
        <v>44999</v>
      </c>
      <c r="C77" s="18" t="s">
        <v>426</v>
      </c>
      <c r="D77" s="18" t="s">
        <v>266</v>
      </c>
      <c r="E77" s="21" t="s">
        <v>769</v>
      </c>
      <c r="F77" s="18"/>
      <c r="G77" s="18">
        <v>110</v>
      </c>
      <c r="H77" s="18">
        <v>1474</v>
      </c>
      <c r="I77" s="18"/>
      <c r="J77" s="18"/>
      <c r="K77" s="18">
        <v>1362</v>
      </c>
      <c r="L77" s="18"/>
      <c r="M77" s="18"/>
      <c r="N77" s="18">
        <f t="shared" si="10"/>
        <v>6377.2999999999993</v>
      </c>
      <c r="Q77" s="5"/>
      <c r="R77">
        <f t="shared" si="8"/>
        <v>0</v>
      </c>
      <c r="S77" s="16"/>
      <c r="T77" s="175">
        <v>44999</v>
      </c>
      <c r="U77" s="176"/>
      <c r="V77" s="176"/>
      <c r="W77" s="177"/>
      <c r="X77" s="176"/>
      <c r="Y77" s="176"/>
      <c r="Z77" s="176"/>
      <c r="AA77" s="172"/>
      <c r="AB77" s="18"/>
      <c r="AC77" s="18"/>
      <c r="AD77" s="18"/>
      <c r="AE77" s="18"/>
      <c r="AF77" s="18" t="e">
        <f t="shared" si="9"/>
        <v>#REF!</v>
      </c>
    </row>
    <row r="78" spans="1:32" ht="15.75">
      <c r="A78" s="5">
        <f t="shared" si="7"/>
        <v>75</v>
      </c>
      <c r="B78" s="158">
        <v>44999</v>
      </c>
      <c r="C78" s="18" t="s">
        <v>426</v>
      </c>
      <c r="D78" s="18" t="s">
        <v>345</v>
      </c>
      <c r="E78" s="21" t="s">
        <v>769</v>
      </c>
      <c r="F78" s="18"/>
      <c r="G78" s="18">
        <v>140</v>
      </c>
      <c r="H78" s="18">
        <v>119</v>
      </c>
      <c r="I78" s="18"/>
      <c r="J78" s="18"/>
      <c r="K78" s="18"/>
      <c r="L78" s="18">
        <v>119</v>
      </c>
      <c r="M78" s="18"/>
      <c r="N78" s="18">
        <f t="shared" si="10"/>
        <v>6496.2999999999993</v>
      </c>
      <c r="Q78" s="5"/>
      <c r="R78">
        <f t="shared" si="8"/>
        <v>0</v>
      </c>
      <c r="S78" s="16"/>
      <c r="T78" s="175">
        <v>44999</v>
      </c>
      <c r="U78" s="176"/>
      <c r="V78" s="176"/>
      <c r="W78" s="177"/>
      <c r="X78" s="176"/>
      <c r="Y78" s="176"/>
      <c r="Z78" s="176"/>
      <c r="AA78" s="172"/>
      <c r="AB78" s="18"/>
      <c r="AC78" s="18"/>
      <c r="AD78" s="18"/>
      <c r="AE78" s="18"/>
      <c r="AF78" s="18" t="e">
        <f t="shared" si="9"/>
        <v>#REF!</v>
      </c>
    </row>
    <row r="79" spans="1:32" ht="15.75">
      <c r="A79" s="5">
        <f t="shared" si="7"/>
        <v>76</v>
      </c>
      <c r="B79" s="158">
        <v>44999</v>
      </c>
      <c r="C79" s="18" t="s">
        <v>541</v>
      </c>
      <c r="D79" s="18" t="s">
        <v>395</v>
      </c>
      <c r="E79" s="21" t="s">
        <v>769</v>
      </c>
      <c r="F79" s="18"/>
      <c r="G79" s="18">
        <v>140</v>
      </c>
      <c r="H79" s="18">
        <v>53.6</v>
      </c>
      <c r="I79" s="18"/>
      <c r="J79" s="18"/>
      <c r="K79" s="18"/>
      <c r="L79" s="18">
        <v>53.6</v>
      </c>
      <c r="M79" s="18"/>
      <c r="N79" s="18">
        <f t="shared" si="10"/>
        <v>6549.9</v>
      </c>
      <c r="Q79" s="5"/>
      <c r="R79">
        <f t="shared" si="8"/>
        <v>0</v>
      </c>
      <c r="S79" s="16"/>
      <c r="T79" s="175">
        <v>44999</v>
      </c>
      <c r="U79" s="176"/>
      <c r="V79" s="176"/>
      <c r="W79" s="177"/>
      <c r="X79" s="176"/>
      <c r="Y79" s="176"/>
      <c r="Z79" s="176"/>
      <c r="AA79" s="172"/>
      <c r="AB79" s="18"/>
      <c r="AC79" s="18"/>
      <c r="AD79" s="18"/>
      <c r="AE79" s="18"/>
      <c r="AF79" s="18" t="e">
        <f t="shared" si="9"/>
        <v>#REF!</v>
      </c>
    </row>
    <row r="80" spans="1:32" ht="9.75" customHeight="1">
      <c r="A80" s="63"/>
      <c r="B80" s="164"/>
      <c r="C80" s="18"/>
      <c r="D80" s="18"/>
      <c r="E80" s="21"/>
      <c r="F80" s="18"/>
      <c r="G80" s="18"/>
      <c r="H80" s="18"/>
      <c r="I80" s="96"/>
      <c r="J80" s="96"/>
      <c r="K80" s="96"/>
      <c r="L80" s="96"/>
      <c r="M80" s="96"/>
      <c r="N80" s="18"/>
      <c r="Q80" s="5"/>
    </row>
    <row r="81" spans="1:27" ht="25.5" customHeight="1">
      <c r="A81" s="165" t="s">
        <v>872</v>
      </c>
      <c r="B81" s="164"/>
      <c r="C81" s="18">
        <v>63</v>
      </c>
      <c r="D81" s="18">
        <v>75</v>
      </c>
      <c r="E81" s="21">
        <v>90</v>
      </c>
      <c r="F81" s="18">
        <v>110</v>
      </c>
      <c r="G81" s="18">
        <v>140</v>
      </c>
      <c r="H81" s="18">
        <v>160</v>
      </c>
      <c r="I81" s="96"/>
      <c r="J81" s="96"/>
      <c r="K81" s="96"/>
      <c r="L81" s="96"/>
      <c r="M81" s="96"/>
      <c r="N81" s="18"/>
      <c r="Q81" s="5"/>
    </row>
    <row r="82" spans="1:27">
      <c r="C82" s="18">
        <f>+SUMIF($G$4:$G$79,C81,$H$4:$H$79)</f>
        <v>3443.6999999999989</v>
      </c>
      <c r="D82" s="18">
        <f t="shared" ref="D82:H82" si="11">+SUMIF($G$4:$G$79,D81,$H$4:$H$79)</f>
        <v>744.1</v>
      </c>
      <c r="E82" s="18">
        <f t="shared" si="11"/>
        <v>715.5</v>
      </c>
      <c r="F82" s="18">
        <f t="shared" si="11"/>
        <v>1474</v>
      </c>
      <c r="G82" s="18">
        <f t="shared" si="11"/>
        <v>172.6</v>
      </c>
      <c r="H82" s="18">
        <f t="shared" si="11"/>
        <v>0</v>
      </c>
      <c r="N82" s="18">
        <f>+SUM(C82+D82+E82+F82+G82+H82)</f>
        <v>6549.9</v>
      </c>
      <c r="Q82" s="8"/>
      <c r="U82">
        <f>6549.9+N178</f>
        <v>12231.5</v>
      </c>
    </row>
    <row r="83" spans="1:27" ht="18.75">
      <c r="C83" s="111">
        <v>4871</v>
      </c>
      <c r="D83" s="166">
        <v>2635</v>
      </c>
      <c r="E83" s="166">
        <v>985</v>
      </c>
      <c r="F83" s="166">
        <v>2015</v>
      </c>
      <c r="G83" s="166">
        <v>2689</v>
      </c>
      <c r="H83" s="166">
        <v>179</v>
      </c>
      <c r="N83" s="18">
        <f>+SUM(C83+D83+E83+F83+G83+H83)</f>
        <v>13374</v>
      </c>
      <c r="Q83" s="8"/>
    </row>
    <row r="84" spans="1:27">
      <c r="A84" s="8" t="s">
        <v>366</v>
      </c>
      <c r="B84" s="8"/>
      <c r="C84" s="8"/>
      <c r="D84" s="8"/>
      <c r="E84" s="8"/>
      <c r="F84" s="8" t="s">
        <v>367</v>
      </c>
      <c r="G84" s="8"/>
      <c r="H84" s="8"/>
      <c r="I84" s="81"/>
      <c r="J84" s="78" t="s">
        <v>367</v>
      </c>
      <c r="K84" s="78"/>
      <c r="L84" s="78"/>
      <c r="M84" s="78"/>
    </row>
    <row r="85" spans="1:27">
      <c r="A85" s="8" t="s">
        <v>368</v>
      </c>
      <c r="B85" s="8"/>
      <c r="C85" s="5"/>
      <c r="D85" s="5"/>
      <c r="E85" s="5"/>
      <c r="F85" s="8" t="s">
        <v>368</v>
      </c>
      <c r="G85" s="8"/>
      <c r="H85" s="5"/>
      <c r="I85" s="154"/>
      <c r="J85" s="8" t="s">
        <v>368</v>
      </c>
      <c r="K85" s="8"/>
      <c r="L85" s="10"/>
      <c r="M85" s="154"/>
    </row>
    <row r="86" spans="1:27" ht="15.75">
      <c r="A86" s="8" t="s">
        <v>369</v>
      </c>
      <c r="B86" s="8"/>
      <c r="C86" s="5"/>
      <c r="D86" s="5"/>
      <c r="E86" s="5"/>
      <c r="F86" s="8" t="s">
        <v>369</v>
      </c>
      <c r="G86" s="5"/>
      <c r="H86" s="5"/>
      <c r="I86" s="11"/>
      <c r="J86" s="8" t="s">
        <v>369</v>
      </c>
      <c r="K86" s="10"/>
      <c r="L86" s="29"/>
      <c r="M86" s="11"/>
      <c r="N86" t="s">
        <v>1926</v>
      </c>
      <c r="U86" s="18">
        <v>63</v>
      </c>
      <c r="V86" s="18">
        <v>75</v>
      </c>
      <c r="W86" s="21">
        <v>90</v>
      </c>
      <c r="X86" s="18">
        <v>110</v>
      </c>
      <c r="Y86" s="18">
        <v>140</v>
      </c>
      <c r="Z86" s="18">
        <v>160</v>
      </c>
    </row>
    <row r="87" spans="1:27">
      <c r="A87" s="8" t="s">
        <v>370</v>
      </c>
      <c r="B87" s="8"/>
      <c r="C87" s="5"/>
      <c r="D87" s="5"/>
      <c r="E87" s="5"/>
      <c r="F87" s="8" t="s">
        <v>370</v>
      </c>
      <c r="G87" s="8"/>
      <c r="H87" s="5"/>
      <c r="I87" s="11"/>
      <c r="J87" s="8" t="s">
        <v>370</v>
      </c>
      <c r="K87" s="8"/>
      <c r="L87" s="10"/>
      <c r="M87" s="11"/>
      <c r="U87" s="18">
        <f>+SUMIF($G$4:$G$79,U86,$H$4:$H$79)</f>
        <v>3443.6999999999989</v>
      </c>
      <c r="V87" s="18">
        <f t="shared" ref="V87:Z87" si="12">+SUMIF($G$4:$G$79,V86,$H$4:$H$79)</f>
        <v>744.1</v>
      </c>
      <c r="W87" s="18">
        <f t="shared" si="12"/>
        <v>715.5</v>
      </c>
      <c r="X87" s="18">
        <f t="shared" si="12"/>
        <v>1474</v>
      </c>
      <c r="Y87" s="18">
        <f t="shared" si="12"/>
        <v>172.6</v>
      </c>
      <c r="Z87" s="18">
        <f t="shared" si="12"/>
        <v>0</v>
      </c>
    </row>
    <row r="88" spans="1:27">
      <c r="U88" s="63">
        <v>707.8</v>
      </c>
      <c r="V88" s="63">
        <v>1661.2</v>
      </c>
      <c r="W88" s="63">
        <v>0</v>
      </c>
      <c r="X88" s="63">
        <v>648.29999999999995</v>
      </c>
      <c r="Y88" s="63">
        <v>2497.5</v>
      </c>
      <c r="Z88" s="63">
        <v>166.8</v>
      </c>
    </row>
    <row r="89" spans="1:27">
      <c r="AA89" s="63">
        <f>+SUM('[154]JMR Laying'!F10:L10)</f>
        <v>12231.5</v>
      </c>
    </row>
    <row r="90" spans="1:27">
      <c r="N90" t="s">
        <v>873</v>
      </c>
    </row>
    <row r="91" spans="1:27" ht="15.75">
      <c r="C91" s="167" t="s">
        <v>757</v>
      </c>
      <c r="D91" s="168"/>
      <c r="E91" s="152">
        <v>63</v>
      </c>
      <c r="F91" s="152">
        <v>75</v>
      </c>
      <c r="G91" s="152">
        <v>90</v>
      </c>
      <c r="H91" s="152">
        <v>110</v>
      </c>
      <c r="I91" s="152">
        <v>111</v>
      </c>
      <c r="J91" s="152">
        <v>112</v>
      </c>
      <c r="K91" s="152">
        <v>113</v>
      </c>
      <c r="L91" s="152">
        <v>114</v>
      </c>
      <c r="M91" s="152">
        <v>115</v>
      </c>
      <c r="N91" s="152">
        <v>140</v>
      </c>
      <c r="O91" s="152">
        <v>141</v>
      </c>
      <c r="P91" s="152">
        <v>142</v>
      </c>
      <c r="Q91" s="152">
        <v>143</v>
      </c>
      <c r="R91" s="152" t="s">
        <v>874</v>
      </c>
      <c r="S91" s="178" t="s">
        <v>875</v>
      </c>
      <c r="T91" t="s">
        <v>876</v>
      </c>
    </row>
    <row r="92" spans="1:27" ht="15.75">
      <c r="C92" s="7" t="s">
        <v>199</v>
      </c>
      <c r="D92" s="7"/>
      <c r="E92" s="18">
        <f>SUMIFS($H$4:$H$79,$E$4:$E$79,$C$92,$G$4:$G$79,E91)</f>
        <v>425.4</v>
      </c>
      <c r="F92" s="18">
        <f t="shared" ref="F92:N92" si="13">SUMIFS($H$4:$H$79,$E$4:$E$79,$C$92,$G$4:$G$79,F91)</f>
        <v>301.39999999999998</v>
      </c>
      <c r="G92" s="18">
        <f t="shared" si="13"/>
        <v>100</v>
      </c>
      <c r="H92" s="18">
        <f t="shared" si="13"/>
        <v>0</v>
      </c>
      <c r="I92" s="18">
        <f t="shared" si="13"/>
        <v>0</v>
      </c>
      <c r="J92" s="18">
        <f t="shared" si="13"/>
        <v>0</v>
      </c>
      <c r="K92" s="18">
        <f t="shared" si="13"/>
        <v>0</v>
      </c>
      <c r="L92" s="18">
        <f t="shared" si="13"/>
        <v>0</v>
      </c>
      <c r="M92" s="18">
        <f t="shared" si="13"/>
        <v>0</v>
      </c>
      <c r="N92" s="18">
        <f t="shared" si="13"/>
        <v>0</v>
      </c>
      <c r="O92" s="172">
        <f>+SUMIF($E$4:$E$79,$C92,R$4:R79)</f>
        <v>287.50800000000004</v>
      </c>
      <c r="P92" s="18">
        <f>+SUMIF($E$4:$E$79,$C92,S$4:S79)</f>
        <v>355</v>
      </c>
      <c r="Q92" s="18">
        <f>+SUMIF($E$4:$E$79,$C92,T$4:T79)</f>
        <v>404991</v>
      </c>
      <c r="R92" s="18">
        <f>SUM(E92:N92)</f>
        <v>826.8</v>
      </c>
      <c r="S92">
        <f>+R92*0.39</f>
        <v>322.452</v>
      </c>
      <c r="T92">
        <f>+S92*225</f>
        <v>72551.7</v>
      </c>
    </row>
    <row r="93" spans="1:27" ht="15.75">
      <c r="C93" s="7" t="s">
        <v>193</v>
      </c>
      <c r="D93" s="7"/>
      <c r="E93" s="18">
        <f t="shared" ref="E93:N93" si="14">SUMIFS($H$4:$H$79,$E$4:$E$79,$C$93,$G$4:$G$79,E91)</f>
        <v>14</v>
      </c>
      <c r="F93" s="18">
        <f t="shared" si="14"/>
        <v>0</v>
      </c>
      <c r="G93" s="18">
        <f t="shared" si="14"/>
        <v>3.5</v>
      </c>
      <c r="H93" s="18">
        <f t="shared" si="14"/>
        <v>0</v>
      </c>
      <c r="I93" s="18">
        <f t="shared" si="14"/>
        <v>0</v>
      </c>
      <c r="J93" s="18">
        <f t="shared" si="14"/>
        <v>0</v>
      </c>
      <c r="K93" s="18">
        <f t="shared" si="14"/>
        <v>0</v>
      </c>
      <c r="L93" s="18">
        <f t="shared" si="14"/>
        <v>0</v>
      </c>
      <c r="M93" s="18">
        <f t="shared" si="14"/>
        <v>0</v>
      </c>
      <c r="N93" s="18">
        <f t="shared" si="14"/>
        <v>0</v>
      </c>
      <c r="O93" s="172">
        <f>+SUMIF($E$4:$E$79,$C93,R$4:R82)</f>
        <v>6.7200000000000006</v>
      </c>
      <c r="P93" s="18">
        <f>+SUMIF($E$4:$E$79,$C93,S$4:S82)</f>
        <v>85</v>
      </c>
      <c r="Q93" s="18">
        <f>+SUMIF($E$4:$E$79,$C93,T$4:T82)</f>
        <v>179996</v>
      </c>
      <c r="R93" s="18">
        <f t="shared" ref="R93" si="15">SUM(E93:N93)</f>
        <v>17.5</v>
      </c>
      <c r="S93">
        <f>+R93*0.39</f>
        <v>6.8250000000000002</v>
      </c>
      <c r="T93">
        <f>+S93*815</f>
        <v>5562.375</v>
      </c>
    </row>
    <row r="94" spans="1:27" ht="15.75">
      <c r="C94" s="169" t="s">
        <v>301</v>
      </c>
      <c r="D94" s="169"/>
      <c r="E94" s="18">
        <f t="shared" ref="E94:N94" si="16">SUMIFS($H$4:$H$79,$E$4:$E$79,$C$94,$G$4:$G$79,E91)</f>
        <v>366.2</v>
      </c>
      <c r="F94" s="18">
        <f t="shared" si="16"/>
        <v>0</v>
      </c>
      <c r="G94" s="18">
        <f t="shared" si="16"/>
        <v>0</v>
      </c>
      <c r="H94" s="18">
        <f t="shared" si="16"/>
        <v>0</v>
      </c>
      <c r="I94" s="18">
        <f t="shared" si="16"/>
        <v>0</v>
      </c>
      <c r="J94" s="18">
        <f t="shared" si="16"/>
        <v>0</v>
      </c>
      <c r="K94" s="18">
        <f t="shared" si="16"/>
        <v>0</v>
      </c>
      <c r="L94" s="18">
        <f t="shared" si="16"/>
        <v>0</v>
      </c>
      <c r="M94" s="18">
        <f t="shared" si="16"/>
        <v>0</v>
      </c>
      <c r="N94" s="18">
        <f t="shared" si="16"/>
        <v>0</v>
      </c>
      <c r="O94" s="172">
        <f>+SUMIF($E$4:$E$79,$C94,R$4:R83)</f>
        <v>160.828</v>
      </c>
      <c r="P94" s="18">
        <f>+SUMIF($E$4:$E$79,$C94,S$4:S83)</f>
        <v>177</v>
      </c>
      <c r="Q94" s="18">
        <f>+SUMIF($E$4:$E$79,$C94,T$4:T83)</f>
        <v>44999</v>
      </c>
      <c r="R94" s="18">
        <f>SUM(E94:N94)</f>
        <v>366.2</v>
      </c>
      <c r="S94">
        <f>+R94*0.39</f>
        <v>142.81800000000001</v>
      </c>
      <c r="T94">
        <f>+S94*613</f>
        <v>87547.434000000008</v>
      </c>
    </row>
    <row r="95" spans="1:27" ht="15.75">
      <c r="C95" s="21"/>
      <c r="D95" s="8"/>
      <c r="E95" s="18"/>
      <c r="F95" s="18"/>
      <c r="G95" s="18"/>
      <c r="H95" s="18"/>
      <c r="I95" s="18"/>
      <c r="J95" s="18"/>
      <c r="K95" s="18"/>
      <c r="L95" s="18"/>
      <c r="M95" s="18"/>
      <c r="N95" s="18"/>
      <c r="R95" s="18"/>
      <c r="T95">
        <f>+SUM(T92:T94)</f>
        <v>165661.50900000002</v>
      </c>
      <c r="V95">
        <f>472*520</f>
        <v>245440</v>
      </c>
    </row>
    <row r="96" spans="1:27">
      <c r="R96" s="18"/>
      <c r="V96">
        <f>511/472</f>
        <v>1.0826271186440677</v>
      </c>
    </row>
    <row r="97" spans="1:34" ht="13.5" customHeight="1"/>
    <row r="98" spans="1:34">
      <c r="U98">
        <f>+U95-U96</f>
        <v>0</v>
      </c>
    </row>
    <row r="99" spans="1:34" ht="18.75">
      <c r="A99" s="640" t="s">
        <v>852</v>
      </c>
      <c r="B99" s="641"/>
      <c r="C99" s="641"/>
      <c r="D99" s="641"/>
      <c r="E99" s="641"/>
      <c r="F99" s="641"/>
      <c r="G99" s="641"/>
      <c r="H99" s="641"/>
      <c r="I99" s="641"/>
      <c r="J99" s="641"/>
      <c r="K99" s="641"/>
      <c r="L99" s="641"/>
      <c r="M99" s="641"/>
      <c r="N99" s="641"/>
      <c r="O99" s="128"/>
      <c r="P99" s="128"/>
      <c r="Q99" s="129"/>
    </row>
    <row r="100" spans="1:34" ht="31.5">
      <c r="A100" s="170" t="s">
        <v>448</v>
      </c>
      <c r="B100" s="170" t="s">
        <v>743</v>
      </c>
      <c r="C100" s="170" t="s">
        <v>180</v>
      </c>
      <c r="D100" s="170" t="s">
        <v>13</v>
      </c>
      <c r="E100" s="170" t="s">
        <v>181</v>
      </c>
      <c r="F100" s="171" t="s">
        <v>449</v>
      </c>
      <c r="G100" s="170" t="s">
        <v>853</v>
      </c>
      <c r="H100" s="157" t="s">
        <v>184</v>
      </c>
      <c r="I100" s="128"/>
      <c r="J100" s="128"/>
      <c r="K100" s="128"/>
      <c r="L100" s="128"/>
      <c r="M100" s="129"/>
      <c r="N100" s="170" t="s">
        <v>185</v>
      </c>
      <c r="Q100" s="179" t="s">
        <v>750</v>
      </c>
    </row>
    <row r="101" spans="1:34" ht="18.75" hidden="1">
      <c r="A101" s="148"/>
      <c r="B101" s="148"/>
      <c r="C101" s="148"/>
      <c r="D101" s="148"/>
      <c r="E101" s="148"/>
      <c r="F101" s="148"/>
      <c r="G101" s="148"/>
      <c r="H101" s="25"/>
      <c r="I101" s="25" t="s">
        <v>751</v>
      </c>
      <c r="J101" s="25" t="s">
        <v>752</v>
      </c>
      <c r="K101" s="25" t="s">
        <v>753</v>
      </c>
      <c r="L101" s="25" t="s">
        <v>755</v>
      </c>
      <c r="M101" s="25" t="s">
        <v>756</v>
      </c>
      <c r="N101" s="148"/>
      <c r="Q101" s="8"/>
    </row>
    <row r="102" spans="1:34" ht="15.75">
      <c r="A102" s="5">
        <v>1</v>
      </c>
      <c r="B102" s="158">
        <v>44999</v>
      </c>
      <c r="C102" s="18" t="s">
        <v>395</v>
      </c>
      <c r="D102" s="70" t="s">
        <v>325</v>
      </c>
      <c r="E102" s="92" t="s">
        <v>199</v>
      </c>
      <c r="F102" s="18">
        <v>0.39</v>
      </c>
      <c r="G102" s="18">
        <v>63</v>
      </c>
      <c r="H102" s="18">
        <v>84.6</v>
      </c>
      <c r="I102" s="18"/>
      <c r="J102" s="18"/>
      <c r="K102" s="18"/>
      <c r="L102" s="18"/>
      <c r="M102" s="18"/>
      <c r="N102" s="18">
        <f>+N101+H102+I102+J102+K102+L102+M102</f>
        <v>84.6</v>
      </c>
      <c r="Q102" s="5">
        <v>84.6</v>
      </c>
      <c r="R102">
        <f>+H102*F102</f>
        <v>32.994</v>
      </c>
      <c r="V102">
        <f>1474+F178</f>
        <v>2122.3000000000002</v>
      </c>
    </row>
    <row r="103" spans="1:34" ht="15.75" hidden="1">
      <c r="A103" s="5">
        <f>1+A102</f>
        <v>2</v>
      </c>
      <c r="B103" s="158">
        <v>44999</v>
      </c>
      <c r="C103" s="18" t="s">
        <v>521</v>
      </c>
      <c r="D103" s="18" t="s">
        <v>413</v>
      </c>
      <c r="E103" s="21" t="s">
        <v>769</v>
      </c>
      <c r="F103" s="18"/>
      <c r="G103" s="18">
        <v>63</v>
      </c>
      <c r="H103" s="18">
        <v>17.600000000000001</v>
      </c>
      <c r="I103" s="18"/>
      <c r="J103" s="18"/>
      <c r="K103" s="18"/>
      <c r="L103" s="18"/>
      <c r="M103" s="18"/>
      <c r="N103" s="18">
        <f>+N102+H103</f>
        <v>102.19999999999999</v>
      </c>
      <c r="Q103" s="5"/>
      <c r="R103">
        <f t="shared" ref="R103:R166" si="17">+H103*F103</f>
        <v>0</v>
      </c>
    </row>
    <row r="104" spans="1:34" ht="15.75" hidden="1">
      <c r="A104" s="5">
        <f t="shared" ref="A104:A169" si="18">1+A103</f>
        <v>3</v>
      </c>
      <c r="B104" s="158">
        <v>44999</v>
      </c>
      <c r="C104" s="18" t="s">
        <v>413</v>
      </c>
      <c r="D104" s="18" t="s">
        <v>242</v>
      </c>
      <c r="E104" s="21" t="s">
        <v>769</v>
      </c>
      <c r="F104" s="18"/>
      <c r="G104" s="18">
        <v>63</v>
      </c>
      <c r="H104" s="18">
        <v>47.4</v>
      </c>
      <c r="I104" s="18"/>
      <c r="J104" s="18"/>
      <c r="K104" s="18"/>
      <c r="L104" s="18"/>
      <c r="M104" s="18"/>
      <c r="N104" s="18">
        <f t="shared" ref="N104:N167" si="19">+N103+H104</f>
        <v>149.6</v>
      </c>
      <c r="Q104" s="5"/>
      <c r="R104">
        <f t="shared" si="17"/>
        <v>0</v>
      </c>
      <c r="U104" s="5">
        <v>1</v>
      </c>
      <c r="V104" s="158">
        <v>44999</v>
      </c>
      <c r="W104" s="18" t="s">
        <v>395</v>
      </c>
      <c r="X104" s="70" t="s">
        <v>325</v>
      </c>
      <c r="Y104" s="92" t="s">
        <v>199</v>
      </c>
      <c r="Z104" s="18">
        <v>0.39</v>
      </c>
      <c r="AA104" s="18">
        <v>63</v>
      </c>
      <c r="AB104" s="18">
        <v>84.6</v>
      </c>
      <c r="AC104" s="18"/>
      <c r="AD104" s="18"/>
      <c r="AE104" s="18"/>
      <c r="AF104" s="18"/>
      <c r="AG104" s="18"/>
      <c r="AH104" s="18">
        <f>+AH103+AB104+AC104+AD104+AE104+AF104+AG104</f>
        <v>84.6</v>
      </c>
    </row>
    <row r="105" spans="1:34" ht="15.75">
      <c r="A105" s="5">
        <f t="shared" si="18"/>
        <v>4</v>
      </c>
      <c r="B105" s="158">
        <v>44999</v>
      </c>
      <c r="C105" s="18" t="s">
        <v>357</v>
      </c>
      <c r="D105" s="18" t="s">
        <v>197</v>
      </c>
      <c r="E105" s="18" t="s">
        <v>301</v>
      </c>
      <c r="F105" s="18">
        <v>0.39</v>
      </c>
      <c r="G105" s="18">
        <v>63</v>
      </c>
      <c r="H105" s="18">
        <v>12.5</v>
      </c>
      <c r="I105" s="18"/>
      <c r="J105" s="18"/>
      <c r="K105" s="18"/>
      <c r="L105" s="18"/>
      <c r="M105" s="18"/>
      <c r="N105" s="18">
        <f t="shared" si="19"/>
        <v>162.1</v>
      </c>
      <c r="Q105" s="5">
        <v>12.5</v>
      </c>
      <c r="R105">
        <f t="shared" si="17"/>
        <v>4.875</v>
      </c>
      <c r="U105" s="5"/>
      <c r="V105" s="158"/>
      <c r="W105" s="18"/>
      <c r="X105" s="18"/>
      <c r="Y105" s="21"/>
      <c r="Z105" s="18"/>
      <c r="AA105" s="18"/>
      <c r="AB105" s="18"/>
      <c r="AC105" s="18"/>
      <c r="AD105" s="18"/>
      <c r="AE105" s="18"/>
      <c r="AF105" s="18"/>
      <c r="AG105" s="18"/>
      <c r="AH105" s="18"/>
    </row>
    <row r="106" spans="1:34" ht="15.75" hidden="1">
      <c r="A106" s="5">
        <f t="shared" si="18"/>
        <v>5</v>
      </c>
      <c r="B106" s="158">
        <v>44999</v>
      </c>
      <c r="C106" s="18" t="s">
        <v>357</v>
      </c>
      <c r="D106" s="18" t="s">
        <v>197</v>
      </c>
      <c r="E106" s="21" t="s">
        <v>769</v>
      </c>
      <c r="F106" s="8"/>
      <c r="G106" s="18">
        <v>63</v>
      </c>
      <c r="H106" s="18">
        <v>79.400000000000006</v>
      </c>
      <c r="I106" s="18"/>
      <c r="J106" s="18"/>
      <c r="K106" s="18"/>
      <c r="L106" s="18"/>
      <c r="M106" s="18"/>
      <c r="N106" s="18">
        <f t="shared" si="19"/>
        <v>241.5</v>
      </c>
      <c r="Q106" s="5">
        <v>79.400000000000006</v>
      </c>
      <c r="R106">
        <f t="shared" si="17"/>
        <v>0</v>
      </c>
      <c r="U106" s="5"/>
      <c r="V106" s="158"/>
      <c r="W106" s="18"/>
      <c r="X106" s="18"/>
      <c r="Y106" s="21"/>
      <c r="Z106" s="18"/>
      <c r="AA106" s="18"/>
      <c r="AB106" s="18"/>
      <c r="AC106" s="18"/>
      <c r="AD106" s="18"/>
      <c r="AE106" s="18"/>
      <c r="AF106" s="18"/>
      <c r="AG106" s="18"/>
      <c r="AH106" s="18"/>
    </row>
    <row r="107" spans="1:34">
      <c r="A107" s="5">
        <f t="shared" si="18"/>
        <v>6</v>
      </c>
      <c r="B107" s="158"/>
      <c r="C107" s="18" t="s">
        <v>357</v>
      </c>
      <c r="D107" s="18" t="s">
        <v>247</v>
      </c>
      <c r="E107" s="18" t="s">
        <v>199</v>
      </c>
      <c r="F107" s="18">
        <v>0.39</v>
      </c>
      <c r="G107" s="18">
        <v>63</v>
      </c>
      <c r="H107" s="18">
        <v>18</v>
      </c>
      <c r="I107" s="18"/>
      <c r="J107" s="18"/>
      <c r="K107" s="18"/>
      <c r="L107" s="18"/>
      <c r="M107" s="18"/>
      <c r="N107" s="18">
        <f t="shared" si="19"/>
        <v>259.5</v>
      </c>
      <c r="Q107" s="5"/>
      <c r="R107">
        <f t="shared" si="17"/>
        <v>7.0200000000000005</v>
      </c>
      <c r="U107" s="5">
        <f t="shared" ref="U107:U169" si="20">1+U106</f>
        <v>1</v>
      </c>
      <c r="V107" s="158">
        <v>44999</v>
      </c>
      <c r="W107" s="18" t="s">
        <v>357</v>
      </c>
      <c r="X107" s="18" t="s">
        <v>197</v>
      </c>
      <c r="Y107" s="18" t="s">
        <v>301</v>
      </c>
      <c r="Z107" s="18">
        <v>0.39</v>
      </c>
      <c r="AA107" s="18">
        <v>63</v>
      </c>
      <c r="AB107" s="18">
        <v>12.5</v>
      </c>
      <c r="AC107" s="18"/>
      <c r="AD107" s="18"/>
      <c r="AE107" s="18"/>
      <c r="AF107" s="18"/>
      <c r="AG107" s="18"/>
      <c r="AH107" s="18">
        <f t="shared" ref="AH107:AH169" si="21">+AH106+AB107</f>
        <v>12.5</v>
      </c>
    </row>
    <row r="108" spans="1:34" ht="15.75" hidden="1">
      <c r="A108" s="5">
        <f t="shared" si="18"/>
        <v>7</v>
      </c>
      <c r="B108" s="158"/>
      <c r="C108" s="18" t="s">
        <v>357</v>
      </c>
      <c r="D108" s="18" t="s">
        <v>247</v>
      </c>
      <c r="E108" s="21" t="s">
        <v>769</v>
      </c>
      <c r="F108" s="8"/>
      <c r="G108" s="18">
        <v>63</v>
      </c>
      <c r="H108" s="18">
        <f>143+28.2</f>
        <v>171.2</v>
      </c>
      <c r="I108" s="18"/>
      <c r="J108" s="18"/>
      <c r="K108" s="18"/>
      <c r="L108" s="18"/>
      <c r="M108" s="18"/>
      <c r="N108" s="18">
        <f t="shared" si="19"/>
        <v>430.7</v>
      </c>
      <c r="Q108" s="5"/>
      <c r="R108">
        <f t="shared" si="17"/>
        <v>0</v>
      </c>
      <c r="U108" s="5"/>
      <c r="V108" s="158"/>
      <c r="W108" s="18"/>
      <c r="X108" s="18"/>
      <c r="Y108" s="21"/>
      <c r="Z108" s="8"/>
      <c r="AA108" s="18"/>
      <c r="AB108" s="18"/>
      <c r="AC108" s="18"/>
      <c r="AD108" s="18"/>
      <c r="AE108" s="18"/>
      <c r="AF108" s="18"/>
      <c r="AG108" s="18"/>
      <c r="AH108" s="18"/>
    </row>
    <row r="109" spans="1:34" ht="15.75">
      <c r="A109" s="5">
        <f t="shared" si="18"/>
        <v>8</v>
      </c>
      <c r="B109" s="158">
        <v>44999</v>
      </c>
      <c r="C109" s="18" t="s">
        <v>260</v>
      </c>
      <c r="D109" s="18" t="s">
        <v>311</v>
      </c>
      <c r="E109" s="92" t="s">
        <v>199</v>
      </c>
      <c r="F109" s="18">
        <v>0.39</v>
      </c>
      <c r="G109" s="18">
        <v>63</v>
      </c>
      <c r="H109" s="18">
        <v>13</v>
      </c>
      <c r="I109" s="18"/>
      <c r="J109" s="18"/>
      <c r="K109" s="18"/>
      <c r="L109" s="8"/>
      <c r="M109" s="18"/>
      <c r="N109" s="18">
        <f t="shared" si="19"/>
        <v>443.7</v>
      </c>
      <c r="Q109" s="5">
        <v>13</v>
      </c>
      <c r="R109">
        <f t="shared" si="17"/>
        <v>5.07</v>
      </c>
      <c r="U109" s="5">
        <f t="shared" si="20"/>
        <v>1</v>
      </c>
      <c r="V109" s="158"/>
      <c r="W109" s="18" t="s">
        <v>357</v>
      </c>
      <c r="X109" s="18" t="s">
        <v>247</v>
      </c>
      <c r="Y109" s="18" t="s">
        <v>199</v>
      </c>
      <c r="Z109" s="18">
        <v>0.39</v>
      </c>
      <c r="AA109" s="18">
        <v>63</v>
      </c>
      <c r="AB109" s="18">
        <v>18</v>
      </c>
      <c r="AC109" s="18"/>
      <c r="AD109" s="18"/>
      <c r="AE109" s="18"/>
      <c r="AF109" s="18"/>
      <c r="AG109" s="18"/>
      <c r="AH109" s="18">
        <f t="shared" si="21"/>
        <v>18</v>
      </c>
    </row>
    <row r="110" spans="1:34" ht="15.75" hidden="1">
      <c r="A110" s="5">
        <f t="shared" si="18"/>
        <v>9</v>
      </c>
      <c r="B110" s="158">
        <v>44999</v>
      </c>
      <c r="C110" s="18" t="s">
        <v>311</v>
      </c>
      <c r="D110" s="18" t="s">
        <v>351</v>
      </c>
      <c r="E110" s="21" t="s">
        <v>769</v>
      </c>
      <c r="F110" s="18"/>
      <c r="G110" s="18">
        <v>63</v>
      </c>
      <c r="H110" s="18">
        <v>21.8</v>
      </c>
      <c r="I110" s="18"/>
      <c r="J110" s="18"/>
      <c r="K110" s="18"/>
      <c r="L110" s="18"/>
      <c r="M110" s="18"/>
      <c r="N110" s="18">
        <f t="shared" si="19"/>
        <v>465.5</v>
      </c>
      <c r="Q110" s="5"/>
      <c r="R110">
        <f t="shared" si="17"/>
        <v>0</v>
      </c>
      <c r="U110" s="5"/>
      <c r="V110" s="158"/>
      <c r="W110" s="18"/>
      <c r="X110" s="18"/>
      <c r="Y110" s="21"/>
      <c r="Z110" s="8"/>
      <c r="AA110" s="18"/>
      <c r="AB110" s="18"/>
      <c r="AC110" s="18"/>
      <c r="AD110" s="18"/>
      <c r="AE110" s="18"/>
      <c r="AF110" s="18"/>
      <c r="AG110" s="18"/>
      <c r="AH110" s="18"/>
    </row>
    <row r="111" spans="1:34" ht="15.75" hidden="1">
      <c r="A111" s="5">
        <f t="shared" si="18"/>
        <v>10</v>
      </c>
      <c r="B111" s="158">
        <v>44999</v>
      </c>
      <c r="C111" s="18" t="s">
        <v>311</v>
      </c>
      <c r="D111" s="18" t="s">
        <v>322</v>
      </c>
      <c r="E111" s="21" t="s">
        <v>769</v>
      </c>
      <c r="F111" s="18"/>
      <c r="G111" s="18">
        <v>63</v>
      </c>
      <c r="H111" s="18">
        <v>42.4</v>
      </c>
      <c r="I111" s="18"/>
      <c r="J111" s="18"/>
      <c r="K111" s="18"/>
      <c r="L111" s="18"/>
      <c r="M111" s="18"/>
      <c r="N111" s="18">
        <f t="shared" si="19"/>
        <v>507.9</v>
      </c>
      <c r="Q111" s="5"/>
      <c r="R111">
        <f t="shared" si="17"/>
        <v>0</v>
      </c>
      <c r="U111" s="5">
        <f t="shared" si="20"/>
        <v>1</v>
      </c>
      <c r="V111" s="158">
        <v>44999</v>
      </c>
      <c r="W111" s="18" t="s">
        <v>260</v>
      </c>
      <c r="X111" s="18" t="s">
        <v>311</v>
      </c>
      <c r="Y111" s="92" t="s">
        <v>199</v>
      </c>
      <c r="Z111" s="18">
        <v>0.39</v>
      </c>
      <c r="AA111" s="18">
        <v>63</v>
      </c>
      <c r="AB111" s="18">
        <v>13</v>
      </c>
      <c r="AC111" s="18"/>
      <c r="AD111" s="18"/>
      <c r="AE111" s="18"/>
      <c r="AF111" s="8"/>
      <c r="AG111" s="18"/>
      <c r="AH111" s="18">
        <f t="shared" si="21"/>
        <v>13</v>
      </c>
    </row>
    <row r="112" spans="1:34" ht="15.75" hidden="1">
      <c r="A112" s="5">
        <f t="shared" si="18"/>
        <v>11</v>
      </c>
      <c r="B112" s="158">
        <v>44999</v>
      </c>
      <c r="C112" s="18" t="s">
        <v>364</v>
      </c>
      <c r="D112" s="18" t="s">
        <v>254</v>
      </c>
      <c r="E112" s="21" t="s">
        <v>769</v>
      </c>
      <c r="F112" s="18"/>
      <c r="G112" s="18">
        <v>63</v>
      </c>
      <c r="H112" s="96">
        <v>50</v>
      </c>
      <c r="I112" s="18"/>
      <c r="J112" s="18"/>
      <c r="K112" s="18"/>
      <c r="L112" s="18"/>
      <c r="M112" s="18"/>
      <c r="N112" s="18">
        <f t="shared" si="19"/>
        <v>557.9</v>
      </c>
      <c r="Q112" s="5"/>
      <c r="R112">
        <f t="shared" si="17"/>
        <v>0</v>
      </c>
      <c r="U112" s="5"/>
      <c r="V112" s="158"/>
      <c r="W112" s="18"/>
      <c r="X112" s="18"/>
      <c r="Y112" s="21"/>
      <c r="Z112" s="18"/>
      <c r="AA112" s="18"/>
      <c r="AB112" s="18"/>
      <c r="AC112" s="18"/>
      <c r="AD112" s="18"/>
      <c r="AE112" s="18"/>
      <c r="AF112" s="18"/>
      <c r="AG112" s="18"/>
      <c r="AH112" s="18"/>
    </row>
    <row r="113" spans="1:34" ht="15.75" hidden="1">
      <c r="A113" s="5">
        <f t="shared" si="18"/>
        <v>12</v>
      </c>
      <c r="B113" s="158">
        <v>44999</v>
      </c>
      <c r="C113" s="18" t="s">
        <v>359</v>
      </c>
      <c r="D113" s="18" t="s">
        <v>228</v>
      </c>
      <c r="E113" s="21" t="s">
        <v>769</v>
      </c>
      <c r="F113" s="92"/>
      <c r="G113" s="18">
        <v>63</v>
      </c>
      <c r="H113" s="18">
        <v>30</v>
      </c>
      <c r="I113" s="18"/>
      <c r="J113" s="18"/>
      <c r="K113" s="18"/>
      <c r="L113" s="18"/>
      <c r="M113" s="18"/>
      <c r="N113" s="18">
        <f t="shared" si="19"/>
        <v>587.9</v>
      </c>
      <c r="Q113" s="5"/>
      <c r="R113">
        <f t="shared" si="17"/>
        <v>0</v>
      </c>
      <c r="U113" s="5"/>
      <c r="V113" s="158"/>
      <c r="W113" s="18"/>
      <c r="X113" s="18"/>
      <c r="Y113" s="21"/>
      <c r="Z113" s="18"/>
      <c r="AA113" s="18"/>
      <c r="AB113" s="18"/>
      <c r="AC113" s="18"/>
      <c r="AD113" s="18"/>
      <c r="AE113" s="18"/>
      <c r="AF113" s="18"/>
      <c r="AG113" s="18"/>
      <c r="AH113" s="18"/>
    </row>
    <row r="114" spans="1:34" ht="15.75" hidden="1">
      <c r="A114" s="5">
        <f t="shared" si="18"/>
        <v>13</v>
      </c>
      <c r="B114" s="158">
        <v>44999</v>
      </c>
      <c r="C114" s="18" t="s">
        <v>198</v>
      </c>
      <c r="D114" s="18" t="s">
        <v>662</v>
      </c>
      <c r="E114" s="21" t="s">
        <v>769</v>
      </c>
      <c r="F114" s="18"/>
      <c r="G114" s="18">
        <v>63</v>
      </c>
      <c r="H114" s="18">
        <v>27.5</v>
      </c>
      <c r="I114" s="18"/>
      <c r="J114" s="18"/>
      <c r="K114" s="18"/>
      <c r="L114" s="18"/>
      <c r="M114" s="18"/>
      <c r="N114" s="18">
        <f t="shared" si="19"/>
        <v>615.4</v>
      </c>
      <c r="Q114" s="5"/>
      <c r="R114">
        <f t="shared" si="17"/>
        <v>0</v>
      </c>
      <c r="U114" s="5"/>
      <c r="V114" s="158"/>
      <c r="W114" s="18"/>
      <c r="X114" s="18"/>
      <c r="Y114" s="21"/>
      <c r="Z114" s="18"/>
      <c r="AA114" s="18"/>
      <c r="AB114" s="96"/>
      <c r="AC114" s="18"/>
      <c r="AD114" s="18"/>
      <c r="AE114" s="18"/>
      <c r="AF114" s="18"/>
      <c r="AG114" s="18"/>
      <c r="AH114" s="18"/>
    </row>
    <row r="115" spans="1:34" ht="15.75">
      <c r="A115" s="5">
        <f t="shared" si="18"/>
        <v>14</v>
      </c>
      <c r="B115" s="158">
        <v>44999</v>
      </c>
      <c r="C115" s="18" t="s">
        <v>524</v>
      </c>
      <c r="D115" s="18" t="s">
        <v>443</v>
      </c>
      <c r="E115" s="92" t="s">
        <v>193</v>
      </c>
      <c r="F115" s="18">
        <v>0.39</v>
      </c>
      <c r="G115" s="18">
        <v>63</v>
      </c>
      <c r="H115" s="18">
        <v>3.5</v>
      </c>
      <c r="I115" s="18"/>
      <c r="J115" s="18"/>
      <c r="K115" s="18"/>
      <c r="L115" s="18"/>
      <c r="M115" s="18"/>
      <c r="N115" s="18">
        <f t="shared" si="19"/>
        <v>618.9</v>
      </c>
      <c r="Q115" s="5">
        <v>3.5</v>
      </c>
      <c r="R115">
        <f t="shared" si="17"/>
        <v>1.365</v>
      </c>
      <c r="U115" s="5"/>
      <c r="V115" s="158"/>
      <c r="W115" s="18"/>
      <c r="X115" s="18"/>
      <c r="Y115" s="21"/>
      <c r="Z115" s="92"/>
      <c r="AA115" s="18"/>
      <c r="AB115" s="18"/>
      <c r="AC115" s="18"/>
      <c r="AD115" s="18"/>
      <c r="AE115" s="18"/>
      <c r="AF115" s="18"/>
      <c r="AG115" s="18"/>
      <c r="AH115" s="18"/>
    </row>
    <row r="116" spans="1:34" ht="15.75">
      <c r="A116" s="5">
        <f t="shared" si="18"/>
        <v>15</v>
      </c>
      <c r="B116" s="158">
        <v>44999</v>
      </c>
      <c r="C116" s="18" t="s">
        <v>524</v>
      </c>
      <c r="D116" s="18" t="s">
        <v>443</v>
      </c>
      <c r="E116" s="92" t="s">
        <v>199</v>
      </c>
      <c r="F116" s="18">
        <v>0.39</v>
      </c>
      <c r="G116" s="18">
        <v>63</v>
      </c>
      <c r="H116" s="18">
        <v>43.4</v>
      </c>
      <c r="I116" s="18"/>
      <c r="J116" s="18"/>
      <c r="K116" s="18"/>
      <c r="L116" s="18"/>
      <c r="M116" s="18"/>
      <c r="N116" s="18">
        <f t="shared" si="19"/>
        <v>662.3</v>
      </c>
      <c r="Q116" s="5">
        <v>43.4</v>
      </c>
      <c r="R116">
        <f t="shared" si="17"/>
        <v>16.925999999999998</v>
      </c>
      <c r="U116" s="5"/>
      <c r="V116" s="158"/>
      <c r="W116" s="18"/>
      <c r="X116" s="18"/>
      <c r="Y116" s="21"/>
      <c r="Z116" s="18"/>
      <c r="AA116" s="18"/>
      <c r="AB116" s="18"/>
      <c r="AC116" s="18"/>
      <c r="AD116" s="18"/>
      <c r="AE116" s="18"/>
      <c r="AF116" s="18"/>
      <c r="AG116" s="18"/>
      <c r="AH116" s="18"/>
    </row>
    <row r="117" spans="1:34" ht="15.75" hidden="1">
      <c r="A117" s="5">
        <f t="shared" si="18"/>
        <v>16</v>
      </c>
      <c r="B117" s="158">
        <v>44999</v>
      </c>
      <c r="C117" s="18" t="s">
        <v>524</v>
      </c>
      <c r="D117" s="18" t="s">
        <v>443</v>
      </c>
      <c r="E117" s="21" t="s">
        <v>769</v>
      </c>
      <c r="F117" s="18"/>
      <c r="G117" s="18">
        <v>63</v>
      </c>
      <c r="H117" s="18">
        <v>9</v>
      </c>
      <c r="I117" s="18"/>
      <c r="J117" s="18"/>
      <c r="K117" s="18"/>
      <c r="L117" s="18"/>
      <c r="M117" s="18"/>
      <c r="N117" s="18">
        <f t="shared" si="19"/>
        <v>671.3</v>
      </c>
      <c r="Q117" s="5"/>
      <c r="R117">
        <f t="shared" si="17"/>
        <v>0</v>
      </c>
      <c r="U117" s="5">
        <f t="shared" si="20"/>
        <v>1</v>
      </c>
      <c r="V117" s="158">
        <v>44999</v>
      </c>
      <c r="W117" s="18" t="s">
        <v>524</v>
      </c>
      <c r="X117" s="18" t="s">
        <v>443</v>
      </c>
      <c r="Y117" s="92" t="s">
        <v>193</v>
      </c>
      <c r="Z117" s="18">
        <v>0.39</v>
      </c>
      <c r="AA117" s="18">
        <v>63</v>
      </c>
      <c r="AB117" s="18">
        <v>3.5</v>
      </c>
      <c r="AC117" s="18"/>
      <c r="AD117" s="18"/>
      <c r="AE117" s="18"/>
      <c r="AF117" s="18"/>
      <c r="AG117" s="18"/>
      <c r="AH117" s="18">
        <f t="shared" si="21"/>
        <v>3.5</v>
      </c>
    </row>
    <row r="118" spans="1:34" ht="15.75">
      <c r="A118" s="5">
        <f t="shared" si="18"/>
        <v>17</v>
      </c>
      <c r="B118" s="158">
        <v>44999</v>
      </c>
      <c r="C118" s="18" t="s">
        <v>239</v>
      </c>
      <c r="D118" s="18" t="s">
        <v>334</v>
      </c>
      <c r="E118" s="92" t="s">
        <v>193</v>
      </c>
      <c r="F118" s="18">
        <v>0.39</v>
      </c>
      <c r="G118" s="18">
        <v>63</v>
      </c>
      <c r="H118" s="18">
        <v>3.5</v>
      </c>
      <c r="I118" s="18"/>
      <c r="J118" s="18"/>
      <c r="K118" s="18"/>
      <c r="L118" s="18"/>
      <c r="M118" s="18"/>
      <c r="N118" s="18">
        <f t="shared" si="19"/>
        <v>674.8</v>
      </c>
      <c r="Q118" s="5">
        <v>3.5</v>
      </c>
      <c r="R118">
        <f t="shared" si="17"/>
        <v>1.365</v>
      </c>
      <c r="U118" s="5">
        <f t="shared" si="20"/>
        <v>2</v>
      </c>
      <c r="V118" s="158">
        <v>44999</v>
      </c>
      <c r="W118" s="18" t="s">
        <v>524</v>
      </c>
      <c r="X118" s="18" t="s">
        <v>443</v>
      </c>
      <c r="Y118" s="92" t="s">
        <v>199</v>
      </c>
      <c r="Z118" s="18">
        <v>0.39</v>
      </c>
      <c r="AA118" s="18">
        <v>63</v>
      </c>
      <c r="AB118" s="18">
        <v>43.4</v>
      </c>
      <c r="AC118" s="18"/>
      <c r="AD118" s="18"/>
      <c r="AE118" s="18"/>
      <c r="AF118" s="18"/>
      <c r="AG118" s="18"/>
      <c r="AH118" s="18">
        <f t="shared" si="21"/>
        <v>46.9</v>
      </c>
    </row>
    <row r="119" spans="1:34" ht="15.75" hidden="1">
      <c r="A119" s="5">
        <f t="shared" si="18"/>
        <v>18</v>
      </c>
      <c r="B119" s="158">
        <v>44999</v>
      </c>
      <c r="C119" s="18" t="s">
        <v>239</v>
      </c>
      <c r="D119" s="18" t="s">
        <v>334</v>
      </c>
      <c r="E119" s="21" t="s">
        <v>769</v>
      </c>
      <c r="F119" s="18"/>
      <c r="G119" s="18">
        <v>63</v>
      </c>
      <c r="H119" s="18">
        <v>33</v>
      </c>
      <c r="I119" s="18"/>
      <c r="J119" s="18"/>
      <c r="K119" s="18"/>
      <c r="L119" s="18"/>
      <c r="M119" s="18"/>
      <c r="N119" s="18">
        <f t="shared" si="19"/>
        <v>707.8</v>
      </c>
      <c r="Q119" s="8"/>
      <c r="R119">
        <f t="shared" si="17"/>
        <v>0</v>
      </c>
      <c r="U119" s="5">
        <f t="shared" si="20"/>
        <v>3</v>
      </c>
      <c r="V119" s="158">
        <v>44999</v>
      </c>
      <c r="W119" s="18" t="s">
        <v>524</v>
      </c>
      <c r="X119" s="18" t="s">
        <v>443</v>
      </c>
      <c r="Y119" s="21" t="s">
        <v>769</v>
      </c>
      <c r="Z119" s="18"/>
      <c r="AA119" s="18">
        <v>63</v>
      </c>
      <c r="AB119" s="18">
        <v>9</v>
      </c>
      <c r="AC119" s="18"/>
      <c r="AD119" s="18"/>
      <c r="AE119" s="18"/>
      <c r="AF119" s="18"/>
      <c r="AG119" s="18"/>
      <c r="AH119" s="18">
        <f t="shared" si="21"/>
        <v>55.9</v>
      </c>
    </row>
    <row r="120" spans="1:34" ht="15.75" hidden="1">
      <c r="A120" s="5">
        <f t="shared" si="18"/>
        <v>19</v>
      </c>
      <c r="B120" s="158">
        <v>44999</v>
      </c>
      <c r="C120" s="70" t="s">
        <v>249</v>
      </c>
      <c r="D120" s="18" t="s">
        <v>362</v>
      </c>
      <c r="E120" s="21" t="s">
        <v>769</v>
      </c>
      <c r="F120" s="18"/>
      <c r="G120" s="18">
        <v>75</v>
      </c>
      <c r="H120" s="18">
        <v>452.5</v>
      </c>
      <c r="I120" s="18">
        <v>452.5</v>
      </c>
      <c r="J120" s="18"/>
      <c r="K120" s="18"/>
      <c r="L120" s="18"/>
      <c r="M120" s="18"/>
      <c r="N120" s="18">
        <f t="shared" si="19"/>
        <v>1160.3</v>
      </c>
      <c r="Q120" s="8"/>
      <c r="R120">
        <f t="shared" si="17"/>
        <v>0</v>
      </c>
      <c r="U120" s="5">
        <f t="shared" si="20"/>
        <v>4</v>
      </c>
      <c r="V120" s="158">
        <v>44999</v>
      </c>
      <c r="W120" s="18" t="s">
        <v>239</v>
      </c>
      <c r="X120" s="18" t="s">
        <v>334</v>
      </c>
      <c r="Y120" s="92" t="s">
        <v>193</v>
      </c>
      <c r="Z120" s="18">
        <v>0.39</v>
      </c>
      <c r="AA120" s="18">
        <v>63</v>
      </c>
      <c r="AB120" s="18">
        <v>3.5</v>
      </c>
      <c r="AC120" s="18"/>
      <c r="AD120" s="18"/>
      <c r="AE120" s="18"/>
      <c r="AF120" s="18"/>
      <c r="AG120" s="18"/>
      <c r="AH120" s="18">
        <f t="shared" si="21"/>
        <v>59.4</v>
      </c>
    </row>
    <row r="121" spans="1:34" ht="15.75">
      <c r="A121" s="5">
        <f t="shared" si="18"/>
        <v>20</v>
      </c>
      <c r="B121" s="158">
        <v>44999</v>
      </c>
      <c r="C121" s="18" t="s">
        <v>252</v>
      </c>
      <c r="D121" s="18" t="s">
        <v>364</v>
      </c>
      <c r="E121" s="92" t="s">
        <v>199</v>
      </c>
      <c r="F121" s="18">
        <v>0.39</v>
      </c>
      <c r="G121" s="18">
        <v>75</v>
      </c>
      <c r="H121" s="18">
        <v>46</v>
      </c>
      <c r="I121" s="18">
        <v>46</v>
      </c>
      <c r="J121" s="18"/>
      <c r="K121" s="18"/>
      <c r="L121" s="18"/>
      <c r="M121" s="18"/>
      <c r="N121" s="18">
        <f t="shared" si="19"/>
        <v>1206.3</v>
      </c>
      <c r="Q121" s="5">
        <v>46</v>
      </c>
      <c r="R121">
        <f t="shared" si="17"/>
        <v>17.940000000000001</v>
      </c>
      <c r="U121" s="5">
        <f t="shared" si="20"/>
        <v>5</v>
      </c>
      <c r="V121" s="158">
        <v>44999</v>
      </c>
      <c r="W121" s="18" t="s">
        <v>239</v>
      </c>
      <c r="X121" s="18" t="s">
        <v>334</v>
      </c>
      <c r="Y121" s="21" t="s">
        <v>769</v>
      </c>
      <c r="Z121" s="18"/>
      <c r="AA121" s="18">
        <v>63</v>
      </c>
      <c r="AB121" s="18">
        <v>33</v>
      </c>
      <c r="AC121" s="18"/>
      <c r="AD121" s="18"/>
      <c r="AE121" s="18"/>
      <c r="AF121" s="18"/>
      <c r="AG121" s="18"/>
      <c r="AH121" s="18">
        <f t="shared" si="21"/>
        <v>92.4</v>
      </c>
    </row>
    <row r="122" spans="1:34" ht="15.75">
      <c r="A122" s="5">
        <f t="shared" si="18"/>
        <v>21</v>
      </c>
      <c r="B122" s="158">
        <v>44999</v>
      </c>
      <c r="C122" s="18" t="s">
        <v>364</v>
      </c>
      <c r="D122" s="18" t="s">
        <v>595</v>
      </c>
      <c r="E122" s="92" t="s">
        <v>199</v>
      </c>
      <c r="F122" s="18">
        <v>0.39</v>
      </c>
      <c r="G122" s="18">
        <v>75</v>
      </c>
      <c r="H122" s="18">
        <v>231.5</v>
      </c>
      <c r="I122" s="18">
        <v>231.5</v>
      </c>
      <c r="J122" s="18"/>
      <c r="K122" s="18"/>
      <c r="L122" s="18"/>
      <c r="M122" s="18"/>
      <c r="N122" s="18">
        <f t="shared" si="19"/>
        <v>1437.8</v>
      </c>
      <c r="Q122" s="5">
        <v>231.5</v>
      </c>
      <c r="R122">
        <f t="shared" si="17"/>
        <v>90.284999999999997</v>
      </c>
      <c r="U122" s="5">
        <f t="shared" si="20"/>
        <v>6</v>
      </c>
      <c r="V122" s="158">
        <v>44999</v>
      </c>
      <c r="W122" s="70" t="s">
        <v>249</v>
      </c>
      <c r="X122" s="18" t="s">
        <v>362</v>
      </c>
      <c r="Y122" s="21" t="s">
        <v>769</v>
      </c>
      <c r="Z122" s="18"/>
      <c r="AA122" s="18">
        <v>75</v>
      </c>
      <c r="AB122" s="18">
        <v>452.5</v>
      </c>
      <c r="AC122" s="18">
        <v>452.5</v>
      </c>
      <c r="AD122" s="18"/>
      <c r="AE122" s="18"/>
      <c r="AF122" s="18"/>
      <c r="AG122" s="18"/>
      <c r="AH122" s="18">
        <f t="shared" si="21"/>
        <v>544.9</v>
      </c>
    </row>
    <row r="123" spans="1:34" ht="15.75" hidden="1">
      <c r="A123" s="5">
        <f t="shared" si="18"/>
        <v>22</v>
      </c>
      <c r="B123" s="158">
        <v>44999</v>
      </c>
      <c r="C123" s="18" t="s">
        <v>346</v>
      </c>
      <c r="D123" s="18" t="s">
        <v>245</v>
      </c>
      <c r="E123" s="21" t="s">
        <v>769</v>
      </c>
      <c r="F123" s="92"/>
      <c r="G123" s="18">
        <v>75</v>
      </c>
      <c r="H123" s="18">
        <v>41</v>
      </c>
      <c r="I123" s="18">
        <v>41</v>
      </c>
      <c r="J123" s="18"/>
      <c r="K123" s="18"/>
      <c r="L123" s="96"/>
      <c r="M123" s="18"/>
      <c r="N123" s="18">
        <f t="shared" si="19"/>
        <v>1478.8</v>
      </c>
      <c r="Q123" s="5"/>
      <c r="R123">
        <f t="shared" si="17"/>
        <v>0</v>
      </c>
      <c r="U123" s="5">
        <f t="shared" si="20"/>
        <v>7</v>
      </c>
      <c r="V123" s="158">
        <v>44999</v>
      </c>
      <c r="W123" s="18" t="s">
        <v>252</v>
      </c>
      <c r="X123" s="18" t="s">
        <v>364</v>
      </c>
      <c r="Y123" s="92" t="s">
        <v>199</v>
      </c>
      <c r="Z123" s="18">
        <v>0.39</v>
      </c>
      <c r="AA123" s="18">
        <v>75</v>
      </c>
      <c r="AB123" s="18">
        <v>46</v>
      </c>
      <c r="AC123" s="18">
        <v>46</v>
      </c>
      <c r="AD123" s="18"/>
      <c r="AE123" s="18"/>
      <c r="AF123" s="18"/>
      <c r="AG123" s="18"/>
      <c r="AH123" s="18">
        <f t="shared" si="21"/>
        <v>590.9</v>
      </c>
    </row>
    <row r="124" spans="1:34" ht="15.75" hidden="1">
      <c r="A124" s="5">
        <f t="shared" si="18"/>
        <v>23</v>
      </c>
      <c r="B124" s="158">
        <v>44999</v>
      </c>
      <c r="C124" s="18" t="s">
        <v>345</v>
      </c>
      <c r="D124" s="18" t="s">
        <v>359</v>
      </c>
      <c r="E124" s="21" t="s">
        <v>769</v>
      </c>
      <c r="F124" s="92"/>
      <c r="G124" s="18">
        <v>75</v>
      </c>
      <c r="H124" s="18">
        <v>65</v>
      </c>
      <c r="I124" s="18">
        <v>65</v>
      </c>
      <c r="J124" s="18"/>
      <c r="K124" s="18"/>
      <c r="L124" s="18"/>
      <c r="M124" s="18"/>
      <c r="N124" s="18">
        <f t="shared" si="19"/>
        <v>1543.8</v>
      </c>
      <c r="Q124" s="5"/>
      <c r="R124">
        <f t="shared" si="17"/>
        <v>0</v>
      </c>
      <c r="U124" s="5">
        <f t="shared" si="20"/>
        <v>8</v>
      </c>
      <c r="V124" s="158">
        <v>44999</v>
      </c>
      <c r="W124" s="18" t="s">
        <v>364</v>
      </c>
      <c r="X124" s="18" t="s">
        <v>595</v>
      </c>
      <c r="Y124" s="92" t="s">
        <v>199</v>
      </c>
      <c r="Z124" s="18">
        <v>0.39</v>
      </c>
      <c r="AA124" s="18">
        <v>75</v>
      </c>
      <c r="AB124" s="18">
        <v>231.5</v>
      </c>
      <c r="AC124" s="18">
        <v>231.5</v>
      </c>
      <c r="AD124" s="18"/>
      <c r="AE124" s="18"/>
      <c r="AF124" s="18"/>
      <c r="AG124" s="18"/>
      <c r="AH124" s="18">
        <f t="shared" si="21"/>
        <v>822.4</v>
      </c>
    </row>
    <row r="125" spans="1:34" ht="15.75" hidden="1">
      <c r="A125" s="5">
        <f t="shared" si="18"/>
        <v>24</v>
      </c>
      <c r="B125" s="158"/>
      <c r="C125" s="18" t="s">
        <v>359</v>
      </c>
      <c r="D125" s="18" t="s">
        <v>198</v>
      </c>
      <c r="E125" s="21" t="s">
        <v>769</v>
      </c>
      <c r="F125" s="92"/>
      <c r="G125" s="18">
        <v>75</v>
      </c>
      <c r="H125" s="18">
        <f>111-50</f>
        <v>61</v>
      </c>
      <c r="I125" s="18">
        <f>111-50</f>
        <v>61</v>
      </c>
      <c r="J125" s="18"/>
      <c r="K125" s="18"/>
      <c r="L125" s="18"/>
      <c r="M125" s="18"/>
      <c r="N125" s="18">
        <f t="shared" si="19"/>
        <v>1604.8</v>
      </c>
      <c r="Q125" s="5"/>
      <c r="R125">
        <f t="shared" si="17"/>
        <v>0</v>
      </c>
      <c r="U125" s="5">
        <f t="shared" si="20"/>
        <v>9</v>
      </c>
      <c r="V125" s="158">
        <v>44999</v>
      </c>
      <c r="W125" s="18" t="s">
        <v>346</v>
      </c>
      <c r="X125" s="18" t="s">
        <v>245</v>
      </c>
      <c r="Y125" s="21" t="s">
        <v>769</v>
      </c>
      <c r="Z125" s="92"/>
      <c r="AA125" s="18">
        <v>75</v>
      </c>
      <c r="AB125" s="18">
        <v>41</v>
      </c>
      <c r="AC125" s="18">
        <v>41</v>
      </c>
      <c r="AD125" s="18"/>
      <c r="AE125" s="18"/>
      <c r="AF125" s="96"/>
      <c r="AG125" s="18"/>
      <c r="AH125" s="18">
        <f t="shared" si="21"/>
        <v>863.4</v>
      </c>
    </row>
    <row r="126" spans="1:34" ht="15.75">
      <c r="A126" s="5">
        <f t="shared" si="18"/>
        <v>25</v>
      </c>
      <c r="B126" s="158">
        <v>44999</v>
      </c>
      <c r="C126" s="18" t="s">
        <v>359</v>
      </c>
      <c r="D126" s="18" t="s">
        <v>198</v>
      </c>
      <c r="E126" s="92" t="s">
        <v>199</v>
      </c>
      <c r="F126" s="18">
        <v>0.39</v>
      </c>
      <c r="G126" s="18">
        <v>75</v>
      </c>
      <c r="H126" s="18">
        <v>50</v>
      </c>
      <c r="I126" s="18">
        <v>50</v>
      </c>
      <c r="J126" s="18"/>
      <c r="K126" s="18"/>
      <c r="L126" s="18"/>
      <c r="M126" s="18"/>
      <c r="N126" s="18">
        <f t="shared" si="19"/>
        <v>1654.8</v>
      </c>
      <c r="Q126" s="5">
        <v>50</v>
      </c>
      <c r="R126">
        <f t="shared" si="17"/>
        <v>19.5</v>
      </c>
      <c r="U126" s="5">
        <f t="shared" si="20"/>
        <v>10</v>
      </c>
      <c r="V126" s="158">
        <v>44999</v>
      </c>
      <c r="W126" s="18" t="s">
        <v>345</v>
      </c>
      <c r="X126" s="18" t="s">
        <v>359</v>
      </c>
      <c r="Y126" s="21" t="s">
        <v>769</v>
      </c>
      <c r="Z126" s="92"/>
      <c r="AA126" s="18">
        <v>75</v>
      </c>
      <c r="AB126" s="18">
        <v>65</v>
      </c>
      <c r="AC126" s="18">
        <v>65</v>
      </c>
      <c r="AD126" s="18"/>
      <c r="AE126" s="18"/>
      <c r="AF126" s="18"/>
      <c r="AG126" s="18"/>
      <c r="AH126" s="18">
        <f t="shared" si="21"/>
        <v>928.4</v>
      </c>
    </row>
    <row r="127" spans="1:34" ht="15.75" hidden="1">
      <c r="A127" s="5">
        <f t="shared" si="18"/>
        <v>26</v>
      </c>
      <c r="B127" s="158">
        <v>44999</v>
      </c>
      <c r="C127" s="18" t="s">
        <v>198</v>
      </c>
      <c r="D127" s="18" t="s">
        <v>245</v>
      </c>
      <c r="E127" s="21" t="s">
        <v>769</v>
      </c>
      <c r="F127" s="92"/>
      <c r="G127" s="18">
        <v>75</v>
      </c>
      <c r="H127" s="18">
        <v>98.4</v>
      </c>
      <c r="I127" s="18">
        <v>98.4</v>
      </c>
      <c r="J127" s="18"/>
      <c r="K127" s="18"/>
      <c r="L127" s="18"/>
      <c r="M127" s="18"/>
      <c r="N127" s="18">
        <f t="shared" si="19"/>
        <v>1753.2</v>
      </c>
      <c r="Q127" s="5"/>
      <c r="R127">
        <f t="shared" si="17"/>
        <v>0</v>
      </c>
      <c r="U127" s="5">
        <f t="shared" si="20"/>
        <v>11</v>
      </c>
      <c r="V127" s="158"/>
      <c r="W127" s="18" t="s">
        <v>359</v>
      </c>
      <c r="X127" s="18" t="s">
        <v>198</v>
      </c>
      <c r="Y127" s="21" t="s">
        <v>769</v>
      </c>
      <c r="Z127" s="92"/>
      <c r="AA127" s="18">
        <v>75</v>
      </c>
      <c r="AB127" s="18">
        <f>111-50</f>
        <v>61</v>
      </c>
      <c r="AC127" s="18">
        <f>111-50</f>
        <v>61</v>
      </c>
      <c r="AD127" s="18"/>
      <c r="AE127" s="18"/>
      <c r="AF127" s="18"/>
      <c r="AG127" s="18"/>
      <c r="AH127" s="18">
        <f t="shared" si="21"/>
        <v>989.4</v>
      </c>
    </row>
    <row r="128" spans="1:34" ht="15.75">
      <c r="A128" s="5">
        <f t="shared" si="18"/>
        <v>27</v>
      </c>
      <c r="B128" s="158">
        <v>44999</v>
      </c>
      <c r="C128" s="18" t="s">
        <v>198</v>
      </c>
      <c r="D128" s="18" t="s">
        <v>245</v>
      </c>
      <c r="E128" s="92" t="s">
        <v>199</v>
      </c>
      <c r="F128" s="18">
        <v>0.39</v>
      </c>
      <c r="G128" s="18">
        <v>75</v>
      </c>
      <c r="H128" s="18">
        <v>50</v>
      </c>
      <c r="I128" s="18">
        <v>50</v>
      </c>
      <c r="J128" s="18"/>
      <c r="K128" s="18"/>
      <c r="L128" s="18"/>
      <c r="M128" s="18"/>
      <c r="N128" s="18">
        <f t="shared" si="19"/>
        <v>1803.2</v>
      </c>
      <c r="Q128" s="5">
        <v>50</v>
      </c>
      <c r="R128">
        <f t="shared" si="17"/>
        <v>19.5</v>
      </c>
      <c r="U128" s="5">
        <f t="shared" si="20"/>
        <v>12</v>
      </c>
      <c r="V128" s="158">
        <v>44999</v>
      </c>
      <c r="W128" s="18" t="s">
        <v>359</v>
      </c>
      <c r="X128" s="18" t="s">
        <v>198</v>
      </c>
      <c r="Y128" s="92" t="s">
        <v>199</v>
      </c>
      <c r="Z128" s="18">
        <v>0.39</v>
      </c>
      <c r="AA128" s="18">
        <v>75</v>
      </c>
      <c r="AB128" s="18">
        <v>50</v>
      </c>
      <c r="AC128" s="18">
        <v>50</v>
      </c>
      <c r="AD128" s="18"/>
      <c r="AE128" s="18"/>
      <c r="AF128" s="18"/>
      <c r="AG128" s="18"/>
      <c r="AH128" s="18">
        <f t="shared" si="21"/>
        <v>1039.4000000000001</v>
      </c>
    </row>
    <row r="129" spans="1:34" ht="15.75" hidden="1">
      <c r="A129" s="5">
        <f t="shared" si="18"/>
        <v>28</v>
      </c>
      <c r="B129" s="158">
        <v>44999</v>
      </c>
      <c r="C129" s="18" t="s">
        <v>277</v>
      </c>
      <c r="D129" s="18" t="s">
        <v>398</v>
      </c>
      <c r="E129" s="21" t="s">
        <v>769</v>
      </c>
      <c r="F129" s="18"/>
      <c r="G129" s="18">
        <v>75</v>
      </c>
      <c r="H129" s="18">
        <v>92</v>
      </c>
      <c r="I129" s="18">
        <v>92</v>
      </c>
      <c r="J129" s="18"/>
      <c r="K129" s="18"/>
      <c r="L129" s="18"/>
      <c r="M129" s="18"/>
      <c r="N129" s="18">
        <f t="shared" si="19"/>
        <v>1895.2</v>
      </c>
      <c r="Q129" s="5"/>
      <c r="R129">
        <f t="shared" si="17"/>
        <v>0</v>
      </c>
      <c r="U129" s="5">
        <f t="shared" si="20"/>
        <v>13</v>
      </c>
      <c r="V129" s="158">
        <v>44999</v>
      </c>
      <c r="W129" s="18" t="s">
        <v>198</v>
      </c>
      <c r="X129" s="18" t="s">
        <v>245</v>
      </c>
      <c r="Y129" s="21" t="s">
        <v>769</v>
      </c>
      <c r="Z129" s="92"/>
      <c r="AA129" s="18">
        <v>75</v>
      </c>
      <c r="AB129" s="18">
        <v>98.4</v>
      </c>
      <c r="AC129" s="18">
        <v>98.4</v>
      </c>
      <c r="AD129" s="18"/>
      <c r="AE129" s="18"/>
      <c r="AF129" s="18"/>
      <c r="AG129" s="18"/>
      <c r="AH129" s="18">
        <f t="shared" si="21"/>
        <v>1137.8000000000002</v>
      </c>
    </row>
    <row r="130" spans="1:34" ht="15.75">
      <c r="A130" s="5">
        <f t="shared" si="18"/>
        <v>29</v>
      </c>
      <c r="B130" s="158">
        <v>44999</v>
      </c>
      <c r="C130" s="18" t="s">
        <v>398</v>
      </c>
      <c r="D130" s="18" t="s">
        <v>865</v>
      </c>
      <c r="E130" s="92" t="s">
        <v>193</v>
      </c>
      <c r="F130" s="18">
        <v>0.39</v>
      </c>
      <c r="G130" s="18">
        <v>75</v>
      </c>
      <c r="H130" s="18">
        <v>3.5</v>
      </c>
      <c r="I130" s="18">
        <v>3.5</v>
      </c>
      <c r="J130" s="18"/>
      <c r="K130" s="18"/>
      <c r="L130" s="18"/>
      <c r="M130" s="18"/>
      <c r="N130" s="18">
        <f t="shared" si="19"/>
        <v>1898.7</v>
      </c>
      <c r="Q130" s="5">
        <v>3.5</v>
      </c>
      <c r="R130">
        <f t="shared" si="17"/>
        <v>1.365</v>
      </c>
      <c r="U130" s="5">
        <f t="shared" si="20"/>
        <v>14</v>
      </c>
      <c r="V130" s="158">
        <v>44999</v>
      </c>
      <c r="W130" s="18" t="s">
        <v>198</v>
      </c>
      <c r="X130" s="18" t="s">
        <v>245</v>
      </c>
      <c r="Y130" s="92" t="s">
        <v>199</v>
      </c>
      <c r="Z130" s="18">
        <v>0.39</v>
      </c>
      <c r="AA130" s="18">
        <v>75</v>
      </c>
      <c r="AB130" s="18">
        <v>50</v>
      </c>
      <c r="AC130" s="18">
        <v>50</v>
      </c>
      <c r="AD130" s="18"/>
      <c r="AE130" s="18"/>
      <c r="AF130" s="18"/>
      <c r="AG130" s="18"/>
      <c r="AH130" s="18">
        <f t="shared" si="21"/>
        <v>1187.8000000000002</v>
      </c>
    </row>
    <row r="131" spans="1:34" ht="15.75" hidden="1">
      <c r="A131" s="5">
        <f t="shared" si="18"/>
        <v>30</v>
      </c>
      <c r="B131" s="158">
        <v>44999</v>
      </c>
      <c r="C131" s="18" t="s">
        <v>398</v>
      </c>
      <c r="D131" s="18" t="s">
        <v>865</v>
      </c>
      <c r="E131" s="21" t="s">
        <v>769</v>
      </c>
      <c r="F131" s="92"/>
      <c r="G131" s="18">
        <v>75</v>
      </c>
      <c r="H131" s="18">
        <f>87.6+35</f>
        <v>122.6</v>
      </c>
      <c r="I131" s="18">
        <f>87.6+35</f>
        <v>122.6</v>
      </c>
      <c r="J131" s="18"/>
      <c r="K131" s="18"/>
      <c r="L131" s="18"/>
      <c r="M131" s="18"/>
      <c r="N131" s="18">
        <f t="shared" si="19"/>
        <v>2021.3</v>
      </c>
      <c r="Q131" s="5"/>
      <c r="R131">
        <f t="shared" si="17"/>
        <v>0</v>
      </c>
      <c r="U131" s="5">
        <f t="shared" si="20"/>
        <v>15</v>
      </c>
      <c r="V131" s="158">
        <v>44999</v>
      </c>
      <c r="W131" s="18" t="s">
        <v>277</v>
      </c>
      <c r="X131" s="18" t="s">
        <v>398</v>
      </c>
      <c r="Y131" s="21" t="s">
        <v>769</v>
      </c>
      <c r="Z131" s="18"/>
      <c r="AA131" s="18">
        <v>75</v>
      </c>
      <c r="AB131" s="18">
        <v>92</v>
      </c>
      <c r="AC131" s="18">
        <v>92</v>
      </c>
      <c r="AD131" s="18"/>
      <c r="AE131" s="18"/>
      <c r="AF131" s="18"/>
      <c r="AG131" s="18"/>
      <c r="AH131" s="18">
        <f t="shared" si="21"/>
        <v>1279.8000000000002</v>
      </c>
    </row>
    <row r="132" spans="1:34" ht="15.75">
      <c r="A132" s="5">
        <f t="shared" si="18"/>
        <v>31</v>
      </c>
      <c r="B132" s="158">
        <v>44999</v>
      </c>
      <c r="C132" s="18" t="s">
        <v>865</v>
      </c>
      <c r="D132" s="18" t="s">
        <v>537</v>
      </c>
      <c r="E132" s="92" t="s">
        <v>199</v>
      </c>
      <c r="F132" s="18">
        <v>0.39</v>
      </c>
      <c r="G132" s="18">
        <v>75</v>
      </c>
      <c r="H132" s="18">
        <v>113</v>
      </c>
      <c r="I132" s="18">
        <v>113</v>
      </c>
      <c r="J132" s="18"/>
      <c r="K132" s="18"/>
      <c r="L132" s="18"/>
      <c r="M132" s="18"/>
      <c r="N132" s="18">
        <f t="shared" si="19"/>
        <v>2134.3000000000002</v>
      </c>
      <c r="Q132" s="5">
        <v>113</v>
      </c>
      <c r="R132">
        <f t="shared" si="17"/>
        <v>44.07</v>
      </c>
      <c r="U132" s="5">
        <f t="shared" si="20"/>
        <v>16</v>
      </c>
      <c r="V132" s="158">
        <v>44999</v>
      </c>
      <c r="W132" s="18" t="s">
        <v>398</v>
      </c>
      <c r="X132" s="18" t="s">
        <v>865</v>
      </c>
      <c r="Y132" s="92" t="s">
        <v>193</v>
      </c>
      <c r="Z132" s="18">
        <v>0.39</v>
      </c>
      <c r="AA132" s="18">
        <v>75</v>
      </c>
      <c r="AB132" s="18">
        <v>3.5</v>
      </c>
      <c r="AC132" s="18">
        <v>3.5</v>
      </c>
      <c r="AD132" s="18"/>
      <c r="AE132" s="18"/>
      <c r="AF132" s="18"/>
      <c r="AG132" s="18"/>
      <c r="AH132" s="18">
        <f t="shared" si="21"/>
        <v>1283.3000000000002</v>
      </c>
    </row>
    <row r="133" spans="1:34" ht="15.75" hidden="1">
      <c r="A133" s="5">
        <f t="shared" si="18"/>
        <v>32</v>
      </c>
      <c r="B133" s="158">
        <v>44999</v>
      </c>
      <c r="C133" s="18" t="s">
        <v>398</v>
      </c>
      <c r="D133" s="18" t="s">
        <v>239</v>
      </c>
      <c r="E133" s="21" t="s">
        <v>769</v>
      </c>
      <c r="F133" s="18"/>
      <c r="G133" s="18">
        <v>75</v>
      </c>
      <c r="H133" s="18">
        <v>79.7</v>
      </c>
      <c r="I133" s="18">
        <v>79.7</v>
      </c>
      <c r="J133" s="18"/>
      <c r="K133" s="18"/>
      <c r="L133" s="18"/>
      <c r="M133" s="18"/>
      <c r="N133" s="18">
        <f t="shared" si="19"/>
        <v>2214</v>
      </c>
      <c r="Q133" s="5"/>
      <c r="R133">
        <f t="shared" si="17"/>
        <v>0</v>
      </c>
      <c r="U133" s="5">
        <f t="shared" si="20"/>
        <v>17</v>
      </c>
      <c r="V133" s="158">
        <v>44999</v>
      </c>
      <c r="W133" s="18" t="s">
        <v>398</v>
      </c>
      <c r="X133" s="18" t="s">
        <v>865</v>
      </c>
      <c r="Y133" s="21" t="s">
        <v>769</v>
      </c>
      <c r="Z133" s="92"/>
      <c r="AA133" s="18">
        <v>75</v>
      </c>
      <c r="AB133" s="18">
        <f>87.6+35</f>
        <v>122.6</v>
      </c>
      <c r="AC133" s="18">
        <f>87.6+35</f>
        <v>122.6</v>
      </c>
      <c r="AD133" s="18"/>
      <c r="AE133" s="18"/>
      <c r="AF133" s="18"/>
      <c r="AG133" s="18"/>
      <c r="AH133" s="18">
        <f t="shared" si="21"/>
        <v>1405.9</v>
      </c>
    </row>
    <row r="134" spans="1:34" ht="15.75">
      <c r="A134" s="5">
        <f t="shared" si="18"/>
        <v>33</v>
      </c>
      <c r="B134" s="158"/>
      <c r="C134" s="18" t="s">
        <v>352</v>
      </c>
      <c r="D134" s="18" t="s">
        <v>416</v>
      </c>
      <c r="E134" s="92" t="s">
        <v>199</v>
      </c>
      <c r="F134" s="18">
        <v>0.39</v>
      </c>
      <c r="G134" s="18">
        <v>75</v>
      </c>
      <c r="H134" s="18">
        <v>155</v>
      </c>
      <c r="I134" s="18"/>
      <c r="J134" s="18"/>
      <c r="K134" s="18"/>
      <c r="L134" s="18"/>
      <c r="M134" s="18"/>
      <c r="N134" s="18">
        <f t="shared" si="19"/>
        <v>2369</v>
      </c>
      <c r="Q134" s="5"/>
      <c r="R134">
        <f t="shared" si="17"/>
        <v>60.45</v>
      </c>
      <c r="U134" s="5">
        <f t="shared" si="20"/>
        <v>18</v>
      </c>
      <c r="V134" s="158">
        <v>44999</v>
      </c>
      <c r="W134" s="18" t="s">
        <v>865</v>
      </c>
      <c r="X134" s="18" t="s">
        <v>537</v>
      </c>
      <c r="Y134" s="92" t="s">
        <v>199</v>
      </c>
      <c r="Z134" s="18">
        <v>0.39</v>
      </c>
      <c r="AA134" s="18">
        <v>75</v>
      </c>
      <c r="AB134" s="18">
        <v>113</v>
      </c>
      <c r="AC134" s="18">
        <v>113</v>
      </c>
      <c r="AD134" s="18"/>
      <c r="AE134" s="18"/>
      <c r="AF134" s="18"/>
      <c r="AG134" s="18"/>
      <c r="AH134" s="18">
        <f t="shared" si="21"/>
        <v>1518.9</v>
      </c>
    </row>
    <row r="135" spans="1:34" ht="15.75">
      <c r="A135" s="5">
        <f t="shared" si="18"/>
        <v>34</v>
      </c>
      <c r="B135" s="158">
        <v>44999</v>
      </c>
      <c r="C135" s="18" t="s">
        <v>361</v>
      </c>
      <c r="D135" s="18" t="s">
        <v>307</v>
      </c>
      <c r="E135" s="92" t="s">
        <v>199</v>
      </c>
      <c r="F135" s="92">
        <v>0.44</v>
      </c>
      <c r="G135" s="18">
        <v>110</v>
      </c>
      <c r="H135" s="18">
        <v>19</v>
      </c>
      <c r="I135" s="18"/>
      <c r="J135" s="18"/>
      <c r="K135" s="18">
        <v>19</v>
      </c>
      <c r="L135" s="18"/>
      <c r="M135" s="18"/>
      <c r="N135" s="18">
        <f t="shared" si="19"/>
        <v>2388</v>
      </c>
      <c r="Q135" s="5">
        <v>19</v>
      </c>
      <c r="R135">
        <f t="shared" si="17"/>
        <v>8.36</v>
      </c>
      <c r="U135" s="5">
        <f t="shared" si="20"/>
        <v>19</v>
      </c>
      <c r="V135" s="158">
        <v>44999</v>
      </c>
      <c r="W135" s="18" t="s">
        <v>398</v>
      </c>
      <c r="X135" s="18" t="s">
        <v>239</v>
      </c>
      <c r="Y135" s="21" t="s">
        <v>769</v>
      </c>
      <c r="Z135" s="18"/>
      <c r="AA135" s="18">
        <v>75</v>
      </c>
      <c r="AB135" s="18">
        <v>79.7</v>
      </c>
      <c r="AC135" s="18">
        <v>79.7</v>
      </c>
      <c r="AD135" s="18"/>
      <c r="AE135" s="18"/>
      <c r="AF135" s="18"/>
      <c r="AG135" s="18"/>
      <c r="AH135" s="18">
        <f t="shared" si="21"/>
        <v>1598.6000000000001</v>
      </c>
    </row>
    <row r="136" spans="1:34" ht="15.75" hidden="1">
      <c r="A136" s="5">
        <f t="shared" si="18"/>
        <v>35</v>
      </c>
      <c r="B136" s="158">
        <v>44999</v>
      </c>
      <c r="C136" s="18" t="s">
        <v>307</v>
      </c>
      <c r="D136" s="18" t="s">
        <v>436</v>
      </c>
      <c r="E136" s="21" t="s">
        <v>769</v>
      </c>
      <c r="F136" s="92"/>
      <c r="G136" s="18">
        <v>110</v>
      </c>
      <c r="H136" s="18">
        <f>94-H137</f>
        <v>83</v>
      </c>
      <c r="I136" s="18"/>
      <c r="J136" s="18"/>
      <c r="K136" s="18">
        <f>94-K137</f>
        <v>83</v>
      </c>
      <c r="L136" s="18"/>
      <c r="M136" s="18"/>
      <c r="N136" s="18">
        <f t="shared" si="19"/>
        <v>2471</v>
      </c>
      <c r="Q136" s="5"/>
      <c r="R136">
        <f t="shared" si="17"/>
        <v>0</v>
      </c>
      <c r="U136" s="5">
        <f t="shared" si="20"/>
        <v>20</v>
      </c>
      <c r="V136" s="158"/>
      <c r="W136" s="18" t="s">
        <v>352</v>
      </c>
      <c r="X136" s="18" t="s">
        <v>416</v>
      </c>
      <c r="Y136" s="92" t="s">
        <v>199</v>
      </c>
      <c r="Z136" s="18">
        <v>0.39</v>
      </c>
      <c r="AA136" s="18">
        <v>75</v>
      </c>
      <c r="AB136" s="18">
        <v>155</v>
      </c>
      <c r="AC136" s="18"/>
      <c r="AD136" s="18"/>
      <c r="AE136" s="18"/>
      <c r="AF136" s="18"/>
      <c r="AG136" s="18"/>
      <c r="AH136" s="18">
        <f t="shared" si="21"/>
        <v>1753.6000000000001</v>
      </c>
    </row>
    <row r="137" spans="1:34" ht="15.75">
      <c r="A137" s="5">
        <f t="shared" si="18"/>
        <v>36</v>
      </c>
      <c r="B137" s="158"/>
      <c r="C137" s="18" t="s">
        <v>307</v>
      </c>
      <c r="D137" s="18" t="s">
        <v>436</v>
      </c>
      <c r="E137" s="92" t="s">
        <v>199</v>
      </c>
      <c r="F137" s="92">
        <v>0.44</v>
      </c>
      <c r="G137" s="18">
        <v>110</v>
      </c>
      <c r="H137" s="18">
        <v>11</v>
      </c>
      <c r="I137" s="18"/>
      <c r="J137" s="18"/>
      <c r="K137" s="18">
        <v>11</v>
      </c>
      <c r="L137" s="18"/>
      <c r="M137" s="18"/>
      <c r="N137" s="18">
        <f t="shared" si="19"/>
        <v>2482</v>
      </c>
      <c r="Q137" s="5">
        <v>11</v>
      </c>
      <c r="R137">
        <f t="shared" si="17"/>
        <v>4.84</v>
      </c>
      <c r="U137" s="5">
        <f t="shared" si="20"/>
        <v>21</v>
      </c>
      <c r="V137" s="158">
        <v>44999</v>
      </c>
      <c r="W137" s="18" t="s">
        <v>361</v>
      </c>
      <c r="X137" s="18" t="s">
        <v>307</v>
      </c>
      <c r="Y137" s="92" t="s">
        <v>199</v>
      </c>
      <c r="Z137" s="92">
        <v>0.44</v>
      </c>
      <c r="AA137" s="18">
        <v>110</v>
      </c>
      <c r="AB137" s="18">
        <v>19</v>
      </c>
      <c r="AC137" s="18"/>
      <c r="AD137" s="18"/>
      <c r="AE137" s="18">
        <v>19</v>
      </c>
      <c r="AF137" s="18"/>
      <c r="AG137" s="18"/>
      <c r="AH137" s="18">
        <f t="shared" si="21"/>
        <v>1772.6000000000001</v>
      </c>
    </row>
    <row r="138" spans="1:34" ht="15.75" hidden="1">
      <c r="A138" s="5">
        <f t="shared" si="18"/>
        <v>37</v>
      </c>
      <c r="B138" s="158">
        <v>44999</v>
      </c>
      <c r="C138" s="18" t="s">
        <v>307</v>
      </c>
      <c r="D138" s="18" t="s">
        <v>347</v>
      </c>
      <c r="E138" s="21" t="s">
        <v>769</v>
      </c>
      <c r="F138" s="92"/>
      <c r="G138" s="18">
        <v>110</v>
      </c>
      <c r="H138" s="18">
        <f>58-H139</f>
        <v>33.799999999999997</v>
      </c>
      <c r="I138" s="18"/>
      <c r="J138" s="18"/>
      <c r="K138" s="18">
        <f>58-K139</f>
        <v>33.799999999999997</v>
      </c>
      <c r="L138" s="18"/>
      <c r="M138" s="18"/>
      <c r="N138" s="18">
        <f t="shared" si="19"/>
        <v>2515.8000000000002</v>
      </c>
      <c r="Q138" s="5"/>
      <c r="R138">
        <f t="shared" si="17"/>
        <v>0</v>
      </c>
      <c r="U138" s="5">
        <f t="shared" si="20"/>
        <v>22</v>
      </c>
      <c r="V138" s="158">
        <v>44999</v>
      </c>
      <c r="W138" s="18" t="s">
        <v>307</v>
      </c>
      <c r="X138" s="18" t="s">
        <v>436</v>
      </c>
      <c r="Y138" s="21" t="s">
        <v>769</v>
      </c>
      <c r="Z138" s="92"/>
      <c r="AA138" s="18">
        <v>110</v>
      </c>
      <c r="AB138" s="18">
        <f>94-AB139</f>
        <v>83</v>
      </c>
      <c r="AC138" s="18"/>
      <c r="AD138" s="18"/>
      <c r="AE138" s="18">
        <f>94-AE139</f>
        <v>83</v>
      </c>
      <c r="AF138" s="18"/>
      <c r="AG138" s="18"/>
      <c r="AH138" s="18">
        <f t="shared" si="21"/>
        <v>1855.6000000000001</v>
      </c>
    </row>
    <row r="139" spans="1:34" ht="15.75">
      <c r="A139" s="5">
        <f t="shared" si="18"/>
        <v>38</v>
      </c>
      <c r="B139" s="158"/>
      <c r="C139" s="18" t="s">
        <v>307</v>
      </c>
      <c r="D139" s="18" t="s">
        <v>347</v>
      </c>
      <c r="E139" s="92" t="s">
        <v>199</v>
      </c>
      <c r="F139" s="92">
        <v>0.44</v>
      </c>
      <c r="G139" s="18">
        <v>110</v>
      </c>
      <c r="H139" s="18">
        <v>24.2</v>
      </c>
      <c r="I139" s="18"/>
      <c r="J139" s="18"/>
      <c r="K139" s="18">
        <v>24.2</v>
      </c>
      <c r="L139" s="18"/>
      <c r="M139" s="18"/>
      <c r="N139" s="18">
        <f t="shared" si="19"/>
        <v>2540</v>
      </c>
      <c r="Q139" s="5">
        <v>24.2</v>
      </c>
      <c r="R139">
        <f t="shared" si="17"/>
        <v>10.648</v>
      </c>
      <c r="U139" s="5">
        <f t="shared" si="20"/>
        <v>23</v>
      </c>
      <c r="V139" s="158"/>
      <c r="W139" s="18" t="s">
        <v>307</v>
      </c>
      <c r="X139" s="18" t="s">
        <v>436</v>
      </c>
      <c r="Y139" s="92" t="s">
        <v>199</v>
      </c>
      <c r="Z139" s="92">
        <v>0.44</v>
      </c>
      <c r="AA139" s="18">
        <v>110</v>
      </c>
      <c r="AB139" s="18">
        <v>11</v>
      </c>
      <c r="AC139" s="18"/>
      <c r="AD139" s="18"/>
      <c r="AE139" s="18">
        <v>11</v>
      </c>
      <c r="AF139" s="18"/>
      <c r="AG139" s="18"/>
      <c r="AH139" s="18">
        <f t="shared" si="21"/>
        <v>1866.6000000000001</v>
      </c>
    </row>
    <row r="140" spans="1:34" ht="15.75" hidden="1">
      <c r="A140" s="5">
        <f t="shared" si="18"/>
        <v>39</v>
      </c>
      <c r="B140" s="158">
        <v>44999</v>
      </c>
      <c r="C140" s="18" t="s">
        <v>347</v>
      </c>
      <c r="D140" s="18" t="s">
        <v>274</v>
      </c>
      <c r="E140" s="21" t="s">
        <v>769</v>
      </c>
      <c r="F140" s="18"/>
      <c r="G140" s="18">
        <v>110</v>
      </c>
      <c r="H140" s="18">
        <v>75</v>
      </c>
      <c r="I140" s="18"/>
      <c r="J140" s="18"/>
      <c r="K140" s="18">
        <v>62</v>
      </c>
      <c r="L140" s="18"/>
      <c r="M140" s="18"/>
      <c r="N140" s="18">
        <f t="shared" si="19"/>
        <v>2615</v>
      </c>
      <c r="Q140" s="5"/>
      <c r="R140">
        <f t="shared" si="17"/>
        <v>0</v>
      </c>
      <c r="U140" s="5">
        <f t="shared" si="20"/>
        <v>24</v>
      </c>
      <c r="V140" s="158">
        <v>44999</v>
      </c>
      <c r="W140" s="18" t="s">
        <v>307</v>
      </c>
      <c r="X140" s="18" t="s">
        <v>347</v>
      </c>
      <c r="Y140" s="21" t="s">
        <v>769</v>
      </c>
      <c r="Z140" s="92"/>
      <c r="AA140" s="18">
        <v>110</v>
      </c>
      <c r="AB140" s="18">
        <f>58-AB141</f>
        <v>33.799999999999997</v>
      </c>
      <c r="AC140" s="18"/>
      <c r="AD140" s="18"/>
      <c r="AE140" s="18">
        <f>58-AE141</f>
        <v>33.799999999999997</v>
      </c>
      <c r="AF140" s="18"/>
      <c r="AG140" s="18"/>
      <c r="AH140" s="18">
        <f t="shared" si="21"/>
        <v>1900.4</v>
      </c>
    </row>
    <row r="141" spans="1:34" ht="15.75" hidden="1">
      <c r="A141" s="5">
        <f t="shared" si="18"/>
        <v>40</v>
      </c>
      <c r="B141" s="158">
        <v>44999</v>
      </c>
      <c r="C141" s="18" t="s">
        <v>274</v>
      </c>
      <c r="D141" s="18" t="s">
        <v>275</v>
      </c>
      <c r="E141" s="21" t="s">
        <v>769</v>
      </c>
      <c r="F141" s="18"/>
      <c r="G141" s="18">
        <v>110</v>
      </c>
      <c r="H141" s="18">
        <v>127.5</v>
      </c>
      <c r="I141" s="18"/>
      <c r="J141" s="18"/>
      <c r="K141" s="18">
        <v>127.5</v>
      </c>
      <c r="L141" s="18"/>
      <c r="M141" s="18"/>
      <c r="N141" s="18">
        <f t="shared" si="19"/>
        <v>2742.5</v>
      </c>
      <c r="Q141" s="5"/>
      <c r="R141">
        <f t="shared" si="17"/>
        <v>0</v>
      </c>
      <c r="U141" s="5">
        <f t="shared" si="20"/>
        <v>25</v>
      </c>
      <c r="V141" s="158"/>
      <c r="W141" s="18" t="s">
        <v>307</v>
      </c>
      <c r="X141" s="18" t="s">
        <v>347</v>
      </c>
      <c r="Y141" s="92" t="s">
        <v>199</v>
      </c>
      <c r="Z141" s="92">
        <v>0.44</v>
      </c>
      <c r="AA141" s="18">
        <v>110</v>
      </c>
      <c r="AB141" s="18">
        <v>24.2</v>
      </c>
      <c r="AC141" s="18"/>
      <c r="AD141" s="18"/>
      <c r="AE141" s="18">
        <v>24.2</v>
      </c>
      <c r="AF141" s="18"/>
      <c r="AG141" s="18"/>
      <c r="AH141" s="18">
        <f t="shared" si="21"/>
        <v>1924.6000000000001</v>
      </c>
    </row>
    <row r="142" spans="1:34" ht="15.75" hidden="1">
      <c r="A142" s="5">
        <f t="shared" si="18"/>
        <v>41</v>
      </c>
      <c r="B142" s="158">
        <v>44999</v>
      </c>
      <c r="C142" s="18" t="s">
        <v>275</v>
      </c>
      <c r="D142" s="18" t="s">
        <v>386</v>
      </c>
      <c r="E142" s="21" t="s">
        <v>769</v>
      </c>
      <c r="F142" s="18"/>
      <c r="G142" s="18">
        <v>110</v>
      </c>
      <c r="H142" s="18">
        <v>37.5</v>
      </c>
      <c r="I142" s="18"/>
      <c r="J142" s="18"/>
      <c r="K142" s="18">
        <v>37.5</v>
      </c>
      <c r="L142" s="18"/>
      <c r="M142" s="18"/>
      <c r="N142" s="18">
        <f t="shared" si="19"/>
        <v>2780</v>
      </c>
      <c r="Q142" s="5"/>
      <c r="R142">
        <f t="shared" si="17"/>
        <v>0</v>
      </c>
      <c r="U142" s="5">
        <f t="shared" si="20"/>
        <v>26</v>
      </c>
      <c r="V142" s="158">
        <v>44999</v>
      </c>
      <c r="W142" s="18" t="s">
        <v>347</v>
      </c>
      <c r="X142" s="18" t="s">
        <v>274</v>
      </c>
      <c r="Y142" s="21" t="s">
        <v>769</v>
      </c>
      <c r="Z142" s="18"/>
      <c r="AA142" s="18">
        <v>110</v>
      </c>
      <c r="AB142" s="18">
        <v>75</v>
      </c>
      <c r="AC142" s="18"/>
      <c r="AD142" s="18"/>
      <c r="AE142" s="18">
        <v>62</v>
      </c>
      <c r="AF142" s="18"/>
      <c r="AG142" s="18"/>
      <c r="AH142" s="18">
        <f t="shared" si="21"/>
        <v>1999.6000000000001</v>
      </c>
    </row>
    <row r="143" spans="1:34" ht="15.75">
      <c r="A143" s="5">
        <f t="shared" si="18"/>
        <v>42</v>
      </c>
      <c r="B143" s="158">
        <v>44999</v>
      </c>
      <c r="C143" s="18" t="s">
        <v>275</v>
      </c>
      <c r="D143" s="18" t="s">
        <v>386</v>
      </c>
      <c r="E143" s="92" t="s">
        <v>199</v>
      </c>
      <c r="F143" s="92">
        <v>0.44</v>
      </c>
      <c r="G143" s="18">
        <v>110</v>
      </c>
      <c r="H143" s="18">
        <v>108</v>
      </c>
      <c r="I143" s="18"/>
      <c r="J143" s="18"/>
      <c r="K143" s="18">
        <v>108</v>
      </c>
      <c r="L143" s="18"/>
      <c r="M143" s="18"/>
      <c r="N143" s="18">
        <f t="shared" si="19"/>
        <v>2888</v>
      </c>
      <c r="Q143" s="5">
        <v>108</v>
      </c>
      <c r="R143">
        <f t="shared" si="17"/>
        <v>47.52</v>
      </c>
      <c r="U143" s="5">
        <f t="shared" si="20"/>
        <v>27</v>
      </c>
      <c r="V143" s="158">
        <v>44999</v>
      </c>
      <c r="W143" s="18" t="s">
        <v>274</v>
      </c>
      <c r="X143" s="18" t="s">
        <v>275</v>
      </c>
      <c r="Y143" s="21" t="s">
        <v>769</v>
      </c>
      <c r="Z143" s="18"/>
      <c r="AA143" s="18">
        <v>110</v>
      </c>
      <c r="AB143" s="18">
        <v>127.5</v>
      </c>
      <c r="AC143" s="18"/>
      <c r="AD143" s="18"/>
      <c r="AE143" s="18">
        <v>127.5</v>
      </c>
      <c r="AF143" s="18"/>
      <c r="AG143" s="18"/>
      <c r="AH143" s="18">
        <f t="shared" si="21"/>
        <v>2127.1000000000004</v>
      </c>
    </row>
    <row r="144" spans="1:34" ht="15.75">
      <c r="A144" s="5">
        <f t="shared" si="18"/>
        <v>43</v>
      </c>
      <c r="B144" s="158">
        <v>44999</v>
      </c>
      <c r="C144" s="18" t="s">
        <v>340</v>
      </c>
      <c r="D144" s="18" t="s">
        <v>344</v>
      </c>
      <c r="E144" s="92" t="s">
        <v>199</v>
      </c>
      <c r="F144" s="92">
        <v>0.44</v>
      </c>
      <c r="G144" s="18">
        <v>110</v>
      </c>
      <c r="H144" s="18">
        <v>72</v>
      </c>
      <c r="I144" s="18"/>
      <c r="J144" s="18"/>
      <c r="K144" s="18">
        <v>72</v>
      </c>
      <c r="L144" s="18"/>
      <c r="M144" s="18"/>
      <c r="N144" s="18">
        <f t="shared" si="19"/>
        <v>2960</v>
      </c>
      <c r="Q144" s="5">
        <v>72</v>
      </c>
      <c r="R144">
        <f t="shared" si="17"/>
        <v>31.68</v>
      </c>
      <c r="U144" s="5">
        <f t="shared" si="20"/>
        <v>28</v>
      </c>
      <c r="V144" s="158">
        <v>44999</v>
      </c>
      <c r="W144" s="18" t="s">
        <v>275</v>
      </c>
      <c r="X144" s="18" t="s">
        <v>386</v>
      </c>
      <c r="Y144" s="21" t="s">
        <v>769</v>
      </c>
      <c r="Z144" s="18"/>
      <c r="AA144" s="18">
        <v>110</v>
      </c>
      <c r="AB144" s="18">
        <v>37.5</v>
      </c>
      <c r="AC144" s="18"/>
      <c r="AD144" s="18"/>
      <c r="AE144" s="18">
        <v>37.5</v>
      </c>
      <c r="AF144" s="18"/>
      <c r="AG144" s="18"/>
      <c r="AH144" s="18">
        <f t="shared" si="21"/>
        <v>2164.6000000000004</v>
      </c>
    </row>
    <row r="145" spans="1:34" ht="15.75">
      <c r="A145" s="5">
        <f t="shared" si="18"/>
        <v>44</v>
      </c>
      <c r="B145" s="158">
        <v>44999</v>
      </c>
      <c r="C145" s="18" t="s">
        <v>344</v>
      </c>
      <c r="D145" s="18" t="s">
        <v>274</v>
      </c>
      <c r="E145" s="92" t="s">
        <v>199</v>
      </c>
      <c r="F145" s="92">
        <v>0.44</v>
      </c>
      <c r="G145" s="18">
        <v>110</v>
      </c>
      <c r="H145" s="18">
        <v>57.3</v>
      </c>
      <c r="I145" s="18"/>
      <c r="J145" s="18"/>
      <c r="K145" s="18">
        <v>57.3</v>
      </c>
      <c r="L145" s="18"/>
      <c r="M145" s="18"/>
      <c r="N145" s="18">
        <f t="shared" si="19"/>
        <v>3017.3</v>
      </c>
      <c r="Q145" s="5">
        <v>57.3</v>
      </c>
      <c r="R145">
        <f t="shared" si="17"/>
        <v>25.212</v>
      </c>
      <c r="U145" s="5">
        <f t="shared" si="20"/>
        <v>29</v>
      </c>
      <c r="V145" s="158">
        <v>44999</v>
      </c>
      <c r="W145" s="18" t="s">
        <v>275</v>
      </c>
      <c r="X145" s="18" t="s">
        <v>386</v>
      </c>
      <c r="Y145" s="92" t="s">
        <v>199</v>
      </c>
      <c r="Z145" s="92">
        <v>0.44</v>
      </c>
      <c r="AA145" s="18">
        <v>110</v>
      </c>
      <c r="AB145" s="18">
        <v>108</v>
      </c>
      <c r="AC145" s="18"/>
      <c r="AD145" s="18"/>
      <c r="AE145" s="18">
        <v>108</v>
      </c>
      <c r="AF145" s="18"/>
      <c r="AG145" s="18"/>
      <c r="AH145" s="18">
        <f t="shared" si="21"/>
        <v>2272.6000000000004</v>
      </c>
    </row>
    <row r="146" spans="1:34" ht="15.75">
      <c r="A146" s="5">
        <f t="shared" si="18"/>
        <v>45</v>
      </c>
      <c r="B146" s="158">
        <v>44999</v>
      </c>
      <c r="C146" s="18" t="s">
        <v>355</v>
      </c>
      <c r="D146" s="18" t="s">
        <v>395</v>
      </c>
      <c r="E146" s="92" t="s">
        <v>193</v>
      </c>
      <c r="F146" s="92">
        <v>0.44</v>
      </c>
      <c r="G146" s="18">
        <v>140</v>
      </c>
      <c r="H146" s="18">
        <v>6</v>
      </c>
      <c r="I146" s="18"/>
      <c r="J146" s="18"/>
      <c r="K146" s="18"/>
      <c r="L146" s="18">
        <v>6</v>
      </c>
      <c r="M146" s="18"/>
      <c r="N146" s="18">
        <f t="shared" si="19"/>
        <v>3023.3</v>
      </c>
      <c r="Q146" s="5">
        <v>6</v>
      </c>
      <c r="R146">
        <f t="shared" si="17"/>
        <v>2.64</v>
      </c>
      <c r="U146" s="5">
        <f t="shared" si="20"/>
        <v>30</v>
      </c>
      <c r="V146" s="158">
        <v>44999</v>
      </c>
      <c r="W146" s="18" t="s">
        <v>340</v>
      </c>
      <c r="X146" s="18" t="s">
        <v>344</v>
      </c>
      <c r="Y146" s="92" t="s">
        <v>199</v>
      </c>
      <c r="Z146" s="92">
        <v>0.44</v>
      </c>
      <c r="AA146" s="18">
        <v>110</v>
      </c>
      <c r="AB146" s="18">
        <v>72</v>
      </c>
      <c r="AC146" s="18"/>
      <c r="AD146" s="18"/>
      <c r="AE146" s="18">
        <v>72</v>
      </c>
      <c r="AF146" s="18"/>
      <c r="AG146" s="18"/>
      <c r="AH146" s="18">
        <f t="shared" si="21"/>
        <v>2344.6000000000004</v>
      </c>
    </row>
    <row r="147" spans="1:34" ht="15.75">
      <c r="A147" s="5">
        <f t="shared" si="18"/>
        <v>46</v>
      </c>
      <c r="B147" s="158"/>
      <c r="C147" s="18" t="s">
        <v>355</v>
      </c>
      <c r="D147" s="18" t="s">
        <v>395</v>
      </c>
      <c r="E147" s="92" t="s">
        <v>199</v>
      </c>
      <c r="F147" s="92">
        <v>0.44</v>
      </c>
      <c r="G147" s="18">
        <v>140</v>
      </c>
      <c r="H147" s="18">
        <v>225</v>
      </c>
      <c r="I147" s="18"/>
      <c r="J147" s="18"/>
      <c r="K147" s="18"/>
      <c r="L147" s="18">
        <v>225</v>
      </c>
      <c r="M147" s="18"/>
      <c r="N147" s="18">
        <f t="shared" si="19"/>
        <v>3248.3</v>
      </c>
      <c r="Q147" s="5"/>
      <c r="R147">
        <f t="shared" si="17"/>
        <v>99</v>
      </c>
      <c r="U147" s="5">
        <f t="shared" si="20"/>
        <v>31</v>
      </c>
      <c r="V147" s="158">
        <v>44999</v>
      </c>
      <c r="W147" s="18" t="s">
        <v>344</v>
      </c>
      <c r="X147" s="18" t="s">
        <v>274</v>
      </c>
      <c r="Y147" s="92" t="s">
        <v>199</v>
      </c>
      <c r="Z147" s="92">
        <v>0.44</v>
      </c>
      <c r="AA147" s="18">
        <v>110</v>
      </c>
      <c r="AB147" s="18">
        <v>57.3</v>
      </c>
      <c r="AC147" s="18"/>
      <c r="AD147" s="18"/>
      <c r="AE147" s="18">
        <v>57.3</v>
      </c>
      <c r="AF147" s="18"/>
      <c r="AG147" s="18"/>
      <c r="AH147" s="18">
        <f t="shared" si="21"/>
        <v>2401.9000000000005</v>
      </c>
    </row>
    <row r="148" spans="1:34" ht="15.75">
      <c r="A148" s="5">
        <f t="shared" si="18"/>
        <v>47</v>
      </c>
      <c r="B148" s="158">
        <v>44999</v>
      </c>
      <c r="C148" s="18" t="s">
        <v>355</v>
      </c>
      <c r="D148" s="18" t="s">
        <v>395</v>
      </c>
      <c r="E148" s="92" t="s">
        <v>199</v>
      </c>
      <c r="F148" s="92">
        <v>0.44</v>
      </c>
      <c r="G148" s="18">
        <v>140</v>
      </c>
      <c r="H148" s="18">
        <f>41+O147</f>
        <v>41</v>
      </c>
      <c r="I148" s="18"/>
      <c r="J148" s="18"/>
      <c r="K148" s="18"/>
      <c r="L148" s="18">
        <f>41+S147</f>
        <v>41</v>
      </c>
      <c r="M148" s="18"/>
      <c r="N148" s="18">
        <f t="shared" si="19"/>
        <v>3289.3</v>
      </c>
      <c r="Q148" s="5">
        <v>41</v>
      </c>
      <c r="R148">
        <f t="shared" si="17"/>
        <v>18.04</v>
      </c>
      <c r="U148" s="5">
        <f t="shared" si="20"/>
        <v>32</v>
      </c>
      <c r="V148" s="158">
        <v>44999</v>
      </c>
      <c r="W148" s="18" t="s">
        <v>355</v>
      </c>
      <c r="X148" s="18" t="s">
        <v>395</v>
      </c>
      <c r="Y148" s="92" t="s">
        <v>193</v>
      </c>
      <c r="Z148" s="92">
        <v>0.44</v>
      </c>
      <c r="AA148" s="18">
        <v>140</v>
      </c>
      <c r="AB148" s="18">
        <v>6</v>
      </c>
      <c r="AC148" s="18"/>
      <c r="AD148" s="18"/>
      <c r="AE148" s="18"/>
      <c r="AF148" s="18">
        <v>6</v>
      </c>
      <c r="AG148" s="18"/>
      <c r="AH148" s="18">
        <f t="shared" si="21"/>
        <v>2407.9000000000005</v>
      </c>
    </row>
    <row r="149" spans="1:34" ht="15.75">
      <c r="A149" s="5">
        <f t="shared" si="18"/>
        <v>48</v>
      </c>
      <c r="B149" s="158">
        <v>44999</v>
      </c>
      <c r="C149" s="18" t="s">
        <v>395</v>
      </c>
      <c r="D149" s="18" t="s">
        <v>541</v>
      </c>
      <c r="E149" s="92" t="s">
        <v>199</v>
      </c>
      <c r="F149" s="92">
        <v>0.44</v>
      </c>
      <c r="G149" s="18">
        <v>140</v>
      </c>
      <c r="H149" s="18">
        <v>53.7</v>
      </c>
      <c r="I149" s="18"/>
      <c r="J149" s="18"/>
      <c r="K149" s="18"/>
      <c r="L149" s="18">
        <v>53.7</v>
      </c>
      <c r="M149" s="18"/>
      <c r="N149" s="18">
        <f t="shared" si="19"/>
        <v>3343</v>
      </c>
      <c r="Q149" s="5">
        <v>53.7</v>
      </c>
      <c r="R149">
        <f t="shared" si="17"/>
        <v>23.628</v>
      </c>
      <c r="U149" s="5">
        <f t="shared" si="20"/>
        <v>33</v>
      </c>
      <c r="V149" s="158"/>
      <c r="W149" s="18" t="s">
        <v>355</v>
      </c>
      <c r="X149" s="18" t="s">
        <v>395</v>
      </c>
      <c r="Y149" s="92" t="s">
        <v>199</v>
      </c>
      <c r="Z149" s="92">
        <v>0.44</v>
      </c>
      <c r="AA149" s="18">
        <v>140</v>
      </c>
      <c r="AB149" s="18">
        <v>225</v>
      </c>
      <c r="AC149" s="18"/>
      <c r="AD149" s="18"/>
      <c r="AE149" s="18"/>
      <c r="AF149" s="18">
        <v>225</v>
      </c>
      <c r="AG149" s="18"/>
      <c r="AH149" s="18">
        <f t="shared" si="21"/>
        <v>2632.9000000000005</v>
      </c>
    </row>
    <row r="150" spans="1:34" ht="15.75" hidden="1">
      <c r="A150" s="5">
        <f t="shared" si="18"/>
        <v>49</v>
      </c>
      <c r="B150" s="158">
        <v>44999</v>
      </c>
      <c r="C150" s="18" t="s">
        <v>355</v>
      </c>
      <c r="D150" s="18" t="s">
        <v>362</v>
      </c>
      <c r="E150" s="21" t="s">
        <v>769</v>
      </c>
      <c r="F150" s="18"/>
      <c r="G150" s="18">
        <v>140</v>
      </c>
      <c r="H150" s="18">
        <v>146.1</v>
      </c>
      <c r="I150" s="18"/>
      <c r="J150" s="18"/>
      <c r="K150" s="18"/>
      <c r="L150" s="18">
        <v>146.1</v>
      </c>
      <c r="M150" s="18"/>
      <c r="N150" s="18">
        <f t="shared" si="19"/>
        <v>3489.1</v>
      </c>
      <c r="Q150" s="5"/>
      <c r="R150">
        <f t="shared" si="17"/>
        <v>0</v>
      </c>
      <c r="U150" s="5">
        <f t="shared" si="20"/>
        <v>34</v>
      </c>
      <c r="V150" s="158">
        <v>44999</v>
      </c>
      <c r="W150" s="18" t="s">
        <v>355</v>
      </c>
      <c r="X150" s="18" t="s">
        <v>395</v>
      </c>
      <c r="Y150" s="92" t="s">
        <v>199</v>
      </c>
      <c r="Z150" s="92">
        <v>0.44</v>
      </c>
      <c r="AA150" s="18">
        <v>140</v>
      </c>
      <c r="AB150" s="18">
        <f>41+AI149</f>
        <v>41</v>
      </c>
      <c r="AC150" s="18"/>
      <c r="AD150" s="18"/>
      <c r="AE150" s="18"/>
      <c r="AF150" s="18">
        <f>41+AM149</f>
        <v>41</v>
      </c>
      <c r="AG150" s="18"/>
      <c r="AH150" s="18">
        <f t="shared" si="21"/>
        <v>2673.9000000000005</v>
      </c>
    </row>
    <row r="151" spans="1:34" ht="15.75">
      <c r="A151" s="5">
        <f t="shared" si="18"/>
        <v>50</v>
      </c>
      <c r="B151" s="158">
        <v>44999</v>
      </c>
      <c r="C151" s="18" t="s">
        <v>355</v>
      </c>
      <c r="D151" s="18" t="s">
        <v>314</v>
      </c>
      <c r="E151" s="18" t="s">
        <v>301</v>
      </c>
      <c r="F151" s="18">
        <v>0.44</v>
      </c>
      <c r="G151" s="18">
        <v>140</v>
      </c>
      <c r="H151" s="18">
        <v>3.5</v>
      </c>
      <c r="I151" s="18"/>
      <c r="J151" s="18"/>
      <c r="K151" s="18"/>
      <c r="L151" s="18">
        <v>3.5</v>
      </c>
      <c r="M151" s="18"/>
      <c r="N151" s="18">
        <f t="shared" si="19"/>
        <v>3492.6</v>
      </c>
      <c r="Q151" s="5">
        <v>3.5</v>
      </c>
      <c r="R151">
        <f t="shared" si="17"/>
        <v>1.54</v>
      </c>
      <c r="U151" s="5">
        <f t="shared" si="20"/>
        <v>35</v>
      </c>
      <c r="V151" s="158">
        <v>44999</v>
      </c>
      <c r="W151" s="18" t="s">
        <v>395</v>
      </c>
      <c r="X151" s="18" t="s">
        <v>541</v>
      </c>
      <c r="Y151" s="92" t="s">
        <v>199</v>
      </c>
      <c r="Z151" s="92">
        <v>0.44</v>
      </c>
      <c r="AA151" s="18">
        <v>140</v>
      </c>
      <c r="AB151" s="18">
        <v>53.7</v>
      </c>
      <c r="AC151" s="18"/>
      <c r="AD151" s="18"/>
      <c r="AE151" s="18"/>
      <c r="AF151" s="18">
        <v>53.7</v>
      </c>
      <c r="AG151" s="18"/>
      <c r="AH151" s="18">
        <f t="shared" si="21"/>
        <v>2727.6000000000004</v>
      </c>
    </row>
    <row r="152" spans="1:34" ht="15.75">
      <c r="A152" s="5">
        <f t="shared" si="18"/>
        <v>51</v>
      </c>
      <c r="B152" s="158">
        <v>44999</v>
      </c>
      <c r="C152" s="18" t="s">
        <v>868</v>
      </c>
      <c r="D152" s="18" t="s">
        <v>869</v>
      </c>
      <c r="E152" s="92" t="s">
        <v>193</v>
      </c>
      <c r="F152" s="92">
        <v>0.44</v>
      </c>
      <c r="G152" s="18">
        <v>140</v>
      </c>
      <c r="H152" s="18">
        <v>4</v>
      </c>
      <c r="I152" s="18"/>
      <c r="J152" s="18"/>
      <c r="K152" s="18"/>
      <c r="L152" s="18">
        <v>4</v>
      </c>
      <c r="M152" s="18"/>
      <c r="N152" s="18">
        <f t="shared" si="19"/>
        <v>3496.6</v>
      </c>
      <c r="Q152" s="5">
        <v>4</v>
      </c>
      <c r="R152">
        <f t="shared" si="17"/>
        <v>1.76</v>
      </c>
      <c r="U152" s="5">
        <f t="shared" si="20"/>
        <v>36</v>
      </c>
      <c r="V152" s="158">
        <v>44999</v>
      </c>
      <c r="W152" s="18" t="s">
        <v>355</v>
      </c>
      <c r="X152" s="18" t="s">
        <v>362</v>
      </c>
      <c r="Y152" s="21" t="s">
        <v>769</v>
      </c>
      <c r="Z152" s="18"/>
      <c r="AA152" s="18">
        <v>140</v>
      </c>
      <c r="AB152" s="18">
        <v>146.1</v>
      </c>
      <c r="AC152" s="18"/>
      <c r="AD152" s="18"/>
      <c r="AE152" s="18"/>
      <c r="AF152" s="18">
        <v>146.1</v>
      </c>
      <c r="AG152" s="18"/>
      <c r="AH152" s="18">
        <f t="shared" si="21"/>
        <v>2873.7000000000003</v>
      </c>
    </row>
    <row r="153" spans="1:34" ht="15.75" hidden="1">
      <c r="A153" s="5">
        <f t="shared" si="18"/>
        <v>52</v>
      </c>
      <c r="B153" s="158">
        <v>44999</v>
      </c>
      <c r="C153" s="18" t="s">
        <v>355</v>
      </c>
      <c r="D153" s="18" t="s">
        <v>314</v>
      </c>
      <c r="E153" s="21" t="s">
        <v>769</v>
      </c>
      <c r="F153" s="18"/>
      <c r="G153" s="18">
        <v>140</v>
      </c>
      <c r="H153" s="18">
        <v>200.5</v>
      </c>
      <c r="I153" s="18"/>
      <c r="J153" s="18"/>
      <c r="K153" s="18"/>
      <c r="L153" s="18">
        <v>204.5</v>
      </c>
      <c r="M153" s="18"/>
      <c r="N153" s="18">
        <f t="shared" si="19"/>
        <v>3697.1</v>
      </c>
      <c r="Q153" s="5"/>
      <c r="R153">
        <f t="shared" si="17"/>
        <v>0</v>
      </c>
      <c r="U153" s="5">
        <f t="shared" si="20"/>
        <v>37</v>
      </c>
      <c r="V153" s="158">
        <v>44999</v>
      </c>
      <c r="W153" s="18" t="s">
        <v>355</v>
      </c>
      <c r="X153" s="18" t="s">
        <v>314</v>
      </c>
      <c r="Y153" s="18" t="s">
        <v>301</v>
      </c>
      <c r="Z153" s="18">
        <v>0.44</v>
      </c>
      <c r="AA153" s="18">
        <v>140</v>
      </c>
      <c r="AB153" s="18">
        <v>3.5</v>
      </c>
      <c r="AC153" s="18"/>
      <c r="AD153" s="18"/>
      <c r="AE153" s="18"/>
      <c r="AF153" s="18">
        <v>3.5</v>
      </c>
      <c r="AG153" s="18"/>
      <c r="AH153" s="18">
        <f t="shared" si="21"/>
        <v>2877.2000000000003</v>
      </c>
    </row>
    <row r="154" spans="1:34" ht="15.75">
      <c r="A154" s="5">
        <f t="shared" si="18"/>
        <v>53</v>
      </c>
      <c r="B154" s="158">
        <v>44999</v>
      </c>
      <c r="C154" s="18" t="s">
        <v>314</v>
      </c>
      <c r="D154" s="18" t="s">
        <v>260</v>
      </c>
      <c r="E154" s="92" t="s">
        <v>193</v>
      </c>
      <c r="F154" s="92">
        <v>0.44</v>
      </c>
      <c r="G154" s="18">
        <v>140</v>
      </c>
      <c r="H154" s="18">
        <v>4.7</v>
      </c>
      <c r="I154" s="18"/>
      <c r="J154" s="18"/>
      <c r="K154" s="18"/>
      <c r="L154" s="18">
        <v>4.7</v>
      </c>
      <c r="M154" s="18"/>
      <c r="N154" s="18">
        <f t="shared" si="19"/>
        <v>3701.7999999999997</v>
      </c>
      <c r="Q154" s="5">
        <v>4.7</v>
      </c>
      <c r="R154">
        <f t="shared" si="17"/>
        <v>2.0680000000000001</v>
      </c>
      <c r="U154" s="5">
        <f t="shared" si="20"/>
        <v>38</v>
      </c>
      <c r="V154" s="158">
        <v>44999</v>
      </c>
      <c r="W154" s="18" t="s">
        <v>868</v>
      </c>
      <c r="X154" s="18" t="s">
        <v>869</v>
      </c>
      <c r="Y154" s="92" t="s">
        <v>193</v>
      </c>
      <c r="Z154" s="92">
        <v>0.44</v>
      </c>
      <c r="AA154" s="18">
        <v>140</v>
      </c>
      <c r="AB154" s="18">
        <v>4</v>
      </c>
      <c r="AC154" s="18"/>
      <c r="AD154" s="18"/>
      <c r="AE154" s="18"/>
      <c r="AF154" s="18">
        <v>4</v>
      </c>
      <c r="AG154" s="18"/>
      <c r="AH154" s="18">
        <f t="shared" si="21"/>
        <v>2881.2000000000003</v>
      </c>
    </row>
    <row r="155" spans="1:34" ht="15.75" hidden="1">
      <c r="A155" s="5">
        <f t="shared" si="18"/>
        <v>54</v>
      </c>
      <c r="B155" s="158"/>
      <c r="C155" s="18" t="s">
        <v>314</v>
      </c>
      <c r="D155" s="18" t="s">
        <v>524</v>
      </c>
      <c r="E155" s="21" t="s">
        <v>769</v>
      </c>
      <c r="F155" s="92"/>
      <c r="G155" s="18">
        <v>140</v>
      </c>
      <c r="H155" s="18">
        <v>32</v>
      </c>
      <c r="I155" s="18"/>
      <c r="J155" s="18"/>
      <c r="K155" s="18"/>
      <c r="L155" s="18">
        <v>32</v>
      </c>
      <c r="M155" s="18"/>
      <c r="N155" s="18">
        <f t="shared" si="19"/>
        <v>3733.7999999999997</v>
      </c>
      <c r="Q155" s="5"/>
      <c r="R155">
        <f t="shared" si="17"/>
        <v>0</v>
      </c>
      <c r="U155" s="5">
        <f t="shared" si="20"/>
        <v>39</v>
      </c>
      <c r="V155" s="158">
        <v>44999</v>
      </c>
      <c r="W155" s="18" t="s">
        <v>355</v>
      </c>
      <c r="X155" s="18" t="s">
        <v>314</v>
      </c>
      <c r="Y155" s="21" t="s">
        <v>769</v>
      </c>
      <c r="Z155" s="18"/>
      <c r="AA155" s="18">
        <v>140</v>
      </c>
      <c r="AB155" s="18">
        <v>200.5</v>
      </c>
      <c r="AC155" s="18"/>
      <c r="AD155" s="18"/>
      <c r="AE155" s="18"/>
      <c r="AF155" s="18">
        <v>204.5</v>
      </c>
      <c r="AG155" s="18"/>
      <c r="AH155" s="18">
        <f t="shared" si="21"/>
        <v>3081.7000000000003</v>
      </c>
    </row>
    <row r="156" spans="1:34" ht="15.75" hidden="1">
      <c r="A156" s="5">
        <f t="shared" si="18"/>
        <v>55</v>
      </c>
      <c r="B156" s="158">
        <v>44999</v>
      </c>
      <c r="C156" s="18" t="s">
        <v>524</v>
      </c>
      <c r="D156" s="18" t="s">
        <v>260</v>
      </c>
      <c r="E156" s="21" t="s">
        <v>769</v>
      </c>
      <c r="F156" s="18"/>
      <c r="G156" s="18">
        <v>140</v>
      </c>
      <c r="H156" s="18">
        <f>60.6-H155</f>
        <v>28.6</v>
      </c>
      <c r="I156" s="18"/>
      <c r="J156" s="18"/>
      <c r="K156" s="18"/>
      <c r="L156" s="18">
        <f>60.6-L155</f>
        <v>28.6</v>
      </c>
      <c r="M156" s="18"/>
      <c r="N156" s="18">
        <f t="shared" si="19"/>
        <v>3762.3999999999996</v>
      </c>
      <c r="Q156" s="5"/>
      <c r="R156">
        <f t="shared" si="17"/>
        <v>0</v>
      </c>
      <c r="U156" s="5">
        <f t="shared" si="20"/>
        <v>40</v>
      </c>
      <c r="V156" s="158">
        <v>44999</v>
      </c>
      <c r="W156" s="18" t="s">
        <v>314</v>
      </c>
      <c r="X156" s="18" t="s">
        <v>260</v>
      </c>
      <c r="Y156" s="92" t="s">
        <v>193</v>
      </c>
      <c r="Z156" s="92">
        <v>0.44</v>
      </c>
      <c r="AA156" s="18">
        <v>140</v>
      </c>
      <c r="AB156" s="18">
        <v>4.7</v>
      </c>
      <c r="AC156" s="18"/>
      <c r="AD156" s="18"/>
      <c r="AE156" s="18"/>
      <c r="AF156" s="18">
        <v>4.7</v>
      </c>
      <c r="AG156" s="18"/>
      <c r="AH156" s="18">
        <f t="shared" si="21"/>
        <v>3086.4</v>
      </c>
    </row>
    <row r="157" spans="1:34" ht="15.75" hidden="1">
      <c r="A157" s="5">
        <f t="shared" si="18"/>
        <v>56</v>
      </c>
      <c r="B157" s="158">
        <v>44999</v>
      </c>
      <c r="C157" s="18" t="s">
        <v>260</v>
      </c>
      <c r="D157" s="18" t="s">
        <v>252</v>
      </c>
      <c r="E157" s="21" t="s">
        <v>769</v>
      </c>
      <c r="F157" s="18"/>
      <c r="G157" s="18">
        <v>140</v>
      </c>
      <c r="H157" s="18">
        <v>95.8</v>
      </c>
      <c r="I157" s="18"/>
      <c r="J157" s="18"/>
      <c r="K157" s="18"/>
      <c r="L157" s="18">
        <v>96</v>
      </c>
      <c r="M157" s="18"/>
      <c r="N157" s="18">
        <f t="shared" si="19"/>
        <v>3858.2</v>
      </c>
      <c r="Q157" s="5"/>
      <c r="R157">
        <f t="shared" si="17"/>
        <v>0</v>
      </c>
      <c r="U157" s="5">
        <f t="shared" si="20"/>
        <v>41</v>
      </c>
      <c r="V157" s="158"/>
      <c r="W157" s="18" t="s">
        <v>314</v>
      </c>
      <c r="X157" s="18" t="s">
        <v>524</v>
      </c>
      <c r="Y157" s="21" t="s">
        <v>769</v>
      </c>
      <c r="Z157" s="92"/>
      <c r="AA157" s="18">
        <v>140</v>
      </c>
      <c r="AB157" s="18">
        <v>32</v>
      </c>
      <c r="AC157" s="18"/>
      <c r="AD157" s="18"/>
      <c r="AE157" s="18"/>
      <c r="AF157" s="18">
        <v>32</v>
      </c>
      <c r="AG157" s="18"/>
      <c r="AH157" s="18">
        <f t="shared" si="21"/>
        <v>3118.4</v>
      </c>
    </row>
    <row r="158" spans="1:34" ht="15.75" hidden="1">
      <c r="A158" s="5">
        <f t="shared" si="18"/>
        <v>57</v>
      </c>
      <c r="B158" s="158">
        <v>44999</v>
      </c>
      <c r="C158" s="18" t="s">
        <v>252</v>
      </c>
      <c r="D158" s="18" t="s">
        <v>342</v>
      </c>
      <c r="E158" s="21" t="s">
        <v>769</v>
      </c>
      <c r="F158" s="18"/>
      <c r="G158" s="18">
        <v>140</v>
      </c>
      <c r="H158" s="70">
        <v>43.3</v>
      </c>
      <c r="I158" s="18"/>
      <c r="J158" s="18"/>
      <c r="K158" s="18"/>
      <c r="L158" s="70">
        <v>43.3</v>
      </c>
      <c r="M158" s="18"/>
      <c r="N158" s="18">
        <f t="shared" si="19"/>
        <v>3901.5</v>
      </c>
      <c r="Q158" s="5"/>
      <c r="R158">
        <f t="shared" si="17"/>
        <v>0</v>
      </c>
      <c r="U158" s="5">
        <f t="shared" si="20"/>
        <v>42</v>
      </c>
      <c r="V158" s="158">
        <v>44999</v>
      </c>
      <c r="W158" s="18" t="s">
        <v>524</v>
      </c>
      <c r="X158" s="18" t="s">
        <v>260</v>
      </c>
      <c r="Y158" s="21" t="s">
        <v>769</v>
      </c>
      <c r="Z158" s="18"/>
      <c r="AA158" s="18">
        <v>140</v>
      </c>
      <c r="AB158" s="18">
        <f>60.6-AB157</f>
        <v>28.6</v>
      </c>
      <c r="AC158" s="18"/>
      <c r="AD158" s="18"/>
      <c r="AE158" s="18"/>
      <c r="AF158" s="18">
        <f>60.6-AF157</f>
        <v>28.6</v>
      </c>
      <c r="AG158" s="18"/>
      <c r="AH158" s="18">
        <f t="shared" si="21"/>
        <v>3147</v>
      </c>
    </row>
    <row r="159" spans="1:34" ht="15.75">
      <c r="A159" s="5">
        <f t="shared" si="18"/>
        <v>58</v>
      </c>
      <c r="B159" s="158">
        <v>44999</v>
      </c>
      <c r="C159" s="18" t="s">
        <v>342</v>
      </c>
      <c r="D159" s="18" t="s">
        <v>346</v>
      </c>
      <c r="E159" s="92" t="s">
        <v>199</v>
      </c>
      <c r="F159" s="92">
        <v>0.44</v>
      </c>
      <c r="G159" s="18">
        <v>140</v>
      </c>
      <c r="H159" s="18">
        <v>4</v>
      </c>
      <c r="I159" s="18"/>
      <c r="J159" s="18"/>
      <c r="K159" s="18"/>
      <c r="L159" s="18">
        <v>4</v>
      </c>
      <c r="M159" s="18"/>
      <c r="N159" s="18">
        <f t="shared" si="19"/>
        <v>3905.5</v>
      </c>
      <c r="Q159" s="5">
        <v>4</v>
      </c>
      <c r="R159">
        <f t="shared" si="17"/>
        <v>1.76</v>
      </c>
      <c r="U159" s="5">
        <f t="shared" si="20"/>
        <v>43</v>
      </c>
      <c r="V159" s="158">
        <v>44999</v>
      </c>
      <c r="W159" s="18" t="s">
        <v>260</v>
      </c>
      <c r="X159" s="18" t="s">
        <v>252</v>
      </c>
      <c r="Y159" s="21" t="s">
        <v>769</v>
      </c>
      <c r="Z159" s="18"/>
      <c r="AA159" s="18">
        <v>140</v>
      </c>
      <c r="AB159" s="18">
        <v>95.8</v>
      </c>
      <c r="AC159" s="18"/>
      <c r="AD159" s="18"/>
      <c r="AE159" s="18"/>
      <c r="AF159" s="18">
        <v>96</v>
      </c>
      <c r="AG159" s="18"/>
      <c r="AH159" s="18">
        <f t="shared" si="21"/>
        <v>3242.8</v>
      </c>
    </row>
    <row r="160" spans="1:34" ht="15.75" hidden="1">
      <c r="A160" s="5">
        <f t="shared" si="18"/>
        <v>59</v>
      </c>
      <c r="B160" s="158">
        <v>44999</v>
      </c>
      <c r="C160" s="18" t="s">
        <v>342</v>
      </c>
      <c r="D160" s="18" t="s">
        <v>346</v>
      </c>
      <c r="E160" s="21" t="s">
        <v>769</v>
      </c>
      <c r="F160" s="18"/>
      <c r="G160" s="18">
        <v>140</v>
      </c>
      <c r="H160" s="18">
        <v>46.5</v>
      </c>
      <c r="I160" s="18"/>
      <c r="J160" s="18"/>
      <c r="K160" s="18"/>
      <c r="L160" s="18">
        <v>49</v>
      </c>
      <c r="M160" s="18"/>
      <c r="N160" s="18">
        <f t="shared" si="19"/>
        <v>3952</v>
      </c>
      <c r="Q160" s="5"/>
      <c r="R160">
        <f t="shared" si="17"/>
        <v>0</v>
      </c>
      <c r="U160" s="5">
        <f t="shared" si="20"/>
        <v>44</v>
      </c>
      <c r="V160" s="158">
        <v>44999</v>
      </c>
      <c r="W160" s="18" t="s">
        <v>252</v>
      </c>
      <c r="X160" s="18" t="s">
        <v>342</v>
      </c>
      <c r="Y160" s="21" t="s">
        <v>769</v>
      </c>
      <c r="Z160" s="18"/>
      <c r="AA160" s="18">
        <v>140</v>
      </c>
      <c r="AB160" s="70">
        <v>43.3</v>
      </c>
      <c r="AC160" s="18"/>
      <c r="AD160" s="18"/>
      <c r="AE160" s="18"/>
      <c r="AF160" s="70">
        <v>43.3</v>
      </c>
      <c r="AG160" s="18"/>
      <c r="AH160" s="18">
        <f t="shared" si="21"/>
        <v>3286.1000000000004</v>
      </c>
    </row>
    <row r="161" spans="1:34" ht="15.75" hidden="1">
      <c r="A161" s="5">
        <f t="shared" si="18"/>
        <v>60</v>
      </c>
      <c r="B161" s="158">
        <v>44999</v>
      </c>
      <c r="C161" s="18" t="s">
        <v>346</v>
      </c>
      <c r="D161" s="18" t="s">
        <v>258</v>
      </c>
      <c r="E161" s="21" t="s">
        <v>769</v>
      </c>
      <c r="F161" s="18"/>
      <c r="G161" s="18">
        <v>140</v>
      </c>
      <c r="H161" s="18">
        <v>46.2</v>
      </c>
      <c r="I161" s="18"/>
      <c r="J161" s="18"/>
      <c r="K161" s="18"/>
      <c r="L161" s="18">
        <v>47.2</v>
      </c>
      <c r="M161" s="18"/>
      <c r="N161" s="18">
        <f t="shared" si="19"/>
        <v>3998.2</v>
      </c>
      <c r="Q161" s="5"/>
      <c r="R161">
        <f t="shared" si="17"/>
        <v>0</v>
      </c>
      <c r="U161" s="5">
        <f t="shared" si="20"/>
        <v>45</v>
      </c>
      <c r="V161" s="158">
        <v>44999</v>
      </c>
      <c r="W161" s="18" t="s">
        <v>342</v>
      </c>
      <c r="X161" s="18" t="s">
        <v>346</v>
      </c>
      <c r="Y161" s="92" t="s">
        <v>199</v>
      </c>
      <c r="Z161" s="92">
        <v>0.44</v>
      </c>
      <c r="AA161" s="18">
        <v>140</v>
      </c>
      <c r="AB161" s="18">
        <v>4</v>
      </c>
      <c r="AC161" s="18"/>
      <c r="AD161" s="18"/>
      <c r="AE161" s="18"/>
      <c r="AF161" s="18">
        <v>4</v>
      </c>
      <c r="AG161" s="18"/>
      <c r="AH161" s="18">
        <f t="shared" si="21"/>
        <v>3290.1000000000004</v>
      </c>
    </row>
    <row r="162" spans="1:34" ht="15.75" hidden="1">
      <c r="A162" s="5">
        <f t="shared" si="18"/>
        <v>61</v>
      </c>
      <c r="B162" s="158">
        <v>44999</v>
      </c>
      <c r="C162" s="18" t="s">
        <v>258</v>
      </c>
      <c r="D162" s="18" t="s">
        <v>345</v>
      </c>
      <c r="E162" s="21" t="s">
        <v>769</v>
      </c>
      <c r="F162" s="18"/>
      <c r="G162" s="18">
        <v>140</v>
      </c>
      <c r="H162" s="18">
        <v>170.4</v>
      </c>
      <c r="I162" s="18"/>
      <c r="J162" s="18"/>
      <c r="K162" s="18"/>
      <c r="L162" s="18">
        <v>170.4</v>
      </c>
      <c r="M162" s="18"/>
      <c r="N162" s="18">
        <f t="shared" si="19"/>
        <v>4168.5999999999995</v>
      </c>
      <c r="Q162" s="5"/>
      <c r="R162">
        <f t="shared" si="17"/>
        <v>0</v>
      </c>
      <c r="T162" s="18"/>
      <c r="U162" s="5">
        <f t="shared" si="20"/>
        <v>46</v>
      </c>
      <c r="V162" s="158">
        <v>44999</v>
      </c>
      <c r="W162" s="18" t="s">
        <v>342</v>
      </c>
      <c r="X162" s="18" t="s">
        <v>346</v>
      </c>
      <c r="Y162" s="21" t="s">
        <v>769</v>
      </c>
      <c r="Z162" s="18"/>
      <c r="AA162" s="18">
        <v>140</v>
      </c>
      <c r="AB162" s="18">
        <v>46.5</v>
      </c>
      <c r="AC162" s="18"/>
      <c r="AD162" s="18"/>
      <c r="AE162" s="18"/>
      <c r="AF162" s="18">
        <v>49</v>
      </c>
      <c r="AG162" s="18"/>
      <c r="AH162" s="18">
        <f t="shared" si="21"/>
        <v>3336.6000000000004</v>
      </c>
    </row>
    <row r="163" spans="1:34" ht="15.75">
      <c r="A163" s="5">
        <f t="shared" si="18"/>
        <v>62</v>
      </c>
      <c r="B163" s="158">
        <v>44999</v>
      </c>
      <c r="C163" s="18" t="s">
        <v>252</v>
      </c>
      <c r="D163" s="18" t="s">
        <v>361</v>
      </c>
      <c r="E163" s="92" t="s">
        <v>199</v>
      </c>
      <c r="F163" s="92">
        <v>0.44</v>
      </c>
      <c r="G163" s="18">
        <v>140</v>
      </c>
      <c r="H163" s="18">
        <v>88.9</v>
      </c>
      <c r="I163" s="18"/>
      <c r="J163" s="18"/>
      <c r="K163" s="18"/>
      <c r="L163" s="18">
        <v>92</v>
      </c>
      <c r="M163" s="18"/>
      <c r="N163" s="18">
        <f t="shared" si="19"/>
        <v>4257.4999999999991</v>
      </c>
      <c r="Q163" s="5">
        <v>92</v>
      </c>
      <c r="R163">
        <f t="shared" si="17"/>
        <v>39.116</v>
      </c>
      <c r="T163" s="18"/>
      <c r="U163" s="5">
        <f t="shared" si="20"/>
        <v>47</v>
      </c>
      <c r="V163" s="158">
        <v>44999</v>
      </c>
      <c r="W163" s="18" t="s">
        <v>346</v>
      </c>
      <c r="X163" s="18" t="s">
        <v>258</v>
      </c>
      <c r="Y163" s="21" t="s">
        <v>769</v>
      </c>
      <c r="Z163" s="18"/>
      <c r="AA163" s="18">
        <v>140</v>
      </c>
      <c r="AB163" s="18">
        <v>46.2</v>
      </c>
      <c r="AC163" s="18"/>
      <c r="AD163" s="18"/>
      <c r="AE163" s="18"/>
      <c r="AF163" s="18">
        <v>47.2</v>
      </c>
      <c r="AG163" s="18"/>
      <c r="AH163" s="18">
        <f t="shared" si="21"/>
        <v>3382.8</v>
      </c>
    </row>
    <row r="164" spans="1:34" ht="15.75">
      <c r="A164" s="5">
        <f t="shared" si="18"/>
        <v>63</v>
      </c>
      <c r="B164" s="158">
        <v>44999</v>
      </c>
      <c r="C164" s="18" t="s">
        <v>361</v>
      </c>
      <c r="D164" s="18" t="s">
        <v>340</v>
      </c>
      <c r="E164" s="92" t="s">
        <v>199</v>
      </c>
      <c r="F164" s="92">
        <v>0.44</v>
      </c>
      <c r="G164" s="18">
        <v>140</v>
      </c>
      <c r="H164" s="18">
        <v>181.6</v>
      </c>
      <c r="I164" s="18"/>
      <c r="J164" s="18"/>
      <c r="K164" s="18"/>
      <c r="L164" s="18">
        <v>181.6</v>
      </c>
      <c r="M164" s="18"/>
      <c r="N164" s="18">
        <f t="shared" si="19"/>
        <v>4439.0999999999995</v>
      </c>
      <c r="Q164" s="5">
        <v>181.6</v>
      </c>
      <c r="R164">
        <f t="shared" si="17"/>
        <v>79.903999999999996</v>
      </c>
      <c r="U164" s="5">
        <f t="shared" si="20"/>
        <v>48</v>
      </c>
      <c r="V164" s="158">
        <v>44999</v>
      </c>
      <c r="W164" s="18" t="s">
        <v>258</v>
      </c>
      <c r="X164" s="18" t="s">
        <v>345</v>
      </c>
      <c r="Y164" s="21" t="s">
        <v>769</v>
      </c>
      <c r="Z164" s="18"/>
      <c r="AA164" s="18">
        <v>140</v>
      </c>
      <c r="AB164" s="18">
        <v>170.4</v>
      </c>
      <c r="AC164" s="18"/>
      <c r="AD164" s="18"/>
      <c r="AE164" s="18"/>
      <c r="AF164" s="18">
        <v>170.4</v>
      </c>
      <c r="AG164" s="18"/>
      <c r="AH164" s="18">
        <f t="shared" si="21"/>
        <v>3553.2000000000003</v>
      </c>
    </row>
    <row r="165" spans="1:34" ht="15.75">
      <c r="A165" s="5">
        <f t="shared" si="18"/>
        <v>64</v>
      </c>
      <c r="B165" s="158">
        <v>44999</v>
      </c>
      <c r="C165" s="18" t="s">
        <v>340</v>
      </c>
      <c r="D165" s="18" t="s">
        <v>541</v>
      </c>
      <c r="E165" s="92" t="s">
        <v>199</v>
      </c>
      <c r="F165" s="92">
        <v>0.44</v>
      </c>
      <c r="G165" s="18">
        <v>140</v>
      </c>
      <c r="H165" s="18">
        <v>76</v>
      </c>
      <c r="I165" s="18"/>
      <c r="J165" s="18"/>
      <c r="K165" s="18"/>
      <c r="L165" s="18">
        <v>82</v>
      </c>
      <c r="M165" s="18"/>
      <c r="N165" s="18">
        <f t="shared" si="19"/>
        <v>4515.0999999999995</v>
      </c>
      <c r="Q165" s="5">
        <v>82</v>
      </c>
      <c r="R165">
        <f t="shared" si="17"/>
        <v>33.44</v>
      </c>
      <c r="U165" s="5">
        <f t="shared" si="20"/>
        <v>49</v>
      </c>
      <c r="V165" s="158">
        <v>44999</v>
      </c>
      <c r="W165" s="18" t="s">
        <v>252</v>
      </c>
      <c r="X165" s="18" t="s">
        <v>361</v>
      </c>
      <c r="Y165" s="92" t="s">
        <v>199</v>
      </c>
      <c r="Z165" s="92">
        <v>0.44</v>
      </c>
      <c r="AA165" s="18">
        <v>140</v>
      </c>
      <c r="AB165" s="18">
        <v>88.9</v>
      </c>
      <c r="AC165" s="18"/>
      <c r="AD165" s="18"/>
      <c r="AE165" s="18"/>
      <c r="AF165" s="18">
        <v>92</v>
      </c>
      <c r="AG165" s="18"/>
      <c r="AH165" s="18">
        <f t="shared" si="21"/>
        <v>3642.1000000000004</v>
      </c>
    </row>
    <row r="166" spans="1:34" ht="16.5" customHeight="1">
      <c r="A166" s="5">
        <f t="shared" si="18"/>
        <v>65</v>
      </c>
      <c r="B166" s="158">
        <v>44999</v>
      </c>
      <c r="C166" s="5" t="s">
        <v>362</v>
      </c>
      <c r="D166" s="5" t="s">
        <v>382</v>
      </c>
      <c r="E166" s="92" t="s">
        <v>199</v>
      </c>
      <c r="F166" s="92">
        <v>0.44</v>
      </c>
      <c r="G166" s="18">
        <v>140</v>
      </c>
      <c r="H166" s="5">
        <v>125.5</v>
      </c>
      <c r="I166" s="8"/>
      <c r="J166" s="8"/>
      <c r="K166" s="8"/>
      <c r="L166" s="8"/>
      <c r="M166" s="8"/>
      <c r="N166" s="18">
        <f t="shared" si="19"/>
        <v>4640.5999999999995</v>
      </c>
      <c r="Q166" s="5">
        <v>100</v>
      </c>
      <c r="R166">
        <f t="shared" si="17"/>
        <v>55.22</v>
      </c>
      <c r="U166" s="5">
        <f t="shared" si="20"/>
        <v>50</v>
      </c>
      <c r="V166" s="158">
        <v>44999</v>
      </c>
      <c r="W166" s="18" t="s">
        <v>361</v>
      </c>
      <c r="X166" s="18" t="s">
        <v>340</v>
      </c>
      <c r="Y166" s="92" t="s">
        <v>199</v>
      </c>
      <c r="Z166" s="92">
        <v>0.44</v>
      </c>
      <c r="AA166" s="18">
        <v>140</v>
      </c>
      <c r="AB166" s="18">
        <v>181.6</v>
      </c>
      <c r="AC166" s="18"/>
      <c r="AD166" s="18"/>
      <c r="AE166" s="18"/>
      <c r="AF166" s="18">
        <v>181.6</v>
      </c>
      <c r="AG166" s="18"/>
      <c r="AH166" s="18">
        <f t="shared" si="21"/>
        <v>3823.7000000000003</v>
      </c>
    </row>
    <row r="167" spans="1:34" ht="16.5" hidden="1" customHeight="1">
      <c r="A167" s="5">
        <f t="shared" si="18"/>
        <v>66</v>
      </c>
      <c r="B167" s="158"/>
      <c r="C167" s="5" t="s">
        <v>382</v>
      </c>
      <c r="D167" s="18" t="s">
        <v>250</v>
      </c>
      <c r="E167" s="21" t="s">
        <v>769</v>
      </c>
      <c r="F167" s="92"/>
      <c r="G167" s="18">
        <v>140</v>
      </c>
      <c r="H167" s="18">
        <v>225.4</v>
      </c>
      <c r="I167" s="18"/>
      <c r="J167" s="18"/>
      <c r="K167" s="18"/>
      <c r="L167" s="18"/>
      <c r="M167" s="18"/>
      <c r="N167" s="18">
        <f t="shared" si="19"/>
        <v>4865.9999999999991</v>
      </c>
      <c r="Q167" s="5"/>
      <c r="R167">
        <f t="shared" ref="R167:R175" si="22">+H167*F167</f>
        <v>0</v>
      </c>
      <c r="U167" s="5">
        <f t="shared" si="20"/>
        <v>51</v>
      </c>
      <c r="V167" s="158">
        <v>44999</v>
      </c>
      <c r="W167" s="18" t="s">
        <v>340</v>
      </c>
      <c r="X167" s="18" t="s">
        <v>541</v>
      </c>
      <c r="Y167" s="92" t="s">
        <v>199</v>
      </c>
      <c r="Z167" s="92">
        <v>0.44</v>
      </c>
      <c r="AA167" s="18">
        <v>140</v>
      </c>
      <c r="AB167" s="18">
        <v>76</v>
      </c>
      <c r="AC167" s="18"/>
      <c r="AD167" s="18"/>
      <c r="AE167" s="18"/>
      <c r="AF167" s="18">
        <v>82</v>
      </c>
      <c r="AG167" s="18"/>
      <c r="AH167" s="18">
        <f t="shared" si="21"/>
        <v>3899.7000000000003</v>
      </c>
    </row>
    <row r="168" spans="1:34" ht="16.5" hidden="1" customHeight="1">
      <c r="A168" s="5">
        <f t="shared" si="18"/>
        <v>67</v>
      </c>
      <c r="B168" s="158"/>
      <c r="C168" s="18" t="s">
        <v>250</v>
      </c>
      <c r="D168" s="18" t="s">
        <v>402</v>
      </c>
      <c r="E168" s="21" t="s">
        <v>769</v>
      </c>
      <c r="F168" s="92"/>
      <c r="G168" s="18">
        <v>140</v>
      </c>
      <c r="H168" s="18">
        <v>90.8</v>
      </c>
      <c r="I168" s="18"/>
      <c r="J168" s="18"/>
      <c r="K168" s="18"/>
      <c r="L168" s="18"/>
      <c r="M168" s="18"/>
      <c r="N168" s="18">
        <f t="shared" ref="N168:N175" si="23">+N167+H168</f>
        <v>4956.7999999999993</v>
      </c>
      <c r="Q168" s="5"/>
      <c r="R168">
        <f t="shared" si="22"/>
        <v>0</v>
      </c>
      <c r="U168" s="5">
        <f t="shared" si="20"/>
        <v>52</v>
      </c>
      <c r="V168" s="158">
        <v>44999</v>
      </c>
      <c r="W168" s="5" t="s">
        <v>362</v>
      </c>
      <c r="X168" s="5" t="s">
        <v>382</v>
      </c>
      <c r="Y168" s="92" t="s">
        <v>199</v>
      </c>
      <c r="Z168" s="92">
        <v>0.44</v>
      </c>
      <c r="AA168" s="18">
        <v>140</v>
      </c>
      <c r="AB168" s="5">
        <v>125.5</v>
      </c>
      <c r="AC168" s="8"/>
      <c r="AD168" s="8"/>
      <c r="AE168" s="8"/>
      <c r="AF168" s="8"/>
      <c r="AG168" s="8"/>
      <c r="AH168" s="18">
        <f t="shared" si="21"/>
        <v>4025.2000000000003</v>
      </c>
    </row>
    <row r="169" spans="1:34" ht="16.5" hidden="1" customHeight="1">
      <c r="A169" s="5">
        <f t="shared" si="18"/>
        <v>68</v>
      </c>
      <c r="B169" s="158"/>
      <c r="C169" s="18" t="s">
        <v>402</v>
      </c>
      <c r="D169" s="18" t="s">
        <v>392</v>
      </c>
      <c r="E169" s="21" t="s">
        <v>769</v>
      </c>
      <c r="F169" s="92"/>
      <c r="G169" s="18">
        <v>140</v>
      </c>
      <c r="H169" s="18">
        <v>67</v>
      </c>
      <c r="I169" s="18"/>
      <c r="J169" s="18"/>
      <c r="K169" s="18"/>
      <c r="L169" s="18"/>
      <c r="M169" s="18"/>
      <c r="N169" s="18">
        <f t="shared" si="23"/>
        <v>5023.7999999999993</v>
      </c>
      <c r="Q169" s="5"/>
      <c r="R169">
        <f t="shared" si="22"/>
        <v>0</v>
      </c>
      <c r="U169" s="5">
        <f t="shared" si="20"/>
        <v>53</v>
      </c>
      <c r="V169" s="158"/>
      <c r="W169" s="5" t="s">
        <v>382</v>
      </c>
      <c r="X169" s="18" t="s">
        <v>250</v>
      </c>
      <c r="Y169" s="21" t="s">
        <v>769</v>
      </c>
      <c r="Z169" s="92"/>
      <c r="AA169" s="18">
        <v>140</v>
      </c>
      <c r="AB169" s="18">
        <v>225.4</v>
      </c>
      <c r="AC169" s="18"/>
      <c r="AD169" s="18"/>
      <c r="AE169" s="18"/>
      <c r="AF169" s="18"/>
      <c r="AG169" s="18"/>
      <c r="AH169" s="18">
        <f t="shared" si="21"/>
        <v>4250.6000000000004</v>
      </c>
    </row>
    <row r="170" spans="1:34" ht="16.5" hidden="1" customHeight="1">
      <c r="A170" s="5">
        <f t="shared" ref="A170:A173" si="24">1+A169</f>
        <v>69</v>
      </c>
      <c r="B170" s="158"/>
      <c r="C170" s="18" t="s">
        <v>392</v>
      </c>
      <c r="D170" s="18" t="s">
        <v>350</v>
      </c>
      <c r="E170" s="21" t="s">
        <v>769</v>
      </c>
      <c r="F170" s="92"/>
      <c r="G170" s="18">
        <v>140</v>
      </c>
      <c r="H170" s="18">
        <v>44.9</v>
      </c>
      <c r="I170" s="18"/>
      <c r="J170" s="18"/>
      <c r="K170" s="18"/>
      <c r="L170" s="18"/>
      <c r="M170" s="18"/>
      <c r="N170" s="18">
        <f t="shared" si="23"/>
        <v>5068.6999999999989</v>
      </c>
      <c r="Q170" s="5"/>
      <c r="R170">
        <f t="shared" si="22"/>
        <v>0</v>
      </c>
      <c r="T170">
        <f>2430.5+172.6</f>
        <v>2603.1</v>
      </c>
      <c r="U170" s="5">
        <f t="shared" ref="U170:U177" si="25">1+U169</f>
        <v>54</v>
      </c>
      <c r="V170" s="158"/>
      <c r="W170" s="18" t="s">
        <v>250</v>
      </c>
      <c r="X170" s="18" t="s">
        <v>402</v>
      </c>
      <c r="Y170" s="21" t="s">
        <v>769</v>
      </c>
      <c r="Z170" s="92"/>
      <c r="AA170" s="18">
        <v>140</v>
      </c>
      <c r="AB170" s="18">
        <v>90.8</v>
      </c>
      <c r="AC170" s="18"/>
      <c r="AD170" s="18"/>
      <c r="AE170" s="18"/>
      <c r="AF170" s="18"/>
      <c r="AG170" s="18"/>
      <c r="AH170" s="18">
        <f t="shared" ref="AH170:AH177" si="26">+AH169+AB170</f>
        <v>4341.4000000000005</v>
      </c>
    </row>
    <row r="171" spans="1:34" ht="16.5" hidden="1" customHeight="1">
      <c r="A171" s="5">
        <f t="shared" si="24"/>
        <v>70</v>
      </c>
      <c r="B171" s="158"/>
      <c r="C171" s="18" t="s">
        <v>350</v>
      </c>
      <c r="D171" s="18" t="s">
        <v>628</v>
      </c>
      <c r="E171" s="21" t="s">
        <v>769</v>
      </c>
      <c r="F171" s="92"/>
      <c r="G171" s="18">
        <v>140</v>
      </c>
      <c r="H171" s="18">
        <v>100.3</v>
      </c>
      <c r="I171" s="18"/>
      <c r="J171" s="18"/>
      <c r="K171" s="18"/>
      <c r="L171" s="18"/>
      <c r="M171" s="18"/>
      <c r="N171" s="18">
        <f t="shared" si="23"/>
        <v>5168.9999999999991</v>
      </c>
      <c r="Q171" s="5"/>
      <c r="R171">
        <f t="shared" si="22"/>
        <v>0</v>
      </c>
      <c r="U171" s="5">
        <f t="shared" si="25"/>
        <v>55</v>
      </c>
      <c r="V171" s="158"/>
      <c r="W171" s="18" t="s">
        <v>402</v>
      </c>
      <c r="X171" s="18" t="s">
        <v>392</v>
      </c>
      <c r="Y171" s="21" t="s">
        <v>769</v>
      </c>
      <c r="Z171" s="92"/>
      <c r="AA171" s="18">
        <v>140</v>
      </c>
      <c r="AB171" s="18">
        <v>67</v>
      </c>
      <c r="AC171" s="18"/>
      <c r="AD171" s="18"/>
      <c r="AE171" s="18"/>
      <c r="AF171" s="18"/>
      <c r="AG171" s="18"/>
      <c r="AH171" s="18">
        <f t="shared" si="26"/>
        <v>4408.4000000000005</v>
      </c>
    </row>
    <row r="172" spans="1:34" ht="16.5" hidden="1" customHeight="1">
      <c r="A172" s="5">
        <f t="shared" si="24"/>
        <v>71</v>
      </c>
      <c r="B172" s="158"/>
      <c r="C172" s="18" t="s">
        <v>628</v>
      </c>
      <c r="D172" s="18" t="s">
        <v>278</v>
      </c>
      <c r="E172" s="21" t="s">
        <v>769</v>
      </c>
      <c r="F172" s="92"/>
      <c r="G172" s="18">
        <v>140</v>
      </c>
      <c r="H172" s="18">
        <v>31</v>
      </c>
      <c r="I172" s="18"/>
      <c r="J172" s="18"/>
      <c r="K172" s="18"/>
      <c r="L172" s="18"/>
      <c r="M172" s="18"/>
      <c r="N172" s="18">
        <f t="shared" si="23"/>
        <v>5199.9999999999991</v>
      </c>
      <c r="Q172" s="5"/>
      <c r="R172">
        <f t="shared" si="22"/>
        <v>0</v>
      </c>
      <c r="U172" s="5">
        <f t="shared" si="25"/>
        <v>56</v>
      </c>
      <c r="V172" s="158"/>
      <c r="W172" s="18" t="s">
        <v>392</v>
      </c>
      <c r="X172" s="18" t="s">
        <v>350</v>
      </c>
      <c r="Y172" s="21" t="s">
        <v>769</v>
      </c>
      <c r="Z172" s="92"/>
      <c r="AA172" s="18">
        <v>140</v>
      </c>
      <c r="AB172" s="18">
        <v>44.9</v>
      </c>
      <c r="AC172" s="18"/>
      <c r="AD172" s="18"/>
      <c r="AE172" s="18"/>
      <c r="AF172" s="18"/>
      <c r="AG172" s="18"/>
      <c r="AH172" s="18">
        <f t="shared" si="26"/>
        <v>4453.3</v>
      </c>
    </row>
    <row r="173" spans="1:34" ht="16.5" customHeight="1">
      <c r="A173" s="5">
        <f t="shared" si="24"/>
        <v>72</v>
      </c>
      <c r="B173" s="158"/>
      <c r="C173" s="18" t="s">
        <v>278</v>
      </c>
      <c r="D173" s="18" t="s">
        <v>356</v>
      </c>
      <c r="E173" s="92" t="s">
        <v>199</v>
      </c>
      <c r="F173" s="92">
        <v>0.44</v>
      </c>
      <c r="G173" s="18">
        <v>140</v>
      </c>
      <c r="H173" s="18">
        <v>314.8</v>
      </c>
      <c r="I173" s="18"/>
      <c r="J173" s="18"/>
      <c r="K173" s="18"/>
      <c r="L173" s="18"/>
      <c r="M173" s="18"/>
      <c r="N173" s="18">
        <f t="shared" si="23"/>
        <v>5514.7999999999993</v>
      </c>
      <c r="Q173" s="5"/>
      <c r="R173">
        <f t="shared" si="22"/>
        <v>138.512</v>
      </c>
      <c r="U173" s="5">
        <f t="shared" si="25"/>
        <v>57</v>
      </c>
      <c r="V173" s="158"/>
      <c r="W173" s="18" t="s">
        <v>350</v>
      </c>
      <c r="X173" s="18" t="s">
        <v>628</v>
      </c>
      <c r="Y173" s="21" t="s">
        <v>769</v>
      </c>
      <c r="Z173" s="92"/>
      <c r="AA173" s="18">
        <v>140</v>
      </c>
      <c r="AB173" s="18">
        <v>100.3</v>
      </c>
      <c r="AC173" s="18"/>
      <c r="AD173" s="18"/>
      <c r="AE173" s="18"/>
      <c r="AF173" s="18"/>
      <c r="AG173" s="18"/>
      <c r="AH173" s="18">
        <f t="shared" si="26"/>
        <v>4553.6000000000004</v>
      </c>
    </row>
    <row r="174" spans="1:34" ht="16.5" customHeight="1">
      <c r="A174" s="5">
        <f t="shared" ref="A174:A175" si="27">1+A173</f>
        <v>73</v>
      </c>
      <c r="B174" s="158"/>
      <c r="C174" s="18" t="s">
        <v>541</v>
      </c>
      <c r="D174" s="18" t="s">
        <v>821</v>
      </c>
      <c r="E174" s="92" t="s">
        <v>199</v>
      </c>
      <c r="F174" s="92">
        <v>0.44</v>
      </c>
      <c r="G174" s="18">
        <v>160</v>
      </c>
      <c r="H174" s="18">
        <v>100</v>
      </c>
      <c r="I174" s="18"/>
      <c r="J174" s="18"/>
      <c r="K174" s="18"/>
      <c r="L174" s="18"/>
      <c r="M174" s="18">
        <v>100</v>
      </c>
      <c r="N174" s="18">
        <f t="shared" si="23"/>
        <v>5614.7999999999993</v>
      </c>
      <c r="Q174" s="5"/>
      <c r="R174">
        <f t="shared" si="22"/>
        <v>44</v>
      </c>
      <c r="U174" s="5">
        <f t="shared" si="25"/>
        <v>58</v>
      </c>
      <c r="V174" s="158"/>
      <c r="W174" s="18" t="s">
        <v>628</v>
      </c>
      <c r="X174" s="18" t="s">
        <v>278</v>
      </c>
      <c r="Y174" s="21" t="s">
        <v>769</v>
      </c>
      <c r="Z174" s="92"/>
      <c r="AA174" s="18">
        <v>140</v>
      </c>
      <c r="AB174" s="18">
        <v>31</v>
      </c>
      <c r="AC174" s="18"/>
      <c r="AD174" s="18"/>
      <c r="AE174" s="18"/>
      <c r="AF174" s="18"/>
      <c r="AG174" s="18"/>
      <c r="AH174" s="18">
        <f t="shared" si="26"/>
        <v>4584.6000000000004</v>
      </c>
    </row>
    <row r="175" spans="1:34" ht="16.5" hidden="1" customHeight="1">
      <c r="A175" s="5">
        <f t="shared" si="27"/>
        <v>74</v>
      </c>
      <c r="B175" s="158"/>
      <c r="C175" s="18" t="s">
        <v>541</v>
      </c>
      <c r="D175" s="18" t="s">
        <v>821</v>
      </c>
      <c r="E175" s="21" t="s">
        <v>769</v>
      </c>
      <c r="F175" s="92"/>
      <c r="G175" s="18">
        <v>160</v>
      </c>
      <c r="H175" s="18">
        <v>66.8</v>
      </c>
      <c r="I175" s="18"/>
      <c r="J175" s="18"/>
      <c r="K175" s="18"/>
      <c r="L175" s="18"/>
      <c r="M175" s="18">
        <v>66.8</v>
      </c>
      <c r="N175" s="18">
        <f t="shared" si="23"/>
        <v>5681.5999999999995</v>
      </c>
      <c r="Q175" s="5"/>
      <c r="R175">
        <f t="shared" si="22"/>
        <v>0</v>
      </c>
      <c r="U175" s="5">
        <f t="shared" si="25"/>
        <v>59</v>
      </c>
      <c r="V175" s="158"/>
      <c r="W175" s="18" t="s">
        <v>278</v>
      </c>
      <c r="X175" s="18" t="s">
        <v>356</v>
      </c>
      <c r="Y175" s="92" t="s">
        <v>199</v>
      </c>
      <c r="Z175" s="92">
        <v>0.44</v>
      </c>
      <c r="AA175" s="18">
        <v>140</v>
      </c>
      <c r="AB175" s="18">
        <v>314.8</v>
      </c>
      <c r="AC175" s="18"/>
      <c r="AD175" s="18"/>
      <c r="AE175" s="18"/>
      <c r="AF175" s="18"/>
      <c r="AG175" s="18"/>
      <c r="AH175" s="18">
        <f t="shared" si="26"/>
        <v>4899.4000000000005</v>
      </c>
    </row>
    <row r="176" spans="1:34" ht="16.5" customHeight="1">
      <c r="A176" s="63"/>
      <c r="B176" s="164"/>
      <c r="C176" s="18"/>
      <c r="D176" s="18"/>
      <c r="E176" s="21"/>
      <c r="F176" s="92"/>
      <c r="G176" s="18"/>
      <c r="H176" s="18"/>
      <c r="I176" s="18"/>
      <c r="J176" s="18"/>
      <c r="K176" s="18"/>
      <c r="L176" s="18"/>
      <c r="M176" s="18"/>
      <c r="N176" s="18"/>
      <c r="Q176" s="5"/>
      <c r="U176" s="5">
        <f t="shared" si="25"/>
        <v>60</v>
      </c>
      <c r="V176" s="158"/>
      <c r="W176" s="18" t="s">
        <v>541</v>
      </c>
      <c r="X176" s="18" t="s">
        <v>821</v>
      </c>
      <c r="Y176" s="92" t="s">
        <v>199</v>
      </c>
      <c r="Z176" s="92">
        <v>0.44</v>
      </c>
      <c r="AA176" s="18">
        <v>160</v>
      </c>
      <c r="AB176" s="18">
        <v>100</v>
      </c>
      <c r="AC176" s="18"/>
      <c r="AD176" s="18"/>
      <c r="AE176" s="18"/>
      <c r="AF176" s="18"/>
      <c r="AG176" s="18">
        <v>100</v>
      </c>
      <c r="AH176" s="18">
        <f t="shared" si="26"/>
        <v>4999.4000000000005</v>
      </c>
    </row>
    <row r="177" spans="1:34" ht="16.5" customHeight="1">
      <c r="A177" s="63"/>
      <c r="B177" s="164"/>
      <c r="C177" s="18">
        <v>63</v>
      </c>
      <c r="D177" s="18">
        <v>75</v>
      </c>
      <c r="E177" s="21">
        <v>90</v>
      </c>
      <c r="F177" s="92">
        <v>110</v>
      </c>
      <c r="G177" s="18">
        <v>140</v>
      </c>
      <c r="H177" s="18">
        <v>160</v>
      </c>
      <c r="I177" s="18"/>
      <c r="J177" s="18"/>
      <c r="K177" s="18"/>
      <c r="L177" s="18"/>
      <c r="M177" s="18"/>
      <c r="N177" s="18"/>
      <c r="Q177" s="5"/>
      <c r="U177" s="5">
        <f t="shared" si="25"/>
        <v>61</v>
      </c>
      <c r="V177" s="158"/>
      <c r="W177" s="18" t="s">
        <v>541</v>
      </c>
      <c r="X177" s="18" t="s">
        <v>821</v>
      </c>
      <c r="Y177" s="21" t="s">
        <v>769</v>
      </c>
      <c r="Z177" s="92"/>
      <c r="AA177" s="18">
        <v>160</v>
      </c>
      <c r="AB177" s="18">
        <v>66.8</v>
      </c>
      <c r="AC177" s="18"/>
      <c r="AD177" s="18"/>
      <c r="AE177" s="18"/>
      <c r="AF177" s="18"/>
      <c r="AG177" s="18">
        <v>66.8</v>
      </c>
      <c r="AH177" s="18">
        <f t="shared" si="26"/>
        <v>5066.2000000000007</v>
      </c>
    </row>
    <row r="178" spans="1:34" ht="16.5" customHeight="1">
      <c r="C178" s="18">
        <f t="shared" ref="C178:H178" si="28">+SUMIF($G$102:$G$175,C177,$H$102:$H$175)</f>
        <v>707.8</v>
      </c>
      <c r="D178" s="18">
        <f t="shared" si="28"/>
        <v>1661.2</v>
      </c>
      <c r="E178" s="18">
        <f t="shared" si="28"/>
        <v>0</v>
      </c>
      <c r="F178" s="18">
        <f t="shared" si="28"/>
        <v>648.29999999999995</v>
      </c>
      <c r="G178" s="18">
        <f t="shared" si="28"/>
        <v>2497.5000000000005</v>
      </c>
      <c r="H178" s="18">
        <f t="shared" si="28"/>
        <v>166.8</v>
      </c>
      <c r="I178" s="18"/>
      <c r="J178" s="18"/>
      <c r="K178" s="18"/>
      <c r="L178" s="18"/>
      <c r="M178" s="18"/>
      <c r="N178" s="18">
        <f>+SUM(C178:H178)</f>
        <v>5681.6000000000013</v>
      </c>
      <c r="Q178" s="5"/>
    </row>
    <row r="179" spans="1:34" ht="18.75">
      <c r="C179" s="111">
        <v>4871</v>
      </c>
      <c r="D179" s="166">
        <v>2635</v>
      </c>
      <c r="E179" s="166">
        <v>985</v>
      </c>
      <c r="F179" s="166">
        <v>2015</v>
      </c>
      <c r="G179" s="166">
        <v>2689</v>
      </c>
      <c r="H179" s="166">
        <v>179</v>
      </c>
      <c r="I179" s="166"/>
      <c r="J179" s="166"/>
      <c r="K179" s="166"/>
      <c r="L179" s="166"/>
      <c r="M179" s="166"/>
      <c r="N179" s="18">
        <f>+SUM(C179:H179)</f>
        <v>13374</v>
      </c>
      <c r="Q179" s="5"/>
    </row>
    <row r="180" spans="1:34">
      <c r="Q180" s="63"/>
    </row>
    <row r="181" spans="1:34">
      <c r="C181">
        <f>+C178+C82</f>
        <v>4151.4999999999991</v>
      </c>
      <c r="D181">
        <f>+D178+D82</f>
        <v>2405.3000000000002</v>
      </c>
      <c r="E181">
        <f>+E178+E82</f>
        <v>715.5</v>
      </c>
      <c r="F181">
        <f>+F178+F82</f>
        <v>2122.3000000000002</v>
      </c>
      <c r="G181">
        <f>+G178+G82</f>
        <v>2670.1000000000004</v>
      </c>
      <c r="H181">
        <f>+H178</f>
        <v>166.8</v>
      </c>
      <c r="Q181" s="63"/>
    </row>
    <row r="182" spans="1:34">
      <c r="G182">
        <f>2497.5+172.6</f>
        <v>2670.1</v>
      </c>
      <c r="U182">
        <f>744+1661.2</f>
        <v>2405.1999999999998</v>
      </c>
    </row>
    <row r="184" spans="1:34">
      <c r="A184" s="8" t="s">
        <v>366</v>
      </c>
      <c r="B184" s="8"/>
      <c r="C184" s="8"/>
      <c r="D184" s="8"/>
      <c r="E184" s="8"/>
      <c r="F184" s="8" t="s">
        <v>367</v>
      </c>
      <c r="G184" s="8"/>
      <c r="H184" s="8"/>
      <c r="I184" s="8"/>
      <c r="J184" s="8" t="s">
        <v>367</v>
      </c>
      <c r="K184" s="8"/>
      <c r="L184" s="8"/>
      <c r="M184" s="8"/>
      <c r="N184" s="8"/>
    </row>
    <row r="185" spans="1:34">
      <c r="A185" s="8" t="s">
        <v>368</v>
      </c>
      <c r="B185" s="8"/>
      <c r="C185" s="5"/>
      <c r="D185" s="5"/>
      <c r="E185" s="5"/>
      <c r="F185" s="8" t="s">
        <v>368</v>
      </c>
      <c r="G185" s="8"/>
      <c r="H185" s="5"/>
      <c r="I185" s="5"/>
      <c r="J185" s="8" t="s">
        <v>368</v>
      </c>
      <c r="K185" s="8"/>
      <c r="L185" s="5"/>
      <c r="M185" s="5"/>
      <c r="N185" s="8"/>
    </row>
    <row r="186" spans="1:34">
      <c r="A186" s="8" t="s">
        <v>369</v>
      </c>
      <c r="B186" s="8"/>
      <c r="C186" s="5"/>
      <c r="D186" s="5"/>
      <c r="E186" s="5"/>
      <c r="F186" s="8" t="s">
        <v>369</v>
      </c>
      <c r="G186" s="5"/>
      <c r="H186" s="5"/>
      <c r="I186" s="5"/>
      <c r="J186" s="8" t="s">
        <v>369</v>
      </c>
      <c r="K186" s="5"/>
      <c r="L186" s="5"/>
      <c r="M186" s="5"/>
      <c r="N186" s="8"/>
    </row>
    <row r="187" spans="1:34">
      <c r="A187" s="8" t="s">
        <v>370</v>
      </c>
      <c r="B187" s="8"/>
      <c r="C187" s="5"/>
      <c r="D187" s="5"/>
      <c r="E187" s="5"/>
      <c r="F187" s="8" t="s">
        <v>370</v>
      </c>
      <c r="G187" s="8"/>
      <c r="H187" s="5"/>
      <c r="I187" s="5"/>
      <c r="J187" s="8" t="s">
        <v>370</v>
      </c>
      <c r="K187" s="8"/>
      <c r="L187" s="5"/>
      <c r="M187" s="5"/>
      <c r="N187" s="8"/>
    </row>
    <row r="188" spans="1:34">
      <c r="C188" s="63"/>
      <c r="D188" s="63"/>
      <c r="E188" s="63"/>
      <c r="H188" s="63"/>
      <c r="I188" s="63"/>
      <c r="L188" s="63"/>
      <c r="M188" s="63"/>
    </row>
    <row r="189" spans="1:34">
      <c r="C189" s="63"/>
      <c r="D189" s="63"/>
      <c r="E189" s="63"/>
      <c r="H189" s="63"/>
      <c r="I189" s="63"/>
      <c r="L189" s="63"/>
      <c r="M189" s="63"/>
      <c r="N189" t="s">
        <v>877</v>
      </c>
    </row>
    <row r="190" spans="1:34" ht="15.75">
      <c r="A190" s="167" t="s">
        <v>757</v>
      </c>
      <c r="B190" s="168"/>
      <c r="C190" s="152">
        <v>63</v>
      </c>
      <c r="D190" s="152">
        <v>75</v>
      </c>
      <c r="E190" s="152">
        <v>90</v>
      </c>
      <c r="F190" s="152">
        <v>110</v>
      </c>
      <c r="G190" s="152">
        <v>140</v>
      </c>
      <c r="H190" s="152">
        <v>160</v>
      </c>
      <c r="I190" s="152">
        <v>113</v>
      </c>
      <c r="J190" s="152">
        <v>114</v>
      </c>
      <c r="K190" s="152">
        <v>115</v>
      </c>
      <c r="L190" s="152">
        <v>140</v>
      </c>
      <c r="M190" s="152">
        <v>141</v>
      </c>
      <c r="N190" s="152" t="s">
        <v>874</v>
      </c>
      <c r="O190" s="152">
        <v>143</v>
      </c>
      <c r="P190" s="152" t="s">
        <v>874</v>
      </c>
      <c r="R190" s="180" t="s">
        <v>875</v>
      </c>
      <c r="S190" s="181"/>
    </row>
    <row r="191" spans="1:34" ht="15.75">
      <c r="A191" s="7" t="s">
        <v>199</v>
      </c>
      <c r="B191" s="7"/>
      <c r="C191" s="18">
        <f>SUMIFS($H$102:$H$175,$E$102:$E$175,$A$191,$G$102:$G$175,C190)</f>
        <v>159</v>
      </c>
      <c r="D191" s="18">
        <f t="shared" ref="D191:H191" si="29">SUMIFS($H$102:$H$175,$E$102:$E$175,$A$191,$G$102:$G$175,D190)</f>
        <v>645.5</v>
      </c>
      <c r="E191" s="18">
        <f t="shared" si="29"/>
        <v>0</v>
      </c>
      <c r="F191" s="18">
        <f t="shared" si="29"/>
        <v>291.5</v>
      </c>
      <c r="G191" s="18">
        <f t="shared" si="29"/>
        <v>1110.5</v>
      </c>
      <c r="H191" s="18">
        <f t="shared" si="29"/>
        <v>100</v>
      </c>
      <c r="I191" s="18">
        <f>SUMIFS($H$4:$H$79,$E$4:$E$79,$C$92,$G$4:$G$79,I190)</f>
        <v>0</v>
      </c>
      <c r="J191" s="18">
        <f>SUMIFS($H$4:$H$79,$E$4:$E$79,$C$92,$G$4:$G$79,J190)</f>
        <v>0</v>
      </c>
      <c r="K191" s="18">
        <f>SUMIFS($H$4:$H$79,$E$4:$E$79,$C$92,$G$4:$G$79,K190)</f>
        <v>0</v>
      </c>
      <c r="L191" s="18">
        <f>SUMIFS($H$4:$H$79,$E$4:$E$79,$C$92,$G$4:$G$79,L190)</f>
        <v>0</v>
      </c>
      <c r="M191" s="172">
        <f>+SUMIF($E$4:$E$79,$C191,P$4:P178)</f>
        <v>0</v>
      </c>
      <c r="N191" s="18">
        <f>SUM(C191:H191)</f>
        <v>2306.5</v>
      </c>
      <c r="O191" s="18">
        <f>+SUMIF($E$4:$E$79,$C191,R$4:R178)</f>
        <v>0</v>
      </c>
      <c r="P191" s="18">
        <f>SUM(C191:L191)</f>
        <v>2306.5</v>
      </c>
      <c r="R191" s="63">
        <f>+N191*0.419</f>
        <v>966.42349999999999</v>
      </c>
    </row>
    <row r="192" spans="1:34" ht="15.75">
      <c r="A192" s="7" t="s">
        <v>193</v>
      </c>
      <c r="B192" s="7"/>
      <c r="C192" s="18">
        <f t="shared" ref="C192:H192" si="30">SUMIFS($H$102:$H$175,$E$102:$E$175,$A$192,$G$102:$G$175,C190)</f>
        <v>7</v>
      </c>
      <c r="D192" s="18">
        <f t="shared" si="30"/>
        <v>3.5</v>
      </c>
      <c r="E192" s="18">
        <f t="shared" si="30"/>
        <v>0</v>
      </c>
      <c r="F192" s="18">
        <f t="shared" si="30"/>
        <v>0</v>
      </c>
      <c r="G192" s="18">
        <f t="shared" si="30"/>
        <v>14.7</v>
      </c>
      <c r="H192" s="18">
        <f t="shared" si="30"/>
        <v>0</v>
      </c>
      <c r="I192" s="18">
        <f>SUMIFS($H$4:$H$79,$E$4:$E$79,$C$93,$G$4:$G$79,I190)</f>
        <v>0</v>
      </c>
      <c r="J192" s="18">
        <f>SUMIFS($H$4:$H$79,$E$4:$E$79,$C$93,$G$4:$G$79,J190)</f>
        <v>0</v>
      </c>
      <c r="K192" s="18">
        <f>SUMIFS($H$4:$H$79,$E$4:$E$79,$C$93,$G$4:$G$79,K190)</f>
        <v>0</v>
      </c>
      <c r="L192" s="18">
        <f>SUMIFS($H$4:$H$79,$E$4:$E$79,$C$93,$G$4:$G$79,L190)</f>
        <v>0</v>
      </c>
      <c r="M192" s="172">
        <f>+SUMIF($E$4:$E$79,$C192,P$4:P181)</f>
        <v>0</v>
      </c>
      <c r="N192" s="18">
        <f t="shared" ref="N192:N193" si="31">SUM(C192:H192)</f>
        <v>25.2</v>
      </c>
      <c r="O192" s="18">
        <f>+SUMIF($E$4:$E$79,$C192,R$4:R181)</f>
        <v>0</v>
      </c>
      <c r="P192" s="18">
        <f t="shared" ref="P192:P194" si="32">SUM(C192:L192)</f>
        <v>25.2</v>
      </c>
      <c r="R192" s="63">
        <f>+N192*0.419</f>
        <v>10.5588</v>
      </c>
    </row>
    <row r="193" spans="1:18" ht="15.75">
      <c r="A193" s="169" t="s">
        <v>301</v>
      </c>
      <c r="B193" s="169"/>
      <c r="C193" s="18">
        <f t="shared" ref="C193:H193" si="33">SUMIFS($H$102:$H$175,$E$102:$E$175,$A$193,$G$102:$G$175,C190)</f>
        <v>12.5</v>
      </c>
      <c r="D193" s="18">
        <f t="shared" si="33"/>
        <v>0</v>
      </c>
      <c r="E193" s="18">
        <f t="shared" si="33"/>
        <v>0</v>
      </c>
      <c r="F193" s="18">
        <f t="shared" si="33"/>
        <v>0</v>
      </c>
      <c r="G193" s="18">
        <f t="shared" si="33"/>
        <v>3.5</v>
      </c>
      <c r="H193" s="18">
        <f t="shared" si="33"/>
        <v>0</v>
      </c>
      <c r="I193" s="18">
        <f>SUMIFS($H$4:$H$79,$E$4:$E$79,$C$94,$G$4:$G$79,I190)</f>
        <v>0</v>
      </c>
      <c r="J193" s="18">
        <f>SUMIFS($H$4:$H$79,$E$4:$E$79,$C$94,$G$4:$G$79,J190)</f>
        <v>0</v>
      </c>
      <c r="K193" s="18">
        <f>SUMIFS($H$4:$H$79,$E$4:$E$79,$C$94,$G$4:$G$79,K190)</f>
        <v>0</v>
      </c>
      <c r="L193" s="18">
        <f>SUMIFS($H$4:$H$79,$E$4:$E$79,$C$94,$G$4:$G$79,L190)</f>
        <v>0</v>
      </c>
      <c r="M193" s="172">
        <f>+SUMIF($E$4:$E$79,$C193,P$4:P182)</f>
        <v>0</v>
      </c>
      <c r="N193" s="18">
        <f t="shared" si="31"/>
        <v>16</v>
      </c>
      <c r="O193" s="18">
        <f>+SUMIF($E$4:$E$79,$C193,R$4:R182)</f>
        <v>0</v>
      </c>
      <c r="P193" s="18">
        <f t="shared" si="32"/>
        <v>16</v>
      </c>
      <c r="R193" s="63">
        <f>+N193*0.419</f>
        <v>6.7039999999999997</v>
      </c>
    </row>
    <row r="194" spans="1:18" ht="15.75">
      <c r="A194" s="21"/>
      <c r="B194" s="8"/>
      <c r="C194" s="18"/>
      <c r="D194" s="18"/>
      <c r="E194" s="18"/>
      <c r="F194" s="18"/>
      <c r="G194" s="18"/>
      <c r="H194" s="18"/>
      <c r="I194" s="18"/>
      <c r="J194" s="18"/>
      <c r="K194" s="18"/>
      <c r="L194" s="18"/>
      <c r="N194" s="18"/>
      <c r="P194" s="18">
        <f t="shared" si="32"/>
        <v>0</v>
      </c>
    </row>
    <row r="195" spans="1:18">
      <c r="N195" s="102"/>
      <c r="P195" s="130">
        <f>SUM(P191:P194)</f>
        <v>2347.6999999999998</v>
      </c>
    </row>
    <row r="196" spans="1:18">
      <c r="C196" s="63"/>
      <c r="D196" s="63"/>
      <c r="E196" s="63"/>
      <c r="H196" s="63"/>
      <c r="I196" s="63"/>
      <c r="L196" s="63"/>
      <c r="M196" s="63"/>
      <c r="R196" s="180" t="s">
        <v>878</v>
      </c>
    </row>
    <row r="197" spans="1:18">
      <c r="C197" s="63"/>
      <c r="D197" s="63"/>
      <c r="E197" s="63"/>
      <c r="H197" s="63"/>
      <c r="I197" s="63"/>
      <c r="L197" s="63"/>
      <c r="M197" s="63"/>
    </row>
    <row r="198" spans="1:18" ht="15.75">
      <c r="C198" s="63"/>
      <c r="D198" s="63"/>
      <c r="E198" s="63"/>
      <c r="F198" s="7" t="s">
        <v>199</v>
      </c>
      <c r="G198">
        <v>966.42349999999999</v>
      </c>
      <c r="H198" s="63">
        <v>322.452</v>
      </c>
      <c r="I198" s="63"/>
      <c r="L198" s="63"/>
      <c r="M198" s="63"/>
      <c r="N198">
        <f>+G198+H198</f>
        <v>1288.8755000000001</v>
      </c>
    </row>
    <row r="199" spans="1:18" ht="15.75">
      <c r="C199" s="63"/>
      <c r="D199" s="63"/>
      <c r="E199" s="63"/>
      <c r="F199" s="7" t="s">
        <v>193</v>
      </c>
      <c r="G199">
        <v>10.5588</v>
      </c>
      <c r="H199" s="63">
        <v>6.8250000000000002</v>
      </c>
      <c r="I199" s="63"/>
      <c r="L199" s="63"/>
      <c r="M199" s="63"/>
      <c r="N199">
        <f t="shared" ref="N199:N200" si="34">+G199+H199</f>
        <v>17.383800000000001</v>
      </c>
    </row>
    <row r="200" spans="1:18" ht="15.75">
      <c r="C200" s="63"/>
      <c r="D200" s="63"/>
      <c r="E200" s="63"/>
      <c r="F200" s="169" t="s">
        <v>301</v>
      </c>
      <c r="G200">
        <v>6.7039999999999997</v>
      </c>
      <c r="H200" s="63">
        <v>142.81800000000001</v>
      </c>
      <c r="I200" s="63"/>
      <c r="L200" s="63"/>
      <c r="M200" s="63"/>
      <c r="N200">
        <f t="shared" si="34"/>
        <v>149.52200000000002</v>
      </c>
    </row>
    <row r="201" spans="1:18" ht="22.5" customHeight="1">
      <c r="C201" s="609" t="s">
        <v>852</v>
      </c>
      <c r="D201" s="609"/>
    </row>
    <row r="202" spans="1:18">
      <c r="D202" s="408" t="s">
        <v>875</v>
      </c>
    </row>
    <row r="203" spans="1:18" ht="15.75" hidden="1">
      <c r="C203" s="167" t="s">
        <v>757</v>
      </c>
      <c r="D203" s="168"/>
      <c r="E203" s="152" t="s">
        <v>758</v>
      </c>
      <c r="F203" s="152"/>
      <c r="G203" s="152" t="s">
        <v>751</v>
      </c>
      <c r="H203" s="152" t="s">
        <v>752</v>
      </c>
      <c r="I203" s="152" t="s">
        <v>753</v>
      </c>
      <c r="J203" s="152" t="s">
        <v>755</v>
      </c>
      <c r="K203" s="152" t="s">
        <v>756</v>
      </c>
      <c r="L203" s="152" t="s">
        <v>759</v>
      </c>
    </row>
    <row r="204" spans="1:18" ht="15.75" hidden="1">
      <c r="C204" s="182" t="s">
        <v>199</v>
      </c>
      <c r="D204" s="183"/>
      <c r="E204" s="18">
        <f>+SUMIF($E$102:$E$175,$C204,H$102:H175)</f>
        <v>2306.5</v>
      </c>
      <c r="F204" s="18"/>
      <c r="G204" s="18">
        <f>+SUMIF($E$102:$E$175,$C204,I$102:I175)</f>
        <v>490.5</v>
      </c>
      <c r="H204" s="18">
        <f>+SUMIF($E$102:$E$175,$C204,J$102:J175)</f>
        <v>0</v>
      </c>
      <c r="I204" s="18">
        <f>+SUMIF($E$102:$E$175,$C204,K$102:K175)</f>
        <v>291.5</v>
      </c>
      <c r="J204" s="18">
        <f>+SUMIF($E$102:$E$175,$C204,L$102:L175)</f>
        <v>679.3</v>
      </c>
      <c r="K204" s="18">
        <f>+SUMIF($E$102:$E$175,$C204,M$102:M175)</f>
        <v>100</v>
      </c>
      <c r="L204" s="18">
        <f>+E204+G204+H204+I204+J204+K204</f>
        <v>3867.8</v>
      </c>
    </row>
    <row r="205" spans="1:18" ht="15.75" hidden="1">
      <c r="C205" s="182" t="s">
        <v>193</v>
      </c>
      <c r="D205" s="183"/>
      <c r="E205" s="18">
        <f>+SUMIF($E$102:$E$175,$C205,H$102:H178)</f>
        <v>25.2</v>
      </c>
      <c r="F205" s="18"/>
      <c r="G205" s="18">
        <f>+SUMIF($E$102:$E$175,$C205,I$102:I178)</f>
        <v>3.5</v>
      </c>
      <c r="H205" s="18">
        <f>+SUMIF($E$102:$E$175,$C205,J$102:J178)</f>
        <v>0</v>
      </c>
      <c r="I205" s="18">
        <f>+SUMIF($E$102:$E$175,$C205,K$102:K178)</f>
        <v>0</v>
      </c>
      <c r="J205" s="18">
        <f>+SUMIF($E$102:$E$175,$C205,L$102:L178)</f>
        <v>14.7</v>
      </c>
      <c r="K205" s="18">
        <f>+SUMIF($E$102:$E$175,$C205,M$102:M178)</f>
        <v>0</v>
      </c>
      <c r="L205" s="18">
        <f t="shared" ref="L205:L206" si="35">+E205+G205+H205+I205+J205+K205</f>
        <v>43.4</v>
      </c>
    </row>
    <row r="206" spans="1:18" ht="15.75" hidden="1">
      <c r="C206" s="184" t="s">
        <v>301</v>
      </c>
      <c r="D206" s="185"/>
      <c r="E206" s="18">
        <f>+SUMIF($E$102:$E$175,$C206,H$102:H179)</f>
        <v>16</v>
      </c>
      <c r="F206" s="18"/>
      <c r="G206" s="18">
        <f>+SUMIF($E$102:$E$175,$C206,I$102:I179)</f>
        <v>0</v>
      </c>
      <c r="H206" s="18">
        <f>+SUMIF($E$102:$E$175,$C206,J$102:J179)</f>
        <v>0</v>
      </c>
      <c r="I206" s="18">
        <f>+SUMIF($E$102:$E$175,$C206,K$102:K179)</f>
        <v>0</v>
      </c>
      <c r="J206" s="18">
        <f>+SUMIF($E$102:$E$175,$C206,L$102:L179)</f>
        <v>3.5</v>
      </c>
      <c r="K206" s="18">
        <f>+SUMIF($E$102:$E$175,$C206,M$102:M179)</f>
        <v>0</v>
      </c>
      <c r="L206" s="18">
        <f t="shared" si="35"/>
        <v>19.5</v>
      </c>
    </row>
    <row r="207" spans="1:18" ht="15.75">
      <c r="C207" s="21" t="s">
        <v>199</v>
      </c>
      <c r="D207" s="408">
        <f>287.5+974.635</f>
        <v>1262.135</v>
      </c>
    </row>
    <row r="208" spans="1:18" ht="15.75">
      <c r="C208" s="21" t="s">
        <v>193</v>
      </c>
      <c r="D208" s="408">
        <f>6.72+10.563</f>
        <v>17.283000000000001</v>
      </c>
    </row>
    <row r="209" spans="3:12" ht="15.75">
      <c r="C209" s="92" t="s">
        <v>301</v>
      </c>
      <c r="D209" s="408">
        <f>250.8+6.415</f>
        <v>257.21500000000003</v>
      </c>
    </row>
    <row r="212" spans="3:12">
      <c r="F212">
        <f>0.42+0.39</f>
        <v>0.81</v>
      </c>
    </row>
    <row r="213" spans="3:12">
      <c r="F213">
        <f>+F212/2</f>
        <v>0.40500000000000003</v>
      </c>
    </row>
    <row r="214" spans="3:12" ht="15.75">
      <c r="C214" s="186"/>
      <c r="D214" s="186"/>
      <c r="E214" s="187"/>
      <c r="F214" s="187"/>
      <c r="G214" s="187"/>
      <c r="H214" s="187"/>
      <c r="I214" s="187"/>
      <c r="J214" s="187"/>
      <c r="K214" s="187"/>
      <c r="L214" s="187"/>
    </row>
    <row r="215" spans="3:12" ht="15.75">
      <c r="C215" s="188"/>
      <c r="D215" s="188"/>
      <c r="E215" s="96"/>
      <c r="F215" s="96"/>
      <c r="G215" s="96"/>
      <c r="H215" s="96"/>
      <c r="I215" s="96"/>
      <c r="J215" s="96"/>
      <c r="K215" s="96"/>
      <c r="L215" s="96"/>
    </row>
    <row r="216" spans="3:12" ht="15.75">
      <c r="C216" s="188"/>
      <c r="D216" s="188"/>
      <c r="E216" s="96"/>
      <c r="F216" s="96"/>
      <c r="G216" s="96"/>
      <c r="H216" s="96"/>
      <c r="I216" s="96"/>
      <c r="J216" s="96"/>
      <c r="K216" s="96"/>
      <c r="L216" s="96"/>
    </row>
    <row r="217" spans="3:12" ht="15.75">
      <c r="C217" s="189"/>
      <c r="D217" s="189"/>
      <c r="E217" s="96"/>
      <c r="F217" s="96"/>
      <c r="G217" s="96"/>
      <c r="H217" s="96"/>
      <c r="I217" s="96"/>
      <c r="J217" s="96"/>
      <c r="K217" s="96"/>
      <c r="L217" s="96"/>
    </row>
    <row r="219" spans="3:12" ht="15.75">
      <c r="C219" s="186"/>
      <c r="D219" s="186"/>
      <c r="E219" s="187"/>
      <c r="F219" s="187"/>
      <c r="G219" s="187"/>
      <c r="H219" s="187"/>
      <c r="I219" s="187"/>
      <c r="J219" s="187"/>
      <c r="K219" s="187"/>
      <c r="L219" s="187"/>
    </row>
    <row r="220" spans="3:12" ht="15.75">
      <c r="C220" s="188"/>
      <c r="D220" s="188"/>
      <c r="E220" s="96"/>
      <c r="F220" s="96"/>
      <c r="G220" s="96"/>
      <c r="H220" s="96"/>
      <c r="I220" s="96"/>
      <c r="J220" s="96"/>
      <c r="K220" s="96"/>
      <c r="L220" s="96"/>
    </row>
    <row r="221" spans="3:12" ht="15.75">
      <c r="C221" s="188"/>
      <c r="D221" s="188"/>
      <c r="E221" s="96"/>
      <c r="F221" s="96"/>
      <c r="G221" s="96"/>
      <c r="H221" s="96"/>
      <c r="I221" s="96"/>
      <c r="J221" s="96"/>
      <c r="K221" s="96"/>
      <c r="L221" s="96"/>
    </row>
    <row r="222" spans="3:12" ht="15.75">
      <c r="C222" s="189"/>
      <c r="D222" s="189"/>
      <c r="E222" s="96"/>
      <c r="F222" s="96"/>
      <c r="G222" s="96"/>
      <c r="H222" s="96"/>
      <c r="I222" s="96"/>
      <c r="J222" s="96"/>
      <c r="K222" s="96"/>
      <c r="L222" s="96"/>
    </row>
    <row r="224" spans="3:12" ht="15.75">
      <c r="C224" s="188"/>
      <c r="D224" s="188"/>
      <c r="E224" s="96"/>
      <c r="F224" s="96"/>
    </row>
    <row r="225" spans="1:6" ht="15.75">
      <c r="C225" s="188"/>
      <c r="D225" s="188"/>
      <c r="E225" s="96"/>
      <c r="F225" s="96"/>
    </row>
    <row r="226" spans="1:6" ht="15.75">
      <c r="C226" s="189"/>
      <c r="D226" s="189"/>
      <c r="E226" s="96"/>
      <c r="F226" s="96"/>
    </row>
    <row r="227" spans="1:6">
      <c r="A227" s="91"/>
      <c r="B227" s="91"/>
    </row>
  </sheetData>
  <autoFilter ref="A100:AH175">
    <filterColumn colId="4">
      <filters>
        <filter val="B.T ROAD"/>
        <filter val="BRICK ROAD"/>
        <filter val="INTERLOCKING"/>
      </filters>
    </filterColumn>
  </autoFilter>
  <mergeCells count="5">
    <mergeCell ref="A2:N2"/>
    <mergeCell ref="S2:AF2"/>
    <mergeCell ref="S4:Z4"/>
    <mergeCell ref="A99:N99"/>
    <mergeCell ref="C201:D201"/>
  </mergeCells>
  <pageMargins left="0.70866141732283505" right="0.70866141732283505" top="0.74803149606299202" bottom="0.74803149606299202" header="0.31496062992126" footer="0.31496062992126"/>
  <pageSetup paperSize="8" scale="56" fitToHeight="4" orientation="landscape"/>
  <rowBreaks count="3" manualBreakCount="3">
    <brk id="38" max="16" man="1"/>
    <brk id="95" max="16" man="1"/>
    <brk id="140" max="1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0"/>
  <sheetViews>
    <sheetView workbookViewId="0">
      <selection activeCell="J8" sqref="J8:J9"/>
    </sheetView>
  </sheetViews>
  <sheetFormatPr defaultRowHeight="15"/>
  <cols>
    <col min="5" max="5" width="18" customWidth="1"/>
    <col min="6" max="6" width="18.42578125" customWidth="1"/>
    <col min="8" max="8" width="21.140625" customWidth="1"/>
    <col min="9" max="9" width="20" customWidth="1"/>
  </cols>
  <sheetData>
    <row r="3" spans="1:9" ht="18.75">
      <c r="A3" s="637" t="s">
        <v>852</v>
      </c>
      <c r="B3" s="638"/>
      <c r="C3" s="638"/>
      <c r="D3" s="638"/>
      <c r="E3" s="638"/>
      <c r="F3" s="638"/>
      <c r="G3" s="638"/>
      <c r="H3" s="638"/>
      <c r="I3" s="638"/>
    </row>
    <row r="4" spans="1:9" ht="56.25">
      <c r="A4" s="483" t="s">
        <v>448</v>
      </c>
      <c r="B4" s="26" t="s">
        <v>180</v>
      </c>
      <c r="C4" s="26" t="s">
        <v>13</v>
      </c>
      <c r="D4" s="26" t="s">
        <v>181</v>
      </c>
      <c r="E4" s="27" t="s">
        <v>449</v>
      </c>
      <c r="F4" s="483" t="s">
        <v>853</v>
      </c>
      <c r="G4" s="640" t="s">
        <v>184</v>
      </c>
      <c r="H4" s="642"/>
      <c r="I4" s="26" t="s">
        <v>185</v>
      </c>
    </row>
    <row r="5" spans="1:9">
      <c r="A5" s="482">
        <v>1</v>
      </c>
      <c r="B5" s="482" t="s">
        <v>163</v>
      </c>
      <c r="C5" s="482" t="s">
        <v>1988</v>
      </c>
      <c r="D5" s="482"/>
      <c r="E5" s="482">
        <v>0.36299999999999999</v>
      </c>
      <c r="F5" s="482">
        <v>63</v>
      </c>
      <c r="G5" s="498">
        <v>700</v>
      </c>
      <c r="H5" s="498"/>
      <c r="I5" s="482">
        <f>+G5</f>
        <v>700</v>
      </c>
    </row>
    <row r="6" spans="1:9">
      <c r="A6" s="482">
        <v>2</v>
      </c>
      <c r="B6" s="482" t="s">
        <v>67</v>
      </c>
      <c r="C6" s="482" t="s">
        <v>1989</v>
      </c>
      <c r="D6" s="482"/>
      <c r="E6" s="482">
        <v>0.36299999999999999</v>
      </c>
      <c r="F6" s="482">
        <v>63</v>
      </c>
      <c r="G6" s="498">
        <v>380</v>
      </c>
      <c r="H6" s="498"/>
      <c r="I6" s="482">
        <f>+I5+G6</f>
        <v>1080</v>
      </c>
    </row>
    <row r="7" spans="1:9">
      <c r="A7" s="78" t="s">
        <v>366</v>
      </c>
      <c r="B7" s="78"/>
      <c r="C7" s="78"/>
      <c r="D7" s="78"/>
      <c r="E7" s="78"/>
      <c r="F7" s="78" t="s">
        <v>367</v>
      </c>
      <c r="G7" s="78"/>
      <c r="H7" s="78"/>
    </row>
    <row r="8" spans="1:9">
      <c r="A8" s="482" t="s">
        <v>368</v>
      </c>
      <c r="B8" s="482"/>
      <c r="C8" s="481"/>
      <c r="D8" s="481"/>
      <c r="E8" s="481"/>
      <c r="F8" s="482" t="s">
        <v>368</v>
      </c>
      <c r="G8" s="482"/>
      <c r="H8" s="481"/>
    </row>
    <row r="9" spans="1:9">
      <c r="A9" s="482" t="s">
        <v>369</v>
      </c>
      <c r="B9" s="482"/>
      <c r="C9" s="481"/>
      <c r="D9" s="481"/>
      <c r="E9" s="481"/>
      <c r="F9" s="482" t="s">
        <v>369</v>
      </c>
      <c r="G9" s="481"/>
      <c r="H9" s="481"/>
    </row>
    <row r="10" spans="1:9">
      <c r="A10" s="482" t="s">
        <v>370</v>
      </c>
      <c r="B10" s="482"/>
      <c r="C10" s="481"/>
      <c r="D10" s="481"/>
      <c r="E10" s="481"/>
      <c r="F10" s="482" t="s">
        <v>370</v>
      </c>
      <c r="G10" s="482"/>
      <c r="H10" s="481"/>
    </row>
  </sheetData>
  <mergeCells count="4">
    <mergeCell ref="A3:I3"/>
    <mergeCell ref="G4:H4"/>
    <mergeCell ref="G5:H5"/>
    <mergeCell ref="G6:H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45"/>
  <sheetViews>
    <sheetView topLeftCell="A70" workbookViewId="0">
      <selection activeCell="H4" sqref="H4:H120"/>
    </sheetView>
  </sheetViews>
  <sheetFormatPr defaultColWidth="9" defaultRowHeight="15"/>
  <cols>
    <col min="3" max="3" width="13.7109375" customWidth="1"/>
    <col min="4" max="4" width="12.140625" customWidth="1"/>
    <col min="5" max="5" width="16" customWidth="1"/>
    <col min="6" max="6" width="10.42578125" customWidth="1"/>
    <col min="7" max="7" width="20.28515625" customWidth="1"/>
    <col min="8" max="8" width="19.5703125" customWidth="1"/>
    <col min="9" max="9" width="12" customWidth="1"/>
    <col min="10" max="10" width="8.28515625" customWidth="1"/>
  </cols>
  <sheetData>
    <row r="2" spans="2:12" ht="18.75">
      <c r="B2" s="502" t="s">
        <v>1458</v>
      </c>
      <c r="C2" s="502"/>
      <c r="D2" s="502"/>
      <c r="E2" s="502"/>
      <c r="F2" s="502"/>
      <c r="G2" s="502"/>
      <c r="H2" s="502"/>
      <c r="I2" s="502"/>
      <c r="J2" s="502"/>
      <c r="K2" s="502"/>
      <c r="L2" s="502"/>
    </row>
    <row r="3" spans="2:12" ht="63">
      <c r="B3" s="25" t="s">
        <v>448</v>
      </c>
      <c r="C3" s="25" t="s">
        <v>180</v>
      </c>
      <c r="D3" s="25" t="s">
        <v>13</v>
      </c>
      <c r="E3" s="25" t="s">
        <v>181</v>
      </c>
      <c r="F3" s="27" t="s">
        <v>449</v>
      </c>
      <c r="G3" s="25" t="s">
        <v>183</v>
      </c>
      <c r="H3" s="33" t="s">
        <v>184</v>
      </c>
      <c r="I3" s="26" t="s">
        <v>185</v>
      </c>
      <c r="J3" s="26" t="s">
        <v>186</v>
      </c>
      <c r="K3" s="26" t="s">
        <v>187</v>
      </c>
      <c r="L3" s="48"/>
    </row>
    <row r="4" spans="2:12">
      <c r="B4" s="5">
        <v>1</v>
      </c>
      <c r="C4" s="5" t="s">
        <v>1459</v>
      </c>
      <c r="D4" s="5" t="s">
        <v>1460</v>
      </c>
      <c r="E4" s="5" t="s">
        <v>199</v>
      </c>
      <c r="F4" s="5">
        <v>0.36</v>
      </c>
      <c r="G4" s="5">
        <v>63</v>
      </c>
      <c r="H4" s="5">
        <v>3</v>
      </c>
      <c r="I4" s="5">
        <f>+H4</f>
        <v>3</v>
      </c>
      <c r="J4" s="8"/>
      <c r="K4" s="8"/>
      <c r="L4" s="8"/>
    </row>
    <row r="5" spans="2:12">
      <c r="B5" s="5">
        <f>1+B4</f>
        <v>2</v>
      </c>
      <c r="C5" s="5" t="s">
        <v>1459</v>
      </c>
      <c r="D5" s="5" t="s">
        <v>1460</v>
      </c>
      <c r="E5" s="5"/>
      <c r="F5" s="5"/>
      <c r="G5" s="5">
        <v>63</v>
      </c>
      <c r="H5" s="5">
        <v>20.6</v>
      </c>
      <c r="I5" s="5">
        <f>+I4+H5</f>
        <v>23.6</v>
      </c>
      <c r="J5" s="8"/>
      <c r="K5" s="8"/>
      <c r="L5" s="8"/>
    </row>
    <row r="6" spans="2:12">
      <c r="B6" s="5">
        <f t="shared" ref="B6:B70" si="0">1+B5</f>
        <v>3</v>
      </c>
      <c r="C6" s="5" t="s">
        <v>1292</v>
      </c>
      <c r="D6" s="5" t="s">
        <v>292</v>
      </c>
      <c r="E6" s="5"/>
      <c r="F6" s="5"/>
      <c r="G6" s="5">
        <v>63</v>
      </c>
      <c r="H6" s="5">
        <v>61.8</v>
      </c>
      <c r="I6" s="5">
        <f t="shared" ref="I6:I70" si="1">+I5+H6</f>
        <v>85.4</v>
      </c>
      <c r="J6" s="8"/>
      <c r="K6" s="8"/>
      <c r="L6" s="8"/>
    </row>
    <row r="7" spans="2:12">
      <c r="B7" s="5">
        <f t="shared" si="0"/>
        <v>4</v>
      </c>
      <c r="C7" s="5" t="s">
        <v>292</v>
      </c>
      <c r="D7" s="5" t="s">
        <v>1251</v>
      </c>
      <c r="E7" s="5"/>
      <c r="F7" s="5"/>
      <c r="G7" s="5">
        <v>63</v>
      </c>
      <c r="H7" s="5">
        <v>33.4</v>
      </c>
      <c r="I7" s="5">
        <f t="shared" si="1"/>
        <v>118.80000000000001</v>
      </c>
      <c r="J7" s="8"/>
      <c r="K7" s="8"/>
      <c r="L7" s="8"/>
    </row>
    <row r="8" spans="2:12">
      <c r="B8" s="5">
        <f t="shared" si="0"/>
        <v>5</v>
      </c>
      <c r="C8" s="5" t="s">
        <v>292</v>
      </c>
      <c r="D8" s="5" t="s">
        <v>1461</v>
      </c>
      <c r="E8" s="5"/>
      <c r="F8" s="5"/>
      <c r="G8" s="5">
        <v>63</v>
      </c>
      <c r="H8" s="5">
        <v>29</v>
      </c>
      <c r="I8" s="5">
        <f t="shared" si="1"/>
        <v>147.80000000000001</v>
      </c>
      <c r="J8" s="8"/>
      <c r="K8" s="8"/>
      <c r="L8" s="8"/>
    </row>
    <row r="9" spans="2:12">
      <c r="B9" s="5">
        <f t="shared" si="0"/>
        <v>6</v>
      </c>
      <c r="C9" s="5" t="s">
        <v>1462</v>
      </c>
      <c r="D9" s="5" t="s">
        <v>1463</v>
      </c>
      <c r="E9" s="5" t="s">
        <v>199</v>
      </c>
      <c r="F9" s="5">
        <v>0.36</v>
      </c>
      <c r="G9" s="5">
        <v>63</v>
      </c>
      <c r="H9" s="5">
        <v>37</v>
      </c>
      <c r="I9" s="5">
        <f t="shared" si="1"/>
        <v>184.8</v>
      </c>
      <c r="J9" s="8"/>
      <c r="K9" s="8"/>
      <c r="L9" s="8"/>
    </row>
    <row r="10" spans="2:12">
      <c r="B10" s="5">
        <f t="shared" si="0"/>
        <v>7</v>
      </c>
      <c r="C10" s="5" t="s">
        <v>1464</v>
      </c>
      <c r="D10" s="5" t="s">
        <v>1465</v>
      </c>
      <c r="E10" s="5" t="s">
        <v>199</v>
      </c>
      <c r="F10" s="5">
        <v>0.36</v>
      </c>
      <c r="G10" s="5">
        <v>63</v>
      </c>
      <c r="H10" s="5">
        <v>38.5</v>
      </c>
      <c r="I10" s="5">
        <f t="shared" si="1"/>
        <v>223.3</v>
      </c>
      <c r="J10" s="8"/>
      <c r="K10" s="8"/>
      <c r="L10" s="8"/>
    </row>
    <row r="11" spans="2:12">
      <c r="B11" s="5">
        <f t="shared" si="0"/>
        <v>8</v>
      </c>
      <c r="C11" s="5" t="s">
        <v>1466</v>
      </c>
      <c r="D11" s="5" t="s">
        <v>1467</v>
      </c>
      <c r="E11" s="5"/>
      <c r="F11" s="5"/>
      <c r="G11" s="5">
        <v>63</v>
      </c>
      <c r="H11" s="5">
        <v>31.5</v>
      </c>
      <c r="I11" s="5">
        <f t="shared" si="1"/>
        <v>254.8</v>
      </c>
      <c r="J11" s="8"/>
      <c r="K11" s="8"/>
      <c r="L11" s="8"/>
    </row>
    <row r="12" spans="2:12">
      <c r="B12" s="5">
        <f t="shared" si="0"/>
        <v>9</v>
      </c>
      <c r="C12" s="5" t="s">
        <v>1467</v>
      </c>
      <c r="D12" s="5" t="s">
        <v>1468</v>
      </c>
      <c r="E12" s="5"/>
      <c r="F12" s="5"/>
      <c r="G12" s="5">
        <v>63</v>
      </c>
      <c r="H12" s="5">
        <v>27</v>
      </c>
      <c r="I12" s="5">
        <f t="shared" si="1"/>
        <v>281.8</v>
      </c>
      <c r="J12" s="8"/>
      <c r="K12" s="8"/>
      <c r="L12" s="8"/>
    </row>
    <row r="13" spans="2:12">
      <c r="B13" s="5">
        <f t="shared" si="0"/>
        <v>10</v>
      </c>
      <c r="C13" s="5" t="s">
        <v>1469</v>
      </c>
      <c r="D13" s="5" t="s">
        <v>1467</v>
      </c>
      <c r="E13" s="5"/>
      <c r="F13" s="5"/>
      <c r="G13" s="5">
        <v>63</v>
      </c>
      <c r="H13" s="5">
        <v>108.3</v>
      </c>
      <c r="I13" s="5">
        <f t="shared" si="1"/>
        <v>390.1</v>
      </c>
      <c r="J13" s="8"/>
      <c r="K13" s="8"/>
      <c r="L13" s="8"/>
    </row>
    <row r="14" spans="2:12">
      <c r="B14" s="5">
        <f t="shared" si="0"/>
        <v>11</v>
      </c>
      <c r="C14" s="5" t="s">
        <v>1470</v>
      </c>
      <c r="D14" s="5" t="s">
        <v>560</v>
      </c>
      <c r="E14" s="5"/>
      <c r="F14" s="5"/>
      <c r="G14" s="5">
        <v>63</v>
      </c>
      <c r="H14" s="5">
        <v>25.6</v>
      </c>
      <c r="I14" s="5">
        <f t="shared" si="1"/>
        <v>415.70000000000005</v>
      </c>
      <c r="J14" s="8"/>
      <c r="K14" s="8"/>
      <c r="L14" s="8"/>
    </row>
    <row r="15" spans="2:12">
      <c r="B15" s="5">
        <f t="shared" si="0"/>
        <v>12</v>
      </c>
      <c r="C15" s="5" t="s">
        <v>225</v>
      </c>
      <c r="D15" s="5" t="s">
        <v>203</v>
      </c>
      <c r="E15" s="5"/>
      <c r="F15" s="5"/>
      <c r="G15" s="5">
        <v>63</v>
      </c>
      <c r="H15" s="5">
        <v>52.7</v>
      </c>
      <c r="I15" s="5">
        <f t="shared" si="1"/>
        <v>468.40000000000003</v>
      </c>
      <c r="J15" s="8"/>
      <c r="K15" s="8"/>
      <c r="L15" s="8"/>
    </row>
    <row r="16" spans="2:12">
      <c r="B16" s="5">
        <f t="shared" si="0"/>
        <v>13</v>
      </c>
      <c r="C16" s="5" t="s">
        <v>548</v>
      </c>
      <c r="D16" s="5" t="s">
        <v>1471</v>
      </c>
      <c r="E16" s="5"/>
      <c r="F16" s="5"/>
      <c r="G16" s="5">
        <v>63</v>
      </c>
      <c r="H16" s="5">
        <v>38</v>
      </c>
      <c r="I16" s="5">
        <f t="shared" si="1"/>
        <v>506.40000000000003</v>
      </c>
      <c r="J16" s="8"/>
      <c r="K16" s="8"/>
      <c r="L16" s="8"/>
    </row>
    <row r="17" spans="2:12">
      <c r="B17" s="5">
        <f t="shared" si="0"/>
        <v>14</v>
      </c>
      <c r="C17" s="5" t="s">
        <v>548</v>
      </c>
      <c r="D17" s="5" t="s">
        <v>463</v>
      </c>
      <c r="E17" s="5"/>
      <c r="F17" s="5"/>
      <c r="G17" s="5">
        <v>63</v>
      </c>
      <c r="H17" s="5">
        <v>46</v>
      </c>
      <c r="I17" s="5">
        <f t="shared" si="1"/>
        <v>552.40000000000009</v>
      </c>
      <c r="J17" s="8"/>
      <c r="K17" s="8"/>
      <c r="L17" s="8"/>
    </row>
    <row r="18" spans="2:12">
      <c r="B18" s="5">
        <f t="shared" si="0"/>
        <v>15</v>
      </c>
      <c r="C18" s="5" t="s">
        <v>188</v>
      </c>
      <c r="D18" s="5" t="s">
        <v>234</v>
      </c>
      <c r="E18" s="5"/>
      <c r="F18" s="5"/>
      <c r="G18" s="5">
        <v>63</v>
      </c>
      <c r="H18" s="5">
        <v>57.6</v>
      </c>
      <c r="I18" s="5">
        <f t="shared" si="1"/>
        <v>610.00000000000011</v>
      </c>
      <c r="J18" s="8"/>
      <c r="K18" s="8"/>
      <c r="L18" s="8"/>
    </row>
    <row r="19" spans="2:12">
      <c r="B19" s="5">
        <f t="shared" si="0"/>
        <v>16</v>
      </c>
      <c r="C19" s="5" t="s">
        <v>337</v>
      </c>
      <c r="D19" s="5" t="s">
        <v>1073</v>
      </c>
      <c r="E19" s="5"/>
      <c r="F19" s="5"/>
      <c r="G19" s="5">
        <v>63</v>
      </c>
      <c r="H19" s="5">
        <v>195</v>
      </c>
      <c r="I19" s="5">
        <f t="shared" si="1"/>
        <v>805.00000000000011</v>
      </c>
      <c r="J19" s="8"/>
      <c r="K19" s="8"/>
      <c r="L19" s="8"/>
    </row>
    <row r="20" spans="2:12">
      <c r="B20" s="5">
        <f t="shared" si="0"/>
        <v>17</v>
      </c>
      <c r="C20" s="5" t="s">
        <v>662</v>
      </c>
      <c r="D20" s="5" t="s">
        <v>1257</v>
      </c>
      <c r="E20" s="5"/>
      <c r="F20" s="5"/>
      <c r="G20" s="5">
        <v>63</v>
      </c>
      <c r="H20" s="5">
        <v>108.7</v>
      </c>
      <c r="I20" s="5">
        <f t="shared" si="1"/>
        <v>913.70000000000016</v>
      </c>
      <c r="J20" s="8"/>
      <c r="K20" s="8"/>
      <c r="L20" s="8"/>
    </row>
    <row r="21" spans="2:12">
      <c r="B21" s="5">
        <f t="shared" si="0"/>
        <v>18</v>
      </c>
      <c r="C21" s="5" t="s">
        <v>1257</v>
      </c>
      <c r="D21" s="5" t="s">
        <v>556</v>
      </c>
      <c r="E21" s="5"/>
      <c r="F21" s="5"/>
      <c r="G21" s="5">
        <v>63</v>
      </c>
      <c r="H21" s="5">
        <v>122</v>
      </c>
      <c r="I21" s="5">
        <f t="shared" si="1"/>
        <v>1035.7000000000003</v>
      </c>
      <c r="J21" s="8"/>
      <c r="K21" s="8"/>
      <c r="L21" s="8"/>
    </row>
    <row r="22" spans="2:12">
      <c r="B22" s="5">
        <f t="shared" si="0"/>
        <v>19</v>
      </c>
      <c r="C22" s="5" t="s">
        <v>1257</v>
      </c>
      <c r="D22" s="5" t="s">
        <v>1240</v>
      </c>
      <c r="E22" s="5"/>
      <c r="F22" s="5"/>
      <c r="G22" s="5">
        <v>63</v>
      </c>
      <c r="H22" s="5">
        <v>97</v>
      </c>
      <c r="I22" s="5">
        <f t="shared" si="1"/>
        <v>1132.7000000000003</v>
      </c>
      <c r="J22" s="8"/>
      <c r="K22" s="8"/>
      <c r="L22" s="8"/>
    </row>
    <row r="23" spans="2:12">
      <c r="B23" s="5">
        <f t="shared" si="0"/>
        <v>20</v>
      </c>
      <c r="C23" s="5" t="s">
        <v>705</v>
      </c>
      <c r="D23" s="5" t="s">
        <v>1472</v>
      </c>
      <c r="E23" s="5"/>
      <c r="F23" s="5"/>
      <c r="G23" s="5">
        <v>63</v>
      </c>
      <c r="H23" s="5">
        <v>22</v>
      </c>
      <c r="I23" s="5">
        <f t="shared" si="1"/>
        <v>1154.7000000000003</v>
      </c>
      <c r="J23" s="8"/>
      <c r="K23" s="8"/>
      <c r="L23" s="8"/>
    </row>
    <row r="24" spans="2:12">
      <c r="B24" s="5">
        <f t="shared" si="0"/>
        <v>21</v>
      </c>
      <c r="C24" s="5" t="s">
        <v>705</v>
      </c>
      <c r="D24" s="5" t="s">
        <v>1472</v>
      </c>
      <c r="E24" s="5" t="s">
        <v>199</v>
      </c>
      <c r="F24" s="5">
        <v>0.36</v>
      </c>
      <c r="G24" s="5">
        <v>63</v>
      </c>
      <c r="H24" s="5">
        <v>65</v>
      </c>
      <c r="I24" s="5">
        <f t="shared" si="1"/>
        <v>1219.7000000000003</v>
      </c>
      <c r="J24" s="8"/>
      <c r="K24" s="8"/>
      <c r="L24" s="8"/>
    </row>
    <row r="25" spans="2:12">
      <c r="B25" s="5">
        <f t="shared" si="0"/>
        <v>22</v>
      </c>
      <c r="C25" s="5" t="s">
        <v>705</v>
      </c>
      <c r="D25" s="5" t="s">
        <v>1472</v>
      </c>
      <c r="E25" s="5"/>
      <c r="F25" s="5"/>
      <c r="G25" s="5">
        <v>63</v>
      </c>
      <c r="H25" s="5">
        <v>51</v>
      </c>
      <c r="I25" s="5">
        <f t="shared" si="1"/>
        <v>1270.7000000000003</v>
      </c>
      <c r="J25" s="8"/>
      <c r="K25" s="8"/>
      <c r="L25" s="8"/>
    </row>
    <row r="26" spans="2:12">
      <c r="B26" s="5">
        <f t="shared" si="0"/>
        <v>23</v>
      </c>
      <c r="C26" s="5" t="s">
        <v>1472</v>
      </c>
      <c r="D26" s="5" t="s">
        <v>1254</v>
      </c>
      <c r="E26" s="5" t="s">
        <v>193</v>
      </c>
      <c r="F26" s="5">
        <v>0.36</v>
      </c>
      <c r="G26" s="5">
        <v>63</v>
      </c>
      <c r="H26" s="5">
        <v>30</v>
      </c>
      <c r="I26" s="5">
        <f t="shared" si="1"/>
        <v>1300.7000000000003</v>
      </c>
      <c r="J26" s="8"/>
      <c r="K26" s="8"/>
      <c r="L26" s="8"/>
    </row>
    <row r="27" spans="2:12">
      <c r="B27" s="5">
        <f t="shared" si="0"/>
        <v>24</v>
      </c>
      <c r="C27" s="5" t="s">
        <v>1472</v>
      </c>
      <c r="D27" s="5" t="s">
        <v>1254</v>
      </c>
      <c r="E27" s="5" t="s">
        <v>199</v>
      </c>
      <c r="F27" s="5">
        <v>0.36</v>
      </c>
      <c r="G27" s="5">
        <v>63</v>
      </c>
      <c r="H27" s="5">
        <v>20</v>
      </c>
      <c r="I27" s="5">
        <f t="shared" si="1"/>
        <v>1320.7000000000003</v>
      </c>
      <c r="J27" s="8"/>
      <c r="K27" s="8"/>
      <c r="L27" s="8"/>
    </row>
    <row r="28" spans="2:12">
      <c r="B28" s="5">
        <f t="shared" si="0"/>
        <v>25</v>
      </c>
      <c r="C28" s="5" t="s">
        <v>1472</v>
      </c>
      <c r="D28" s="5" t="s">
        <v>1254</v>
      </c>
      <c r="E28" s="5"/>
      <c r="F28" s="5"/>
      <c r="G28" s="5">
        <v>63</v>
      </c>
      <c r="H28" s="5">
        <v>3</v>
      </c>
      <c r="I28" s="5">
        <f t="shared" si="1"/>
        <v>1323.7000000000003</v>
      </c>
      <c r="J28" s="8"/>
      <c r="K28" s="8"/>
      <c r="L28" s="8"/>
    </row>
    <row r="29" spans="2:12">
      <c r="B29" s="5">
        <f t="shared" si="0"/>
        <v>26</v>
      </c>
      <c r="C29" s="5" t="s">
        <v>1254</v>
      </c>
      <c r="D29" s="5" t="s">
        <v>1277</v>
      </c>
      <c r="E29" s="5"/>
      <c r="F29" s="5"/>
      <c r="G29" s="5">
        <v>63</v>
      </c>
      <c r="H29" s="5">
        <v>20.6</v>
      </c>
      <c r="I29" s="5">
        <f t="shared" si="1"/>
        <v>1344.3000000000002</v>
      </c>
      <c r="J29" s="8"/>
      <c r="K29" s="8"/>
      <c r="L29" s="8"/>
    </row>
    <row r="30" spans="2:12">
      <c r="B30" s="5">
        <f t="shared" si="0"/>
        <v>27</v>
      </c>
      <c r="C30" s="5" t="s">
        <v>1254</v>
      </c>
      <c r="D30" s="5" t="s">
        <v>1322</v>
      </c>
      <c r="E30" s="5"/>
      <c r="F30" s="5"/>
      <c r="G30" s="5">
        <v>63</v>
      </c>
      <c r="H30" s="5">
        <v>44.4</v>
      </c>
      <c r="I30" s="5">
        <f t="shared" si="1"/>
        <v>1388.7000000000003</v>
      </c>
      <c r="J30" s="8"/>
      <c r="K30" s="8"/>
      <c r="L30" s="8"/>
    </row>
    <row r="31" spans="2:12">
      <c r="B31" s="5">
        <f t="shared" si="0"/>
        <v>28</v>
      </c>
      <c r="C31" s="5" t="s">
        <v>1322</v>
      </c>
      <c r="D31" s="5" t="s">
        <v>1284</v>
      </c>
      <c r="E31" s="5"/>
      <c r="F31" s="5"/>
      <c r="G31" s="5">
        <v>63</v>
      </c>
      <c r="H31" s="5">
        <v>40</v>
      </c>
      <c r="I31" s="5">
        <f t="shared" si="1"/>
        <v>1428.7000000000003</v>
      </c>
      <c r="J31" s="8"/>
      <c r="K31" s="8"/>
      <c r="L31" s="8"/>
    </row>
    <row r="32" spans="2:12">
      <c r="B32" s="5">
        <f t="shared" si="0"/>
        <v>29</v>
      </c>
      <c r="C32" s="5" t="s">
        <v>1473</v>
      </c>
      <c r="D32" s="5" t="s">
        <v>1474</v>
      </c>
      <c r="E32" s="5"/>
      <c r="F32" s="5"/>
      <c r="G32" s="5">
        <v>63</v>
      </c>
      <c r="H32" s="5">
        <v>67</v>
      </c>
      <c r="I32" s="5">
        <f t="shared" si="1"/>
        <v>1495.7000000000003</v>
      </c>
      <c r="J32" s="8"/>
      <c r="K32" s="8"/>
      <c r="L32" s="8"/>
    </row>
    <row r="33" spans="2:12">
      <c r="B33" s="5">
        <f t="shared" si="0"/>
        <v>30</v>
      </c>
      <c r="C33" s="5" t="s">
        <v>1474</v>
      </c>
      <c r="D33" s="5" t="s">
        <v>1258</v>
      </c>
      <c r="E33" s="5"/>
      <c r="F33" s="5"/>
      <c r="G33" s="5">
        <v>63</v>
      </c>
      <c r="H33" s="5">
        <v>36.799999999999997</v>
      </c>
      <c r="I33" s="5">
        <f t="shared" si="1"/>
        <v>1532.5000000000002</v>
      </c>
      <c r="J33" s="8"/>
      <c r="K33" s="8"/>
      <c r="L33" s="8"/>
    </row>
    <row r="34" spans="2:12">
      <c r="B34" s="5">
        <f t="shared" si="0"/>
        <v>31</v>
      </c>
      <c r="C34" s="5" t="s">
        <v>1475</v>
      </c>
      <c r="D34" s="5" t="s">
        <v>191</v>
      </c>
      <c r="E34" s="5"/>
      <c r="F34" s="5"/>
      <c r="G34" s="5">
        <v>63</v>
      </c>
      <c r="H34" s="5">
        <v>107</v>
      </c>
      <c r="I34" s="5">
        <f t="shared" si="1"/>
        <v>1639.5000000000002</v>
      </c>
      <c r="J34" s="8"/>
      <c r="K34" s="8"/>
      <c r="L34" s="8"/>
    </row>
    <row r="35" spans="2:12">
      <c r="B35" s="5">
        <f t="shared" si="0"/>
        <v>32</v>
      </c>
      <c r="C35" s="5" t="s">
        <v>1476</v>
      </c>
      <c r="D35" s="5" t="s">
        <v>1477</v>
      </c>
      <c r="E35" s="5"/>
      <c r="F35" s="5"/>
      <c r="G35" s="5">
        <v>63</v>
      </c>
      <c r="H35" s="5">
        <v>41</v>
      </c>
      <c r="I35" s="5">
        <f t="shared" si="1"/>
        <v>1680.5000000000002</v>
      </c>
      <c r="J35" s="8"/>
      <c r="K35" s="8"/>
      <c r="L35" s="8"/>
    </row>
    <row r="36" spans="2:12">
      <c r="B36" s="5">
        <f t="shared" si="0"/>
        <v>33</v>
      </c>
      <c r="C36" s="5" t="s">
        <v>1477</v>
      </c>
      <c r="D36" s="5" t="s">
        <v>1478</v>
      </c>
      <c r="E36" s="5"/>
      <c r="F36" s="5"/>
      <c r="G36" s="5">
        <v>63</v>
      </c>
      <c r="H36" s="5">
        <v>59</v>
      </c>
      <c r="I36" s="5">
        <f t="shared" si="1"/>
        <v>1739.5000000000002</v>
      </c>
      <c r="J36" s="8"/>
      <c r="K36" s="8"/>
      <c r="L36" s="8"/>
    </row>
    <row r="37" spans="2:12">
      <c r="B37" s="5">
        <f t="shared" si="0"/>
        <v>34</v>
      </c>
      <c r="C37" s="5" t="s">
        <v>1477</v>
      </c>
      <c r="D37" s="5" t="s">
        <v>1479</v>
      </c>
      <c r="E37" s="5"/>
      <c r="F37" s="5"/>
      <c r="G37" s="5">
        <v>63</v>
      </c>
      <c r="H37" s="5">
        <v>48</v>
      </c>
      <c r="I37" s="5">
        <f t="shared" si="1"/>
        <v>1787.5000000000002</v>
      </c>
      <c r="J37" s="8"/>
      <c r="K37" s="8"/>
      <c r="L37" s="8"/>
    </row>
    <row r="38" spans="2:12">
      <c r="B38" s="5">
        <f t="shared" si="0"/>
        <v>35</v>
      </c>
      <c r="C38" s="5" t="s">
        <v>295</v>
      </c>
      <c r="D38" s="5" t="s">
        <v>257</v>
      </c>
      <c r="E38" s="5"/>
      <c r="F38" s="5"/>
      <c r="G38" s="5">
        <v>63</v>
      </c>
      <c r="H38" s="5">
        <v>187</v>
      </c>
      <c r="I38" s="5">
        <f t="shared" si="1"/>
        <v>1974.5000000000002</v>
      </c>
      <c r="J38" s="8"/>
      <c r="K38" s="8"/>
      <c r="L38" s="8"/>
    </row>
    <row r="39" spans="2:12">
      <c r="B39" s="5">
        <f t="shared" si="0"/>
        <v>36</v>
      </c>
      <c r="C39" s="5" t="s">
        <v>302</v>
      </c>
      <c r="D39" s="5" t="s">
        <v>322</v>
      </c>
      <c r="E39" s="5" t="s">
        <v>199</v>
      </c>
      <c r="F39" s="5">
        <v>0.36</v>
      </c>
      <c r="G39" s="5">
        <v>63</v>
      </c>
      <c r="H39" s="5">
        <v>112</v>
      </c>
      <c r="I39" s="5">
        <f t="shared" si="1"/>
        <v>2086.5</v>
      </c>
      <c r="J39" s="8"/>
      <c r="K39" s="8"/>
      <c r="L39" s="8"/>
    </row>
    <row r="40" spans="2:12">
      <c r="B40" s="5">
        <f t="shared" si="0"/>
        <v>37</v>
      </c>
      <c r="C40" s="5" t="s">
        <v>322</v>
      </c>
      <c r="D40" s="5" t="s">
        <v>342</v>
      </c>
      <c r="E40" s="5"/>
      <c r="F40" s="5"/>
      <c r="G40" s="5">
        <v>63</v>
      </c>
      <c r="H40" s="5">
        <v>50</v>
      </c>
      <c r="I40" s="5">
        <f t="shared" si="1"/>
        <v>2136.5</v>
      </c>
      <c r="J40" s="8"/>
      <c r="K40" s="8"/>
      <c r="L40" s="8"/>
    </row>
    <row r="41" spans="2:12">
      <c r="B41" s="5">
        <f t="shared" si="0"/>
        <v>38</v>
      </c>
      <c r="C41" s="5" t="s">
        <v>322</v>
      </c>
      <c r="D41" s="5" t="s">
        <v>291</v>
      </c>
      <c r="E41" s="5"/>
      <c r="F41" s="5"/>
      <c r="G41" s="5">
        <v>63</v>
      </c>
      <c r="H41" s="5">
        <v>23.3</v>
      </c>
      <c r="I41" s="5">
        <f t="shared" si="1"/>
        <v>2159.8000000000002</v>
      </c>
      <c r="J41" s="8"/>
      <c r="K41" s="8"/>
      <c r="L41" s="8"/>
    </row>
    <row r="42" spans="2:12">
      <c r="B42" s="5">
        <f t="shared" si="0"/>
        <v>39</v>
      </c>
      <c r="C42" s="5" t="s">
        <v>291</v>
      </c>
      <c r="D42" s="5" t="s">
        <v>296</v>
      </c>
      <c r="E42" s="5" t="s">
        <v>199</v>
      </c>
      <c r="F42" s="5">
        <v>0.36</v>
      </c>
      <c r="G42" s="5">
        <v>63</v>
      </c>
      <c r="H42" s="5">
        <v>70</v>
      </c>
      <c r="I42" s="5">
        <f t="shared" si="1"/>
        <v>2229.8000000000002</v>
      </c>
      <c r="J42" s="8"/>
      <c r="K42" s="8"/>
      <c r="L42" s="8"/>
    </row>
    <row r="43" spans="2:12">
      <c r="B43" s="5">
        <f t="shared" si="0"/>
        <v>40</v>
      </c>
      <c r="C43" s="5" t="s">
        <v>296</v>
      </c>
      <c r="D43" s="5" t="s">
        <v>245</v>
      </c>
      <c r="E43" s="5"/>
      <c r="F43" s="5"/>
      <c r="G43" s="5">
        <v>63</v>
      </c>
      <c r="H43" s="5">
        <v>53</v>
      </c>
      <c r="I43" s="5">
        <f t="shared" si="1"/>
        <v>2282.8000000000002</v>
      </c>
      <c r="J43" s="8"/>
      <c r="K43" s="8"/>
      <c r="L43" s="8"/>
    </row>
    <row r="44" spans="2:12">
      <c r="B44" s="5">
        <f t="shared" si="0"/>
        <v>41</v>
      </c>
      <c r="C44" s="5" t="s">
        <v>296</v>
      </c>
      <c r="D44" s="5" t="s">
        <v>325</v>
      </c>
      <c r="E44" s="5" t="s">
        <v>199</v>
      </c>
      <c r="F44" s="5">
        <v>0.36</v>
      </c>
      <c r="G44" s="5">
        <v>63</v>
      </c>
      <c r="H44" s="5">
        <v>33</v>
      </c>
      <c r="I44" s="5">
        <f t="shared" si="1"/>
        <v>2315.8000000000002</v>
      </c>
      <c r="J44" s="8"/>
      <c r="K44" s="8"/>
      <c r="L44" s="8"/>
    </row>
    <row r="45" spans="2:12">
      <c r="B45" s="5">
        <f t="shared" si="0"/>
        <v>42</v>
      </c>
      <c r="C45" s="5" t="s">
        <v>296</v>
      </c>
      <c r="D45" s="5" t="s">
        <v>325</v>
      </c>
      <c r="E45" s="5"/>
      <c r="F45" s="5"/>
      <c r="G45" s="5">
        <v>63</v>
      </c>
      <c r="H45" s="5">
        <v>67</v>
      </c>
      <c r="I45" s="5">
        <f t="shared" si="1"/>
        <v>2382.8000000000002</v>
      </c>
      <c r="J45" s="8"/>
      <c r="K45" s="8"/>
      <c r="L45" s="8"/>
    </row>
    <row r="46" spans="2:12">
      <c r="B46" s="5">
        <f t="shared" si="0"/>
        <v>43</v>
      </c>
      <c r="C46" s="5" t="s">
        <v>352</v>
      </c>
      <c r="D46" s="5" t="s">
        <v>1480</v>
      </c>
      <c r="E46" s="5"/>
      <c r="F46" s="5"/>
      <c r="G46" s="5">
        <v>63</v>
      </c>
      <c r="H46" s="5">
        <v>49</v>
      </c>
      <c r="I46" s="5">
        <f t="shared" si="1"/>
        <v>2431.8000000000002</v>
      </c>
      <c r="J46" s="8"/>
      <c r="K46" s="8"/>
      <c r="L46" s="8"/>
    </row>
    <row r="47" spans="2:12">
      <c r="B47" s="5">
        <f t="shared" si="0"/>
        <v>44</v>
      </c>
      <c r="C47" s="5" t="s">
        <v>1480</v>
      </c>
      <c r="D47" s="5" t="s">
        <v>1321</v>
      </c>
      <c r="E47" s="5"/>
      <c r="F47" s="5"/>
      <c r="G47" s="5">
        <v>63</v>
      </c>
      <c r="H47" s="5">
        <v>33.200000000000003</v>
      </c>
      <c r="I47" s="5">
        <f t="shared" si="1"/>
        <v>2465</v>
      </c>
      <c r="J47" s="8"/>
      <c r="K47" s="8"/>
      <c r="L47" s="8"/>
    </row>
    <row r="48" spans="2:12">
      <c r="B48" s="5">
        <f t="shared" si="0"/>
        <v>45</v>
      </c>
      <c r="C48" s="5" t="s">
        <v>1480</v>
      </c>
      <c r="D48" s="5" t="s">
        <v>204</v>
      </c>
      <c r="E48" s="5"/>
      <c r="F48" s="5"/>
      <c r="G48" s="5">
        <v>63</v>
      </c>
      <c r="H48" s="5">
        <v>87</v>
      </c>
      <c r="I48" s="5">
        <f t="shared" si="1"/>
        <v>2552</v>
      </c>
      <c r="J48" s="8"/>
      <c r="K48" s="8"/>
      <c r="L48" s="8"/>
    </row>
    <row r="49" spans="2:12">
      <c r="B49" s="5">
        <f t="shared" si="0"/>
        <v>46</v>
      </c>
      <c r="C49" s="5" t="s">
        <v>204</v>
      </c>
      <c r="D49" s="5" t="s">
        <v>706</v>
      </c>
      <c r="E49" s="5"/>
      <c r="F49" s="5"/>
      <c r="G49" s="5">
        <v>63</v>
      </c>
      <c r="H49" s="5">
        <v>31</v>
      </c>
      <c r="I49" s="5">
        <f t="shared" si="1"/>
        <v>2583</v>
      </c>
      <c r="J49" s="8"/>
      <c r="K49" s="8"/>
      <c r="L49" s="8"/>
    </row>
    <row r="50" spans="2:12">
      <c r="B50" s="5">
        <f t="shared" si="0"/>
        <v>47</v>
      </c>
      <c r="C50" s="6" t="s">
        <v>204</v>
      </c>
      <c r="D50" s="6" t="s">
        <v>1243</v>
      </c>
      <c r="E50" s="6"/>
      <c r="F50" s="6"/>
      <c r="G50" s="6">
        <v>63</v>
      </c>
      <c r="H50" s="6">
        <v>41</v>
      </c>
      <c r="I50" s="6">
        <f t="shared" si="1"/>
        <v>2624</v>
      </c>
      <c r="J50" s="8"/>
      <c r="K50" s="8"/>
      <c r="L50" s="8"/>
    </row>
    <row r="51" spans="2:12">
      <c r="B51" s="5">
        <f t="shared" si="0"/>
        <v>48</v>
      </c>
      <c r="C51" s="5" t="s">
        <v>204</v>
      </c>
      <c r="D51" s="5" t="s">
        <v>1243</v>
      </c>
      <c r="E51" s="5" t="s">
        <v>199</v>
      </c>
      <c r="F51" s="5">
        <v>0.36</v>
      </c>
      <c r="G51" s="5">
        <v>63</v>
      </c>
      <c r="H51" s="5">
        <v>23</v>
      </c>
      <c r="I51" s="5">
        <f t="shared" si="1"/>
        <v>2647</v>
      </c>
      <c r="J51" s="8"/>
      <c r="K51" s="8"/>
      <c r="L51" s="8"/>
    </row>
    <row r="52" spans="2:12">
      <c r="B52" s="5">
        <f t="shared" si="0"/>
        <v>49</v>
      </c>
      <c r="C52" s="5" t="s">
        <v>1267</v>
      </c>
      <c r="D52" s="5" t="s">
        <v>464</v>
      </c>
      <c r="E52" s="5"/>
      <c r="F52" s="5"/>
      <c r="G52" s="5">
        <v>63</v>
      </c>
      <c r="H52" s="5">
        <v>70</v>
      </c>
      <c r="I52" s="5">
        <f t="shared" si="1"/>
        <v>2717</v>
      </c>
      <c r="J52" s="8"/>
      <c r="K52" s="8"/>
      <c r="L52" s="8"/>
    </row>
    <row r="53" spans="2:12">
      <c r="B53" s="5">
        <f t="shared" si="0"/>
        <v>50</v>
      </c>
      <c r="C53" s="5" t="s">
        <v>698</v>
      </c>
      <c r="D53" s="5" t="s">
        <v>1266</v>
      </c>
      <c r="E53" s="5"/>
      <c r="F53" s="5"/>
      <c r="G53" s="5">
        <v>63</v>
      </c>
      <c r="H53" s="5">
        <v>175</v>
      </c>
      <c r="I53" s="5">
        <f t="shared" si="1"/>
        <v>2892</v>
      </c>
      <c r="J53" s="8"/>
      <c r="K53" s="8"/>
      <c r="L53" s="8"/>
    </row>
    <row r="54" spans="2:12">
      <c r="B54" s="5">
        <f t="shared" si="0"/>
        <v>51</v>
      </c>
      <c r="C54" s="5" t="s">
        <v>215</v>
      </c>
      <c r="D54" s="5" t="s">
        <v>1481</v>
      </c>
      <c r="E54" s="5"/>
      <c r="F54" s="5"/>
      <c r="G54" s="5">
        <v>63</v>
      </c>
      <c r="H54" s="5">
        <v>220</v>
      </c>
      <c r="I54" s="5">
        <f t="shared" si="1"/>
        <v>3112</v>
      </c>
      <c r="J54" s="8"/>
      <c r="K54" s="8"/>
      <c r="L54" s="8"/>
    </row>
    <row r="55" spans="2:12">
      <c r="B55" s="5">
        <f t="shared" si="0"/>
        <v>52</v>
      </c>
      <c r="C55" s="5" t="s">
        <v>1481</v>
      </c>
      <c r="D55" s="5" t="s">
        <v>1482</v>
      </c>
      <c r="E55" s="5"/>
      <c r="F55" s="5"/>
      <c r="G55" s="5">
        <v>63</v>
      </c>
      <c r="H55" s="5">
        <v>40</v>
      </c>
      <c r="I55" s="5">
        <f t="shared" si="1"/>
        <v>3152</v>
      </c>
      <c r="J55" s="8"/>
      <c r="K55" s="8"/>
      <c r="L55" s="8"/>
    </row>
    <row r="56" spans="2:12">
      <c r="B56" s="5">
        <f t="shared" si="0"/>
        <v>53</v>
      </c>
      <c r="C56" s="5" t="s">
        <v>1481</v>
      </c>
      <c r="D56" s="5" t="s">
        <v>1483</v>
      </c>
      <c r="E56" s="5"/>
      <c r="F56" s="5"/>
      <c r="G56" s="5">
        <v>63</v>
      </c>
      <c r="H56" s="5">
        <v>56</v>
      </c>
      <c r="I56" s="5">
        <f t="shared" si="1"/>
        <v>3208</v>
      </c>
      <c r="J56" s="8"/>
      <c r="K56" s="8"/>
      <c r="L56" s="8"/>
    </row>
    <row r="57" spans="2:12">
      <c r="B57" s="5">
        <f t="shared" si="0"/>
        <v>54</v>
      </c>
      <c r="C57" s="5" t="s">
        <v>1481</v>
      </c>
      <c r="D57" s="5" t="s">
        <v>1484</v>
      </c>
      <c r="E57" s="5"/>
      <c r="F57" s="5"/>
      <c r="G57" s="5">
        <v>63</v>
      </c>
      <c r="H57" s="5">
        <v>42</v>
      </c>
      <c r="I57" s="5">
        <f t="shared" si="1"/>
        <v>3250</v>
      </c>
      <c r="J57" s="8"/>
      <c r="K57" s="8"/>
      <c r="L57" s="8"/>
    </row>
    <row r="58" spans="2:12">
      <c r="B58" s="5">
        <f t="shared" si="0"/>
        <v>55</v>
      </c>
      <c r="C58" s="5" t="s">
        <v>575</v>
      </c>
      <c r="D58" s="5" t="s">
        <v>1485</v>
      </c>
      <c r="E58" s="5"/>
      <c r="F58" s="5"/>
      <c r="G58" s="5">
        <v>63</v>
      </c>
      <c r="H58" s="5">
        <v>100</v>
      </c>
      <c r="I58" s="5">
        <f t="shared" si="1"/>
        <v>3350</v>
      </c>
      <c r="J58" s="8"/>
      <c r="K58" s="8"/>
      <c r="L58" s="8"/>
    </row>
    <row r="59" spans="2:12">
      <c r="B59" s="5">
        <f t="shared" si="0"/>
        <v>56</v>
      </c>
      <c r="C59" s="5" t="s">
        <v>694</v>
      </c>
      <c r="D59" s="5" t="s">
        <v>1286</v>
      </c>
      <c r="E59" s="5"/>
      <c r="F59" s="5"/>
      <c r="G59" s="5">
        <v>63</v>
      </c>
      <c r="H59" s="5">
        <v>47</v>
      </c>
      <c r="I59" s="5">
        <f t="shared" si="1"/>
        <v>3397</v>
      </c>
      <c r="J59" s="8"/>
      <c r="K59" s="8"/>
      <c r="L59" s="8"/>
    </row>
    <row r="60" spans="2:12">
      <c r="B60" s="5">
        <f t="shared" si="0"/>
        <v>57</v>
      </c>
      <c r="C60" s="5" t="s">
        <v>694</v>
      </c>
      <c r="D60" s="5" t="s">
        <v>1286</v>
      </c>
      <c r="E60" s="5"/>
      <c r="F60" s="5"/>
      <c r="G60" s="5">
        <v>63</v>
      </c>
      <c r="H60" s="5">
        <v>14</v>
      </c>
      <c r="I60" s="5">
        <f t="shared" si="1"/>
        <v>3411</v>
      </c>
      <c r="J60" s="8"/>
      <c r="K60" s="8"/>
      <c r="L60" s="8"/>
    </row>
    <row r="61" spans="2:12">
      <c r="B61" s="5">
        <f t="shared" si="0"/>
        <v>58</v>
      </c>
      <c r="C61" s="5" t="s">
        <v>694</v>
      </c>
      <c r="D61" s="5" t="s">
        <v>1286</v>
      </c>
      <c r="E61" s="5" t="s">
        <v>301</v>
      </c>
      <c r="F61" s="5">
        <v>0.36</v>
      </c>
      <c r="G61" s="5">
        <v>63</v>
      </c>
      <c r="H61" s="5">
        <v>3.8</v>
      </c>
      <c r="I61" s="5">
        <f t="shared" si="1"/>
        <v>3414.8</v>
      </c>
      <c r="J61" s="8"/>
      <c r="K61" s="8"/>
      <c r="L61" s="8"/>
    </row>
    <row r="62" spans="2:12">
      <c r="B62" s="5">
        <f t="shared" si="0"/>
        <v>59</v>
      </c>
      <c r="C62" s="5" t="s">
        <v>694</v>
      </c>
      <c r="D62" s="5" t="s">
        <v>1486</v>
      </c>
      <c r="E62" s="5"/>
      <c r="F62" s="5"/>
      <c r="G62" s="5">
        <v>63</v>
      </c>
      <c r="H62" s="5">
        <v>25.5</v>
      </c>
      <c r="I62" s="5">
        <f t="shared" si="1"/>
        <v>3440.3</v>
      </c>
      <c r="J62" s="8"/>
      <c r="K62" s="8"/>
      <c r="L62" s="8"/>
    </row>
    <row r="63" spans="2:12">
      <c r="B63" s="5">
        <f t="shared" si="0"/>
        <v>60</v>
      </c>
      <c r="C63" s="5" t="s">
        <v>1486</v>
      </c>
      <c r="D63" s="5" t="s">
        <v>1261</v>
      </c>
      <c r="E63" s="5" t="s">
        <v>199</v>
      </c>
      <c r="F63" s="5">
        <v>0.36</v>
      </c>
      <c r="G63" s="5">
        <v>63</v>
      </c>
      <c r="H63" s="5">
        <v>35</v>
      </c>
      <c r="I63" s="5">
        <f t="shared" si="1"/>
        <v>3475.3</v>
      </c>
      <c r="J63" s="8"/>
      <c r="K63" s="8"/>
      <c r="L63" s="8"/>
    </row>
    <row r="64" spans="2:12">
      <c r="B64" s="5">
        <f t="shared" si="0"/>
        <v>61</v>
      </c>
      <c r="C64" s="5" t="s">
        <v>1487</v>
      </c>
      <c r="D64" s="5" t="s">
        <v>1486</v>
      </c>
      <c r="E64" s="5"/>
      <c r="F64" s="5"/>
      <c r="G64" s="5">
        <v>63</v>
      </c>
      <c r="H64" s="5">
        <v>202</v>
      </c>
      <c r="I64" s="5">
        <f t="shared" si="1"/>
        <v>3677.3</v>
      </c>
      <c r="J64" s="8"/>
      <c r="K64" s="8"/>
      <c r="L64" s="8"/>
    </row>
    <row r="65" spans="2:12">
      <c r="B65" s="5">
        <f t="shared" si="0"/>
        <v>62</v>
      </c>
      <c r="C65" s="5" t="s">
        <v>1268</v>
      </c>
      <c r="D65" s="5" t="s">
        <v>435</v>
      </c>
      <c r="E65" s="5"/>
      <c r="F65" s="5"/>
      <c r="G65" s="5">
        <v>63</v>
      </c>
      <c r="H65" s="5">
        <v>48</v>
      </c>
      <c r="I65" s="5">
        <f t="shared" si="1"/>
        <v>3725.3</v>
      </c>
      <c r="J65" s="8"/>
      <c r="K65" s="8"/>
      <c r="L65" s="8"/>
    </row>
    <row r="66" spans="2:12">
      <c r="B66" s="5">
        <f t="shared" si="0"/>
        <v>63</v>
      </c>
      <c r="C66" s="5" t="s">
        <v>435</v>
      </c>
      <c r="D66" s="5" t="s">
        <v>1245</v>
      </c>
      <c r="E66" s="5" t="s">
        <v>199</v>
      </c>
      <c r="F66" s="5">
        <v>0.36</v>
      </c>
      <c r="G66" s="5">
        <v>63</v>
      </c>
      <c r="H66" s="5">
        <v>228.9</v>
      </c>
      <c r="I66" s="5">
        <f t="shared" si="1"/>
        <v>3954.2000000000003</v>
      </c>
      <c r="J66" s="8"/>
      <c r="K66" s="8"/>
      <c r="L66" s="8"/>
    </row>
    <row r="67" spans="2:12">
      <c r="B67" s="5">
        <f t="shared" si="0"/>
        <v>64</v>
      </c>
      <c r="C67" s="5" t="s">
        <v>1245</v>
      </c>
      <c r="D67" s="5" t="s">
        <v>1325</v>
      </c>
      <c r="E67" s="5"/>
      <c r="F67" s="5"/>
      <c r="G67" s="5">
        <v>63</v>
      </c>
      <c r="H67" s="5">
        <v>43</v>
      </c>
      <c r="I67" s="5">
        <f t="shared" si="1"/>
        <v>3997.2000000000003</v>
      </c>
      <c r="J67" s="8"/>
      <c r="K67" s="8"/>
      <c r="L67" s="8"/>
    </row>
    <row r="68" spans="2:12">
      <c r="B68" s="5">
        <f t="shared" si="0"/>
        <v>65</v>
      </c>
      <c r="C68" s="5" t="s">
        <v>1245</v>
      </c>
      <c r="D68" s="5" t="s">
        <v>1488</v>
      </c>
      <c r="E68" s="5" t="s">
        <v>199</v>
      </c>
      <c r="F68" s="5">
        <v>0.36</v>
      </c>
      <c r="G68" s="5">
        <v>63</v>
      </c>
      <c r="H68" s="5">
        <v>163</v>
      </c>
      <c r="I68" s="5">
        <f t="shared" si="1"/>
        <v>4160.2000000000007</v>
      </c>
      <c r="J68" s="8"/>
      <c r="K68" s="8"/>
      <c r="L68" s="8"/>
    </row>
    <row r="69" spans="2:12">
      <c r="B69" s="5">
        <f t="shared" si="0"/>
        <v>66</v>
      </c>
      <c r="C69" s="5" t="s">
        <v>1245</v>
      </c>
      <c r="D69" s="5" t="s">
        <v>1488</v>
      </c>
      <c r="E69" s="5"/>
      <c r="F69" s="5"/>
      <c r="G69" s="5">
        <v>63</v>
      </c>
      <c r="H69" s="5">
        <v>56</v>
      </c>
      <c r="I69" s="5">
        <f t="shared" si="1"/>
        <v>4216.2000000000007</v>
      </c>
      <c r="J69" s="8"/>
      <c r="K69" s="8"/>
      <c r="L69" s="8"/>
    </row>
    <row r="70" spans="2:12">
      <c r="B70" s="5">
        <f t="shared" si="0"/>
        <v>67</v>
      </c>
      <c r="C70" s="5" t="s">
        <v>618</v>
      </c>
      <c r="D70" s="5" t="s">
        <v>464</v>
      </c>
      <c r="E70" s="5"/>
      <c r="F70" s="5"/>
      <c r="G70" s="5">
        <v>63</v>
      </c>
      <c r="H70" s="5">
        <v>94</v>
      </c>
      <c r="I70" s="5">
        <f t="shared" si="1"/>
        <v>4310.2000000000007</v>
      </c>
      <c r="J70" s="8"/>
      <c r="K70" s="8"/>
      <c r="L70" s="8"/>
    </row>
    <row r="71" spans="2:12">
      <c r="B71" s="5">
        <f t="shared" ref="B71:B134" si="2">1+B70</f>
        <v>68</v>
      </c>
      <c r="C71" s="5" t="s">
        <v>239</v>
      </c>
      <c r="D71" s="5" t="s">
        <v>238</v>
      </c>
      <c r="E71" s="5"/>
      <c r="F71" s="5"/>
      <c r="G71" s="5">
        <v>63</v>
      </c>
      <c r="H71" s="5">
        <v>382</v>
      </c>
      <c r="I71" s="5">
        <f t="shared" ref="I71:I134" si="3">+I70+H71</f>
        <v>4692.2000000000007</v>
      </c>
      <c r="J71" s="8"/>
      <c r="K71" s="8"/>
      <c r="L71" s="8"/>
    </row>
    <row r="72" spans="2:12">
      <c r="B72" s="5">
        <f t="shared" si="2"/>
        <v>69</v>
      </c>
      <c r="C72" s="5" t="s">
        <v>1487</v>
      </c>
      <c r="D72" s="5" t="s">
        <v>1489</v>
      </c>
      <c r="E72" s="5"/>
      <c r="F72" s="5"/>
      <c r="G72" s="5">
        <v>63</v>
      </c>
      <c r="H72" s="5">
        <v>235</v>
      </c>
      <c r="I72" s="5">
        <f t="shared" si="3"/>
        <v>4927.2000000000007</v>
      </c>
      <c r="J72" s="8"/>
      <c r="K72" s="8"/>
      <c r="L72" s="8"/>
    </row>
    <row r="73" spans="2:12">
      <c r="B73" s="5">
        <f t="shared" si="2"/>
        <v>70</v>
      </c>
      <c r="C73" s="5" t="s">
        <v>1489</v>
      </c>
      <c r="D73" s="5" t="s">
        <v>1490</v>
      </c>
      <c r="E73" s="5"/>
      <c r="F73" s="5"/>
      <c r="G73" s="5">
        <v>63</v>
      </c>
      <c r="H73" s="5">
        <v>113</v>
      </c>
      <c r="I73" s="5">
        <f t="shared" si="3"/>
        <v>5040.2000000000007</v>
      </c>
      <c r="J73" s="8"/>
      <c r="K73" s="8"/>
      <c r="L73" s="8"/>
    </row>
    <row r="74" spans="2:12">
      <c r="B74" s="5">
        <f t="shared" si="2"/>
        <v>71</v>
      </c>
      <c r="C74" s="5" t="s">
        <v>1490</v>
      </c>
      <c r="D74" s="5" t="s">
        <v>1491</v>
      </c>
      <c r="E74" s="5"/>
      <c r="F74" s="5"/>
      <c r="G74" s="5">
        <v>63</v>
      </c>
      <c r="H74" s="5">
        <v>53</v>
      </c>
      <c r="I74" s="5">
        <f t="shared" si="3"/>
        <v>5093.2000000000007</v>
      </c>
      <c r="J74" s="8"/>
      <c r="K74" s="8"/>
      <c r="L74" s="8"/>
    </row>
    <row r="75" spans="2:12">
      <c r="B75" s="5">
        <f t="shared" si="2"/>
        <v>72</v>
      </c>
      <c r="C75" s="5" t="s">
        <v>1491</v>
      </c>
      <c r="D75" s="5" t="s">
        <v>1492</v>
      </c>
      <c r="E75" s="5"/>
      <c r="F75" s="5"/>
      <c r="G75" s="5">
        <v>63</v>
      </c>
      <c r="H75" s="5">
        <v>42</v>
      </c>
      <c r="I75" s="5">
        <f t="shared" si="3"/>
        <v>5135.2000000000007</v>
      </c>
      <c r="J75" s="8"/>
      <c r="K75" s="8"/>
      <c r="L75" s="8"/>
    </row>
    <row r="76" spans="2:12">
      <c r="B76" s="5">
        <f t="shared" si="2"/>
        <v>73</v>
      </c>
      <c r="C76" s="5" t="s">
        <v>1492</v>
      </c>
      <c r="D76" s="5" t="s">
        <v>1092</v>
      </c>
      <c r="E76" s="5"/>
      <c r="F76" s="5"/>
      <c r="G76" s="5">
        <v>63</v>
      </c>
      <c r="H76" s="5">
        <v>26</v>
      </c>
      <c r="I76" s="5">
        <f t="shared" si="3"/>
        <v>5161.2000000000007</v>
      </c>
      <c r="J76" s="8"/>
      <c r="K76" s="8"/>
      <c r="L76" s="8"/>
    </row>
    <row r="77" spans="2:12">
      <c r="B77" s="5">
        <f t="shared" si="2"/>
        <v>74</v>
      </c>
      <c r="C77" s="5" t="s">
        <v>1492</v>
      </c>
      <c r="D77" s="5" t="s">
        <v>1259</v>
      </c>
      <c r="E77" s="5"/>
      <c r="F77" s="5"/>
      <c r="G77" s="5">
        <v>63</v>
      </c>
      <c r="H77" s="5">
        <v>28</v>
      </c>
      <c r="I77" s="5">
        <f t="shared" si="3"/>
        <v>5189.2000000000007</v>
      </c>
      <c r="J77" s="8"/>
      <c r="K77" s="8"/>
      <c r="L77" s="8"/>
    </row>
    <row r="78" spans="2:12">
      <c r="B78" s="5">
        <f t="shared" si="2"/>
        <v>75</v>
      </c>
      <c r="C78" s="5" t="s">
        <v>1491</v>
      </c>
      <c r="D78" s="5" t="s">
        <v>1493</v>
      </c>
      <c r="E78" s="5"/>
      <c r="F78" s="5"/>
      <c r="G78" s="5">
        <v>63</v>
      </c>
      <c r="H78" s="5">
        <v>22</v>
      </c>
      <c r="I78" s="5">
        <f t="shared" si="3"/>
        <v>5211.2000000000007</v>
      </c>
      <c r="J78" s="8"/>
      <c r="K78" s="8"/>
      <c r="L78" s="8"/>
    </row>
    <row r="79" spans="2:12">
      <c r="B79" s="5">
        <f t="shared" si="2"/>
        <v>76</v>
      </c>
      <c r="C79" s="5" t="s">
        <v>1490</v>
      </c>
      <c r="D79" s="5" t="s">
        <v>1494</v>
      </c>
      <c r="E79" s="5"/>
      <c r="F79" s="5"/>
      <c r="G79" s="5">
        <v>63</v>
      </c>
      <c r="H79" s="5">
        <v>73</v>
      </c>
      <c r="I79" s="5">
        <f t="shared" si="3"/>
        <v>5284.2000000000007</v>
      </c>
      <c r="J79" s="8"/>
      <c r="K79" s="8"/>
      <c r="L79" s="8"/>
    </row>
    <row r="80" spans="2:12">
      <c r="B80" s="5">
        <f t="shared" si="2"/>
        <v>77</v>
      </c>
      <c r="C80" s="5" t="s">
        <v>1494</v>
      </c>
      <c r="D80" s="5" t="s">
        <v>1495</v>
      </c>
      <c r="E80" s="5"/>
      <c r="F80" s="5"/>
      <c r="G80" s="5">
        <v>63</v>
      </c>
      <c r="H80" s="5">
        <v>44.2</v>
      </c>
      <c r="I80" s="5">
        <f t="shared" si="3"/>
        <v>5328.4000000000005</v>
      </c>
      <c r="J80" s="8"/>
      <c r="K80" s="8"/>
      <c r="L80" s="8"/>
    </row>
    <row r="81" spans="2:12">
      <c r="B81" s="5">
        <f t="shared" si="2"/>
        <v>78</v>
      </c>
      <c r="C81" s="5" t="s">
        <v>1494</v>
      </c>
      <c r="D81" s="5" t="s">
        <v>1152</v>
      </c>
      <c r="E81" s="5"/>
      <c r="F81" s="5"/>
      <c r="G81" s="5">
        <v>63</v>
      </c>
      <c r="H81" s="5">
        <v>45</v>
      </c>
      <c r="I81" s="5">
        <f t="shared" si="3"/>
        <v>5373.4000000000005</v>
      </c>
      <c r="J81" s="8"/>
      <c r="K81" s="8"/>
      <c r="L81" s="8"/>
    </row>
    <row r="82" spans="2:12">
      <c r="B82" s="5">
        <f t="shared" si="2"/>
        <v>79</v>
      </c>
      <c r="C82" s="5" t="s">
        <v>1261</v>
      </c>
      <c r="D82" s="5" t="s">
        <v>1496</v>
      </c>
      <c r="E82" s="5"/>
      <c r="F82" s="5"/>
      <c r="G82" s="5">
        <v>75</v>
      </c>
      <c r="H82" s="5">
        <v>146</v>
      </c>
      <c r="I82" s="5">
        <f t="shared" si="3"/>
        <v>5519.4000000000005</v>
      </c>
      <c r="J82" s="8"/>
      <c r="K82" s="8"/>
      <c r="L82" s="8"/>
    </row>
    <row r="83" spans="2:12">
      <c r="B83" s="5">
        <f t="shared" si="2"/>
        <v>80</v>
      </c>
      <c r="C83" s="5" t="s">
        <v>1497</v>
      </c>
      <c r="D83" s="5" t="s">
        <v>1498</v>
      </c>
      <c r="E83" s="5"/>
      <c r="F83" s="5"/>
      <c r="G83" s="5">
        <v>75</v>
      </c>
      <c r="H83" s="5">
        <v>156</v>
      </c>
      <c r="I83" s="5">
        <f t="shared" si="3"/>
        <v>5675.4000000000005</v>
      </c>
      <c r="J83" s="8"/>
      <c r="K83" s="8"/>
      <c r="L83" s="8"/>
    </row>
    <row r="84" spans="2:12">
      <c r="B84" s="5">
        <f t="shared" si="2"/>
        <v>81</v>
      </c>
      <c r="C84" s="5" t="s">
        <v>1498</v>
      </c>
      <c r="D84" s="5" t="s">
        <v>1487</v>
      </c>
      <c r="E84" s="5"/>
      <c r="F84" s="5"/>
      <c r="G84" s="5">
        <v>75</v>
      </c>
      <c r="H84" s="5">
        <v>259</v>
      </c>
      <c r="I84" s="5">
        <f t="shared" si="3"/>
        <v>5934.4000000000005</v>
      </c>
      <c r="J84" s="8"/>
      <c r="K84" s="8"/>
      <c r="L84" s="8"/>
    </row>
    <row r="85" spans="2:12">
      <c r="B85" s="5">
        <f t="shared" si="2"/>
        <v>82</v>
      </c>
      <c r="C85" s="5" t="s">
        <v>531</v>
      </c>
      <c r="D85" s="5" t="s">
        <v>1268</v>
      </c>
      <c r="E85" s="5"/>
      <c r="F85" s="5"/>
      <c r="G85" s="5">
        <v>75</v>
      </c>
      <c r="H85" s="5">
        <v>81</v>
      </c>
      <c r="I85" s="5">
        <f t="shared" si="3"/>
        <v>6015.4000000000005</v>
      </c>
      <c r="J85" s="8"/>
      <c r="K85" s="8"/>
      <c r="L85" s="8"/>
    </row>
    <row r="86" spans="2:12">
      <c r="B86" s="5">
        <f t="shared" si="2"/>
        <v>83</v>
      </c>
      <c r="C86" s="5" t="s">
        <v>1499</v>
      </c>
      <c r="D86" s="5" t="s">
        <v>1459</v>
      </c>
      <c r="E86" s="5"/>
      <c r="F86" s="5"/>
      <c r="G86" s="5">
        <v>90</v>
      </c>
      <c r="H86" s="5">
        <v>84</v>
      </c>
      <c r="I86" s="5">
        <f t="shared" si="3"/>
        <v>6099.4000000000005</v>
      </c>
      <c r="J86" s="8"/>
      <c r="K86" s="8"/>
      <c r="L86" s="8"/>
    </row>
    <row r="87" spans="2:12">
      <c r="B87" s="5">
        <f t="shared" si="2"/>
        <v>84</v>
      </c>
      <c r="C87" s="5" t="s">
        <v>1459</v>
      </c>
      <c r="D87" s="5" t="s">
        <v>1292</v>
      </c>
      <c r="E87" s="5"/>
      <c r="F87" s="5"/>
      <c r="G87" s="5">
        <v>90</v>
      </c>
      <c r="H87" s="5">
        <v>169.7</v>
      </c>
      <c r="I87" s="5">
        <f t="shared" si="3"/>
        <v>6269.1</v>
      </c>
      <c r="J87" s="8"/>
      <c r="K87" s="8"/>
      <c r="L87" s="8"/>
    </row>
    <row r="88" spans="2:12">
      <c r="B88" s="5">
        <f t="shared" si="2"/>
        <v>85</v>
      </c>
      <c r="C88" s="5" t="s">
        <v>1292</v>
      </c>
      <c r="D88" s="5" t="s">
        <v>1500</v>
      </c>
      <c r="E88" s="5" t="s">
        <v>199</v>
      </c>
      <c r="F88" s="5">
        <v>0.39</v>
      </c>
      <c r="G88" s="5">
        <v>90</v>
      </c>
      <c r="H88" s="5">
        <v>2.7</v>
      </c>
      <c r="I88" s="5">
        <f t="shared" si="3"/>
        <v>6271.8</v>
      </c>
      <c r="J88" s="8"/>
      <c r="K88" s="8"/>
      <c r="L88" s="8"/>
    </row>
    <row r="89" spans="2:12">
      <c r="B89" s="5">
        <f t="shared" si="2"/>
        <v>86</v>
      </c>
      <c r="C89" s="5" t="s">
        <v>1292</v>
      </c>
      <c r="D89" s="5" t="s">
        <v>1500</v>
      </c>
      <c r="E89" s="5"/>
      <c r="F89" s="5"/>
      <c r="G89" s="5">
        <v>90</v>
      </c>
      <c r="H89" s="5">
        <v>103</v>
      </c>
      <c r="I89" s="5">
        <f t="shared" si="3"/>
        <v>6374.8</v>
      </c>
      <c r="J89" s="8"/>
      <c r="K89" s="8"/>
      <c r="L89" s="8"/>
    </row>
    <row r="90" spans="2:12">
      <c r="B90" s="5">
        <f t="shared" si="2"/>
        <v>87</v>
      </c>
      <c r="C90" s="5" t="s">
        <v>1500</v>
      </c>
      <c r="D90" s="5" t="s">
        <v>1462</v>
      </c>
      <c r="E90" s="5"/>
      <c r="F90" s="5"/>
      <c r="G90" s="5">
        <v>90</v>
      </c>
      <c r="H90" s="5">
        <v>25.6</v>
      </c>
      <c r="I90" s="5">
        <f t="shared" si="3"/>
        <v>6400.4000000000005</v>
      </c>
      <c r="J90" s="8"/>
      <c r="K90" s="8"/>
      <c r="L90" s="8"/>
    </row>
    <row r="91" spans="2:12">
      <c r="B91" s="5">
        <f t="shared" si="2"/>
        <v>88</v>
      </c>
      <c r="C91" s="5" t="s">
        <v>1462</v>
      </c>
      <c r="D91" s="5" t="s">
        <v>1501</v>
      </c>
      <c r="E91" s="5" t="s">
        <v>199</v>
      </c>
      <c r="F91" s="5">
        <v>0.39</v>
      </c>
      <c r="G91" s="5">
        <v>90</v>
      </c>
      <c r="H91" s="5">
        <v>30.1</v>
      </c>
      <c r="I91" s="5">
        <f t="shared" si="3"/>
        <v>6430.5000000000009</v>
      </c>
      <c r="J91" s="8"/>
      <c r="K91" s="8"/>
      <c r="L91" s="8"/>
    </row>
    <row r="92" spans="2:12">
      <c r="B92" s="5">
        <f t="shared" si="2"/>
        <v>89</v>
      </c>
      <c r="C92" s="5" t="s">
        <v>1501</v>
      </c>
      <c r="D92" s="5" t="s">
        <v>1464</v>
      </c>
      <c r="E92" s="5"/>
      <c r="F92" s="5"/>
      <c r="G92" s="5">
        <v>90</v>
      </c>
      <c r="H92" s="5">
        <v>81.099999999999994</v>
      </c>
      <c r="I92" s="5">
        <f t="shared" si="3"/>
        <v>6511.6000000000013</v>
      </c>
      <c r="J92" s="8"/>
      <c r="K92" s="8"/>
      <c r="L92" s="8"/>
    </row>
    <row r="93" spans="2:12">
      <c r="B93" s="5">
        <f t="shared" si="2"/>
        <v>90</v>
      </c>
      <c r="C93" s="5" t="s">
        <v>1464</v>
      </c>
      <c r="D93" s="5" t="s">
        <v>1502</v>
      </c>
      <c r="E93" s="5"/>
      <c r="F93" s="5"/>
      <c r="G93" s="5">
        <v>90</v>
      </c>
      <c r="H93" s="5">
        <v>2.2999999999999998</v>
      </c>
      <c r="I93" s="5">
        <f t="shared" si="3"/>
        <v>6513.9000000000015</v>
      </c>
      <c r="J93" s="8"/>
      <c r="K93" s="8"/>
      <c r="L93" s="8"/>
    </row>
    <row r="94" spans="2:12">
      <c r="B94" s="5">
        <f t="shared" si="2"/>
        <v>91</v>
      </c>
      <c r="C94" s="5" t="s">
        <v>1500</v>
      </c>
      <c r="D94" s="5" t="s">
        <v>1466</v>
      </c>
      <c r="E94" s="5"/>
      <c r="F94" s="5"/>
      <c r="G94" s="5">
        <v>90</v>
      </c>
      <c r="H94" s="5">
        <v>70</v>
      </c>
      <c r="I94" s="5">
        <f t="shared" si="3"/>
        <v>6583.9000000000015</v>
      </c>
      <c r="J94" s="8"/>
      <c r="K94" s="8"/>
      <c r="L94" s="8"/>
    </row>
    <row r="95" spans="2:12">
      <c r="B95" s="5">
        <f t="shared" si="2"/>
        <v>92</v>
      </c>
      <c r="C95" s="5" t="s">
        <v>1466</v>
      </c>
      <c r="D95" s="5" t="s">
        <v>287</v>
      </c>
      <c r="E95" s="5"/>
      <c r="F95" s="5"/>
      <c r="G95" s="5">
        <v>90</v>
      </c>
      <c r="H95" s="5">
        <v>171.6</v>
      </c>
      <c r="I95" s="5">
        <f t="shared" si="3"/>
        <v>6755.5000000000018</v>
      </c>
      <c r="J95" s="8"/>
      <c r="K95" s="8"/>
      <c r="L95" s="8"/>
    </row>
    <row r="96" spans="2:12">
      <c r="B96" s="5">
        <f t="shared" si="2"/>
        <v>93</v>
      </c>
      <c r="C96" s="5" t="s">
        <v>287</v>
      </c>
      <c r="D96" s="5" t="s">
        <v>1469</v>
      </c>
      <c r="E96" s="5"/>
      <c r="F96" s="5"/>
      <c r="G96" s="5">
        <v>90</v>
      </c>
      <c r="H96" s="5">
        <v>35.799999999999997</v>
      </c>
      <c r="I96" s="5">
        <f t="shared" si="3"/>
        <v>6791.300000000002</v>
      </c>
      <c r="J96" s="8"/>
      <c r="K96" s="8"/>
      <c r="L96" s="8"/>
    </row>
    <row r="97" spans="2:12">
      <c r="B97" s="5">
        <f t="shared" si="2"/>
        <v>94</v>
      </c>
      <c r="C97" s="5" t="s">
        <v>1469</v>
      </c>
      <c r="D97" s="5" t="s">
        <v>1503</v>
      </c>
      <c r="E97" s="5"/>
      <c r="F97" s="5"/>
      <c r="G97" s="5">
        <v>90</v>
      </c>
      <c r="H97" s="5">
        <v>106</v>
      </c>
      <c r="I97" s="5">
        <f t="shared" si="3"/>
        <v>6897.300000000002</v>
      </c>
      <c r="J97" s="8"/>
      <c r="K97" s="8"/>
      <c r="L97" s="8"/>
    </row>
    <row r="98" spans="2:12">
      <c r="B98" s="5">
        <f t="shared" si="2"/>
        <v>95</v>
      </c>
      <c r="C98" s="5" t="s">
        <v>560</v>
      </c>
      <c r="D98" s="5" t="s">
        <v>1501</v>
      </c>
      <c r="E98" s="5"/>
      <c r="F98" s="5"/>
      <c r="G98" s="5">
        <v>90</v>
      </c>
      <c r="H98" s="5">
        <v>122</v>
      </c>
      <c r="I98" s="5">
        <f t="shared" si="3"/>
        <v>7019.300000000002</v>
      </c>
      <c r="J98" s="8"/>
      <c r="K98" s="8"/>
      <c r="L98" s="8"/>
    </row>
    <row r="99" spans="2:12">
      <c r="B99" s="5">
        <f t="shared" si="2"/>
        <v>96</v>
      </c>
      <c r="C99" s="5" t="s">
        <v>560</v>
      </c>
      <c r="D99" s="5" t="s">
        <v>662</v>
      </c>
      <c r="E99" s="5"/>
      <c r="F99" s="5"/>
      <c r="G99" s="5">
        <v>90</v>
      </c>
      <c r="H99" s="5">
        <v>92.7</v>
      </c>
      <c r="I99" s="5">
        <f t="shared" si="3"/>
        <v>7112.0000000000018</v>
      </c>
      <c r="J99" s="8"/>
      <c r="K99" s="8"/>
      <c r="L99" s="8"/>
    </row>
    <row r="100" spans="2:12">
      <c r="B100" s="5">
        <f t="shared" si="2"/>
        <v>97</v>
      </c>
      <c r="C100" s="5" t="s">
        <v>662</v>
      </c>
      <c r="D100" s="5" t="s">
        <v>311</v>
      </c>
      <c r="E100" s="5"/>
      <c r="F100" s="5"/>
      <c r="G100" s="5">
        <v>90</v>
      </c>
      <c r="H100" s="5">
        <v>30.6</v>
      </c>
      <c r="I100" s="5">
        <f t="shared" si="3"/>
        <v>7142.6000000000022</v>
      </c>
      <c r="J100" s="8"/>
      <c r="K100" s="8"/>
      <c r="L100" s="8"/>
    </row>
    <row r="101" spans="2:12">
      <c r="B101" s="5">
        <f t="shared" si="2"/>
        <v>98</v>
      </c>
      <c r="C101" s="5" t="s">
        <v>311</v>
      </c>
      <c r="D101" s="5" t="s">
        <v>225</v>
      </c>
      <c r="E101" s="5"/>
      <c r="F101" s="5"/>
      <c r="G101" s="5">
        <v>90</v>
      </c>
      <c r="H101" s="5">
        <v>48.3</v>
      </c>
      <c r="I101" s="5">
        <f t="shared" si="3"/>
        <v>7190.9000000000024</v>
      </c>
      <c r="J101" s="8"/>
      <c r="K101" s="8"/>
      <c r="L101" s="8"/>
    </row>
    <row r="102" spans="2:12">
      <c r="B102" s="5">
        <f t="shared" si="2"/>
        <v>99</v>
      </c>
      <c r="C102" s="5" t="s">
        <v>311</v>
      </c>
      <c r="D102" s="5" t="s">
        <v>548</v>
      </c>
      <c r="E102" s="5"/>
      <c r="F102" s="5"/>
      <c r="G102" s="5">
        <v>90</v>
      </c>
      <c r="H102" s="5">
        <v>70</v>
      </c>
      <c r="I102" s="5">
        <f t="shared" si="3"/>
        <v>7260.9000000000024</v>
      </c>
      <c r="J102" s="8"/>
      <c r="K102" s="8"/>
      <c r="L102" s="8"/>
    </row>
    <row r="103" spans="2:12">
      <c r="B103" s="5">
        <f t="shared" si="2"/>
        <v>100</v>
      </c>
      <c r="C103" s="5" t="s">
        <v>225</v>
      </c>
      <c r="D103" s="5" t="s">
        <v>188</v>
      </c>
      <c r="E103" s="5"/>
      <c r="F103" s="5"/>
      <c r="G103" s="5">
        <v>90</v>
      </c>
      <c r="H103" s="5">
        <v>42.7</v>
      </c>
      <c r="I103" s="5">
        <f t="shared" si="3"/>
        <v>7303.6000000000022</v>
      </c>
      <c r="J103" s="8"/>
      <c r="K103" s="8"/>
      <c r="L103" s="8"/>
    </row>
    <row r="104" spans="2:12">
      <c r="B104" s="5">
        <f t="shared" si="2"/>
        <v>101</v>
      </c>
      <c r="C104" s="5" t="s">
        <v>188</v>
      </c>
      <c r="D104" s="5" t="s">
        <v>1291</v>
      </c>
      <c r="E104" s="5"/>
      <c r="F104" s="5"/>
      <c r="G104" s="5">
        <v>90</v>
      </c>
      <c r="H104" s="5">
        <v>110.7</v>
      </c>
      <c r="I104" s="5">
        <f t="shared" si="3"/>
        <v>7414.300000000002</v>
      </c>
      <c r="J104" s="8"/>
      <c r="K104" s="8"/>
      <c r="L104" s="8"/>
    </row>
    <row r="105" spans="2:12">
      <c r="B105" s="5">
        <f t="shared" si="2"/>
        <v>102</v>
      </c>
      <c r="C105" s="5" t="s">
        <v>1322</v>
      </c>
      <c r="D105" s="5" t="s">
        <v>1499</v>
      </c>
      <c r="E105" s="5"/>
      <c r="F105" s="5"/>
      <c r="G105" s="5">
        <v>90</v>
      </c>
      <c r="H105" s="5">
        <v>54</v>
      </c>
      <c r="I105" s="5">
        <f t="shared" si="3"/>
        <v>7468.300000000002</v>
      </c>
      <c r="J105" s="8"/>
      <c r="K105" s="8"/>
      <c r="L105" s="8"/>
    </row>
    <row r="106" spans="2:12">
      <c r="B106" s="5">
        <f t="shared" si="2"/>
        <v>103</v>
      </c>
      <c r="C106" s="5" t="s">
        <v>1474</v>
      </c>
      <c r="D106" s="5" t="s">
        <v>1504</v>
      </c>
      <c r="E106" s="5"/>
      <c r="F106" s="5"/>
      <c r="G106" s="5">
        <v>90</v>
      </c>
      <c r="H106" s="5">
        <v>243</v>
      </c>
      <c r="I106" s="5">
        <f t="shared" si="3"/>
        <v>7711.300000000002</v>
      </c>
      <c r="J106" s="8"/>
      <c r="K106" s="8"/>
      <c r="L106" s="8"/>
    </row>
    <row r="107" spans="2:12">
      <c r="B107" s="5">
        <f t="shared" si="2"/>
        <v>104</v>
      </c>
      <c r="C107" s="5" t="s">
        <v>1499</v>
      </c>
      <c r="D107" s="5" t="s">
        <v>1505</v>
      </c>
      <c r="E107" s="5"/>
      <c r="F107" s="5"/>
      <c r="G107" s="5">
        <v>90</v>
      </c>
      <c r="H107" s="5">
        <v>46</v>
      </c>
      <c r="I107" s="5">
        <f t="shared" si="3"/>
        <v>7757.300000000002</v>
      </c>
      <c r="J107" s="8"/>
      <c r="K107" s="8"/>
      <c r="L107" s="8"/>
    </row>
    <row r="108" spans="2:12">
      <c r="B108" s="5">
        <f t="shared" si="2"/>
        <v>105</v>
      </c>
      <c r="C108" s="5" t="s">
        <v>1506</v>
      </c>
      <c r="D108" s="5" t="s">
        <v>1507</v>
      </c>
      <c r="E108" s="5"/>
      <c r="F108" s="5"/>
      <c r="G108" s="5">
        <v>90</v>
      </c>
      <c r="H108" s="5">
        <v>487</v>
      </c>
      <c r="I108" s="5">
        <f t="shared" si="3"/>
        <v>8244.3000000000029</v>
      </c>
      <c r="J108" s="8"/>
      <c r="K108" s="8"/>
      <c r="L108" s="8"/>
    </row>
    <row r="109" spans="2:12">
      <c r="B109" s="5">
        <f t="shared" si="2"/>
        <v>106</v>
      </c>
      <c r="C109" s="5" t="s">
        <v>1505</v>
      </c>
      <c r="D109" s="5" t="s">
        <v>1056</v>
      </c>
      <c r="E109" s="5"/>
      <c r="F109" s="5"/>
      <c r="G109" s="5">
        <v>90</v>
      </c>
      <c r="H109" s="5">
        <v>480</v>
      </c>
      <c r="I109" s="5">
        <f t="shared" si="3"/>
        <v>8724.3000000000029</v>
      </c>
      <c r="J109" s="8"/>
      <c r="K109" s="8"/>
      <c r="L109" s="8"/>
    </row>
    <row r="110" spans="2:12">
      <c r="B110" s="5">
        <f t="shared" si="2"/>
        <v>107</v>
      </c>
      <c r="C110" s="5" t="s">
        <v>1055</v>
      </c>
      <c r="D110" s="5" t="s">
        <v>1508</v>
      </c>
      <c r="E110" s="5"/>
      <c r="F110" s="5"/>
      <c r="G110" s="5">
        <v>90</v>
      </c>
      <c r="H110" s="5">
        <v>570</v>
      </c>
      <c r="I110" s="5">
        <f t="shared" si="3"/>
        <v>9294.3000000000029</v>
      </c>
      <c r="J110" s="8"/>
      <c r="K110" s="8"/>
      <c r="L110" s="8"/>
    </row>
    <row r="111" spans="2:12">
      <c r="B111" s="5">
        <f t="shared" si="2"/>
        <v>108</v>
      </c>
      <c r="C111" s="5" t="s">
        <v>1323</v>
      </c>
      <c r="D111" s="5" t="s">
        <v>295</v>
      </c>
      <c r="E111" s="5"/>
      <c r="F111" s="5"/>
      <c r="G111" s="5">
        <v>90</v>
      </c>
      <c r="H111" s="5">
        <v>75.599999999999994</v>
      </c>
      <c r="I111" s="5">
        <f t="shared" si="3"/>
        <v>9369.9000000000033</v>
      </c>
      <c r="J111" s="8"/>
      <c r="K111" s="8"/>
      <c r="L111" s="8"/>
    </row>
    <row r="112" spans="2:12">
      <c r="B112" s="5">
        <f t="shared" si="2"/>
        <v>109</v>
      </c>
      <c r="C112" s="5" t="s">
        <v>295</v>
      </c>
      <c r="D112" s="5" t="s">
        <v>302</v>
      </c>
      <c r="E112" s="5"/>
      <c r="F112" s="5"/>
      <c r="G112" s="5">
        <v>90</v>
      </c>
      <c r="H112" s="5">
        <v>76</v>
      </c>
      <c r="I112" s="5">
        <f t="shared" si="3"/>
        <v>9445.9000000000033</v>
      </c>
      <c r="J112" s="8"/>
      <c r="K112" s="8"/>
      <c r="L112" s="8"/>
    </row>
    <row r="113" spans="2:12">
      <c r="B113" s="5">
        <f t="shared" si="2"/>
        <v>110</v>
      </c>
      <c r="C113" s="5" t="s">
        <v>295</v>
      </c>
      <c r="D113" s="5" t="s">
        <v>302</v>
      </c>
      <c r="E113" s="5" t="s">
        <v>199</v>
      </c>
      <c r="F113" s="5">
        <v>0.39</v>
      </c>
      <c r="G113" s="5">
        <v>90</v>
      </c>
      <c r="H113" s="5">
        <v>50</v>
      </c>
      <c r="I113" s="5">
        <f t="shared" si="3"/>
        <v>9495.9000000000033</v>
      </c>
      <c r="J113" s="8"/>
      <c r="K113" s="8"/>
      <c r="L113" s="8"/>
    </row>
    <row r="114" spans="2:12">
      <c r="B114" s="5">
        <f t="shared" si="2"/>
        <v>111</v>
      </c>
      <c r="C114" s="5" t="s">
        <v>291</v>
      </c>
      <c r="D114" s="5" t="s">
        <v>352</v>
      </c>
      <c r="E114" s="5"/>
      <c r="F114" s="5"/>
      <c r="G114" s="5">
        <v>90</v>
      </c>
      <c r="H114" s="5">
        <v>108</v>
      </c>
      <c r="I114" s="5">
        <f t="shared" si="3"/>
        <v>9603.9000000000033</v>
      </c>
      <c r="J114" s="8"/>
      <c r="K114" s="8"/>
      <c r="L114" s="8"/>
    </row>
    <row r="115" spans="2:12">
      <c r="B115" s="5">
        <f t="shared" si="2"/>
        <v>112</v>
      </c>
      <c r="C115" s="5" t="s">
        <v>352</v>
      </c>
      <c r="D115" s="5" t="s">
        <v>1267</v>
      </c>
      <c r="E115" s="5"/>
      <c r="F115" s="5"/>
      <c r="G115" s="5">
        <v>90</v>
      </c>
      <c r="H115" s="5">
        <v>77</v>
      </c>
      <c r="I115" s="5">
        <f t="shared" si="3"/>
        <v>9680.9000000000033</v>
      </c>
      <c r="J115" s="8"/>
      <c r="K115" s="8"/>
      <c r="L115" s="8"/>
    </row>
    <row r="116" spans="2:12">
      <c r="B116" s="5">
        <f t="shared" si="2"/>
        <v>113</v>
      </c>
      <c r="C116" s="5" t="s">
        <v>1267</v>
      </c>
      <c r="D116" s="5" t="s">
        <v>698</v>
      </c>
      <c r="E116" s="5"/>
      <c r="F116" s="5"/>
      <c r="G116" s="5">
        <v>90</v>
      </c>
      <c r="H116" s="5">
        <v>40</v>
      </c>
      <c r="I116" s="5">
        <f t="shared" si="3"/>
        <v>9720.9000000000033</v>
      </c>
      <c r="J116" s="8"/>
      <c r="K116" s="8"/>
      <c r="L116" s="8"/>
    </row>
    <row r="117" spans="2:12">
      <c r="B117" s="5">
        <f t="shared" si="2"/>
        <v>114</v>
      </c>
      <c r="C117" s="5" t="s">
        <v>698</v>
      </c>
      <c r="D117" s="5" t="s">
        <v>1266</v>
      </c>
      <c r="E117" s="5"/>
      <c r="F117" s="5"/>
      <c r="G117" s="5">
        <v>90</v>
      </c>
      <c r="H117" s="5">
        <v>86</v>
      </c>
      <c r="I117" s="5">
        <f t="shared" si="3"/>
        <v>9806.9000000000033</v>
      </c>
      <c r="J117" s="8"/>
      <c r="K117" s="8"/>
      <c r="L117" s="8"/>
    </row>
    <row r="118" spans="2:12">
      <c r="B118" s="5">
        <f t="shared" si="2"/>
        <v>115</v>
      </c>
      <c r="C118" s="5" t="s">
        <v>1266</v>
      </c>
      <c r="D118" s="5" t="s">
        <v>215</v>
      </c>
      <c r="E118" s="5"/>
      <c r="F118" s="5"/>
      <c r="G118" s="5">
        <v>90</v>
      </c>
      <c r="H118" s="5">
        <v>100</v>
      </c>
      <c r="I118" s="5">
        <f t="shared" si="3"/>
        <v>9906.9000000000033</v>
      </c>
      <c r="J118" s="8"/>
      <c r="K118" s="8"/>
      <c r="L118" s="8"/>
    </row>
    <row r="119" spans="2:12">
      <c r="B119" s="5">
        <f t="shared" si="2"/>
        <v>116</v>
      </c>
      <c r="C119" s="5" t="s">
        <v>575</v>
      </c>
      <c r="D119" s="5" t="s">
        <v>694</v>
      </c>
      <c r="E119" s="5"/>
      <c r="F119" s="5"/>
      <c r="G119" s="5">
        <v>90</v>
      </c>
      <c r="H119" s="5">
        <v>60</v>
      </c>
      <c r="I119" s="5">
        <f t="shared" si="3"/>
        <v>9966.9000000000033</v>
      </c>
      <c r="J119" s="8"/>
      <c r="K119" s="8"/>
      <c r="L119" s="8"/>
    </row>
    <row r="120" spans="2:12">
      <c r="B120" s="5">
        <f t="shared" si="2"/>
        <v>117</v>
      </c>
      <c r="C120" s="5" t="s">
        <v>1261</v>
      </c>
      <c r="D120" s="5" t="s">
        <v>531</v>
      </c>
      <c r="E120" s="5" t="s">
        <v>199</v>
      </c>
      <c r="F120" s="5">
        <v>0.39</v>
      </c>
      <c r="G120" s="5">
        <v>90</v>
      </c>
      <c r="H120" s="5">
        <v>58</v>
      </c>
      <c r="I120" s="5">
        <f t="shared" si="3"/>
        <v>10024.900000000003</v>
      </c>
      <c r="J120" s="8"/>
      <c r="K120" s="8"/>
      <c r="L120" s="8"/>
    </row>
    <row r="121" spans="2:12">
      <c r="B121" s="5">
        <f t="shared" si="2"/>
        <v>118</v>
      </c>
      <c r="C121" s="5" t="s">
        <v>531</v>
      </c>
      <c r="D121" s="5" t="s">
        <v>618</v>
      </c>
      <c r="E121" s="5"/>
      <c r="F121" s="5"/>
      <c r="G121" s="5">
        <v>90</v>
      </c>
      <c r="H121" s="5">
        <v>57</v>
      </c>
      <c r="I121" s="5">
        <f t="shared" si="3"/>
        <v>10081.900000000003</v>
      </c>
      <c r="J121" s="8"/>
      <c r="K121" s="8"/>
      <c r="L121" s="8"/>
    </row>
    <row r="122" spans="2:12">
      <c r="B122" s="5">
        <f t="shared" si="2"/>
        <v>119</v>
      </c>
      <c r="C122" s="5" t="s">
        <v>618</v>
      </c>
      <c r="D122" s="5" t="s">
        <v>239</v>
      </c>
      <c r="E122" s="5"/>
      <c r="F122" s="5"/>
      <c r="G122" s="5">
        <v>90</v>
      </c>
      <c r="H122" s="5">
        <v>14</v>
      </c>
      <c r="I122" s="5">
        <f t="shared" si="3"/>
        <v>10095.900000000003</v>
      </c>
      <c r="J122" s="8"/>
      <c r="K122" s="8"/>
      <c r="L122" s="8"/>
    </row>
    <row r="123" spans="2:12">
      <c r="B123" s="5">
        <f t="shared" si="2"/>
        <v>120</v>
      </c>
      <c r="C123" s="5" t="s">
        <v>239</v>
      </c>
      <c r="D123" s="5" t="s">
        <v>1243</v>
      </c>
      <c r="E123" s="5"/>
      <c r="F123" s="5"/>
      <c r="G123" s="5">
        <v>90</v>
      </c>
      <c r="H123" s="5">
        <v>132</v>
      </c>
      <c r="I123" s="5">
        <f t="shared" si="3"/>
        <v>10227.900000000003</v>
      </c>
      <c r="J123" s="8"/>
      <c r="K123" s="8"/>
      <c r="L123" s="8"/>
    </row>
    <row r="124" spans="2:12">
      <c r="B124" s="5">
        <f t="shared" si="2"/>
        <v>121</v>
      </c>
      <c r="C124" s="5" t="s">
        <v>1243</v>
      </c>
      <c r="D124" s="5" t="s">
        <v>302</v>
      </c>
      <c r="E124" s="5"/>
      <c r="F124" s="5"/>
      <c r="G124" s="5">
        <v>90</v>
      </c>
      <c r="H124" s="5">
        <v>95</v>
      </c>
      <c r="I124" s="5">
        <f t="shared" si="3"/>
        <v>10322.900000000003</v>
      </c>
      <c r="J124" s="8"/>
      <c r="K124" s="8"/>
      <c r="L124" s="8"/>
    </row>
    <row r="125" spans="2:12">
      <c r="B125" s="5">
        <f t="shared" si="2"/>
        <v>122</v>
      </c>
      <c r="C125" s="5" t="s">
        <v>1495</v>
      </c>
      <c r="D125" s="5" t="s">
        <v>1152</v>
      </c>
      <c r="E125" s="5"/>
      <c r="F125" s="5"/>
      <c r="G125" s="5">
        <v>90</v>
      </c>
      <c r="H125" s="5">
        <v>35</v>
      </c>
      <c r="I125" s="5">
        <f t="shared" si="3"/>
        <v>10357.900000000003</v>
      </c>
      <c r="J125" s="8"/>
      <c r="K125" s="8"/>
      <c r="L125" s="8"/>
    </row>
    <row r="126" spans="2:12">
      <c r="B126" s="5">
        <f t="shared" si="2"/>
        <v>123</v>
      </c>
      <c r="C126" s="5" t="s">
        <v>1152</v>
      </c>
      <c r="D126" s="5" t="s">
        <v>1509</v>
      </c>
      <c r="E126" s="5"/>
      <c r="F126" s="5"/>
      <c r="G126" s="5">
        <v>90</v>
      </c>
      <c r="H126" s="5">
        <v>35</v>
      </c>
      <c r="I126" s="5">
        <f t="shared" si="3"/>
        <v>10392.900000000003</v>
      </c>
      <c r="J126" s="8"/>
      <c r="K126" s="8"/>
      <c r="L126" s="8"/>
    </row>
    <row r="127" spans="2:12">
      <c r="B127" s="5">
        <f t="shared" si="2"/>
        <v>124</v>
      </c>
      <c r="C127" s="5" t="s">
        <v>1509</v>
      </c>
      <c r="D127" s="5" t="s">
        <v>1510</v>
      </c>
      <c r="E127" s="5"/>
      <c r="F127" s="5"/>
      <c r="G127" s="5">
        <v>90</v>
      </c>
      <c r="H127" s="5">
        <v>105</v>
      </c>
      <c r="I127" s="5">
        <f t="shared" si="3"/>
        <v>10497.900000000003</v>
      </c>
      <c r="J127" s="8"/>
      <c r="K127" s="8"/>
      <c r="L127" s="8"/>
    </row>
    <row r="128" spans="2:12">
      <c r="B128" s="5">
        <f t="shared" si="2"/>
        <v>125</v>
      </c>
      <c r="C128" s="5" t="s">
        <v>1495</v>
      </c>
      <c r="D128" s="5" t="s">
        <v>1484</v>
      </c>
      <c r="E128" s="5"/>
      <c r="F128" s="5"/>
      <c r="G128" s="5">
        <v>90</v>
      </c>
      <c r="H128" s="5">
        <v>155</v>
      </c>
      <c r="I128" s="5">
        <f t="shared" si="3"/>
        <v>10652.900000000003</v>
      </c>
      <c r="J128" s="8"/>
      <c r="K128" s="8"/>
      <c r="L128" s="8"/>
    </row>
    <row r="129" spans="2:12">
      <c r="B129" s="5">
        <f t="shared" si="2"/>
        <v>126</v>
      </c>
      <c r="C129" s="5" t="s">
        <v>1499</v>
      </c>
      <c r="D129" s="5" t="s">
        <v>1505</v>
      </c>
      <c r="E129" s="5"/>
      <c r="F129" s="5"/>
      <c r="G129" s="5">
        <v>110</v>
      </c>
      <c r="H129" s="5">
        <v>269</v>
      </c>
      <c r="I129" s="5">
        <f t="shared" si="3"/>
        <v>10921.900000000003</v>
      </c>
      <c r="J129" s="8"/>
      <c r="K129" s="8"/>
      <c r="L129" s="8"/>
    </row>
    <row r="130" spans="2:12">
      <c r="B130" s="5">
        <f t="shared" si="2"/>
        <v>127</v>
      </c>
      <c r="C130" s="5" t="s">
        <v>1499</v>
      </c>
      <c r="D130" s="5" t="s">
        <v>1505</v>
      </c>
      <c r="E130" s="5"/>
      <c r="F130" s="5"/>
      <c r="G130" s="5">
        <v>110</v>
      </c>
      <c r="H130" s="5">
        <v>6</v>
      </c>
      <c r="I130" s="5">
        <f t="shared" si="3"/>
        <v>10927.900000000003</v>
      </c>
      <c r="J130" s="8"/>
      <c r="K130" s="8"/>
      <c r="L130" s="8"/>
    </row>
    <row r="131" spans="2:12">
      <c r="B131" s="5">
        <f t="shared" si="2"/>
        <v>128</v>
      </c>
      <c r="C131" s="5" t="s">
        <v>1505</v>
      </c>
      <c r="D131" s="5" t="s">
        <v>1506</v>
      </c>
      <c r="E131" s="5"/>
      <c r="F131" s="5"/>
      <c r="G131" s="5">
        <v>160</v>
      </c>
      <c r="H131" s="5">
        <v>114</v>
      </c>
      <c r="I131" s="5">
        <f t="shared" si="3"/>
        <v>11041.900000000003</v>
      </c>
      <c r="J131" s="8"/>
      <c r="K131" s="8"/>
      <c r="L131" s="8"/>
    </row>
    <row r="132" spans="2:12">
      <c r="B132" s="5">
        <f t="shared" si="2"/>
        <v>129</v>
      </c>
      <c r="C132" s="5" t="s">
        <v>1505</v>
      </c>
      <c r="D132" s="5" t="s">
        <v>1506</v>
      </c>
      <c r="E132" s="5" t="s">
        <v>193</v>
      </c>
      <c r="F132" s="5">
        <v>0.46</v>
      </c>
      <c r="G132" s="5">
        <v>160</v>
      </c>
      <c r="H132" s="5">
        <v>7</v>
      </c>
      <c r="I132" s="5">
        <f t="shared" si="3"/>
        <v>11048.900000000003</v>
      </c>
      <c r="J132" s="8"/>
      <c r="K132" s="8"/>
      <c r="L132" s="8"/>
    </row>
    <row r="133" spans="2:12">
      <c r="B133" s="5">
        <f t="shared" si="2"/>
        <v>130</v>
      </c>
      <c r="C133" s="5" t="s">
        <v>1506</v>
      </c>
      <c r="D133" s="5" t="s">
        <v>1504</v>
      </c>
      <c r="E133" s="5"/>
      <c r="F133" s="5"/>
      <c r="G133" s="5">
        <v>160</v>
      </c>
      <c r="H133" s="5">
        <v>20</v>
      </c>
      <c r="I133" s="5">
        <f t="shared" si="3"/>
        <v>11068.900000000003</v>
      </c>
      <c r="J133" s="8"/>
      <c r="K133" s="8"/>
      <c r="L133" s="8"/>
    </row>
    <row r="134" spans="2:12">
      <c r="B134" s="5">
        <f t="shared" si="2"/>
        <v>131</v>
      </c>
      <c r="C134" s="5" t="s">
        <v>1056</v>
      </c>
      <c r="D134" s="5">
        <v>659</v>
      </c>
      <c r="E134" s="5"/>
      <c r="F134" s="5"/>
      <c r="G134" s="5">
        <v>160</v>
      </c>
      <c r="H134" s="5">
        <v>350</v>
      </c>
      <c r="I134" s="5">
        <f t="shared" si="3"/>
        <v>11418.900000000003</v>
      </c>
      <c r="J134" s="8"/>
      <c r="K134" s="8"/>
      <c r="L134" s="8"/>
    </row>
    <row r="135" spans="2:12">
      <c r="B135" s="5">
        <f t="shared" ref="B135:B141" si="4">1+B134</f>
        <v>132</v>
      </c>
      <c r="C135" s="5" t="s">
        <v>1056</v>
      </c>
      <c r="D135" s="5" t="s">
        <v>1055</v>
      </c>
      <c r="E135" s="5"/>
      <c r="F135" s="5"/>
      <c r="G135" s="5">
        <v>160</v>
      </c>
      <c r="H135" s="5">
        <v>7.3</v>
      </c>
      <c r="I135" s="5">
        <f t="shared" ref="I135:I141" si="5">+I134+H135</f>
        <v>11426.200000000003</v>
      </c>
      <c r="J135" s="8"/>
      <c r="K135" s="8"/>
      <c r="L135" s="8"/>
    </row>
    <row r="136" spans="2:12">
      <c r="B136" s="5">
        <f t="shared" si="4"/>
        <v>133</v>
      </c>
      <c r="C136" s="5" t="s">
        <v>1056</v>
      </c>
      <c r="D136" s="5" t="s">
        <v>1055</v>
      </c>
      <c r="E136" s="5"/>
      <c r="F136" s="5"/>
      <c r="G136" s="5">
        <v>160</v>
      </c>
      <c r="H136" s="5">
        <v>3.3</v>
      </c>
      <c r="I136" s="5">
        <f t="shared" si="5"/>
        <v>11429.500000000002</v>
      </c>
      <c r="J136" s="8"/>
      <c r="K136" s="8"/>
      <c r="L136" s="8"/>
    </row>
    <row r="137" spans="2:12">
      <c r="B137" s="5">
        <f t="shared" si="4"/>
        <v>134</v>
      </c>
      <c r="C137" s="5" t="s">
        <v>1056</v>
      </c>
      <c r="D137" s="5" t="s">
        <v>1055</v>
      </c>
      <c r="E137" s="5" t="s">
        <v>193</v>
      </c>
      <c r="F137" s="5">
        <v>0.46</v>
      </c>
      <c r="G137" s="5">
        <v>160</v>
      </c>
      <c r="H137" s="5">
        <v>3.2</v>
      </c>
      <c r="I137" s="5">
        <f t="shared" si="5"/>
        <v>11432.700000000003</v>
      </c>
      <c r="J137" s="8"/>
      <c r="K137" s="8"/>
      <c r="L137" s="8"/>
    </row>
    <row r="138" spans="2:12">
      <c r="B138" s="5">
        <f t="shared" si="4"/>
        <v>135</v>
      </c>
      <c r="C138" s="5" t="s">
        <v>1103</v>
      </c>
      <c r="D138" s="5" t="s">
        <v>1475</v>
      </c>
      <c r="E138" s="5"/>
      <c r="F138" s="5"/>
      <c r="G138" s="5">
        <v>160</v>
      </c>
      <c r="H138" s="5">
        <v>263.2</v>
      </c>
      <c r="I138" s="5">
        <f t="shared" si="5"/>
        <v>11695.900000000003</v>
      </c>
      <c r="J138" s="8"/>
      <c r="K138" s="8"/>
      <c r="L138" s="8"/>
    </row>
    <row r="139" spans="2:12">
      <c r="B139" s="5">
        <f t="shared" si="4"/>
        <v>136</v>
      </c>
      <c r="C139" s="5" t="s">
        <v>1475</v>
      </c>
      <c r="D139" s="5" t="s">
        <v>1511</v>
      </c>
      <c r="E139" s="5"/>
      <c r="F139" s="5"/>
      <c r="G139" s="5">
        <v>160</v>
      </c>
      <c r="H139" s="5">
        <v>640</v>
      </c>
      <c r="I139" s="5">
        <f t="shared" si="5"/>
        <v>12335.900000000003</v>
      </c>
      <c r="J139" s="8"/>
      <c r="K139" s="8"/>
      <c r="L139" s="8"/>
    </row>
    <row r="140" spans="2:12">
      <c r="B140" s="5">
        <f t="shared" si="4"/>
        <v>137</v>
      </c>
      <c r="C140" s="5" t="s">
        <v>1476</v>
      </c>
      <c r="D140" s="5" t="s">
        <v>1323</v>
      </c>
      <c r="E140" s="5"/>
      <c r="F140" s="5"/>
      <c r="G140" s="5">
        <v>160</v>
      </c>
      <c r="H140" s="5">
        <v>83.9</v>
      </c>
      <c r="I140" s="5">
        <f t="shared" si="5"/>
        <v>12419.800000000003</v>
      </c>
      <c r="J140" s="8"/>
      <c r="K140" s="8"/>
      <c r="L140" s="8"/>
    </row>
    <row r="141" spans="2:12">
      <c r="B141" s="5">
        <f t="shared" si="4"/>
        <v>138</v>
      </c>
      <c r="C141" s="5" t="s">
        <v>1055</v>
      </c>
      <c r="D141" s="5" t="s">
        <v>1054</v>
      </c>
      <c r="E141" s="5"/>
      <c r="F141" s="5"/>
      <c r="G141" s="5">
        <v>160</v>
      </c>
      <c r="H141" s="5">
        <v>670</v>
      </c>
      <c r="I141" s="5">
        <f t="shared" si="5"/>
        <v>13089.800000000003</v>
      </c>
      <c r="J141" s="8"/>
      <c r="K141" s="8"/>
      <c r="L141" s="8"/>
    </row>
    <row r="142" spans="2:12">
      <c r="B142" s="8"/>
      <c r="C142" s="8"/>
      <c r="D142" s="8"/>
      <c r="E142" s="8"/>
      <c r="F142" s="8"/>
      <c r="G142" s="8"/>
      <c r="H142" s="8"/>
      <c r="I142" s="8"/>
      <c r="J142" s="8"/>
      <c r="K142" s="8"/>
      <c r="L142" s="8"/>
    </row>
    <row r="143" spans="2:12">
      <c r="B143" s="8"/>
      <c r="C143" s="8"/>
      <c r="D143" s="5">
        <v>63</v>
      </c>
      <c r="E143" s="5">
        <v>75</v>
      </c>
      <c r="F143" s="5">
        <v>90</v>
      </c>
      <c r="G143" s="5">
        <v>110</v>
      </c>
      <c r="H143" s="5">
        <v>160</v>
      </c>
      <c r="I143" s="5"/>
      <c r="J143" s="8"/>
      <c r="K143" s="8"/>
      <c r="L143" s="8"/>
    </row>
    <row r="144" spans="2:12">
      <c r="B144" s="8"/>
      <c r="C144" s="8"/>
      <c r="D144" s="5">
        <f>+SUMIF($G$4:$G$141,D143,$H$4:$H$141)</f>
        <v>5373.4000000000005</v>
      </c>
      <c r="E144" s="5">
        <f t="shared" ref="E144:H144" si="6">+SUMIF($G$4:$G$141,E143,$H$4:$H$141)</f>
        <v>642</v>
      </c>
      <c r="F144" s="5">
        <f t="shared" si="6"/>
        <v>4637.5</v>
      </c>
      <c r="G144" s="5">
        <f t="shared" si="6"/>
        <v>275</v>
      </c>
      <c r="H144" s="5">
        <f t="shared" si="6"/>
        <v>2161.9</v>
      </c>
      <c r="I144" s="5">
        <f>+SUM(D144:H144)</f>
        <v>13089.800000000001</v>
      </c>
      <c r="J144" s="8"/>
      <c r="K144" s="8"/>
      <c r="L144" s="8"/>
    </row>
    <row r="145" spans="2:12">
      <c r="B145" s="8"/>
      <c r="C145" s="8"/>
      <c r="D145" s="8"/>
      <c r="E145" s="8"/>
      <c r="F145" s="8"/>
      <c r="G145" s="8"/>
      <c r="H145" s="8"/>
      <c r="I145" s="8"/>
      <c r="J145" s="8"/>
      <c r="K145" s="8"/>
      <c r="L145" s="8"/>
    </row>
  </sheetData>
  <autoFilter ref="B3:L141"/>
  <mergeCells count="1">
    <mergeCell ref="B2:L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P147"/>
  <sheetViews>
    <sheetView workbookViewId="0">
      <pane ySplit="5" topLeftCell="A132" activePane="bottomLeft" state="frozen"/>
      <selection pane="bottomLeft" activeCell="H44" sqref="H44:H130"/>
    </sheetView>
  </sheetViews>
  <sheetFormatPr defaultColWidth="9" defaultRowHeight="15"/>
  <cols>
    <col min="2" max="2" width="15" customWidth="1"/>
    <col min="3" max="3" width="13.85546875" customWidth="1"/>
    <col min="4" max="4" width="15.5703125" customWidth="1"/>
    <col min="5" max="5" width="14.85546875" style="96" customWidth="1"/>
    <col min="6" max="6" width="15.140625" customWidth="1"/>
    <col min="7" max="7" width="13.5703125" customWidth="1"/>
    <col min="8" max="8" width="19.5703125" customWidth="1"/>
    <col min="9" max="9" width="9.140625" customWidth="1"/>
    <col min="10" max="10" width="12.140625" customWidth="1"/>
    <col min="11" max="11" width="12" customWidth="1"/>
    <col min="12" max="12" width="9.140625" customWidth="1"/>
    <col min="13" max="13" width="11" customWidth="1"/>
    <col min="14" max="14" width="13" customWidth="1"/>
    <col min="15" max="15" width="15" hidden="1" customWidth="1"/>
  </cols>
  <sheetData>
    <row r="3" spans="2:15" ht="18.75">
      <c r="B3" s="637" t="s">
        <v>879</v>
      </c>
      <c r="C3" s="638"/>
      <c r="D3" s="638"/>
      <c r="E3" s="638"/>
      <c r="F3" s="638"/>
      <c r="G3" s="638"/>
      <c r="H3" s="638"/>
      <c r="I3" s="638"/>
      <c r="J3" s="638"/>
      <c r="K3" s="638"/>
      <c r="L3" s="638"/>
      <c r="M3" s="638"/>
      <c r="N3" s="638"/>
      <c r="O3" s="149"/>
    </row>
    <row r="4" spans="2:15" ht="37.5">
      <c r="B4" s="25" t="s">
        <v>448</v>
      </c>
      <c r="C4" s="25" t="s">
        <v>180</v>
      </c>
      <c r="D4" s="25" t="s">
        <v>13</v>
      </c>
      <c r="E4" s="25" t="s">
        <v>181</v>
      </c>
      <c r="F4" s="27" t="s">
        <v>449</v>
      </c>
      <c r="G4" s="25" t="s">
        <v>719</v>
      </c>
      <c r="H4" s="640" t="s">
        <v>184</v>
      </c>
      <c r="I4" s="641"/>
      <c r="J4" s="641"/>
      <c r="K4" s="641"/>
      <c r="L4" s="641"/>
      <c r="M4" s="642"/>
      <c r="N4" s="26" t="s">
        <v>185</v>
      </c>
      <c r="O4" s="150" t="s">
        <v>750</v>
      </c>
    </row>
    <row r="5" spans="2:15" ht="18.75">
      <c r="B5" s="148"/>
      <c r="C5" s="148"/>
      <c r="D5" s="148"/>
      <c r="E5" s="25"/>
      <c r="F5" s="148"/>
      <c r="H5" s="25"/>
      <c r="I5" s="24" t="s">
        <v>751</v>
      </c>
      <c r="J5" s="24" t="s">
        <v>752</v>
      </c>
      <c r="K5" s="24" t="s">
        <v>753</v>
      </c>
      <c r="L5" s="24" t="s">
        <v>756</v>
      </c>
      <c r="M5" s="24" t="s">
        <v>880</v>
      </c>
      <c r="N5" s="148"/>
      <c r="O5" s="151"/>
    </row>
    <row r="6" spans="2:15">
      <c r="B6" s="5">
        <f t="shared" ref="B6:B37" si="0">1+B5</f>
        <v>1</v>
      </c>
      <c r="C6" s="5" t="s">
        <v>228</v>
      </c>
      <c r="D6" s="5" t="s">
        <v>305</v>
      </c>
      <c r="E6" s="5" t="s">
        <v>881</v>
      </c>
      <c r="F6" s="5"/>
      <c r="G6" s="5">
        <v>63</v>
      </c>
      <c r="H6" s="5">
        <v>84.9</v>
      </c>
      <c r="I6" s="5"/>
      <c r="J6" s="5"/>
      <c r="K6" s="5"/>
      <c r="L6" s="5"/>
      <c r="M6" s="5"/>
      <c r="N6" s="5">
        <f>+N5+H6+I6+J6+K6+L6</f>
        <v>84.9</v>
      </c>
      <c r="O6" s="5"/>
    </row>
    <row r="7" spans="2:15">
      <c r="B7" s="5">
        <f t="shared" si="0"/>
        <v>2</v>
      </c>
      <c r="C7" s="5" t="s">
        <v>391</v>
      </c>
      <c r="D7" s="5" t="s">
        <v>402</v>
      </c>
      <c r="E7" s="5" t="s">
        <v>881</v>
      </c>
      <c r="F7" s="5"/>
      <c r="G7" s="5">
        <v>63</v>
      </c>
      <c r="H7" s="5">
        <v>209</v>
      </c>
      <c r="I7" s="5"/>
      <c r="J7" s="5"/>
      <c r="K7" s="5"/>
      <c r="L7" s="5"/>
      <c r="M7" s="5"/>
      <c r="N7" s="5">
        <f>N6+H7</f>
        <v>293.89999999999998</v>
      </c>
      <c r="O7" s="5"/>
    </row>
    <row r="8" spans="2:15">
      <c r="B8" s="5">
        <f t="shared" si="0"/>
        <v>3</v>
      </c>
      <c r="C8" s="5" t="s">
        <v>402</v>
      </c>
      <c r="D8" s="5" t="s">
        <v>540</v>
      </c>
      <c r="E8" s="5" t="s">
        <v>881</v>
      </c>
      <c r="F8" s="5"/>
      <c r="G8" s="5">
        <v>63</v>
      </c>
      <c r="H8" s="5">
        <v>57.6</v>
      </c>
      <c r="I8" s="5"/>
      <c r="J8" s="5"/>
      <c r="K8" s="5"/>
      <c r="L8" s="5"/>
      <c r="M8" s="5"/>
      <c r="N8" s="5">
        <f t="shared" ref="N8:N71" si="1">N7+H8</f>
        <v>351.5</v>
      </c>
      <c r="O8" s="5"/>
    </row>
    <row r="9" spans="2:15">
      <c r="B9" s="5">
        <f t="shared" si="0"/>
        <v>4</v>
      </c>
      <c r="C9" s="5" t="s">
        <v>418</v>
      </c>
      <c r="D9" s="5" t="s">
        <v>414</v>
      </c>
      <c r="E9" s="5" t="s">
        <v>881</v>
      </c>
      <c r="F9" s="5"/>
      <c r="G9" s="5">
        <v>63</v>
      </c>
      <c r="H9" s="5">
        <v>108</v>
      </c>
      <c r="I9" s="5"/>
      <c r="J9" s="5"/>
      <c r="K9" s="5"/>
      <c r="L9" s="5"/>
      <c r="M9" s="5"/>
      <c r="N9" s="5">
        <f t="shared" si="1"/>
        <v>459.5</v>
      </c>
      <c r="O9" s="5"/>
    </row>
    <row r="10" spans="2:15">
      <c r="B10" s="5">
        <f t="shared" si="0"/>
        <v>5</v>
      </c>
      <c r="C10" s="5" t="s">
        <v>523</v>
      </c>
      <c r="D10" s="5" t="s">
        <v>259</v>
      </c>
      <c r="E10" s="5" t="s">
        <v>881</v>
      </c>
      <c r="F10" s="5"/>
      <c r="G10" s="5">
        <v>63</v>
      </c>
      <c r="H10" s="5">
        <v>19</v>
      </c>
      <c r="I10" s="5"/>
      <c r="J10" s="5"/>
      <c r="K10" s="5"/>
      <c r="L10" s="5"/>
      <c r="M10" s="5"/>
      <c r="N10" s="5">
        <f t="shared" si="1"/>
        <v>478.5</v>
      </c>
      <c r="O10" s="5"/>
    </row>
    <row r="11" spans="2:15">
      <c r="B11" s="5">
        <f t="shared" si="0"/>
        <v>6</v>
      </c>
      <c r="C11" s="5" t="s">
        <v>238</v>
      </c>
      <c r="D11" s="5" t="s">
        <v>261</v>
      </c>
      <c r="E11" s="5" t="s">
        <v>881</v>
      </c>
      <c r="F11" s="5"/>
      <c r="G11" s="5">
        <v>63</v>
      </c>
      <c r="H11" s="5">
        <v>107</v>
      </c>
      <c r="I11" s="5"/>
      <c r="J11" s="5"/>
      <c r="K11" s="5"/>
      <c r="L11" s="5"/>
      <c r="M11" s="5"/>
      <c r="N11" s="5">
        <f t="shared" si="1"/>
        <v>585.5</v>
      </c>
      <c r="O11" s="5"/>
    </row>
    <row r="12" spans="2:15">
      <c r="B12" s="5">
        <f t="shared" si="0"/>
        <v>7</v>
      </c>
      <c r="C12" s="5" t="s">
        <v>356</v>
      </c>
      <c r="D12" s="5" t="s">
        <v>400</v>
      </c>
      <c r="E12" s="5" t="s">
        <v>881</v>
      </c>
      <c r="F12" s="5"/>
      <c r="G12" s="5">
        <v>63</v>
      </c>
      <c r="H12" s="5">
        <v>35</v>
      </c>
      <c r="I12" s="5"/>
      <c r="J12" s="5"/>
      <c r="K12" s="5"/>
      <c r="L12" s="5"/>
      <c r="M12" s="5"/>
      <c r="N12" s="5">
        <f t="shared" si="1"/>
        <v>620.5</v>
      </c>
      <c r="O12" s="5"/>
    </row>
    <row r="13" spans="2:15">
      <c r="B13" s="5">
        <f t="shared" si="0"/>
        <v>8</v>
      </c>
      <c r="C13" s="5" t="s">
        <v>281</v>
      </c>
      <c r="D13" s="5" t="s">
        <v>319</v>
      </c>
      <c r="E13" s="5" t="s">
        <v>881</v>
      </c>
      <c r="F13" s="5"/>
      <c r="G13" s="5">
        <v>63</v>
      </c>
      <c r="H13" s="5">
        <v>18</v>
      </c>
      <c r="I13" s="5"/>
      <c r="J13" s="5"/>
      <c r="K13" s="5"/>
      <c r="L13" s="5"/>
      <c r="M13" s="5"/>
      <c r="N13" s="5">
        <f t="shared" si="1"/>
        <v>638.5</v>
      </c>
      <c r="O13" s="5"/>
    </row>
    <row r="14" spans="2:15">
      <c r="B14" s="5">
        <f t="shared" si="0"/>
        <v>9</v>
      </c>
      <c r="C14" s="5" t="s">
        <v>281</v>
      </c>
      <c r="D14" s="5" t="s">
        <v>406</v>
      </c>
      <c r="E14" s="5" t="s">
        <v>881</v>
      </c>
      <c r="F14" s="5"/>
      <c r="G14" s="5">
        <v>63</v>
      </c>
      <c r="H14" s="5">
        <v>61.8</v>
      </c>
      <c r="I14" s="5"/>
      <c r="J14" s="5"/>
      <c r="K14" s="5"/>
      <c r="L14" s="5"/>
      <c r="M14" s="5"/>
      <c r="N14" s="5">
        <f t="shared" si="1"/>
        <v>700.3</v>
      </c>
      <c r="O14" s="5"/>
    </row>
    <row r="15" spans="2:15">
      <c r="B15" s="5">
        <f t="shared" si="0"/>
        <v>10</v>
      </c>
      <c r="C15" s="5" t="s">
        <v>406</v>
      </c>
      <c r="D15" s="5" t="s">
        <v>426</v>
      </c>
      <c r="E15" s="5" t="s">
        <v>881</v>
      </c>
      <c r="F15" s="5"/>
      <c r="G15" s="5">
        <v>63</v>
      </c>
      <c r="H15" s="5">
        <v>22.3</v>
      </c>
      <c r="I15" s="5"/>
      <c r="J15" s="5"/>
      <c r="K15" s="5"/>
      <c r="L15" s="5"/>
      <c r="M15" s="5"/>
      <c r="N15" s="5">
        <f t="shared" si="1"/>
        <v>722.59999999999991</v>
      </c>
      <c r="O15" s="5"/>
    </row>
    <row r="16" spans="2:15">
      <c r="B16" s="5">
        <f t="shared" si="0"/>
        <v>11</v>
      </c>
      <c r="C16" s="5" t="s">
        <v>406</v>
      </c>
      <c r="D16" s="5" t="s">
        <v>319</v>
      </c>
      <c r="E16" s="5" t="s">
        <v>881</v>
      </c>
      <c r="F16" s="5"/>
      <c r="G16" s="5">
        <v>63</v>
      </c>
      <c r="H16" s="5">
        <v>15</v>
      </c>
      <c r="I16" s="5"/>
      <c r="J16" s="5"/>
      <c r="K16" s="5"/>
      <c r="L16" s="5"/>
      <c r="M16" s="5"/>
      <c r="N16" s="5">
        <f t="shared" si="1"/>
        <v>737.59999999999991</v>
      </c>
      <c r="O16" s="5"/>
    </row>
    <row r="17" spans="2:15">
      <c r="B17" s="5">
        <f t="shared" si="0"/>
        <v>12</v>
      </c>
      <c r="C17" s="5" t="s">
        <v>319</v>
      </c>
      <c r="D17" s="5" t="s">
        <v>265</v>
      </c>
      <c r="E17" s="5" t="s">
        <v>881</v>
      </c>
      <c r="F17" s="5"/>
      <c r="G17" s="5">
        <v>63</v>
      </c>
      <c r="H17" s="5">
        <v>35.799999999999997</v>
      </c>
      <c r="I17" s="5"/>
      <c r="J17" s="5"/>
      <c r="K17" s="5"/>
      <c r="L17" s="5"/>
      <c r="M17" s="5"/>
      <c r="N17" s="5">
        <f t="shared" si="1"/>
        <v>773.39999999999986</v>
      </c>
      <c r="O17" s="5"/>
    </row>
    <row r="18" spans="2:15">
      <c r="B18" s="5">
        <f t="shared" si="0"/>
        <v>13</v>
      </c>
      <c r="C18" s="5" t="s">
        <v>319</v>
      </c>
      <c r="D18" s="5" t="s">
        <v>281</v>
      </c>
      <c r="E18" s="5" t="s">
        <v>881</v>
      </c>
      <c r="F18" s="5"/>
      <c r="G18" s="5">
        <v>63</v>
      </c>
      <c r="H18" s="5">
        <v>66.400000000000006</v>
      </c>
      <c r="I18" s="5"/>
      <c r="J18" s="5"/>
      <c r="K18" s="5"/>
      <c r="L18" s="5"/>
      <c r="M18" s="5"/>
      <c r="N18" s="5">
        <f t="shared" si="1"/>
        <v>839.79999999999984</v>
      </c>
      <c r="O18" s="5"/>
    </row>
    <row r="19" spans="2:15">
      <c r="B19" s="5">
        <f t="shared" si="0"/>
        <v>14</v>
      </c>
      <c r="C19" s="5" t="s">
        <v>281</v>
      </c>
      <c r="D19" s="5" t="s">
        <v>279</v>
      </c>
      <c r="E19" s="5" t="s">
        <v>881</v>
      </c>
      <c r="F19" s="5"/>
      <c r="G19" s="5">
        <v>63</v>
      </c>
      <c r="H19" s="5">
        <v>140.30000000000001</v>
      </c>
      <c r="I19" s="5"/>
      <c r="J19" s="5"/>
      <c r="K19" s="5"/>
      <c r="L19" s="5"/>
      <c r="M19" s="5"/>
      <c r="N19" s="5">
        <f t="shared" si="1"/>
        <v>980.09999999999991</v>
      </c>
      <c r="O19" s="5"/>
    </row>
    <row r="20" spans="2:15">
      <c r="B20" s="5">
        <f t="shared" si="0"/>
        <v>15</v>
      </c>
      <c r="C20" s="5" t="s">
        <v>506</v>
      </c>
      <c r="D20" s="5" t="s">
        <v>285</v>
      </c>
      <c r="E20" s="5" t="s">
        <v>881</v>
      </c>
      <c r="F20" s="5"/>
      <c r="G20" s="5">
        <v>63</v>
      </c>
      <c r="H20" s="5">
        <v>33</v>
      </c>
      <c r="I20" s="5"/>
      <c r="J20" s="5"/>
      <c r="K20" s="5"/>
      <c r="L20" s="5"/>
      <c r="M20" s="5"/>
      <c r="N20" s="5">
        <f t="shared" si="1"/>
        <v>1013.0999999999999</v>
      </c>
      <c r="O20" s="5"/>
    </row>
    <row r="21" spans="2:15">
      <c r="B21" s="5">
        <f t="shared" si="0"/>
        <v>16</v>
      </c>
      <c r="C21" s="5" t="s">
        <v>506</v>
      </c>
      <c r="D21" s="5" t="s">
        <v>392</v>
      </c>
      <c r="E21" s="5" t="s">
        <v>881</v>
      </c>
      <c r="F21" s="5"/>
      <c r="G21" s="5">
        <v>63</v>
      </c>
      <c r="H21" s="5">
        <v>68.8</v>
      </c>
      <c r="I21" s="5"/>
      <c r="J21" s="5"/>
      <c r="K21" s="5"/>
      <c r="L21" s="5"/>
      <c r="M21" s="5"/>
      <c r="N21" s="5">
        <f t="shared" si="1"/>
        <v>1081.8999999999999</v>
      </c>
      <c r="O21" s="5"/>
    </row>
    <row r="22" spans="2:15">
      <c r="B22" s="5">
        <f t="shared" si="0"/>
        <v>17</v>
      </c>
      <c r="C22" s="5" t="s">
        <v>524</v>
      </c>
      <c r="D22" s="5" t="s">
        <v>252</v>
      </c>
      <c r="E22" s="5" t="s">
        <v>881</v>
      </c>
      <c r="F22" s="5"/>
      <c r="G22" s="5">
        <v>63</v>
      </c>
      <c r="H22" s="5">
        <v>33.700000000000003</v>
      </c>
      <c r="I22" s="5"/>
      <c r="J22" s="5"/>
      <c r="K22" s="5"/>
      <c r="L22" s="5"/>
      <c r="M22" s="5"/>
      <c r="N22" s="5">
        <f t="shared" si="1"/>
        <v>1115.5999999999999</v>
      </c>
      <c r="O22" s="5"/>
    </row>
    <row r="23" spans="2:15">
      <c r="B23" s="5">
        <f t="shared" si="0"/>
        <v>18</v>
      </c>
      <c r="C23" s="5" t="s">
        <v>269</v>
      </c>
      <c r="D23" s="5" t="s">
        <v>395</v>
      </c>
      <c r="E23" s="5" t="s">
        <v>881</v>
      </c>
      <c r="F23" s="5"/>
      <c r="G23" s="5">
        <v>63</v>
      </c>
      <c r="H23" s="5">
        <v>35.200000000000003</v>
      </c>
      <c r="I23" s="5"/>
      <c r="J23" s="5"/>
      <c r="K23" s="5"/>
      <c r="L23" s="5"/>
      <c r="M23" s="5"/>
      <c r="N23" s="5">
        <f t="shared" si="1"/>
        <v>1150.8</v>
      </c>
      <c r="O23" s="5"/>
    </row>
    <row r="24" spans="2:15">
      <c r="B24" s="5">
        <f t="shared" si="0"/>
        <v>19</v>
      </c>
      <c r="C24" s="5" t="s">
        <v>236</v>
      </c>
      <c r="D24" s="5" t="s">
        <v>360</v>
      </c>
      <c r="E24" s="5" t="s">
        <v>881</v>
      </c>
      <c r="F24" s="5"/>
      <c r="G24" s="5">
        <v>63</v>
      </c>
      <c r="H24" s="5">
        <v>50.1</v>
      </c>
      <c r="I24" s="5"/>
      <c r="J24" s="5"/>
      <c r="K24" s="5"/>
      <c r="L24" s="5"/>
      <c r="M24" s="5"/>
      <c r="N24" s="5">
        <f t="shared" si="1"/>
        <v>1200.8999999999999</v>
      </c>
      <c r="O24" s="5"/>
    </row>
    <row r="25" spans="2:15">
      <c r="B25" s="5">
        <f t="shared" si="0"/>
        <v>20</v>
      </c>
      <c r="C25" s="5" t="s">
        <v>346</v>
      </c>
      <c r="D25" s="5" t="s">
        <v>434</v>
      </c>
      <c r="E25" s="5" t="s">
        <v>881</v>
      </c>
      <c r="F25" s="5"/>
      <c r="G25" s="5">
        <v>63</v>
      </c>
      <c r="H25" s="5">
        <v>22</v>
      </c>
      <c r="I25" s="5"/>
      <c r="J25" s="5"/>
      <c r="K25" s="5"/>
      <c r="L25" s="5"/>
      <c r="M25" s="5"/>
      <c r="N25" s="5">
        <f t="shared" si="1"/>
        <v>1222.8999999999999</v>
      </c>
      <c r="O25" s="5"/>
    </row>
    <row r="26" spans="2:15">
      <c r="B26" s="5">
        <f t="shared" si="0"/>
        <v>21</v>
      </c>
      <c r="C26" s="5" t="s">
        <v>213</v>
      </c>
      <c r="D26" s="5" t="s">
        <v>308</v>
      </c>
      <c r="E26" s="5" t="s">
        <v>881</v>
      </c>
      <c r="F26" s="5"/>
      <c r="G26" s="5">
        <v>63</v>
      </c>
      <c r="H26" s="5">
        <v>93.3</v>
      </c>
      <c r="I26" s="5"/>
      <c r="J26" s="5"/>
      <c r="K26" s="5"/>
      <c r="L26" s="5"/>
      <c r="M26" s="5"/>
      <c r="N26" s="5">
        <f t="shared" si="1"/>
        <v>1316.1999999999998</v>
      </c>
      <c r="O26" s="5"/>
    </row>
    <row r="27" spans="2:15">
      <c r="B27" s="5">
        <f t="shared" si="0"/>
        <v>22</v>
      </c>
      <c r="C27" s="5" t="s">
        <v>687</v>
      </c>
      <c r="D27" s="5" t="s">
        <v>343</v>
      </c>
      <c r="E27" s="5" t="s">
        <v>881</v>
      </c>
      <c r="F27" s="5"/>
      <c r="G27" s="5">
        <v>63</v>
      </c>
      <c r="H27" s="5">
        <v>23.7</v>
      </c>
      <c r="I27" s="5"/>
      <c r="J27" s="5"/>
      <c r="K27" s="5"/>
      <c r="L27" s="5"/>
      <c r="M27" s="5"/>
      <c r="N27" s="5">
        <f t="shared" si="1"/>
        <v>1339.8999999999999</v>
      </c>
      <c r="O27" s="5"/>
    </row>
    <row r="28" spans="2:15">
      <c r="B28" s="5">
        <f t="shared" si="0"/>
        <v>23</v>
      </c>
      <c r="C28" s="5" t="s">
        <v>399</v>
      </c>
      <c r="D28" s="5" t="s">
        <v>396</v>
      </c>
      <c r="E28" s="5" t="s">
        <v>881</v>
      </c>
      <c r="F28" s="5"/>
      <c r="G28" s="5">
        <v>63</v>
      </c>
      <c r="H28" s="5">
        <v>144.5</v>
      </c>
      <c r="I28" s="5"/>
      <c r="J28" s="5"/>
      <c r="K28" s="5"/>
      <c r="L28" s="5"/>
      <c r="M28" s="5"/>
      <c r="N28" s="5">
        <f t="shared" si="1"/>
        <v>1484.3999999999999</v>
      </c>
      <c r="O28" s="5"/>
    </row>
    <row r="29" spans="2:15">
      <c r="B29" s="5">
        <f t="shared" si="0"/>
        <v>24</v>
      </c>
      <c r="C29" s="5" t="s">
        <v>282</v>
      </c>
      <c r="D29" s="5" t="s">
        <v>278</v>
      </c>
      <c r="E29" s="5" t="s">
        <v>881</v>
      </c>
      <c r="F29" s="5"/>
      <c r="G29" s="5">
        <v>63</v>
      </c>
      <c r="H29" s="5">
        <v>108.9</v>
      </c>
      <c r="I29" s="5"/>
      <c r="J29" s="5"/>
      <c r="K29" s="5"/>
      <c r="L29" s="5"/>
      <c r="M29" s="5"/>
      <c r="N29" s="5">
        <f t="shared" si="1"/>
        <v>1593.3</v>
      </c>
      <c r="O29" s="5"/>
    </row>
    <row r="30" spans="2:15">
      <c r="B30" s="5">
        <f t="shared" si="0"/>
        <v>25</v>
      </c>
      <c r="C30" s="5" t="s">
        <v>349</v>
      </c>
      <c r="D30" s="5" t="s">
        <v>250</v>
      </c>
      <c r="E30" s="5" t="s">
        <v>881</v>
      </c>
      <c r="F30" s="5"/>
      <c r="G30" s="5">
        <v>63</v>
      </c>
      <c r="H30" s="5">
        <v>95.8</v>
      </c>
      <c r="I30" s="5"/>
      <c r="J30" s="5"/>
      <c r="K30" s="5"/>
      <c r="L30" s="5"/>
      <c r="M30" s="5"/>
      <c r="N30" s="5">
        <f t="shared" si="1"/>
        <v>1689.1</v>
      </c>
      <c r="O30" s="5"/>
    </row>
    <row r="31" spans="2:15">
      <c r="B31" s="5">
        <f t="shared" si="0"/>
        <v>26</v>
      </c>
      <c r="C31" s="5" t="s">
        <v>349</v>
      </c>
      <c r="D31" s="5" t="s">
        <v>507</v>
      </c>
      <c r="E31" s="5" t="s">
        <v>881</v>
      </c>
      <c r="F31" s="5"/>
      <c r="G31" s="5">
        <v>63</v>
      </c>
      <c r="H31" s="5">
        <v>68.400000000000006</v>
      </c>
      <c r="I31" s="5"/>
      <c r="J31" s="5"/>
      <c r="K31" s="5"/>
      <c r="L31" s="5"/>
      <c r="M31" s="5"/>
      <c r="N31" s="5">
        <f t="shared" si="1"/>
        <v>1757.5</v>
      </c>
      <c r="O31" s="5"/>
    </row>
    <row r="32" spans="2:15">
      <c r="B32" s="5">
        <f t="shared" si="0"/>
        <v>27</v>
      </c>
      <c r="C32" s="5" t="s">
        <v>216</v>
      </c>
      <c r="D32" s="5" t="s">
        <v>403</v>
      </c>
      <c r="E32" s="5" t="s">
        <v>881</v>
      </c>
      <c r="F32" s="5"/>
      <c r="G32" s="5">
        <v>63</v>
      </c>
      <c r="H32" s="5">
        <v>37</v>
      </c>
      <c r="I32" s="5"/>
      <c r="J32" s="5"/>
      <c r="K32" s="5"/>
      <c r="L32" s="5"/>
      <c r="M32" s="5"/>
      <c r="N32" s="5">
        <f t="shared" si="1"/>
        <v>1794.5</v>
      </c>
      <c r="O32" s="5"/>
    </row>
    <row r="33" spans="2:15">
      <c r="B33" s="5">
        <f t="shared" si="0"/>
        <v>28</v>
      </c>
      <c r="C33" s="5" t="s">
        <v>547</v>
      </c>
      <c r="D33" s="5" t="s">
        <v>318</v>
      </c>
      <c r="E33" s="5" t="s">
        <v>881</v>
      </c>
      <c r="F33" s="5"/>
      <c r="G33" s="5">
        <v>63</v>
      </c>
      <c r="H33" s="5">
        <v>45.4</v>
      </c>
      <c r="I33" s="5"/>
      <c r="J33" s="5"/>
      <c r="K33" s="5"/>
      <c r="L33" s="5"/>
      <c r="M33" s="5"/>
      <c r="N33" s="5">
        <f t="shared" si="1"/>
        <v>1839.9</v>
      </c>
      <c r="O33" s="5"/>
    </row>
    <row r="34" spans="2:15">
      <c r="B34" s="5">
        <f t="shared" si="0"/>
        <v>29</v>
      </c>
      <c r="C34" s="5" t="s">
        <v>538</v>
      </c>
      <c r="D34" s="5" t="s">
        <v>242</v>
      </c>
      <c r="E34" s="5" t="s">
        <v>881</v>
      </c>
      <c r="F34" s="5"/>
      <c r="G34" s="5">
        <v>63</v>
      </c>
      <c r="H34" s="5">
        <v>80.2</v>
      </c>
      <c r="I34" s="5"/>
      <c r="J34" s="5"/>
      <c r="K34" s="5"/>
      <c r="L34" s="5"/>
      <c r="M34" s="5"/>
      <c r="N34" s="5">
        <f t="shared" si="1"/>
        <v>1920.1000000000001</v>
      </c>
      <c r="O34" s="5"/>
    </row>
    <row r="35" spans="2:15">
      <c r="B35" s="5">
        <f t="shared" si="0"/>
        <v>30</v>
      </c>
      <c r="C35" s="5" t="s">
        <v>270</v>
      </c>
      <c r="D35" s="5" t="s">
        <v>344</v>
      </c>
      <c r="E35" s="5" t="s">
        <v>881</v>
      </c>
      <c r="F35" s="5"/>
      <c r="G35" s="5">
        <v>63</v>
      </c>
      <c r="H35" s="5">
        <v>76.400000000000006</v>
      </c>
      <c r="I35" s="5"/>
      <c r="J35" s="5"/>
      <c r="K35" s="5"/>
      <c r="L35" s="5"/>
      <c r="M35" s="5"/>
      <c r="N35" s="5">
        <f t="shared" si="1"/>
        <v>1996.5000000000002</v>
      </c>
      <c r="O35" s="5"/>
    </row>
    <row r="36" spans="2:15">
      <c r="B36" s="5">
        <f t="shared" si="0"/>
        <v>31</v>
      </c>
      <c r="C36" s="5" t="s">
        <v>446</v>
      </c>
      <c r="D36" s="5" t="s">
        <v>591</v>
      </c>
      <c r="E36" s="5" t="s">
        <v>881</v>
      </c>
      <c r="F36" s="5"/>
      <c r="G36" s="5">
        <v>63</v>
      </c>
      <c r="H36" s="5">
        <v>105.9</v>
      </c>
      <c r="I36" s="5"/>
      <c r="J36" s="5"/>
      <c r="K36" s="5"/>
      <c r="L36" s="5"/>
      <c r="M36" s="5"/>
      <c r="N36" s="5">
        <f t="shared" si="1"/>
        <v>2102.4</v>
      </c>
      <c r="O36" s="5"/>
    </row>
    <row r="37" spans="2:15">
      <c r="B37" s="5">
        <f t="shared" si="0"/>
        <v>32</v>
      </c>
      <c r="C37" s="5" t="s">
        <v>731</v>
      </c>
      <c r="D37" s="5" t="s">
        <v>716</v>
      </c>
      <c r="E37" s="5" t="s">
        <v>881</v>
      </c>
      <c r="F37" s="5"/>
      <c r="G37" s="5">
        <v>63</v>
      </c>
      <c r="H37" s="5">
        <v>36.1</v>
      </c>
      <c r="I37" s="5"/>
      <c r="J37" s="5"/>
      <c r="K37" s="5"/>
      <c r="L37" s="5"/>
      <c r="M37" s="5"/>
      <c r="N37" s="5">
        <f t="shared" si="1"/>
        <v>2138.5</v>
      </c>
      <c r="O37" s="5"/>
    </row>
    <row r="38" spans="2:15">
      <c r="B38" s="5">
        <f t="shared" ref="B38:B69" si="2">1+B37</f>
        <v>33</v>
      </c>
      <c r="C38" s="5" t="s">
        <v>882</v>
      </c>
      <c r="D38" s="5" t="s">
        <v>883</v>
      </c>
      <c r="E38" s="5" t="s">
        <v>881</v>
      </c>
      <c r="F38" s="5"/>
      <c r="G38" s="5">
        <v>63</v>
      </c>
      <c r="H38" s="5">
        <v>29</v>
      </c>
      <c r="I38" s="5"/>
      <c r="J38" s="5"/>
      <c r="K38" s="5"/>
      <c r="L38" s="5"/>
      <c r="M38" s="5"/>
      <c r="N38" s="5">
        <f t="shared" si="1"/>
        <v>2167.5</v>
      </c>
      <c r="O38" s="5"/>
    </row>
    <row r="39" spans="2:15">
      <c r="B39" s="5">
        <f t="shared" si="2"/>
        <v>34</v>
      </c>
      <c r="C39" s="5" t="s">
        <v>376</v>
      </c>
      <c r="D39" s="5" t="s">
        <v>39</v>
      </c>
      <c r="E39" s="5" t="s">
        <v>881</v>
      </c>
      <c r="F39" s="5"/>
      <c r="G39" s="5">
        <v>63</v>
      </c>
      <c r="H39" s="5">
        <v>42</v>
      </c>
      <c r="I39" s="5"/>
      <c r="J39" s="5"/>
      <c r="K39" s="5"/>
      <c r="L39" s="5"/>
      <c r="M39" s="5"/>
      <c r="N39" s="5">
        <f t="shared" si="1"/>
        <v>2209.5</v>
      </c>
      <c r="O39" s="5"/>
    </row>
    <row r="40" spans="2:15">
      <c r="B40" s="5">
        <f t="shared" si="2"/>
        <v>35</v>
      </c>
      <c r="C40" s="5" t="s">
        <v>884</v>
      </c>
      <c r="D40" s="5" t="s">
        <v>885</v>
      </c>
      <c r="E40" s="5" t="s">
        <v>881</v>
      </c>
      <c r="F40" s="5"/>
      <c r="G40" s="5">
        <v>63</v>
      </c>
      <c r="H40" s="5">
        <v>167.2</v>
      </c>
      <c r="I40" s="5"/>
      <c r="J40" s="5"/>
      <c r="K40" s="5"/>
      <c r="L40" s="5"/>
      <c r="M40" s="5"/>
      <c r="N40" s="5">
        <f t="shared" si="1"/>
        <v>2376.6999999999998</v>
      </c>
      <c r="O40" s="5"/>
    </row>
    <row r="41" spans="2:15">
      <c r="B41" s="5">
        <f t="shared" si="2"/>
        <v>36</v>
      </c>
      <c r="C41" s="5" t="s">
        <v>886</v>
      </c>
      <c r="D41" s="5" t="s">
        <v>887</v>
      </c>
      <c r="E41" s="5" t="s">
        <v>881</v>
      </c>
      <c r="F41" s="5"/>
      <c r="G41" s="5">
        <v>63</v>
      </c>
      <c r="H41" s="5">
        <v>22.5</v>
      </c>
      <c r="I41" s="5"/>
      <c r="J41" s="5"/>
      <c r="K41" s="5"/>
      <c r="L41" s="5"/>
      <c r="M41" s="5"/>
      <c r="N41" s="5">
        <f t="shared" si="1"/>
        <v>2399.1999999999998</v>
      </c>
      <c r="O41" s="5"/>
    </row>
    <row r="42" spans="2:15">
      <c r="B42" s="5">
        <f t="shared" si="2"/>
        <v>37</v>
      </c>
      <c r="C42" s="5" t="s">
        <v>888</v>
      </c>
      <c r="D42" s="5" t="s">
        <v>889</v>
      </c>
      <c r="E42" s="5" t="s">
        <v>881</v>
      </c>
      <c r="F42" s="5"/>
      <c r="G42" s="5">
        <v>63</v>
      </c>
      <c r="H42" s="5">
        <v>81</v>
      </c>
      <c r="I42" s="5"/>
      <c r="J42" s="5"/>
      <c r="K42" s="5"/>
      <c r="L42" s="5"/>
      <c r="M42" s="5"/>
      <c r="N42" s="5">
        <f t="shared" si="1"/>
        <v>2480.1999999999998</v>
      </c>
      <c r="O42" s="5"/>
    </row>
    <row r="43" spans="2:15">
      <c r="B43" s="5">
        <f t="shared" si="2"/>
        <v>38</v>
      </c>
      <c r="C43" s="5" t="s">
        <v>889</v>
      </c>
      <c r="D43" s="5" t="s">
        <v>890</v>
      </c>
      <c r="E43" s="5" t="s">
        <v>881</v>
      </c>
      <c r="F43" s="5"/>
      <c r="G43" s="5">
        <v>63</v>
      </c>
      <c r="H43" s="5">
        <v>96</v>
      </c>
      <c r="I43" s="5"/>
      <c r="J43" s="5"/>
      <c r="K43" s="5"/>
      <c r="L43" s="5"/>
      <c r="M43" s="5"/>
      <c r="N43" s="5">
        <f t="shared" si="1"/>
        <v>2576.1999999999998</v>
      </c>
      <c r="O43" s="5"/>
    </row>
    <row r="44" spans="2:15">
      <c r="B44" s="5">
        <f t="shared" si="2"/>
        <v>39</v>
      </c>
      <c r="C44" s="5" t="s">
        <v>891</v>
      </c>
      <c r="D44" s="5" t="s">
        <v>892</v>
      </c>
      <c r="E44" s="5" t="s">
        <v>45</v>
      </c>
      <c r="F44" s="5">
        <v>0.39</v>
      </c>
      <c r="G44" s="5">
        <v>63</v>
      </c>
      <c r="H44" s="5">
        <v>98</v>
      </c>
      <c r="I44" s="5"/>
      <c r="J44" s="5"/>
      <c r="K44" s="5"/>
      <c r="L44" s="5"/>
      <c r="M44" s="5"/>
      <c r="N44" s="5">
        <f t="shared" si="1"/>
        <v>2674.2</v>
      </c>
      <c r="O44" s="5">
        <v>98</v>
      </c>
    </row>
    <row r="45" spans="2:15">
      <c r="B45" s="5">
        <f t="shared" si="2"/>
        <v>40</v>
      </c>
      <c r="C45" s="5" t="s">
        <v>315</v>
      </c>
      <c r="D45" s="5" t="s">
        <v>355</v>
      </c>
      <c r="E45" s="5" t="s">
        <v>881</v>
      </c>
      <c r="F45" s="5"/>
      <c r="G45" s="5">
        <v>75</v>
      </c>
      <c r="H45" s="6">
        <v>230.4</v>
      </c>
      <c r="I45" s="6"/>
      <c r="J45" s="5"/>
      <c r="K45" s="5"/>
      <c r="L45" s="5"/>
      <c r="M45" s="5"/>
      <c r="N45" s="5">
        <f t="shared" si="1"/>
        <v>2904.6</v>
      </c>
      <c r="O45" s="5"/>
    </row>
    <row r="46" spans="2:15">
      <c r="B46" s="5">
        <f t="shared" si="2"/>
        <v>41</v>
      </c>
      <c r="C46" s="5" t="s">
        <v>315</v>
      </c>
      <c r="D46" s="5" t="s">
        <v>281</v>
      </c>
      <c r="E46" s="5" t="s">
        <v>881</v>
      </c>
      <c r="F46" s="5"/>
      <c r="G46" s="5">
        <v>75</v>
      </c>
      <c r="H46" s="6">
        <v>304.2</v>
      </c>
      <c r="I46" s="6"/>
      <c r="J46" s="5"/>
      <c r="K46" s="5"/>
      <c r="L46" s="5"/>
      <c r="M46" s="5"/>
      <c r="N46" s="5">
        <f t="shared" si="1"/>
        <v>3208.7999999999997</v>
      </c>
      <c r="O46" s="5"/>
    </row>
    <row r="47" spans="2:15">
      <c r="B47" s="5">
        <f t="shared" si="2"/>
        <v>42</v>
      </c>
      <c r="C47" s="5" t="s">
        <v>358</v>
      </c>
      <c r="D47" s="5" t="s">
        <v>343</v>
      </c>
      <c r="E47" s="5" t="s">
        <v>881</v>
      </c>
      <c r="F47" s="5"/>
      <c r="G47" s="5">
        <v>75</v>
      </c>
      <c r="H47" s="6">
        <v>115.2</v>
      </c>
      <c r="I47" s="6"/>
      <c r="J47" s="5"/>
      <c r="K47" s="5"/>
      <c r="L47" s="5"/>
      <c r="M47" s="5"/>
      <c r="N47" s="5">
        <f t="shared" si="1"/>
        <v>3323.9999999999995</v>
      </c>
      <c r="O47" s="5"/>
    </row>
    <row r="48" spans="2:15">
      <c r="B48" s="5">
        <f t="shared" si="2"/>
        <v>43</v>
      </c>
      <c r="C48" s="5" t="s">
        <v>216</v>
      </c>
      <c r="D48" s="5" t="s">
        <v>547</v>
      </c>
      <c r="E48" s="5" t="s">
        <v>881</v>
      </c>
      <c r="F48" s="5"/>
      <c r="G48" s="5">
        <v>75</v>
      </c>
      <c r="H48" s="6">
        <v>60.2</v>
      </c>
      <c r="I48" s="6"/>
      <c r="J48" s="5"/>
      <c r="K48" s="5"/>
      <c r="L48" s="5"/>
      <c r="M48" s="5"/>
      <c r="N48" s="5">
        <f t="shared" si="1"/>
        <v>3384.1999999999994</v>
      </c>
      <c r="O48" s="5"/>
    </row>
    <row r="49" spans="2:15">
      <c r="B49" s="5">
        <f t="shared" si="2"/>
        <v>44</v>
      </c>
      <c r="C49" s="5" t="s">
        <v>893</v>
      </c>
      <c r="D49" s="5" t="s">
        <v>731</v>
      </c>
      <c r="E49" s="5" t="s">
        <v>881</v>
      </c>
      <c r="F49" s="5"/>
      <c r="G49" s="5">
        <v>75</v>
      </c>
      <c r="H49" s="6">
        <v>25.1</v>
      </c>
      <c r="I49" s="6"/>
      <c r="J49" s="5"/>
      <c r="K49" s="5"/>
      <c r="L49" s="5"/>
      <c r="M49" s="5"/>
      <c r="N49" s="5">
        <f t="shared" si="1"/>
        <v>3409.2999999999993</v>
      </c>
      <c r="O49" s="5"/>
    </row>
    <row r="50" spans="2:15">
      <c r="B50" s="5">
        <f t="shared" si="2"/>
        <v>45</v>
      </c>
      <c r="C50" s="5" t="s">
        <v>731</v>
      </c>
      <c r="D50" s="5" t="s">
        <v>894</v>
      </c>
      <c r="E50" s="5" t="s">
        <v>881</v>
      </c>
      <c r="F50" s="5"/>
      <c r="G50" s="5">
        <v>75</v>
      </c>
      <c r="H50" s="6">
        <v>19.399999999999999</v>
      </c>
      <c r="I50" s="6"/>
      <c r="J50" s="5"/>
      <c r="K50" s="5"/>
      <c r="L50" s="5"/>
      <c r="M50" s="5"/>
      <c r="N50" s="5">
        <f t="shared" si="1"/>
        <v>3428.6999999999994</v>
      </c>
      <c r="O50" s="5"/>
    </row>
    <row r="51" spans="2:15">
      <c r="B51" s="5">
        <f t="shared" si="2"/>
        <v>46</v>
      </c>
      <c r="C51" s="5" t="s">
        <v>894</v>
      </c>
      <c r="D51" s="5" t="s">
        <v>34</v>
      </c>
      <c r="E51" s="5" t="s">
        <v>881</v>
      </c>
      <c r="F51" s="5"/>
      <c r="G51" s="5">
        <v>75</v>
      </c>
      <c r="H51" s="6">
        <v>21.8</v>
      </c>
      <c r="I51" s="6"/>
      <c r="J51" s="5"/>
      <c r="K51" s="5"/>
      <c r="L51" s="5"/>
      <c r="M51" s="5"/>
      <c r="N51" s="5">
        <f t="shared" si="1"/>
        <v>3450.4999999999995</v>
      </c>
      <c r="O51" s="5"/>
    </row>
    <row r="52" spans="2:15">
      <c r="B52" s="5">
        <f t="shared" si="2"/>
        <v>47</v>
      </c>
      <c r="C52" s="5" t="s">
        <v>894</v>
      </c>
      <c r="D52" s="5" t="s">
        <v>895</v>
      </c>
      <c r="E52" s="5" t="s">
        <v>881</v>
      </c>
      <c r="F52" s="5"/>
      <c r="G52" s="5">
        <v>75</v>
      </c>
      <c r="H52" s="6">
        <f>126.5-H53</f>
        <v>90.5</v>
      </c>
      <c r="I52" s="6"/>
      <c r="J52" s="5"/>
      <c r="K52" s="5"/>
      <c r="L52" s="5"/>
      <c r="M52" s="5"/>
      <c r="N52" s="5">
        <f t="shared" si="1"/>
        <v>3540.9999999999995</v>
      </c>
      <c r="O52" s="5"/>
    </row>
    <row r="53" spans="2:15">
      <c r="B53" s="5">
        <f t="shared" si="2"/>
        <v>48</v>
      </c>
      <c r="C53" s="5" t="s">
        <v>894</v>
      </c>
      <c r="D53" s="5" t="s">
        <v>895</v>
      </c>
      <c r="E53" s="5" t="s">
        <v>45</v>
      </c>
      <c r="F53" s="5">
        <v>0.39</v>
      </c>
      <c r="G53" s="5">
        <v>75</v>
      </c>
      <c r="H53" s="6">
        <v>36</v>
      </c>
      <c r="I53" s="6"/>
      <c r="J53" s="5"/>
      <c r="K53" s="5"/>
      <c r="L53" s="5"/>
      <c r="M53" s="5"/>
      <c r="N53" s="5">
        <f t="shared" si="1"/>
        <v>3576.9999999999995</v>
      </c>
      <c r="O53" s="5">
        <v>36</v>
      </c>
    </row>
    <row r="54" spans="2:15">
      <c r="B54" s="5">
        <f t="shared" si="2"/>
        <v>49</v>
      </c>
      <c r="C54" s="5" t="s">
        <v>895</v>
      </c>
      <c r="D54" s="5" t="s">
        <v>896</v>
      </c>
      <c r="E54" s="5" t="s">
        <v>45</v>
      </c>
      <c r="F54" s="5">
        <v>0.39</v>
      </c>
      <c r="G54" s="5">
        <v>75</v>
      </c>
      <c r="H54" s="6">
        <v>55</v>
      </c>
      <c r="I54" s="6"/>
      <c r="J54" s="5"/>
      <c r="K54" s="5"/>
      <c r="L54" s="5"/>
      <c r="M54" s="5"/>
      <c r="N54" s="5">
        <f t="shared" si="1"/>
        <v>3631.9999999999995</v>
      </c>
      <c r="O54" s="5">
        <v>55</v>
      </c>
    </row>
    <row r="55" spans="2:15">
      <c r="B55" s="5">
        <f t="shared" si="2"/>
        <v>50</v>
      </c>
      <c r="C55" s="5" t="s">
        <v>897</v>
      </c>
      <c r="D55" s="5" t="s">
        <v>888</v>
      </c>
      <c r="E55" s="5" t="s">
        <v>881</v>
      </c>
      <c r="F55" s="5"/>
      <c r="G55" s="5">
        <v>75</v>
      </c>
      <c r="H55" s="6">
        <v>64</v>
      </c>
      <c r="I55" s="6"/>
      <c r="J55" s="5"/>
      <c r="K55" s="5"/>
      <c r="L55" s="5"/>
      <c r="M55" s="5"/>
      <c r="N55" s="5">
        <f t="shared" si="1"/>
        <v>3695.9999999999995</v>
      </c>
      <c r="O55" s="5"/>
    </row>
    <row r="56" spans="2:15">
      <c r="B56" s="5">
        <f t="shared" si="2"/>
        <v>51</v>
      </c>
      <c r="C56" s="5" t="s">
        <v>898</v>
      </c>
      <c r="D56" s="5" t="s">
        <v>888</v>
      </c>
      <c r="E56" s="5" t="s">
        <v>881</v>
      </c>
      <c r="F56" s="5"/>
      <c r="G56" s="5">
        <v>75</v>
      </c>
      <c r="H56" s="6">
        <v>70</v>
      </c>
      <c r="I56" s="6"/>
      <c r="J56" s="5"/>
      <c r="K56" s="5"/>
      <c r="L56" s="5"/>
      <c r="M56" s="5"/>
      <c r="N56" s="5">
        <f t="shared" si="1"/>
        <v>3765.9999999999995</v>
      </c>
      <c r="O56" s="5"/>
    </row>
    <row r="57" spans="2:15">
      <c r="B57" s="5">
        <f t="shared" si="2"/>
        <v>52</v>
      </c>
      <c r="C57" s="5" t="s">
        <v>899</v>
      </c>
      <c r="D57" s="5" t="s">
        <v>900</v>
      </c>
      <c r="E57" s="5" t="s">
        <v>45</v>
      </c>
      <c r="F57" s="5">
        <v>0.39</v>
      </c>
      <c r="G57" s="5">
        <v>75</v>
      </c>
      <c r="H57" s="5">
        <v>41.1</v>
      </c>
      <c r="I57" s="5"/>
      <c r="J57" s="5"/>
      <c r="K57" s="5"/>
      <c r="L57" s="5"/>
      <c r="M57" s="5"/>
      <c r="N57" s="5">
        <f t="shared" si="1"/>
        <v>3807.0999999999995</v>
      </c>
      <c r="O57" s="5">
        <v>41.1</v>
      </c>
    </row>
    <row r="58" spans="2:15">
      <c r="B58" s="5">
        <f t="shared" si="2"/>
        <v>53</v>
      </c>
      <c r="C58" s="5" t="s">
        <v>900</v>
      </c>
      <c r="D58" s="5" t="s">
        <v>901</v>
      </c>
      <c r="E58" s="5" t="s">
        <v>45</v>
      </c>
      <c r="F58" s="5">
        <v>0.39</v>
      </c>
      <c r="G58" s="5">
        <v>75</v>
      </c>
      <c r="H58" s="5">
        <v>16</v>
      </c>
      <c r="I58" s="5"/>
      <c r="J58" s="5"/>
      <c r="K58" s="5"/>
      <c r="L58" s="5"/>
      <c r="M58" s="5"/>
      <c r="N58" s="5">
        <f t="shared" si="1"/>
        <v>3823.0999999999995</v>
      </c>
      <c r="O58" s="5">
        <v>16</v>
      </c>
    </row>
    <row r="59" spans="2:15">
      <c r="B59" s="5">
        <f t="shared" si="2"/>
        <v>54</v>
      </c>
      <c r="C59" s="5" t="s">
        <v>900</v>
      </c>
      <c r="D59" s="5" t="s">
        <v>902</v>
      </c>
      <c r="E59" s="5" t="s">
        <v>45</v>
      </c>
      <c r="F59" s="5">
        <v>0.39</v>
      </c>
      <c r="G59" s="5">
        <v>75</v>
      </c>
      <c r="H59" s="5">
        <v>35.6</v>
      </c>
      <c r="I59" s="5"/>
      <c r="J59" s="5"/>
      <c r="K59" s="5"/>
      <c r="L59" s="5"/>
      <c r="M59" s="5"/>
      <c r="N59" s="5">
        <f t="shared" si="1"/>
        <v>3858.6999999999994</v>
      </c>
      <c r="O59" s="5">
        <v>35.6</v>
      </c>
    </row>
    <row r="60" spans="2:15">
      <c r="B60" s="5">
        <f t="shared" si="2"/>
        <v>55</v>
      </c>
      <c r="C60" s="5" t="s">
        <v>902</v>
      </c>
      <c r="D60" s="5" t="s">
        <v>903</v>
      </c>
      <c r="E60" s="5" t="s">
        <v>45</v>
      </c>
      <c r="F60" s="5">
        <v>0.39</v>
      </c>
      <c r="G60" s="5">
        <v>75</v>
      </c>
      <c r="H60" s="5">
        <v>64</v>
      </c>
      <c r="I60" s="5"/>
      <c r="J60" s="5"/>
      <c r="K60" s="5"/>
      <c r="L60" s="5"/>
      <c r="M60" s="5"/>
      <c r="N60" s="5">
        <f t="shared" si="1"/>
        <v>3922.6999999999994</v>
      </c>
      <c r="O60" s="5">
        <v>64</v>
      </c>
    </row>
    <row r="61" spans="2:15">
      <c r="B61" s="5">
        <f t="shared" si="2"/>
        <v>56</v>
      </c>
      <c r="C61" s="5" t="s">
        <v>525</v>
      </c>
      <c r="D61" s="5" t="s">
        <v>628</v>
      </c>
      <c r="E61" s="5" t="s">
        <v>881</v>
      </c>
      <c r="F61" s="5"/>
      <c r="G61" s="5">
        <v>90</v>
      </c>
      <c r="H61" s="5">
        <v>228.9</v>
      </c>
      <c r="I61" s="5"/>
      <c r="J61" s="5"/>
      <c r="K61" s="5"/>
      <c r="L61" s="5"/>
      <c r="M61" s="5"/>
      <c r="N61" s="5">
        <f t="shared" si="1"/>
        <v>4151.5999999999995</v>
      </c>
      <c r="O61" s="5"/>
    </row>
    <row r="62" spans="2:15">
      <c r="B62" s="5">
        <f t="shared" si="2"/>
        <v>57</v>
      </c>
      <c r="C62" s="5" t="s">
        <v>628</v>
      </c>
      <c r="D62" s="5" t="s">
        <v>262</v>
      </c>
      <c r="E62" s="5" t="s">
        <v>881</v>
      </c>
      <c r="F62" s="5"/>
      <c r="G62" s="5">
        <v>90</v>
      </c>
      <c r="H62" s="5">
        <v>403.8</v>
      </c>
      <c r="I62" s="5"/>
      <c r="J62" s="5"/>
      <c r="K62" s="5"/>
      <c r="L62" s="5"/>
      <c r="M62" s="5"/>
      <c r="N62" s="5">
        <f t="shared" si="1"/>
        <v>4555.3999999999996</v>
      </c>
      <c r="O62" s="5"/>
    </row>
    <row r="63" spans="2:15">
      <c r="B63" s="5">
        <f t="shared" si="2"/>
        <v>58</v>
      </c>
      <c r="C63" s="5" t="s">
        <v>262</v>
      </c>
      <c r="D63" s="5" t="s">
        <v>345</v>
      </c>
      <c r="E63" s="5" t="s">
        <v>881</v>
      </c>
      <c r="F63" s="5"/>
      <c r="G63" s="5">
        <v>90</v>
      </c>
      <c r="H63" s="5">
        <v>78</v>
      </c>
      <c r="I63" s="5"/>
      <c r="J63" s="5"/>
      <c r="K63" s="5"/>
      <c r="L63" s="5"/>
      <c r="M63" s="5"/>
      <c r="N63" s="5">
        <f t="shared" si="1"/>
        <v>4633.3999999999996</v>
      </c>
      <c r="O63" s="5"/>
    </row>
    <row r="64" spans="2:15">
      <c r="B64" s="5">
        <f t="shared" si="2"/>
        <v>59</v>
      </c>
      <c r="C64" s="5" t="s">
        <v>262</v>
      </c>
      <c r="D64" s="5" t="s">
        <v>386</v>
      </c>
      <c r="E64" s="5" t="s">
        <v>881</v>
      </c>
      <c r="F64" s="5"/>
      <c r="G64" s="5">
        <v>90</v>
      </c>
      <c r="H64" s="5">
        <v>75</v>
      </c>
      <c r="I64" s="5"/>
      <c r="J64" s="5"/>
      <c r="K64" s="5"/>
      <c r="L64" s="5"/>
      <c r="M64" s="5"/>
      <c r="N64" s="5">
        <f t="shared" si="1"/>
        <v>4708.3999999999996</v>
      </c>
      <c r="O64" s="5"/>
    </row>
    <row r="65" spans="2:15" ht="15.75">
      <c r="B65" s="5">
        <f t="shared" si="2"/>
        <v>60</v>
      </c>
      <c r="C65" s="5" t="s">
        <v>262</v>
      </c>
      <c r="D65" s="5" t="s">
        <v>386</v>
      </c>
      <c r="E65" s="92" t="s">
        <v>301</v>
      </c>
      <c r="F65" s="5">
        <v>0.39</v>
      </c>
      <c r="G65" s="5">
        <v>90</v>
      </c>
      <c r="H65" s="5">
        <v>100.2</v>
      </c>
      <c r="I65" s="5"/>
      <c r="J65" s="5"/>
      <c r="K65" s="5"/>
      <c r="L65" s="5"/>
      <c r="M65" s="5"/>
      <c r="N65" s="5">
        <f t="shared" si="1"/>
        <v>4808.5999999999995</v>
      </c>
      <c r="O65" s="5">
        <v>100</v>
      </c>
    </row>
    <row r="66" spans="2:15">
      <c r="B66" s="5">
        <f t="shared" si="2"/>
        <v>61</v>
      </c>
      <c r="C66" s="5" t="s">
        <v>386</v>
      </c>
      <c r="D66" s="5" t="s">
        <v>253</v>
      </c>
      <c r="E66" s="5" t="s">
        <v>881</v>
      </c>
      <c r="F66" s="5"/>
      <c r="G66" s="5">
        <v>90</v>
      </c>
      <c r="H66" s="5">
        <v>46</v>
      </c>
      <c r="I66" s="5"/>
      <c r="J66" s="5"/>
      <c r="K66" s="5"/>
      <c r="L66" s="5"/>
      <c r="M66" s="5"/>
      <c r="N66" s="5">
        <f t="shared" si="1"/>
        <v>4854.5999999999995</v>
      </c>
      <c r="O66" s="5"/>
    </row>
    <row r="67" spans="2:15">
      <c r="B67" s="5">
        <f t="shared" si="2"/>
        <v>62</v>
      </c>
      <c r="C67" s="5" t="s">
        <v>253</v>
      </c>
      <c r="D67" s="5" t="s">
        <v>356</v>
      </c>
      <c r="E67" s="5" t="s">
        <v>881</v>
      </c>
      <c r="F67" s="5"/>
      <c r="G67" s="5">
        <v>90</v>
      </c>
      <c r="H67" s="5">
        <v>418.9</v>
      </c>
      <c r="I67" s="5"/>
      <c r="J67" s="5"/>
      <c r="K67" s="5"/>
      <c r="L67" s="5"/>
      <c r="M67" s="5"/>
      <c r="N67" s="5">
        <f t="shared" si="1"/>
        <v>5273.4999999999991</v>
      </c>
      <c r="O67" s="5"/>
    </row>
    <row r="68" spans="2:15">
      <c r="B68" s="5">
        <f t="shared" si="2"/>
        <v>63</v>
      </c>
      <c r="C68" s="5" t="s">
        <v>356</v>
      </c>
      <c r="D68" s="5" t="s">
        <v>375</v>
      </c>
      <c r="E68" s="5" t="s">
        <v>881</v>
      </c>
      <c r="F68" s="5"/>
      <c r="G68" s="5">
        <v>90</v>
      </c>
      <c r="H68" s="5">
        <v>7</v>
      </c>
      <c r="I68" s="5"/>
      <c r="J68" s="5"/>
      <c r="K68" s="5"/>
      <c r="L68" s="5"/>
      <c r="M68" s="5"/>
      <c r="N68" s="5">
        <f t="shared" si="1"/>
        <v>5280.4999999999991</v>
      </c>
      <c r="O68" s="5"/>
    </row>
    <row r="69" spans="2:15">
      <c r="B69" s="5">
        <f t="shared" si="2"/>
        <v>64</v>
      </c>
      <c r="C69" s="5" t="s">
        <v>356</v>
      </c>
      <c r="D69" s="5" t="s">
        <v>628</v>
      </c>
      <c r="E69" s="5" t="s">
        <v>881</v>
      </c>
      <c r="F69" s="5"/>
      <c r="G69" s="5">
        <v>90</v>
      </c>
      <c r="H69" s="5">
        <v>103.5</v>
      </c>
      <c r="I69" s="5"/>
      <c r="J69" s="5"/>
      <c r="K69" s="5"/>
      <c r="L69" s="5"/>
      <c r="M69" s="5"/>
      <c r="N69" s="5">
        <f t="shared" si="1"/>
        <v>5383.9999999999991</v>
      </c>
      <c r="O69" s="5"/>
    </row>
    <row r="70" spans="2:15">
      <c r="B70" s="5">
        <f t="shared" ref="B70:B86" si="3">1+B69</f>
        <v>65</v>
      </c>
      <c r="C70" s="5" t="s">
        <v>375</v>
      </c>
      <c r="D70" s="5" t="s">
        <v>315</v>
      </c>
      <c r="E70" s="5" t="s">
        <v>881</v>
      </c>
      <c r="F70" s="5"/>
      <c r="G70" s="5">
        <v>90</v>
      </c>
      <c r="H70" s="5">
        <v>143.69999999999999</v>
      </c>
      <c r="I70" s="5"/>
      <c r="J70" s="5"/>
      <c r="K70" s="5"/>
      <c r="L70" s="5"/>
      <c r="M70" s="5"/>
      <c r="N70" s="5">
        <f t="shared" si="1"/>
        <v>5527.6999999999989</v>
      </c>
      <c r="O70" s="5"/>
    </row>
    <row r="71" spans="2:15">
      <c r="B71" s="5">
        <f t="shared" si="3"/>
        <v>66</v>
      </c>
      <c r="C71" s="5" t="s">
        <v>279</v>
      </c>
      <c r="D71" s="5" t="s">
        <v>399</v>
      </c>
      <c r="E71" s="5" t="s">
        <v>881</v>
      </c>
      <c r="F71" s="5"/>
      <c r="G71" s="5">
        <v>90</v>
      </c>
      <c r="H71" s="5">
        <v>160</v>
      </c>
      <c r="I71" s="5"/>
      <c r="J71" s="5"/>
      <c r="K71" s="5"/>
      <c r="L71" s="5"/>
      <c r="M71" s="5"/>
      <c r="N71" s="5">
        <f t="shared" si="1"/>
        <v>5687.6999999999989</v>
      </c>
      <c r="O71" s="5"/>
    </row>
    <row r="72" spans="2:15">
      <c r="B72" s="5">
        <f t="shared" si="3"/>
        <v>67</v>
      </c>
      <c r="C72" s="5" t="s">
        <v>399</v>
      </c>
      <c r="D72" s="5" t="s">
        <v>253</v>
      </c>
      <c r="E72" s="5" t="s">
        <v>881</v>
      </c>
      <c r="F72" s="5"/>
      <c r="G72" s="5">
        <v>90</v>
      </c>
      <c r="H72" s="5">
        <v>282.89999999999998</v>
      </c>
      <c r="I72" s="5"/>
      <c r="J72" s="5"/>
      <c r="K72" s="5"/>
      <c r="L72" s="5"/>
      <c r="M72" s="5"/>
      <c r="N72" s="5">
        <f t="shared" ref="N72:N130" si="4">N71+H72</f>
        <v>5970.5999999999985</v>
      </c>
      <c r="O72" s="5"/>
    </row>
    <row r="73" spans="2:15">
      <c r="B73" s="5">
        <f t="shared" si="3"/>
        <v>68</v>
      </c>
      <c r="C73" s="5" t="s">
        <v>251</v>
      </c>
      <c r="D73" s="5" t="s">
        <v>282</v>
      </c>
      <c r="E73" s="5" t="s">
        <v>881</v>
      </c>
      <c r="F73" s="5"/>
      <c r="G73" s="5">
        <v>90</v>
      </c>
      <c r="H73" s="5">
        <v>109.1</v>
      </c>
      <c r="I73" s="5"/>
      <c r="J73" s="5"/>
      <c r="K73" s="5"/>
      <c r="L73" s="5"/>
      <c r="M73" s="5"/>
      <c r="N73" s="5">
        <f t="shared" si="4"/>
        <v>6079.6999999999989</v>
      </c>
      <c r="O73" s="5"/>
    </row>
    <row r="74" spans="2:15">
      <c r="B74" s="5">
        <f t="shared" si="3"/>
        <v>69</v>
      </c>
      <c r="C74" s="5" t="s">
        <v>282</v>
      </c>
      <c r="D74" s="5" t="s">
        <v>349</v>
      </c>
      <c r="E74" s="5" t="s">
        <v>881</v>
      </c>
      <c r="F74" s="5"/>
      <c r="G74" s="5">
        <v>90</v>
      </c>
      <c r="H74" s="5">
        <v>156.80000000000001</v>
      </c>
      <c r="I74" s="5"/>
      <c r="J74" s="5"/>
      <c r="K74" s="5"/>
      <c r="L74" s="5"/>
      <c r="M74" s="5"/>
      <c r="N74" s="5">
        <f t="shared" si="4"/>
        <v>6236.4999999999991</v>
      </c>
      <c r="O74" s="5"/>
    </row>
    <row r="75" spans="2:15">
      <c r="B75" s="5">
        <f t="shared" si="3"/>
        <v>70</v>
      </c>
      <c r="C75" s="5" t="s">
        <v>547</v>
      </c>
      <c r="D75" s="5" t="s">
        <v>904</v>
      </c>
      <c r="E75" s="5" t="s">
        <v>881</v>
      </c>
      <c r="F75" s="5"/>
      <c r="G75" s="5">
        <v>90</v>
      </c>
      <c r="H75" s="5">
        <v>178.7</v>
      </c>
      <c r="I75" s="5"/>
      <c r="J75" s="5"/>
      <c r="K75" s="5"/>
      <c r="L75" s="5"/>
      <c r="M75" s="5"/>
      <c r="N75" s="5">
        <f t="shared" si="4"/>
        <v>6415.1999999999989</v>
      </c>
      <c r="O75" s="5"/>
    </row>
    <row r="76" spans="2:15">
      <c r="B76" s="5">
        <f t="shared" si="3"/>
        <v>71</v>
      </c>
      <c r="C76" s="5" t="s">
        <v>904</v>
      </c>
      <c r="D76" s="5" t="s">
        <v>241</v>
      </c>
      <c r="E76" s="5" t="s">
        <v>881</v>
      </c>
      <c r="F76" s="5"/>
      <c r="G76" s="5">
        <v>90</v>
      </c>
      <c r="H76" s="5">
        <v>27.8</v>
      </c>
      <c r="I76" s="5"/>
      <c r="J76" s="5"/>
      <c r="K76" s="5"/>
      <c r="L76" s="5"/>
      <c r="M76" s="5"/>
      <c r="N76" s="5">
        <f t="shared" si="4"/>
        <v>6442.9999999999991</v>
      </c>
      <c r="O76" s="5"/>
    </row>
    <row r="77" spans="2:15">
      <c r="B77" s="5">
        <f t="shared" si="3"/>
        <v>72</v>
      </c>
      <c r="C77" s="5" t="s">
        <v>148</v>
      </c>
      <c r="D77" s="5" t="s">
        <v>110</v>
      </c>
      <c r="E77" s="5" t="s">
        <v>881</v>
      </c>
      <c r="F77" s="5"/>
      <c r="G77" s="5">
        <v>90</v>
      </c>
      <c r="H77" s="5">
        <v>142.1</v>
      </c>
      <c r="I77" s="5"/>
      <c r="J77" s="5"/>
      <c r="K77" s="5"/>
      <c r="L77" s="5"/>
      <c r="M77" s="5"/>
      <c r="N77" s="5">
        <f t="shared" si="4"/>
        <v>6585.0999999999995</v>
      </c>
      <c r="O77" s="5"/>
    </row>
    <row r="78" spans="2:15">
      <c r="B78" s="5">
        <f t="shared" si="3"/>
        <v>73</v>
      </c>
      <c r="C78" s="5" t="s">
        <v>110</v>
      </c>
      <c r="D78" s="5" t="s">
        <v>167</v>
      </c>
      <c r="E78" s="5" t="s">
        <v>881</v>
      </c>
      <c r="F78" s="5"/>
      <c r="G78" s="5">
        <v>90</v>
      </c>
      <c r="H78" s="5">
        <v>131.94999999999999</v>
      </c>
      <c r="I78" s="5"/>
      <c r="J78" s="5"/>
      <c r="K78" s="5"/>
      <c r="L78" s="5"/>
      <c r="M78" s="5"/>
      <c r="N78" s="5">
        <f t="shared" si="4"/>
        <v>6717.0499999999993</v>
      </c>
      <c r="O78" s="5"/>
    </row>
    <row r="79" spans="2:15">
      <c r="B79" s="5">
        <f t="shared" si="3"/>
        <v>74</v>
      </c>
      <c r="C79" s="5" t="s">
        <v>882</v>
      </c>
      <c r="D79" s="5" t="s">
        <v>376</v>
      </c>
      <c r="E79" s="5" t="s">
        <v>881</v>
      </c>
      <c r="F79" s="5"/>
      <c r="G79" s="5">
        <v>90</v>
      </c>
      <c r="H79" s="5">
        <v>96</v>
      </c>
      <c r="I79" s="5"/>
      <c r="J79" s="5"/>
      <c r="K79" s="5"/>
      <c r="L79" s="5"/>
      <c r="M79" s="5"/>
      <c r="N79" s="5">
        <f t="shared" si="4"/>
        <v>6813.0499999999993</v>
      </c>
      <c r="O79" s="5"/>
    </row>
    <row r="80" spans="2:15">
      <c r="B80" s="5">
        <f t="shared" si="3"/>
        <v>75</v>
      </c>
      <c r="C80" s="5" t="s">
        <v>376</v>
      </c>
      <c r="D80" s="5" t="s">
        <v>110</v>
      </c>
      <c r="E80" s="5" t="s">
        <v>881</v>
      </c>
      <c r="F80" s="5"/>
      <c r="G80" s="5">
        <v>90</v>
      </c>
      <c r="H80" s="5">
        <v>193.2</v>
      </c>
      <c r="I80" s="5"/>
      <c r="J80" s="5"/>
      <c r="K80" s="5"/>
      <c r="L80" s="5"/>
      <c r="M80" s="5"/>
      <c r="N80" s="5">
        <f t="shared" si="4"/>
        <v>7006.2499999999991</v>
      </c>
      <c r="O80" s="5"/>
    </row>
    <row r="81" spans="2:15">
      <c r="B81" s="5">
        <f t="shared" si="3"/>
        <v>76</v>
      </c>
      <c r="C81" s="5" t="s">
        <v>905</v>
      </c>
      <c r="D81" s="5" t="s">
        <v>902</v>
      </c>
      <c r="E81" s="5" t="s">
        <v>881</v>
      </c>
      <c r="F81" s="5"/>
      <c r="G81" s="5">
        <v>90</v>
      </c>
      <c r="H81" s="5">
        <v>47</v>
      </c>
      <c r="I81" s="5"/>
      <c r="J81" s="5"/>
      <c r="K81" s="5"/>
      <c r="L81" s="5"/>
      <c r="M81" s="5"/>
      <c r="N81" s="5">
        <f t="shared" si="4"/>
        <v>7053.2499999999991</v>
      </c>
      <c r="O81" s="5"/>
    </row>
    <row r="82" spans="2:15">
      <c r="B82" s="5">
        <f t="shared" si="3"/>
        <v>77</v>
      </c>
      <c r="C82" s="5" t="s">
        <v>906</v>
      </c>
      <c r="D82" s="5" t="s">
        <v>907</v>
      </c>
      <c r="E82" s="5" t="s">
        <v>45</v>
      </c>
      <c r="F82" s="5">
        <v>0.39</v>
      </c>
      <c r="G82" s="5">
        <v>90</v>
      </c>
      <c r="H82" s="5">
        <v>47</v>
      </c>
      <c r="I82" s="5"/>
      <c r="J82" s="5"/>
      <c r="K82" s="5"/>
      <c r="L82" s="5"/>
      <c r="M82" s="5"/>
      <c r="N82" s="5">
        <f t="shared" si="4"/>
        <v>7100.2499999999991</v>
      </c>
      <c r="O82" s="5">
        <v>47</v>
      </c>
    </row>
    <row r="83" spans="2:15">
      <c r="B83" s="5">
        <f t="shared" si="3"/>
        <v>78</v>
      </c>
      <c r="C83" s="5" t="s">
        <v>907</v>
      </c>
      <c r="D83" s="5" t="s">
        <v>891</v>
      </c>
      <c r="E83" s="5" t="s">
        <v>45</v>
      </c>
      <c r="F83" s="5">
        <v>0.39</v>
      </c>
      <c r="G83" s="5">
        <v>90</v>
      </c>
      <c r="H83" s="5">
        <f>270-H84</f>
        <v>190.2</v>
      </c>
      <c r="I83" s="5"/>
      <c r="J83" s="5"/>
      <c r="K83" s="5"/>
      <c r="L83" s="5"/>
      <c r="M83" s="5"/>
      <c r="N83" s="5">
        <f t="shared" si="4"/>
        <v>7290.4499999999989</v>
      </c>
      <c r="O83" s="5">
        <v>270</v>
      </c>
    </row>
    <row r="84" spans="2:15">
      <c r="B84" s="5">
        <f t="shared" si="3"/>
        <v>79</v>
      </c>
      <c r="C84" s="5" t="s">
        <v>907</v>
      </c>
      <c r="D84" s="5" t="s">
        <v>891</v>
      </c>
      <c r="E84" s="5" t="s">
        <v>881</v>
      </c>
      <c r="F84" s="5"/>
      <c r="G84" s="5">
        <v>90</v>
      </c>
      <c r="H84" s="5">
        <v>79.8</v>
      </c>
      <c r="I84" s="5"/>
      <c r="J84" s="5"/>
      <c r="K84" s="5"/>
      <c r="L84" s="5"/>
      <c r="M84" s="5"/>
      <c r="N84" s="5">
        <f t="shared" si="4"/>
        <v>7370.2499999999991</v>
      </c>
      <c r="O84" s="5"/>
    </row>
    <row r="85" spans="2:15">
      <c r="B85" s="5">
        <f t="shared" si="3"/>
        <v>80</v>
      </c>
      <c r="C85" s="5" t="s">
        <v>891</v>
      </c>
      <c r="D85" s="5" t="s">
        <v>907</v>
      </c>
      <c r="E85" s="5" t="s">
        <v>45</v>
      </c>
      <c r="F85" s="5">
        <v>0.39</v>
      </c>
      <c r="G85" s="5">
        <v>90</v>
      </c>
      <c r="H85" s="5">
        <v>153</v>
      </c>
      <c r="I85" s="5"/>
      <c r="J85" s="5"/>
      <c r="K85" s="5"/>
      <c r="L85" s="5"/>
      <c r="M85" s="5"/>
      <c r="N85" s="5">
        <f t="shared" si="4"/>
        <v>7523.2499999999991</v>
      </c>
      <c r="O85" s="5">
        <v>153</v>
      </c>
    </row>
    <row r="86" spans="2:15">
      <c r="B86" s="5">
        <f t="shared" si="3"/>
        <v>81</v>
      </c>
      <c r="C86" s="5" t="s">
        <v>908</v>
      </c>
      <c r="D86" s="5" t="s">
        <v>909</v>
      </c>
      <c r="E86" s="5" t="s">
        <v>45</v>
      </c>
      <c r="F86" s="5">
        <v>0.39</v>
      </c>
      <c r="G86" s="5">
        <v>90</v>
      </c>
      <c r="H86" s="5">
        <v>74</v>
      </c>
      <c r="I86" s="5"/>
      <c r="J86" s="5"/>
      <c r="K86" s="5"/>
      <c r="L86" s="5"/>
      <c r="M86" s="5"/>
      <c r="N86" s="5">
        <f t="shared" si="4"/>
        <v>7597.2499999999991</v>
      </c>
      <c r="O86" s="5">
        <v>74</v>
      </c>
    </row>
    <row r="87" spans="2:15">
      <c r="B87" s="5">
        <v>1</v>
      </c>
      <c r="C87" s="5" t="s">
        <v>862</v>
      </c>
      <c r="D87" s="5" t="s">
        <v>228</v>
      </c>
      <c r="E87" s="5" t="s">
        <v>881</v>
      </c>
      <c r="F87" s="5"/>
      <c r="G87" s="5">
        <v>110</v>
      </c>
      <c r="H87" s="5">
        <v>13.8</v>
      </c>
      <c r="I87" s="5"/>
      <c r="J87" s="5"/>
      <c r="K87" s="5"/>
      <c r="L87" s="5"/>
      <c r="M87" s="5"/>
      <c r="N87" s="5">
        <f t="shared" si="4"/>
        <v>7611.0499999999993</v>
      </c>
      <c r="O87" s="5"/>
    </row>
    <row r="88" spans="2:15">
      <c r="B88" s="5">
        <f t="shared" ref="B88:B130" si="5">1+B87</f>
        <v>2</v>
      </c>
      <c r="C88" s="5" t="s">
        <v>228</v>
      </c>
      <c r="D88" s="5" t="s">
        <v>391</v>
      </c>
      <c r="E88" s="5" t="s">
        <v>881</v>
      </c>
      <c r="F88" s="5"/>
      <c r="G88" s="5">
        <v>110</v>
      </c>
      <c r="H88" s="5">
        <v>387.2</v>
      </c>
      <c r="I88" s="5"/>
      <c r="J88" s="5"/>
      <c r="K88" s="5"/>
      <c r="L88" s="5"/>
      <c r="M88" s="5"/>
      <c r="N88" s="5">
        <f t="shared" si="4"/>
        <v>7998.2499999999991</v>
      </c>
      <c r="O88" s="5"/>
    </row>
    <row r="89" spans="2:15">
      <c r="B89" s="5">
        <f t="shared" si="5"/>
        <v>3</v>
      </c>
      <c r="C89" s="5" t="s">
        <v>391</v>
      </c>
      <c r="D89" s="5" t="s">
        <v>350</v>
      </c>
      <c r="E89" s="5" t="s">
        <v>881</v>
      </c>
      <c r="F89" s="5"/>
      <c r="G89" s="5">
        <v>110</v>
      </c>
      <c r="H89" s="5">
        <v>63</v>
      </c>
      <c r="I89" s="5"/>
      <c r="J89" s="5"/>
      <c r="K89" s="5"/>
      <c r="L89" s="5"/>
      <c r="M89" s="5"/>
      <c r="N89" s="5">
        <f t="shared" si="4"/>
        <v>8061.2499999999991</v>
      </c>
      <c r="O89" s="5"/>
    </row>
    <row r="90" spans="2:15">
      <c r="B90" s="5">
        <f t="shared" si="5"/>
        <v>4</v>
      </c>
      <c r="C90" s="5" t="s">
        <v>350</v>
      </c>
      <c r="D90" s="5" t="s">
        <v>418</v>
      </c>
      <c r="E90" s="5" t="s">
        <v>881</v>
      </c>
      <c r="F90" s="5"/>
      <c r="G90" s="5">
        <v>110</v>
      </c>
      <c r="H90" s="5">
        <v>298.14999999999998</v>
      </c>
      <c r="I90" s="5"/>
      <c r="J90" s="5"/>
      <c r="K90" s="5"/>
      <c r="L90" s="5"/>
      <c r="M90" s="5"/>
      <c r="N90" s="5">
        <f t="shared" si="4"/>
        <v>8359.4</v>
      </c>
      <c r="O90" s="5"/>
    </row>
    <row r="91" spans="2:15">
      <c r="B91" s="5">
        <f t="shared" si="5"/>
        <v>5</v>
      </c>
      <c r="C91" s="5" t="s">
        <v>418</v>
      </c>
      <c r="D91" s="5" t="s">
        <v>523</v>
      </c>
      <c r="E91" s="5" t="s">
        <v>881</v>
      </c>
      <c r="F91" s="5"/>
      <c r="G91" s="5">
        <v>110</v>
      </c>
      <c r="H91" s="5">
        <v>40</v>
      </c>
      <c r="I91" s="5"/>
      <c r="J91" s="5"/>
      <c r="K91" s="5"/>
      <c r="L91" s="5"/>
      <c r="M91" s="5"/>
      <c r="N91" s="5">
        <f t="shared" si="4"/>
        <v>8399.4</v>
      </c>
      <c r="O91" s="5"/>
    </row>
    <row r="92" spans="2:15">
      <c r="B92" s="5">
        <f t="shared" si="5"/>
        <v>6</v>
      </c>
      <c r="C92" s="5" t="s">
        <v>523</v>
      </c>
      <c r="D92" s="5" t="s">
        <v>238</v>
      </c>
      <c r="E92" s="5" t="s">
        <v>881</v>
      </c>
      <c r="F92" s="5"/>
      <c r="G92" s="5">
        <v>110</v>
      </c>
      <c r="H92" s="5">
        <v>111.2</v>
      </c>
      <c r="I92" s="5"/>
      <c r="J92" s="5"/>
      <c r="K92" s="5"/>
      <c r="L92" s="5"/>
      <c r="M92" s="5"/>
      <c r="N92" s="5">
        <f t="shared" si="4"/>
        <v>8510.6</v>
      </c>
      <c r="O92" s="5"/>
    </row>
    <row r="93" spans="2:15">
      <c r="B93" s="5">
        <f t="shared" si="5"/>
        <v>7</v>
      </c>
      <c r="C93" s="5" t="s">
        <v>283</v>
      </c>
      <c r="D93" s="5" t="s">
        <v>417</v>
      </c>
      <c r="E93" s="5" t="s">
        <v>881</v>
      </c>
      <c r="F93" s="5"/>
      <c r="G93" s="5">
        <v>110</v>
      </c>
      <c r="H93" s="5">
        <v>118.5</v>
      </c>
      <c r="I93" s="5"/>
      <c r="J93" s="5"/>
      <c r="K93" s="5"/>
      <c r="L93" s="5"/>
      <c r="M93" s="5"/>
      <c r="N93" s="5">
        <f t="shared" si="4"/>
        <v>8629.1</v>
      </c>
      <c r="O93" s="5"/>
    </row>
    <row r="94" spans="2:15">
      <c r="B94" s="5">
        <f t="shared" si="5"/>
        <v>8</v>
      </c>
      <c r="C94" s="5" t="s">
        <v>258</v>
      </c>
      <c r="D94" s="5" t="s">
        <v>247</v>
      </c>
      <c r="E94" s="5" t="s">
        <v>881</v>
      </c>
      <c r="F94" s="5"/>
      <c r="G94" s="5">
        <v>110</v>
      </c>
      <c r="H94" s="5">
        <v>67.400000000000006</v>
      </c>
      <c r="I94" s="5"/>
      <c r="J94" s="5"/>
      <c r="K94" s="5"/>
      <c r="L94" s="5"/>
      <c r="M94" s="5"/>
      <c r="N94" s="5">
        <f t="shared" si="4"/>
        <v>8696.5</v>
      </c>
      <c r="O94" s="5"/>
    </row>
    <row r="95" spans="2:15">
      <c r="B95" s="5">
        <f t="shared" si="5"/>
        <v>9</v>
      </c>
      <c r="C95" s="5" t="s">
        <v>897</v>
      </c>
      <c r="D95" s="5" t="s">
        <v>905</v>
      </c>
      <c r="E95" s="5" t="s">
        <v>45</v>
      </c>
      <c r="F95" s="5">
        <v>0.44</v>
      </c>
      <c r="G95" s="5">
        <v>110</v>
      </c>
      <c r="H95" s="5">
        <v>39</v>
      </c>
      <c r="I95" s="5"/>
      <c r="J95" s="5"/>
      <c r="K95" s="5"/>
      <c r="L95" s="5"/>
      <c r="M95" s="5"/>
      <c r="N95" s="5">
        <f t="shared" si="4"/>
        <v>8735.5</v>
      </c>
      <c r="O95" s="5">
        <v>39</v>
      </c>
    </row>
    <row r="96" spans="2:15">
      <c r="B96" s="5">
        <f t="shared" si="5"/>
        <v>10</v>
      </c>
      <c r="C96" s="5" t="s">
        <v>905</v>
      </c>
      <c r="D96" s="5" t="s">
        <v>886</v>
      </c>
      <c r="E96" s="5" t="s">
        <v>881</v>
      </c>
      <c r="F96" s="5"/>
      <c r="G96" s="5">
        <v>110</v>
      </c>
      <c r="H96" s="5">
        <v>32</v>
      </c>
      <c r="I96" s="5"/>
      <c r="J96" s="5"/>
      <c r="K96" s="5"/>
      <c r="L96" s="5"/>
      <c r="M96" s="5"/>
      <c r="N96" s="5">
        <f t="shared" si="4"/>
        <v>8767.5</v>
      </c>
      <c r="O96" s="5"/>
    </row>
    <row r="97" spans="2:15">
      <c r="B97" s="5">
        <f t="shared" si="5"/>
        <v>11</v>
      </c>
      <c r="C97" s="5" t="s">
        <v>886</v>
      </c>
      <c r="D97" s="5" t="s">
        <v>889</v>
      </c>
      <c r="E97" s="5" t="s">
        <v>881</v>
      </c>
      <c r="F97" s="5"/>
      <c r="G97" s="5">
        <v>110</v>
      </c>
      <c r="H97" s="5">
        <v>28</v>
      </c>
      <c r="I97" s="5"/>
      <c r="J97" s="5"/>
      <c r="K97" s="5"/>
      <c r="L97" s="5"/>
      <c r="M97" s="5"/>
      <c r="N97" s="5">
        <f t="shared" si="4"/>
        <v>8795.5</v>
      </c>
      <c r="O97" s="5"/>
    </row>
    <row r="98" spans="2:15">
      <c r="B98" s="5">
        <f t="shared" si="5"/>
        <v>12</v>
      </c>
      <c r="C98" s="5" t="s">
        <v>77</v>
      </c>
      <c r="D98" s="5" t="s">
        <v>906</v>
      </c>
      <c r="E98" s="5" t="s">
        <v>881</v>
      </c>
      <c r="F98" s="5"/>
      <c r="G98" s="5">
        <v>110</v>
      </c>
      <c r="H98" s="5">
        <v>136</v>
      </c>
      <c r="I98" s="8"/>
      <c r="J98" s="5"/>
      <c r="K98" s="5"/>
      <c r="L98" s="5"/>
      <c r="M98" s="5"/>
      <c r="N98" s="5">
        <f t="shared" si="4"/>
        <v>8931.5</v>
      </c>
      <c r="O98" s="5"/>
    </row>
    <row r="99" spans="2:15">
      <c r="B99" s="5">
        <f t="shared" si="5"/>
        <v>13</v>
      </c>
      <c r="C99" s="5" t="s">
        <v>77</v>
      </c>
      <c r="D99" s="5" t="s">
        <v>906</v>
      </c>
      <c r="E99" s="5" t="s">
        <v>45</v>
      </c>
      <c r="F99" s="5">
        <v>0.44</v>
      </c>
      <c r="G99" s="5">
        <v>110</v>
      </c>
      <c r="H99" s="5">
        <v>10</v>
      </c>
      <c r="I99" s="8"/>
      <c r="J99" s="5"/>
      <c r="K99" s="5"/>
      <c r="L99" s="5"/>
      <c r="M99" s="5"/>
      <c r="N99" s="5">
        <f t="shared" si="4"/>
        <v>8941.5</v>
      </c>
      <c r="O99" s="5">
        <v>10</v>
      </c>
    </row>
    <row r="100" spans="2:15">
      <c r="B100" s="5">
        <f t="shared" si="5"/>
        <v>14</v>
      </c>
      <c r="C100" s="5" t="s">
        <v>903</v>
      </c>
      <c r="D100" s="5" t="s">
        <v>910</v>
      </c>
      <c r="E100" s="5" t="s">
        <v>45</v>
      </c>
      <c r="F100" s="5">
        <v>0.44</v>
      </c>
      <c r="G100" s="5">
        <v>110</v>
      </c>
      <c r="H100" s="5">
        <v>40</v>
      </c>
      <c r="I100" s="5"/>
      <c r="J100" s="5"/>
      <c r="K100" s="5"/>
      <c r="L100" s="5"/>
      <c r="M100" s="5"/>
      <c r="N100" s="5">
        <f t="shared" si="4"/>
        <v>8981.5</v>
      </c>
      <c r="O100" s="5">
        <v>40</v>
      </c>
    </row>
    <row r="101" spans="2:15">
      <c r="B101" s="5">
        <f t="shared" si="5"/>
        <v>15</v>
      </c>
      <c r="C101" s="5" t="s">
        <v>238</v>
      </c>
      <c r="D101" s="5" t="s">
        <v>307</v>
      </c>
      <c r="E101" s="5" t="s">
        <v>881</v>
      </c>
      <c r="F101" s="5"/>
      <c r="G101" s="5">
        <v>160</v>
      </c>
      <c r="H101" s="5">
        <v>69</v>
      </c>
      <c r="I101" s="5"/>
      <c r="J101" s="5"/>
      <c r="K101" s="5"/>
      <c r="L101" s="5"/>
      <c r="M101" s="5"/>
      <c r="N101" s="5">
        <f t="shared" si="4"/>
        <v>9050.5</v>
      </c>
      <c r="O101" s="5"/>
    </row>
    <row r="102" spans="2:15" ht="15.75">
      <c r="B102" s="5">
        <f t="shared" si="5"/>
        <v>16</v>
      </c>
      <c r="C102" s="5" t="s">
        <v>307</v>
      </c>
      <c r="D102" s="5" t="s">
        <v>413</v>
      </c>
      <c r="E102" s="92" t="s">
        <v>301</v>
      </c>
      <c r="F102" s="5">
        <v>0.44</v>
      </c>
      <c r="G102" s="5">
        <v>160</v>
      </c>
      <c r="H102" s="5">
        <v>255.85</v>
      </c>
      <c r="I102" s="5"/>
      <c r="J102" s="5"/>
      <c r="K102" s="5"/>
      <c r="L102" s="5"/>
      <c r="M102" s="63"/>
      <c r="N102" s="5">
        <f t="shared" si="4"/>
        <v>9306.35</v>
      </c>
      <c r="O102" s="5">
        <v>256</v>
      </c>
    </row>
    <row r="103" spans="2:15">
      <c r="B103" s="5">
        <f t="shared" si="5"/>
        <v>17</v>
      </c>
      <c r="C103" s="5" t="s">
        <v>413</v>
      </c>
      <c r="D103" s="5" t="s">
        <v>525</v>
      </c>
      <c r="E103" s="5" t="s">
        <v>881</v>
      </c>
      <c r="F103" s="5"/>
      <c r="G103" s="5">
        <v>160</v>
      </c>
      <c r="H103" s="5">
        <v>901.2</v>
      </c>
      <c r="I103" s="5"/>
      <c r="J103" s="5"/>
      <c r="K103" s="5"/>
      <c r="L103" s="5"/>
      <c r="M103" s="5"/>
      <c r="N103" s="5">
        <f t="shared" si="4"/>
        <v>10207.550000000001</v>
      </c>
      <c r="O103" s="5"/>
    </row>
    <row r="104" spans="2:15">
      <c r="B104" s="5">
        <f t="shared" si="5"/>
        <v>18</v>
      </c>
      <c r="C104" s="5" t="s">
        <v>525</v>
      </c>
      <c r="D104" s="5" t="s">
        <v>506</v>
      </c>
      <c r="E104" s="5" t="s">
        <v>881</v>
      </c>
      <c r="F104" s="5"/>
      <c r="G104" s="5">
        <v>160</v>
      </c>
      <c r="H104" s="5">
        <v>62</v>
      </c>
      <c r="I104" s="5"/>
      <c r="J104" s="5"/>
      <c r="K104" s="5"/>
      <c r="L104" s="5"/>
      <c r="M104" s="5"/>
      <c r="N104" s="5">
        <f t="shared" si="4"/>
        <v>10269.550000000001</v>
      </c>
      <c r="O104" s="5"/>
    </row>
    <row r="105" spans="2:15">
      <c r="B105" s="5">
        <f t="shared" si="5"/>
        <v>19</v>
      </c>
      <c r="C105" s="5" t="s">
        <v>506</v>
      </c>
      <c r="D105" s="5" t="s">
        <v>524</v>
      </c>
      <c r="E105" s="5" t="s">
        <v>881</v>
      </c>
      <c r="F105" s="5"/>
      <c r="G105" s="5">
        <v>160</v>
      </c>
      <c r="H105" s="5">
        <v>65.3</v>
      </c>
      <c r="I105" s="5"/>
      <c r="J105" s="5"/>
      <c r="K105" s="5"/>
      <c r="L105" s="5"/>
      <c r="M105" s="5"/>
      <c r="N105" s="5">
        <f t="shared" si="4"/>
        <v>10334.85</v>
      </c>
      <c r="O105" s="5"/>
    </row>
    <row r="106" spans="2:15">
      <c r="B106" s="5">
        <f t="shared" si="5"/>
        <v>20</v>
      </c>
      <c r="C106" s="5" t="s">
        <v>524</v>
      </c>
      <c r="D106" s="5" t="s">
        <v>269</v>
      </c>
      <c r="E106" s="5" t="s">
        <v>881</v>
      </c>
      <c r="F106" s="5"/>
      <c r="G106" s="5">
        <v>160</v>
      </c>
      <c r="H106" s="5">
        <v>31.7</v>
      </c>
      <c r="I106" s="5"/>
      <c r="J106" s="5"/>
      <c r="K106" s="5"/>
      <c r="L106" s="5"/>
      <c r="M106" s="5"/>
      <c r="N106" s="5">
        <f t="shared" si="4"/>
        <v>10366.550000000001</v>
      </c>
      <c r="O106" s="5"/>
    </row>
    <row r="107" spans="2:15">
      <c r="B107" s="5">
        <f t="shared" si="5"/>
        <v>21</v>
      </c>
      <c r="C107" s="5" t="s">
        <v>269</v>
      </c>
      <c r="D107" s="5" t="s">
        <v>236</v>
      </c>
      <c r="E107" s="5" t="s">
        <v>881</v>
      </c>
      <c r="F107" s="5"/>
      <c r="G107" s="5">
        <v>160</v>
      </c>
      <c r="H107" s="5">
        <v>33.1</v>
      </c>
      <c r="I107" s="5"/>
      <c r="J107" s="5"/>
      <c r="K107" s="5"/>
      <c r="L107" s="5"/>
      <c r="M107" s="5"/>
      <c r="N107" s="5">
        <f t="shared" si="4"/>
        <v>10399.650000000001</v>
      </c>
      <c r="O107" s="5"/>
    </row>
    <row r="108" spans="2:15">
      <c r="B108" s="5">
        <f t="shared" si="5"/>
        <v>22</v>
      </c>
      <c r="C108" s="5" t="s">
        <v>236</v>
      </c>
      <c r="D108" s="5" t="s">
        <v>346</v>
      </c>
      <c r="E108" s="5" t="s">
        <v>881</v>
      </c>
      <c r="F108" s="5"/>
      <c r="G108" s="5">
        <v>160</v>
      </c>
      <c r="H108" s="5">
        <v>67.5</v>
      </c>
      <c r="I108" s="5"/>
      <c r="J108" s="5"/>
      <c r="K108" s="5"/>
      <c r="L108" s="5"/>
      <c r="M108" s="5"/>
      <c r="N108" s="5">
        <f t="shared" si="4"/>
        <v>10467.150000000001</v>
      </c>
      <c r="O108" s="5"/>
    </row>
    <row r="109" spans="2:15">
      <c r="B109" s="5">
        <f t="shared" si="5"/>
        <v>23</v>
      </c>
      <c r="C109" s="5" t="s">
        <v>346</v>
      </c>
      <c r="D109" s="5" t="s">
        <v>345</v>
      </c>
      <c r="E109" s="5" t="s">
        <v>881</v>
      </c>
      <c r="F109" s="5"/>
      <c r="G109" s="5">
        <v>160</v>
      </c>
      <c r="H109" s="5">
        <v>26.2</v>
      </c>
      <c r="I109" s="5"/>
      <c r="J109" s="5"/>
      <c r="K109" s="5"/>
      <c r="L109" s="5"/>
      <c r="M109" s="5"/>
      <c r="N109" s="5">
        <f t="shared" si="4"/>
        <v>10493.350000000002</v>
      </c>
      <c r="O109" s="5"/>
    </row>
    <row r="110" spans="2:15">
      <c r="B110" s="5">
        <f t="shared" si="5"/>
        <v>24</v>
      </c>
      <c r="C110" s="5" t="s">
        <v>345</v>
      </c>
      <c r="D110" s="5" t="s">
        <v>213</v>
      </c>
      <c r="E110" s="5" t="s">
        <v>881</v>
      </c>
      <c r="F110" s="5"/>
      <c r="G110" s="5">
        <v>160</v>
      </c>
      <c r="H110" s="5">
        <v>43.7</v>
      </c>
      <c r="I110" s="5"/>
      <c r="J110" s="5"/>
      <c r="K110" s="5"/>
      <c r="L110" s="5"/>
      <c r="M110" s="5"/>
      <c r="N110" s="5">
        <f t="shared" si="4"/>
        <v>10537.050000000003</v>
      </c>
      <c r="O110" s="5"/>
    </row>
    <row r="111" spans="2:15">
      <c r="B111" s="5">
        <f t="shared" si="5"/>
        <v>25</v>
      </c>
      <c r="C111" s="5" t="s">
        <v>213</v>
      </c>
      <c r="D111" s="5" t="s">
        <v>687</v>
      </c>
      <c r="E111" s="5" t="s">
        <v>881</v>
      </c>
      <c r="F111" s="5"/>
      <c r="G111" s="5">
        <v>160</v>
      </c>
      <c r="H111" s="5">
        <v>47</v>
      </c>
      <c r="I111" s="5"/>
      <c r="J111" s="5"/>
      <c r="K111" s="5"/>
      <c r="L111" s="5"/>
      <c r="M111" s="5"/>
      <c r="N111" s="5">
        <f t="shared" si="4"/>
        <v>10584.050000000003</v>
      </c>
      <c r="O111" s="5"/>
    </row>
    <row r="112" spans="2:15">
      <c r="B112" s="5">
        <f t="shared" si="5"/>
        <v>26</v>
      </c>
      <c r="C112" s="5" t="s">
        <v>687</v>
      </c>
      <c r="D112" s="5" t="s">
        <v>283</v>
      </c>
      <c r="E112" s="5" t="s">
        <v>881</v>
      </c>
      <c r="F112" s="5"/>
      <c r="G112" s="5">
        <v>160</v>
      </c>
      <c r="H112" s="5">
        <v>196</v>
      </c>
      <c r="I112" s="5"/>
      <c r="J112" s="5"/>
      <c r="K112" s="5"/>
      <c r="L112" s="5"/>
      <c r="M112" s="5"/>
      <c r="N112" s="5">
        <f t="shared" si="4"/>
        <v>10780.050000000003</v>
      </c>
      <c r="O112" s="5"/>
    </row>
    <row r="113" spans="2:15">
      <c r="B113" s="5">
        <f t="shared" si="5"/>
        <v>27</v>
      </c>
      <c r="C113" s="5" t="s">
        <v>283</v>
      </c>
      <c r="D113" s="5" t="s">
        <v>258</v>
      </c>
      <c r="E113" s="5" t="s">
        <v>881</v>
      </c>
      <c r="F113" s="5"/>
      <c r="G113" s="5">
        <v>160</v>
      </c>
      <c r="H113" s="5">
        <v>173</v>
      </c>
      <c r="I113" s="5"/>
      <c r="J113" s="5"/>
      <c r="K113" s="5"/>
      <c r="L113" s="5"/>
      <c r="M113" s="5"/>
      <c r="N113" s="5">
        <f t="shared" si="4"/>
        <v>10953.050000000003</v>
      </c>
      <c r="O113" s="5"/>
    </row>
    <row r="114" spans="2:15">
      <c r="B114" s="5">
        <f t="shared" si="5"/>
        <v>28</v>
      </c>
      <c r="C114" s="5" t="s">
        <v>258</v>
      </c>
      <c r="D114" s="5" t="s">
        <v>396</v>
      </c>
      <c r="E114" s="5" t="s">
        <v>881</v>
      </c>
      <c r="F114" s="5"/>
      <c r="G114" s="5">
        <v>160</v>
      </c>
      <c r="H114" s="5">
        <v>136.80000000000001</v>
      </c>
      <c r="I114" s="5"/>
      <c r="J114" s="5"/>
      <c r="K114" s="5"/>
      <c r="L114" s="5"/>
      <c r="M114" s="5"/>
      <c r="N114" s="5">
        <f t="shared" si="4"/>
        <v>11089.850000000002</v>
      </c>
      <c r="O114" s="5"/>
    </row>
    <row r="115" spans="2:15">
      <c r="B115" s="5">
        <f t="shared" si="5"/>
        <v>29</v>
      </c>
      <c r="C115" s="5" t="s">
        <v>396</v>
      </c>
      <c r="D115" s="5" t="s">
        <v>251</v>
      </c>
      <c r="E115" s="5" t="s">
        <v>881</v>
      </c>
      <c r="F115" s="5"/>
      <c r="G115" s="5">
        <v>160</v>
      </c>
      <c r="H115" s="5">
        <v>134.19999999999999</v>
      </c>
      <c r="I115" s="5"/>
      <c r="J115" s="5"/>
      <c r="K115" s="5"/>
      <c r="L115" s="5"/>
      <c r="M115" s="5"/>
      <c r="N115" s="5">
        <f t="shared" si="4"/>
        <v>11224.050000000003</v>
      </c>
      <c r="O115" s="5"/>
    </row>
    <row r="116" spans="2:15">
      <c r="B116" s="5">
        <f t="shared" si="5"/>
        <v>30</v>
      </c>
      <c r="C116" s="5" t="s">
        <v>241</v>
      </c>
      <c r="D116" s="5" t="s">
        <v>847</v>
      </c>
      <c r="E116" s="5" t="s">
        <v>881</v>
      </c>
      <c r="F116" s="5"/>
      <c r="G116" s="5">
        <v>160</v>
      </c>
      <c r="H116" s="5">
        <v>341.2</v>
      </c>
      <c r="I116" s="5"/>
      <c r="J116" s="5"/>
      <c r="K116" s="5"/>
      <c r="L116" s="5"/>
      <c r="M116" s="5"/>
      <c r="N116" s="5">
        <f t="shared" si="4"/>
        <v>11565.250000000004</v>
      </c>
      <c r="O116" s="5"/>
    </row>
    <row r="117" spans="2:15">
      <c r="B117" s="5">
        <f t="shared" si="5"/>
        <v>31</v>
      </c>
      <c r="C117" s="5" t="s">
        <v>847</v>
      </c>
      <c r="D117" s="5" t="s">
        <v>276</v>
      </c>
      <c r="E117" s="5" t="s">
        <v>881</v>
      </c>
      <c r="F117" s="5"/>
      <c r="G117" s="5">
        <v>160</v>
      </c>
      <c r="H117" s="5">
        <v>283.89999999999998</v>
      </c>
      <c r="I117" s="5"/>
      <c r="J117" s="5"/>
      <c r="K117" s="5"/>
      <c r="L117" s="5"/>
      <c r="M117" s="5"/>
      <c r="N117" s="5">
        <f t="shared" si="4"/>
        <v>11849.150000000003</v>
      </c>
      <c r="O117" s="5"/>
    </row>
    <row r="118" spans="2:15">
      <c r="B118" s="5">
        <f t="shared" si="5"/>
        <v>32</v>
      </c>
      <c r="C118" s="5" t="s">
        <v>276</v>
      </c>
      <c r="D118" s="5" t="s">
        <v>538</v>
      </c>
      <c r="E118" s="5" t="s">
        <v>881</v>
      </c>
      <c r="F118" s="5"/>
      <c r="G118" s="5">
        <v>160</v>
      </c>
      <c r="H118" s="5">
        <v>55</v>
      </c>
      <c r="I118" s="5"/>
      <c r="J118" s="5"/>
      <c r="K118" s="5"/>
      <c r="L118" s="5"/>
      <c r="M118" s="5"/>
      <c r="N118" s="5">
        <f t="shared" si="4"/>
        <v>11904.150000000003</v>
      </c>
      <c r="O118" s="5"/>
    </row>
    <row r="119" spans="2:15">
      <c r="B119" s="5">
        <f t="shared" si="5"/>
        <v>33</v>
      </c>
      <c r="C119" s="5" t="s">
        <v>270</v>
      </c>
      <c r="D119" s="5" t="s">
        <v>446</v>
      </c>
      <c r="E119" s="5" t="s">
        <v>881</v>
      </c>
      <c r="F119" s="5"/>
      <c r="G119" s="5">
        <v>160</v>
      </c>
      <c r="H119" s="5" t="s">
        <v>740</v>
      </c>
      <c r="I119" s="5"/>
      <c r="J119" s="5"/>
      <c r="K119" s="5"/>
      <c r="L119" s="5"/>
      <c r="M119" s="5"/>
      <c r="N119" s="5">
        <f>+N118+H120</f>
        <v>12162.150000000003</v>
      </c>
      <c r="O119" s="5"/>
    </row>
    <row r="120" spans="2:15">
      <c r="B120" s="5">
        <f t="shared" si="5"/>
        <v>34</v>
      </c>
      <c r="C120" s="5" t="s">
        <v>446</v>
      </c>
      <c r="D120" s="5" t="s">
        <v>251</v>
      </c>
      <c r="E120" s="5" t="s">
        <v>881</v>
      </c>
      <c r="F120" s="5"/>
      <c r="G120" s="5">
        <v>160</v>
      </c>
      <c r="H120" s="5">
        <v>258</v>
      </c>
      <c r="I120" s="5"/>
      <c r="J120" s="5"/>
      <c r="K120" s="5"/>
      <c r="L120" s="5"/>
      <c r="M120" s="5"/>
      <c r="N120" s="5">
        <f t="shared" si="4"/>
        <v>12420.150000000003</v>
      </c>
      <c r="O120" s="5"/>
    </row>
    <row r="121" spans="2:15">
      <c r="B121" s="5">
        <f t="shared" si="5"/>
        <v>35</v>
      </c>
      <c r="C121" s="5" t="s">
        <v>95</v>
      </c>
      <c r="D121" s="5" t="s">
        <v>911</v>
      </c>
      <c r="E121" s="5" t="s">
        <v>881</v>
      </c>
      <c r="F121" s="5"/>
      <c r="G121" s="5">
        <v>160</v>
      </c>
      <c r="H121" s="5">
        <v>123</v>
      </c>
      <c r="I121" s="5"/>
      <c r="J121" s="5"/>
      <c r="K121" s="5"/>
      <c r="L121" s="5"/>
      <c r="M121" s="5"/>
      <c r="N121" s="5">
        <f t="shared" si="4"/>
        <v>12543.150000000003</v>
      </c>
      <c r="O121" s="5"/>
    </row>
    <row r="122" spans="2:15">
      <c r="B122" s="5">
        <f t="shared" si="5"/>
        <v>36</v>
      </c>
      <c r="C122" s="5" t="s">
        <v>903</v>
      </c>
      <c r="D122" s="5" t="s">
        <v>912</v>
      </c>
      <c r="E122" s="5" t="s">
        <v>45</v>
      </c>
      <c r="F122" s="5">
        <v>0.44</v>
      </c>
      <c r="G122" s="5">
        <v>160</v>
      </c>
      <c r="H122" s="5">
        <v>47</v>
      </c>
      <c r="I122" s="5"/>
      <c r="J122" s="5"/>
      <c r="K122" s="5"/>
      <c r="L122" s="5"/>
      <c r="M122" s="5"/>
      <c r="N122" s="5">
        <f t="shared" si="4"/>
        <v>12590.150000000003</v>
      </c>
      <c r="O122" s="5">
        <v>47</v>
      </c>
    </row>
    <row r="123" spans="2:15">
      <c r="B123" s="5">
        <f t="shared" si="5"/>
        <v>37</v>
      </c>
      <c r="C123" s="5" t="s">
        <v>912</v>
      </c>
      <c r="D123" s="5" t="s">
        <v>897</v>
      </c>
      <c r="E123" s="5" t="s">
        <v>45</v>
      </c>
      <c r="F123" s="5">
        <v>0.44</v>
      </c>
      <c r="G123" s="5">
        <v>160</v>
      </c>
      <c r="H123" s="5">
        <v>50</v>
      </c>
      <c r="I123" s="5"/>
      <c r="J123" s="5"/>
      <c r="K123" s="5"/>
      <c r="L123" s="5"/>
      <c r="M123" s="5"/>
      <c r="N123" s="5">
        <f t="shared" si="4"/>
        <v>12640.150000000003</v>
      </c>
      <c r="O123" s="5">
        <v>50</v>
      </c>
    </row>
    <row r="124" spans="2:15">
      <c r="B124" s="5">
        <f t="shared" si="5"/>
        <v>38</v>
      </c>
      <c r="C124" s="5" t="s">
        <v>77</v>
      </c>
      <c r="D124" s="5" t="s">
        <v>913</v>
      </c>
      <c r="E124" s="5" t="s">
        <v>881</v>
      </c>
      <c r="F124" s="5"/>
      <c r="G124" s="5">
        <v>200</v>
      </c>
      <c r="H124" s="5">
        <v>362.9</v>
      </c>
      <c r="I124" s="5"/>
      <c r="J124" s="5"/>
      <c r="K124" s="5"/>
      <c r="L124" s="5"/>
      <c r="M124" s="5"/>
      <c r="N124" s="5">
        <f t="shared" si="4"/>
        <v>13003.050000000003</v>
      </c>
      <c r="O124" s="5"/>
    </row>
    <row r="125" spans="2:15">
      <c r="B125" s="5">
        <f t="shared" si="5"/>
        <v>39</v>
      </c>
      <c r="C125" s="5" t="s">
        <v>913</v>
      </c>
      <c r="D125" s="5" t="s">
        <v>914</v>
      </c>
      <c r="E125" s="5" t="s">
        <v>881</v>
      </c>
      <c r="F125" s="5"/>
      <c r="G125" s="5">
        <v>200</v>
      </c>
      <c r="H125" s="5">
        <v>541.1</v>
      </c>
      <c r="I125" s="5"/>
      <c r="J125" s="5"/>
      <c r="K125" s="5"/>
      <c r="L125" s="5"/>
      <c r="M125" s="5"/>
      <c r="N125" s="5">
        <f t="shared" si="4"/>
        <v>13544.150000000003</v>
      </c>
      <c r="O125" s="5"/>
    </row>
    <row r="126" spans="2:15">
      <c r="B126" s="5">
        <f t="shared" si="5"/>
        <v>40</v>
      </c>
      <c r="C126" s="5" t="s">
        <v>913</v>
      </c>
      <c r="D126" s="5" t="s">
        <v>884</v>
      </c>
      <c r="E126" s="5" t="s">
        <v>881</v>
      </c>
      <c r="F126" s="5"/>
      <c r="G126" s="5">
        <v>200</v>
      </c>
      <c r="H126" s="5">
        <v>351.8</v>
      </c>
      <c r="I126" s="5"/>
      <c r="J126" s="5"/>
      <c r="K126" s="5"/>
      <c r="L126" s="5"/>
      <c r="M126" s="5"/>
      <c r="N126" s="5">
        <f t="shared" si="4"/>
        <v>13895.950000000003</v>
      </c>
      <c r="O126" s="5"/>
    </row>
    <row r="127" spans="2:15">
      <c r="B127" s="5">
        <f t="shared" si="5"/>
        <v>41</v>
      </c>
      <c r="C127" s="5" t="s">
        <v>884</v>
      </c>
      <c r="D127" s="5" t="s">
        <v>915</v>
      </c>
      <c r="E127" s="5" t="s">
        <v>881</v>
      </c>
      <c r="F127" s="5"/>
      <c r="G127" s="5">
        <v>200</v>
      </c>
      <c r="H127" s="5">
        <v>633.9</v>
      </c>
      <c r="I127" s="5"/>
      <c r="J127" s="5"/>
      <c r="K127" s="5"/>
      <c r="L127" s="5"/>
      <c r="M127" s="5"/>
      <c r="N127" s="5">
        <f t="shared" si="4"/>
        <v>14529.850000000002</v>
      </c>
      <c r="O127" s="5"/>
    </row>
    <row r="128" spans="2:15">
      <c r="B128" s="5">
        <f t="shared" si="5"/>
        <v>42</v>
      </c>
      <c r="C128" s="5" t="s">
        <v>915</v>
      </c>
      <c r="D128" s="5" t="s">
        <v>916</v>
      </c>
      <c r="E128" s="5" t="s">
        <v>881</v>
      </c>
      <c r="F128" s="5"/>
      <c r="G128" s="5">
        <v>200</v>
      </c>
      <c r="H128" s="5">
        <v>344.9</v>
      </c>
      <c r="I128" s="5"/>
      <c r="J128" s="5"/>
      <c r="K128" s="5"/>
      <c r="L128" s="5"/>
      <c r="M128" s="5"/>
      <c r="N128" s="5">
        <f t="shared" si="4"/>
        <v>14874.750000000002</v>
      </c>
      <c r="O128" s="5"/>
    </row>
    <row r="129" spans="2:16">
      <c r="B129" s="5">
        <f t="shared" si="5"/>
        <v>43</v>
      </c>
      <c r="C129" s="5" t="s">
        <v>916</v>
      </c>
      <c r="D129" s="5" t="s">
        <v>917</v>
      </c>
      <c r="E129" s="5" t="s">
        <v>881</v>
      </c>
      <c r="F129" s="5"/>
      <c r="G129" s="5">
        <v>200</v>
      </c>
      <c r="H129" s="5">
        <v>432.9</v>
      </c>
      <c r="I129" s="5"/>
      <c r="J129" s="5"/>
      <c r="K129" s="5"/>
      <c r="L129" s="5"/>
      <c r="M129" s="5"/>
      <c r="N129" s="5">
        <f t="shared" si="4"/>
        <v>15307.650000000001</v>
      </c>
      <c r="O129" s="5"/>
    </row>
    <row r="130" spans="2:16">
      <c r="B130" s="5">
        <f t="shared" si="5"/>
        <v>44</v>
      </c>
      <c r="C130" s="5" t="s">
        <v>912</v>
      </c>
      <c r="D130" s="5" t="s">
        <v>915</v>
      </c>
      <c r="E130" s="5" t="s">
        <v>45</v>
      </c>
      <c r="F130" s="5">
        <v>0.44</v>
      </c>
      <c r="G130" s="5">
        <v>200</v>
      </c>
      <c r="H130" s="5">
        <v>68</v>
      </c>
      <c r="I130" s="5"/>
      <c r="J130" s="5"/>
      <c r="K130" s="5"/>
      <c r="L130" s="5"/>
      <c r="M130" s="5"/>
      <c r="N130" s="5">
        <f t="shared" si="4"/>
        <v>15375.650000000001</v>
      </c>
      <c r="O130" s="5">
        <v>68</v>
      </c>
    </row>
    <row r="131" spans="2:16">
      <c r="B131" s="5"/>
      <c r="C131" s="5"/>
      <c r="D131" s="5"/>
      <c r="E131" s="5"/>
      <c r="F131" s="5"/>
      <c r="G131" s="5"/>
      <c r="H131" s="8"/>
      <c r="I131" s="8"/>
      <c r="J131" s="8"/>
      <c r="K131" s="8"/>
      <c r="L131" s="5"/>
      <c r="M131" s="5"/>
      <c r="N131" s="5"/>
      <c r="O131" s="5"/>
    </row>
    <row r="132" spans="2:16">
      <c r="B132" s="5"/>
      <c r="C132" s="5"/>
      <c r="D132" s="5"/>
      <c r="E132" s="5"/>
      <c r="F132" s="5"/>
      <c r="G132" s="5"/>
      <c r="H132" s="5"/>
      <c r="I132" s="5"/>
      <c r="J132" s="5"/>
      <c r="K132" s="5"/>
      <c r="L132" s="5"/>
      <c r="M132" s="5"/>
      <c r="N132" s="5"/>
      <c r="O132" s="5"/>
    </row>
    <row r="133" spans="2:16">
      <c r="B133" s="5">
        <v>63</v>
      </c>
      <c r="C133" s="5">
        <v>75</v>
      </c>
      <c r="D133" s="5">
        <v>90</v>
      </c>
      <c r="E133" s="5">
        <v>110</v>
      </c>
      <c r="F133" s="5">
        <v>160</v>
      </c>
      <c r="G133" s="5">
        <v>200</v>
      </c>
      <c r="H133" s="5"/>
      <c r="I133" s="5"/>
      <c r="J133" s="5"/>
      <c r="K133" s="5"/>
      <c r="L133" s="5"/>
      <c r="M133" s="5"/>
      <c r="N133" s="5"/>
      <c r="O133" s="5"/>
    </row>
    <row r="134" spans="2:16">
      <c r="B134" s="18">
        <f>+SUMIF($G$6:$G$130,B133,$H$6:$H$130)</f>
        <v>2674.2</v>
      </c>
      <c r="C134" s="18">
        <f>+SUMIF($G$6:$G$130,C133,$H$6:$H$130)</f>
        <v>1248.5</v>
      </c>
      <c r="D134" s="18">
        <f>+SUMIF($G$6:$G$130,D133,$H$6:$H$130)</f>
        <v>3674.5499999999997</v>
      </c>
      <c r="E134" s="18">
        <f t="shared" ref="E134:G134" si="6">+SUMIF($G$6:$G$130,E133,$H$6:$H$130)</f>
        <v>1384.25</v>
      </c>
      <c r="F134" s="18">
        <f t="shared" si="6"/>
        <v>3400.65</v>
      </c>
      <c r="G134" s="18">
        <f t="shared" si="6"/>
        <v>2735.5</v>
      </c>
      <c r="H134" s="18">
        <f>+SUM(B134:G134)</f>
        <v>15117.65</v>
      </c>
      <c r="N134" s="8"/>
      <c r="O134" s="81"/>
    </row>
    <row r="135" spans="2:16" ht="18.75">
      <c r="B135" s="132">
        <v>4002</v>
      </c>
      <c r="C135" s="132">
        <v>1394</v>
      </c>
      <c r="D135" s="132">
        <v>4446</v>
      </c>
      <c r="E135" s="132">
        <v>1152</v>
      </c>
      <c r="F135" s="132">
        <v>3790</v>
      </c>
      <c r="G135" s="132">
        <v>2741</v>
      </c>
      <c r="H135" s="111">
        <f>+SUM(B135:G135)</f>
        <v>17525</v>
      </c>
      <c r="N135" s="8"/>
      <c r="O135" s="81"/>
    </row>
    <row r="136" spans="2:16">
      <c r="B136" s="8" t="s">
        <v>366</v>
      </c>
      <c r="C136" s="8"/>
      <c r="D136" s="8"/>
      <c r="E136" s="8"/>
      <c r="F136" s="8"/>
      <c r="G136" s="8" t="s">
        <v>367</v>
      </c>
      <c r="H136" s="8"/>
      <c r="I136" s="8"/>
      <c r="J136" s="8"/>
      <c r="K136" s="78" t="s">
        <v>367</v>
      </c>
      <c r="L136" s="78"/>
      <c r="M136" s="78"/>
      <c r="N136" s="78"/>
    </row>
    <row r="137" spans="2:16">
      <c r="B137" s="8" t="s">
        <v>368</v>
      </c>
      <c r="C137" s="79"/>
      <c r="D137" s="10"/>
      <c r="E137" s="29"/>
      <c r="F137" s="11"/>
      <c r="G137" s="8" t="s">
        <v>368</v>
      </c>
      <c r="H137" s="8"/>
      <c r="I137" s="10"/>
      <c r="J137" s="154"/>
      <c r="K137" s="8" t="s">
        <v>368</v>
      </c>
      <c r="L137" s="8"/>
      <c r="M137" s="10"/>
      <c r="N137" s="154"/>
    </row>
    <row r="138" spans="2:16">
      <c r="B138" s="8" t="s">
        <v>369</v>
      </c>
      <c r="C138" s="79"/>
      <c r="D138" s="10"/>
      <c r="E138" s="29"/>
      <c r="F138" s="11"/>
      <c r="G138" s="8" t="s">
        <v>369</v>
      </c>
      <c r="H138" s="10"/>
      <c r="I138" s="29"/>
      <c r="J138" s="11"/>
      <c r="K138" s="8" t="s">
        <v>369</v>
      </c>
      <c r="L138" s="10"/>
      <c r="M138" s="29"/>
      <c r="N138" s="11"/>
    </row>
    <row r="139" spans="2:16">
      <c r="B139" s="8" t="s">
        <v>370</v>
      </c>
      <c r="C139" s="79"/>
      <c r="D139" s="10"/>
      <c r="E139" s="29"/>
      <c r="F139" s="11"/>
      <c r="G139" s="8" t="s">
        <v>370</v>
      </c>
      <c r="H139" s="8"/>
      <c r="I139" s="10"/>
      <c r="J139" s="11"/>
      <c r="K139" s="8" t="s">
        <v>370</v>
      </c>
      <c r="L139" s="8"/>
      <c r="M139" s="10"/>
      <c r="N139" s="11"/>
    </row>
    <row r="140" spans="2:16" ht="6.75" customHeight="1"/>
    <row r="142" spans="2:16" ht="15.75">
      <c r="B142" s="152" t="s">
        <v>757</v>
      </c>
      <c r="C142" s="152"/>
      <c r="D142" s="152"/>
      <c r="E142" s="152">
        <v>63</v>
      </c>
      <c r="F142" s="152">
        <v>75</v>
      </c>
      <c r="G142" s="152">
        <v>90</v>
      </c>
      <c r="H142" s="152">
        <v>110</v>
      </c>
      <c r="I142" s="152">
        <v>160</v>
      </c>
      <c r="J142" s="152">
        <v>200</v>
      </c>
      <c r="K142" s="152" t="s">
        <v>759</v>
      </c>
      <c r="N142" s="155"/>
      <c r="O142" s="155"/>
      <c r="P142" s="155"/>
    </row>
    <row r="143" spans="2:16" ht="18.75">
      <c r="B143" s="5" t="s">
        <v>45</v>
      </c>
      <c r="C143" s="153"/>
      <c r="D143" s="153"/>
      <c r="E143" s="18">
        <f>+SUMIFS($H$6:$H$130,E$6:E$130,$B$143,$G$6:$G$130,E142)</f>
        <v>98</v>
      </c>
      <c r="F143" s="18">
        <f>SUMIFS($H$6:$H$130,$E$6:$E$130,$B$143,$G$6:$G$130,$F$142)</f>
        <v>247.7</v>
      </c>
      <c r="G143" s="18">
        <f>SUMIFS(H6:H130,E6:E130,B143,G6:G130,G142)</f>
        <v>464.2</v>
      </c>
      <c r="H143" s="18">
        <f>SUMIFS(H6:H130,E6:E130,B143,G6:G130,H142)</f>
        <v>89</v>
      </c>
      <c r="I143" s="18">
        <f>SUMIFS(H6:H130,E6:E130,B143,G6:G130,I142)</f>
        <v>97</v>
      </c>
      <c r="J143" s="18">
        <f>SUMIFS(H6:H130,E6:E130,B143,G6:G130,J142)</f>
        <v>68</v>
      </c>
      <c r="K143" s="18">
        <f>SUM(E143:J143)</f>
        <v>1063.9000000000001</v>
      </c>
      <c r="N143" s="8"/>
      <c r="O143" s="8"/>
      <c r="P143" s="8"/>
    </row>
    <row r="144" spans="2:16" ht="15.75">
      <c r="B144" s="21" t="s">
        <v>193</v>
      </c>
      <c r="C144" s="21"/>
      <c r="D144" s="21"/>
      <c r="E144" s="18">
        <f>SUMIFS($H$6:$H$130,$E$6:$E$130,$B$144,$G$6:$G$130,E142)</f>
        <v>0</v>
      </c>
      <c r="F144" s="18">
        <f t="shared" ref="F144:J144" si="7">SUMIFS($H$6:$H$130,$E$6:$E$130,$B$144,$G$6:$G$130,F142)</f>
        <v>0</v>
      </c>
      <c r="G144" s="18">
        <f t="shared" si="7"/>
        <v>0</v>
      </c>
      <c r="H144" s="18">
        <f t="shared" si="7"/>
        <v>0</v>
      </c>
      <c r="I144" s="18">
        <f t="shared" si="7"/>
        <v>0</v>
      </c>
      <c r="J144" s="18">
        <f t="shared" si="7"/>
        <v>0</v>
      </c>
      <c r="K144" s="18">
        <f t="shared" ref="K144:K146" si="8">SUM(E144:J144)</f>
        <v>0</v>
      </c>
      <c r="N144" s="8"/>
      <c r="O144" s="8"/>
      <c r="P144" s="8"/>
    </row>
    <row r="145" spans="2:16" ht="15.75">
      <c r="B145" s="92" t="s">
        <v>301</v>
      </c>
      <c r="C145" s="92"/>
      <c r="D145" s="92"/>
      <c r="E145" s="18">
        <f>SUMIFS($H$6:$H$130,$E$6:$E$130,$B$145,$G$6:$G$130,E142)</f>
        <v>0</v>
      </c>
      <c r="F145" s="18">
        <f t="shared" ref="F145:J145" si="9">SUMIFS($H$6:$H$130,$E$6:$E$130,$B$145,$G$6:$G$130,F142)</f>
        <v>0</v>
      </c>
      <c r="G145" s="18">
        <f t="shared" si="9"/>
        <v>100.2</v>
      </c>
      <c r="H145" s="18">
        <f t="shared" si="9"/>
        <v>0</v>
      </c>
      <c r="I145" s="18">
        <f t="shared" si="9"/>
        <v>255.85</v>
      </c>
      <c r="J145" s="18">
        <f t="shared" si="9"/>
        <v>0</v>
      </c>
      <c r="K145" s="18">
        <f t="shared" si="8"/>
        <v>356.05</v>
      </c>
      <c r="N145" s="8"/>
      <c r="O145" s="8"/>
      <c r="P145" s="8"/>
    </row>
    <row r="146" spans="2:16">
      <c r="B146" s="5" t="s">
        <v>881</v>
      </c>
      <c r="C146" s="8"/>
      <c r="D146" s="8"/>
      <c r="E146" s="5">
        <f t="shared" ref="E146:J146" si="10">SUMIFS($H$6:$H$130,$E$6:$E$130,$B$146,$G$6:$G$130,E142)</f>
        <v>2576.1999999999998</v>
      </c>
      <c r="F146" s="5">
        <f t="shared" si="10"/>
        <v>1000.8000000000001</v>
      </c>
      <c r="G146" s="5">
        <f t="shared" si="10"/>
        <v>3110.1499999999996</v>
      </c>
      <c r="H146" s="5">
        <f t="shared" si="10"/>
        <v>1295.25</v>
      </c>
      <c r="I146" s="5">
        <f t="shared" si="10"/>
        <v>3047.8</v>
      </c>
      <c r="J146" s="5">
        <f t="shared" si="10"/>
        <v>2667.5</v>
      </c>
      <c r="K146" s="18">
        <f t="shared" si="8"/>
        <v>13697.7</v>
      </c>
    </row>
    <row r="147" spans="2:16" ht="15.75">
      <c r="K147" s="156">
        <f>SUBTOTAL(9,K143:K146)</f>
        <v>15117.650000000001</v>
      </c>
    </row>
  </sheetData>
  <autoFilter ref="B4:P130">
    <filterColumn colId="6" showButton="0"/>
    <filterColumn colId="7" showButton="0"/>
    <filterColumn colId="8" showButton="0"/>
    <filterColumn colId="9" showButton="0"/>
    <filterColumn colId="10" showButton="0"/>
  </autoFilter>
  <mergeCells count="2">
    <mergeCell ref="B3:N3"/>
    <mergeCell ref="H4:M4"/>
  </mergeCells>
  <pageMargins left="0.70866141732283505" right="0.70866141732283505" top="0.74803149606299202" bottom="0.74803149606299202" header="0.31496062992126" footer="0.31496062992126"/>
  <pageSetup scale="54" orientation="portrait"/>
  <rowBreaks count="1" manualBreakCount="1">
    <brk id="7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L132"/>
  <sheetViews>
    <sheetView topLeftCell="A4" workbookViewId="0">
      <selection activeCell="O8" sqref="O8"/>
    </sheetView>
  </sheetViews>
  <sheetFormatPr defaultColWidth="9" defaultRowHeight="15"/>
  <cols>
    <col min="3" max="3" width="14.28515625" customWidth="1"/>
    <col min="4" max="4" width="14.42578125" customWidth="1"/>
    <col min="5" max="5" width="14" customWidth="1"/>
    <col min="6" max="6" width="16.140625" customWidth="1"/>
    <col min="7" max="7" width="14.7109375" customWidth="1"/>
    <col min="8" max="8" width="9.5703125" customWidth="1"/>
    <col min="10" max="10" width="18.5703125" customWidth="1"/>
    <col min="11" max="11" width="8.140625" customWidth="1"/>
    <col min="12" max="12" width="11.140625" customWidth="1"/>
  </cols>
  <sheetData>
    <row r="3" spans="3:12" ht="18.75">
      <c r="C3" s="502" t="s">
        <v>1547</v>
      </c>
      <c r="D3" s="502"/>
      <c r="E3" s="502"/>
      <c r="F3" s="502"/>
      <c r="G3" s="502"/>
      <c r="H3" s="502"/>
      <c r="I3" s="502"/>
      <c r="J3" s="502"/>
      <c r="K3" s="502"/>
      <c r="L3" s="502"/>
    </row>
    <row r="4" spans="3:12" ht="56.25" customHeight="1">
      <c r="C4" s="25" t="s">
        <v>179</v>
      </c>
      <c r="D4" s="25" t="s">
        <v>180</v>
      </c>
      <c r="E4" s="25" t="s">
        <v>13</v>
      </c>
      <c r="F4" s="26" t="s">
        <v>181</v>
      </c>
      <c r="G4" s="27" t="s">
        <v>182</v>
      </c>
      <c r="H4" s="26" t="s">
        <v>1548</v>
      </c>
      <c r="I4" s="28" t="s">
        <v>184</v>
      </c>
      <c r="J4" s="26" t="s">
        <v>185</v>
      </c>
      <c r="K4" s="26" t="s">
        <v>186</v>
      </c>
      <c r="L4" s="26" t="s">
        <v>187</v>
      </c>
    </row>
    <row r="5" spans="3:12">
      <c r="C5" s="5">
        <v>1</v>
      </c>
      <c r="D5" s="5" t="s">
        <v>273</v>
      </c>
      <c r="E5" s="5" t="s">
        <v>509</v>
      </c>
      <c r="F5" s="5"/>
      <c r="G5" s="5"/>
      <c r="H5" s="5">
        <v>63</v>
      </c>
      <c r="I5" s="5">
        <v>42.6</v>
      </c>
      <c r="J5" s="5">
        <f>+I5</f>
        <v>42.6</v>
      </c>
      <c r="K5" s="22">
        <f>(1000+H5)/1000</f>
        <v>1.0629999999999999</v>
      </c>
      <c r="L5" s="5"/>
    </row>
    <row r="6" spans="3:12">
      <c r="C6" s="5">
        <f>1+C5</f>
        <v>2</v>
      </c>
      <c r="D6" s="5" t="s">
        <v>273</v>
      </c>
      <c r="E6" s="5" t="s">
        <v>509</v>
      </c>
      <c r="F6" s="5" t="s">
        <v>193</v>
      </c>
      <c r="G6" s="22">
        <f>(300+H6)/1000</f>
        <v>0.36299999999999999</v>
      </c>
      <c r="H6" s="5">
        <v>63</v>
      </c>
      <c r="I6" s="5">
        <v>3</v>
      </c>
      <c r="J6" s="5">
        <f>+J5+I6</f>
        <v>45.6</v>
      </c>
      <c r="K6" s="22">
        <f t="shared" ref="K6:K69" si="0">(1000+H6)/1000</f>
        <v>1.0629999999999999</v>
      </c>
      <c r="L6" s="5"/>
    </row>
    <row r="7" spans="3:12">
      <c r="C7" s="5">
        <f t="shared" ref="C7:C70" si="1">1+C6</f>
        <v>3</v>
      </c>
      <c r="D7" s="5" t="s">
        <v>323</v>
      </c>
      <c r="E7" s="5" t="s">
        <v>239</v>
      </c>
      <c r="F7" s="5"/>
      <c r="G7" s="5"/>
      <c r="H7" s="5">
        <v>63</v>
      </c>
      <c r="I7" s="5">
        <v>157.69999999999999</v>
      </c>
      <c r="J7" s="5">
        <f t="shared" ref="J7:J72" si="2">+J6+I7</f>
        <v>203.29999999999998</v>
      </c>
      <c r="K7" s="22">
        <f t="shared" si="0"/>
        <v>1.0629999999999999</v>
      </c>
      <c r="L7" s="5"/>
    </row>
    <row r="8" spans="3:12">
      <c r="C8" s="5">
        <f t="shared" si="1"/>
        <v>4</v>
      </c>
      <c r="D8" s="5" t="s">
        <v>239</v>
      </c>
      <c r="E8" s="5" t="s">
        <v>309</v>
      </c>
      <c r="F8" s="5"/>
      <c r="G8" s="5"/>
      <c r="H8" s="5">
        <v>63</v>
      </c>
      <c r="I8" s="5">
        <v>184.8</v>
      </c>
      <c r="J8" s="5">
        <f t="shared" si="2"/>
        <v>388.1</v>
      </c>
      <c r="K8" s="22">
        <f t="shared" si="0"/>
        <v>1.0629999999999999</v>
      </c>
      <c r="L8" s="5"/>
    </row>
    <row r="9" spans="3:12">
      <c r="C9" s="5">
        <f t="shared" si="1"/>
        <v>5</v>
      </c>
      <c r="D9" s="5" t="s">
        <v>309</v>
      </c>
      <c r="E9" s="5" t="s">
        <v>240</v>
      </c>
      <c r="F9" s="5"/>
      <c r="G9" s="5"/>
      <c r="H9" s="5">
        <v>63</v>
      </c>
      <c r="I9" s="5">
        <v>61.9</v>
      </c>
      <c r="J9" s="5">
        <f t="shared" si="2"/>
        <v>450</v>
      </c>
      <c r="K9" s="22">
        <f t="shared" si="0"/>
        <v>1.0629999999999999</v>
      </c>
      <c r="L9" s="5"/>
    </row>
    <row r="10" spans="3:12">
      <c r="C10" s="5">
        <f t="shared" si="1"/>
        <v>6</v>
      </c>
      <c r="D10" s="5" t="s">
        <v>239</v>
      </c>
      <c r="E10" s="5" t="s">
        <v>640</v>
      </c>
      <c r="F10" s="5"/>
      <c r="G10" s="5"/>
      <c r="H10" s="5">
        <v>63</v>
      </c>
      <c r="I10" s="5">
        <v>226.7</v>
      </c>
      <c r="J10" s="5">
        <f t="shared" si="2"/>
        <v>676.7</v>
      </c>
      <c r="K10" s="22">
        <f t="shared" si="0"/>
        <v>1.0629999999999999</v>
      </c>
      <c r="L10" s="5"/>
    </row>
    <row r="11" spans="3:12">
      <c r="C11" s="5">
        <f t="shared" si="1"/>
        <v>7</v>
      </c>
      <c r="D11" s="5" t="s">
        <v>640</v>
      </c>
      <c r="E11" s="5" t="s">
        <v>291</v>
      </c>
      <c r="F11" s="5"/>
      <c r="G11" s="5"/>
      <c r="H11" s="5">
        <v>63</v>
      </c>
      <c r="I11" s="5">
        <v>236.9</v>
      </c>
      <c r="J11" s="5">
        <f t="shared" si="2"/>
        <v>913.6</v>
      </c>
      <c r="K11" s="22">
        <f t="shared" si="0"/>
        <v>1.0629999999999999</v>
      </c>
      <c r="L11" s="5"/>
    </row>
    <row r="12" spans="3:12">
      <c r="C12" s="5">
        <f t="shared" si="1"/>
        <v>8</v>
      </c>
      <c r="D12" s="5" t="s">
        <v>640</v>
      </c>
      <c r="E12" s="5" t="s">
        <v>291</v>
      </c>
      <c r="F12" s="5" t="s">
        <v>193</v>
      </c>
      <c r="G12" s="22">
        <f t="shared" ref="G12:G13" si="3">(300+H12)/1000</f>
        <v>0.36299999999999999</v>
      </c>
      <c r="H12" s="5">
        <v>63</v>
      </c>
      <c r="I12" s="5">
        <v>3.1</v>
      </c>
      <c r="J12" s="5">
        <f t="shared" si="2"/>
        <v>916.7</v>
      </c>
      <c r="K12" s="22">
        <f t="shared" si="0"/>
        <v>1.0629999999999999</v>
      </c>
      <c r="L12" s="5"/>
    </row>
    <row r="13" spans="3:12">
      <c r="C13" s="5">
        <f t="shared" si="1"/>
        <v>9</v>
      </c>
      <c r="D13" s="5" t="s">
        <v>291</v>
      </c>
      <c r="E13" s="5" t="s">
        <v>1325</v>
      </c>
      <c r="F13" s="5" t="s">
        <v>193</v>
      </c>
      <c r="G13" s="22">
        <f t="shared" si="3"/>
        <v>0.36299999999999999</v>
      </c>
      <c r="H13" s="5">
        <v>63</v>
      </c>
      <c r="I13" s="5">
        <v>4.8</v>
      </c>
      <c r="J13" s="5">
        <f t="shared" si="2"/>
        <v>921.5</v>
      </c>
      <c r="K13" s="22">
        <f t="shared" si="0"/>
        <v>1.0629999999999999</v>
      </c>
      <c r="L13" s="5"/>
    </row>
    <row r="14" spans="3:12">
      <c r="C14" s="5">
        <f t="shared" si="1"/>
        <v>10</v>
      </c>
      <c r="D14" s="5" t="s">
        <v>291</v>
      </c>
      <c r="E14" s="5" t="s">
        <v>1325</v>
      </c>
      <c r="F14" s="5"/>
      <c r="G14" s="5"/>
      <c r="H14" s="5">
        <v>63</v>
      </c>
      <c r="I14" s="5">
        <v>185.5</v>
      </c>
      <c r="J14" s="5">
        <f t="shared" si="2"/>
        <v>1107</v>
      </c>
      <c r="K14" s="22">
        <f t="shared" si="0"/>
        <v>1.0629999999999999</v>
      </c>
      <c r="L14" s="5"/>
    </row>
    <row r="15" spans="3:12">
      <c r="C15" s="5">
        <f t="shared" si="1"/>
        <v>11</v>
      </c>
      <c r="D15" s="5" t="s">
        <v>291</v>
      </c>
      <c r="E15" s="5" t="s">
        <v>1325</v>
      </c>
      <c r="F15" s="5" t="s">
        <v>304</v>
      </c>
      <c r="G15" s="5"/>
      <c r="H15" s="5">
        <v>63</v>
      </c>
      <c r="I15" s="5">
        <v>7</v>
      </c>
      <c r="J15" s="5">
        <f t="shared" si="2"/>
        <v>1114</v>
      </c>
      <c r="K15" s="22"/>
      <c r="L15" s="5"/>
    </row>
    <row r="16" spans="3:12">
      <c r="C16" s="5">
        <f t="shared" si="1"/>
        <v>12</v>
      </c>
      <c r="D16" s="5" t="s">
        <v>291</v>
      </c>
      <c r="E16" s="5" t="s">
        <v>1325</v>
      </c>
      <c r="F16" s="5"/>
      <c r="G16" s="5"/>
      <c r="H16" s="5">
        <v>63</v>
      </c>
      <c r="I16" s="5">
        <v>122</v>
      </c>
      <c r="J16" s="5">
        <f t="shared" si="2"/>
        <v>1236</v>
      </c>
      <c r="K16" s="22">
        <f t="shared" si="0"/>
        <v>1.0629999999999999</v>
      </c>
      <c r="L16" s="5"/>
    </row>
    <row r="17" spans="3:12">
      <c r="C17" s="5">
        <f t="shared" si="1"/>
        <v>13</v>
      </c>
      <c r="D17" s="5" t="s">
        <v>1251</v>
      </c>
      <c r="E17" s="5" t="s">
        <v>1255</v>
      </c>
      <c r="F17" s="5"/>
      <c r="G17" s="5"/>
      <c r="H17" s="5">
        <v>63</v>
      </c>
      <c r="I17" s="5">
        <v>155</v>
      </c>
      <c r="J17" s="5">
        <f t="shared" si="2"/>
        <v>1391</v>
      </c>
      <c r="K17" s="22">
        <f t="shared" si="0"/>
        <v>1.0629999999999999</v>
      </c>
      <c r="L17" s="5"/>
    </row>
    <row r="18" spans="3:12">
      <c r="C18" s="5">
        <f t="shared" si="1"/>
        <v>14</v>
      </c>
      <c r="D18" s="5" t="s">
        <v>1251</v>
      </c>
      <c r="E18" s="5" t="s">
        <v>550</v>
      </c>
      <c r="F18" s="5" t="s">
        <v>199</v>
      </c>
      <c r="G18" s="22">
        <f>(300+H18)/1000</f>
        <v>0.36299999999999999</v>
      </c>
      <c r="H18" s="5">
        <v>63</v>
      </c>
      <c r="I18" s="5">
        <v>2.8</v>
      </c>
      <c r="J18" s="5">
        <f t="shared" si="2"/>
        <v>1393.8</v>
      </c>
      <c r="K18" s="22">
        <f t="shared" si="0"/>
        <v>1.0629999999999999</v>
      </c>
      <c r="L18" s="5"/>
    </row>
    <row r="19" spans="3:12">
      <c r="C19" s="5">
        <f t="shared" si="1"/>
        <v>15</v>
      </c>
      <c r="D19" s="5" t="s">
        <v>1251</v>
      </c>
      <c r="E19" s="5" t="s">
        <v>550</v>
      </c>
      <c r="F19" s="5"/>
      <c r="G19" s="5"/>
      <c r="H19" s="5">
        <v>63</v>
      </c>
      <c r="I19" s="5">
        <v>235</v>
      </c>
      <c r="J19" s="5">
        <f t="shared" si="2"/>
        <v>1628.8</v>
      </c>
      <c r="K19" s="22">
        <f t="shared" si="0"/>
        <v>1.0629999999999999</v>
      </c>
      <c r="L19" s="5"/>
    </row>
    <row r="20" spans="3:12">
      <c r="C20" s="5">
        <f t="shared" si="1"/>
        <v>16</v>
      </c>
      <c r="D20" s="5" t="s">
        <v>1263</v>
      </c>
      <c r="E20" s="5" t="s">
        <v>1323</v>
      </c>
      <c r="F20" s="5"/>
      <c r="G20" s="5"/>
      <c r="H20" s="5">
        <v>63</v>
      </c>
      <c r="I20" s="5">
        <v>25.7</v>
      </c>
      <c r="J20" s="5">
        <f t="shared" si="2"/>
        <v>1654.5</v>
      </c>
      <c r="K20" s="22">
        <f t="shared" si="0"/>
        <v>1.0629999999999999</v>
      </c>
      <c r="L20" s="5"/>
    </row>
    <row r="21" spans="3:12">
      <c r="C21" s="5">
        <f t="shared" si="1"/>
        <v>17</v>
      </c>
      <c r="D21" s="5" t="s">
        <v>1323</v>
      </c>
      <c r="E21" s="5" t="s">
        <v>1293</v>
      </c>
      <c r="F21" s="5"/>
      <c r="G21" s="5"/>
      <c r="H21" s="5">
        <v>63</v>
      </c>
      <c r="I21" s="5">
        <v>20</v>
      </c>
      <c r="J21" s="5">
        <f t="shared" si="2"/>
        <v>1674.5</v>
      </c>
      <c r="K21" s="22">
        <f t="shared" si="0"/>
        <v>1.0629999999999999</v>
      </c>
      <c r="L21" s="5"/>
    </row>
    <row r="22" spans="3:12">
      <c r="C22" s="5">
        <f t="shared" si="1"/>
        <v>18</v>
      </c>
      <c r="D22" s="5" t="s">
        <v>1293</v>
      </c>
      <c r="E22" s="5" t="s">
        <v>990</v>
      </c>
      <c r="F22" s="5" t="s">
        <v>199</v>
      </c>
      <c r="G22" s="22">
        <f>(300+H22)/1000</f>
        <v>0.36299999999999999</v>
      </c>
      <c r="H22" s="5">
        <v>63</v>
      </c>
      <c r="I22" s="5">
        <v>6.2</v>
      </c>
      <c r="J22" s="5">
        <f t="shared" si="2"/>
        <v>1680.7</v>
      </c>
      <c r="K22" s="22">
        <f t="shared" si="0"/>
        <v>1.0629999999999999</v>
      </c>
      <c r="L22" s="5"/>
    </row>
    <row r="23" spans="3:12">
      <c r="C23" s="5">
        <f t="shared" si="1"/>
        <v>19</v>
      </c>
      <c r="D23" s="5" t="s">
        <v>1293</v>
      </c>
      <c r="E23" s="5" t="s">
        <v>1246</v>
      </c>
      <c r="F23" s="5"/>
      <c r="G23" s="5"/>
      <c r="H23" s="5">
        <v>63</v>
      </c>
      <c r="I23" s="5">
        <v>97.5</v>
      </c>
      <c r="J23" s="5">
        <f t="shared" si="2"/>
        <v>1778.2</v>
      </c>
      <c r="K23" s="22">
        <f t="shared" si="0"/>
        <v>1.0629999999999999</v>
      </c>
      <c r="L23" s="5"/>
    </row>
    <row r="24" spans="3:12">
      <c r="C24" s="5">
        <f t="shared" si="1"/>
        <v>20</v>
      </c>
      <c r="D24" s="5" t="s">
        <v>1293</v>
      </c>
      <c r="E24" s="5" t="s">
        <v>1246</v>
      </c>
      <c r="F24" s="5" t="s">
        <v>304</v>
      </c>
      <c r="G24" s="5"/>
      <c r="H24" s="5">
        <v>63</v>
      </c>
      <c r="I24" s="5">
        <v>3.4</v>
      </c>
      <c r="J24" s="5">
        <f t="shared" si="2"/>
        <v>1781.6000000000001</v>
      </c>
      <c r="K24" s="22"/>
      <c r="L24" s="5"/>
    </row>
    <row r="25" spans="3:12">
      <c r="C25" s="5">
        <f t="shared" si="1"/>
        <v>21</v>
      </c>
      <c r="D25" s="5" t="s">
        <v>1293</v>
      </c>
      <c r="E25" s="5" t="s">
        <v>1246</v>
      </c>
      <c r="F25" s="5"/>
      <c r="G25" s="5"/>
      <c r="H25" s="5">
        <v>63</v>
      </c>
      <c r="I25" s="5">
        <v>104</v>
      </c>
      <c r="J25" s="5">
        <f t="shared" si="2"/>
        <v>1885.6000000000001</v>
      </c>
      <c r="K25" s="22">
        <f t="shared" si="0"/>
        <v>1.0629999999999999</v>
      </c>
      <c r="L25" s="5"/>
    </row>
    <row r="26" spans="3:12">
      <c r="C26" s="5">
        <f t="shared" si="1"/>
        <v>22</v>
      </c>
      <c r="D26" s="5" t="s">
        <v>1051</v>
      </c>
      <c r="E26" s="5" t="s">
        <v>1292</v>
      </c>
      <c r="F26" s="5"/>
      <c r="G26" s="5"/>
      <c r="H26" s="5">
        <v>63</v>
      </c>
      <c r="I26" s="5">
        <v>104.5</v>
      </c>
      <c r="J26" s="5">
        <f t="shared" si="2"/>
        <v>1990.1000000000001</v>
      </c>
      <c r="K26" s="22">
        <f t="shared" si="0"/>
        <v>1.0629999999999999</v>
      </c>
      <c r="L26" s="5"/>
    </row>
    <row r="27" spans="3:12">
      <c r="C27" s="5">
        <f t="shared" si="1"/>
        <v>23</v>
      </c>
      <c r="D27" s="5" t="s">
        <v>952</v>
      </c>
      <c r="E27" s="5" t="s">
        <v>1549</v>
      </c>
      <c r="F27" s="5" t="s">
        <v>193</v>
      </c>
      <c r="G27" s="22">
        <f>(300+H27)/1000</f>
        <v>0.36299999999999999</v>
      </c>
      <c r="H27" s="5">
        <v>63</v>
      </c>
      <c r="I27" s="5">
        <v>7</v>
      </c>
      <c r="J27" s="5">
        <f t="shared" si="2"/>
        <v>1997.1000000000001</v>
      </c>
      <c r="K27" s="22">
        <f t="shared" si="0"/>
        <v>1.0629999999999999</v>
      </c>
      <c r="L27" s="5"/>
    </row>
    <row r="28" spans="3:12">
      <c r="C28" s="5">
        <f t="shared" si="1"/>
        <v>24</v>
      </c>
      <c r="D28" s="5" t="s">
        <v>952</v>
      </c>
      <c r="E28" s="5" t="s">
        <v>1549</v>
      </c>
      <c r="F28" s="5"/>
      <c r="G28" s="5"/>
      <c r="H28" s="5">
        <v>63</v>
      </c>
      <c r="I28" s="5">
        <v>59.1</v>
      </c>
      <c r="J28" s="5">
        <f t="shared" si="2"/>
        <v>2056.2000000000003</v>
      </c>
      <c r="K28" s="22">
        <f t="shared" si="0"/>
        <v>1.0629999999999999</v>
      </c>
      <c r="L28" s="5"/>
    </row>
    <row r="29" spans="3:12">
      <c r="C29" s="5">
        <f t="shared" si="1"/>
        <v>25</v>
      </c>
      <c r="D29" s="5" t="s">
        <v>1549</v>
      </c>
      <c r="E29" s="5" t="s">
        <v>978</v>
      </c>
      <c r="F29" s="5"/>
      <c r="G29" s="5"/>
      <c r="H29" s="5">
        <v>63</v>
      </c>
      <c r="I29" s="5">
        <v>420.9</v>
      </c>
      <c r="J29" s="5">
        <f t="shared" si="2"/>
        <v>2477.1000000000004</v>
      </c>
      <c r="K29" s="22">
        <f t="shared" si="0"/>
        <v>1.0629999999999999</v>
      </c>
      <c r="L29" s="5"/>
    </row>
    <row r="30" spans="3:12">
      <c r="C30" s="5">
        <f t="shared" si="1"/>
        <v>26</v>
      </c>
      <c r="D30" s="5" t="s">
        <v>1549</v>
      </c>
      <c r="E30" s="5" t="s">
        <v>978</v>
      </c>
      <c r="F30" s="5" t="s">
        <v>193</v>
      </c>
      <c r="G30" s="22">
        <f>(300+H30)/1000</f>
        <v>0.36299999999999999</v>
      </c>
      <c r="H30" s="5">
        <v>63</v>
      </c>
      <c r="I30" s="5">
        <v>7.7</v>
      </c>
      <c r="J30" s="5">
        <f t="shared" si="2"/>
        <v>2484.8000000000002</v>
      </c>
      <c r="K30" s="22">
        <f t="shared" si="0"/>
        <v>1.0629999999999999</v>
      </c>
      <c r="L30" s="5"/>
    </row>
    <row r="31" spans="3:12">
      <c r="C31" s="5">
        <f t="shared" si="1"/>
        <v>27</v>
      </c>
      <c r="D31" s="5" t="s">
        <v>1549</v>
      </c>
      <c r="E31" s="5" t="s">
        <v>978</v>
      </c>
      <c r="F31" s="5"/>
      <c r="G31" s="5"/>
      <c r="H31" s="5">
        <v>63</v>
      </c>
      <c r="I31" s="5">
        <v>33</v>
      </c>
      <c r="J31" s="5">
        <f t="shared" si="2"/>
        <v>2517.8000000000002</v>
      </c>
      <c r="K31" s="22">
        <f t="shared" si="0"/>
        <v>1.0629999999999999</v>
      </c>
      <c r="L31" s="5"/>
    </row>
    <row r="32" spans="3:12">
      <c r="C32" s="5">
        <f t="shared" si="1"/>
        <v>28</v>
      </c>
      <c r="D32" s="5" t="s">
        <v>1292</v>
      </c>
      <c r="E32" s="5" t="s">
        <v>1056</v>
      </c>
      <c r="F32" s="5"/>
      <c r="G32" s="5"/>
      <c r="H32" s="5">
        <v>63</v>
      </c>
      <c r="I32" s="5">
        <v>272</v>
      </c>
      <c r="J32" s="5">
        <f t="shared" si="2"/>
        <v>2789.8</v>
      </c>
      <c r="K32" s="22">
        <f t="shared" si="0"/>
        <v>1.0629999999999999</v>
      </c>
      <c r="L32" s="5"/>
    </row>
    <row r="33" spans="3:12">
      <c r="C33" s="5">
        <f t="shared" si="1"/>
        <v>29</v>
      </c>
      <c r="D33" s="5" t="s">
        <v>234</v>
      </c>
      <c r="E33" s="5" t="s">
        <v>324</v>
      </c>
      <c r="F33" s="5"/>
      <c r="G33" s="5"/>
      <c r="H33" s="5">
        <v>63</v>
      </c>
      <c r="I33" s="5">
        <v>271.39999999999998</v>
      </c>
      <c r="J33" s="5">
        <f t="shared" si="2"/>
        <v>3061.2000000000003</v>
      </c>
      <c r="K33" s="22">
        <f t="shared" si="0"/>
        <v>1.0629999999999999</v>
      </c>
      <c r="L33" s="5"/>
    </row>
    <row r="34" spans="3:12">
      <c r="C34" s="5">
        <f t="shared" si="1"/>
        <v>30</v>
      </c>
      <c r="D34" s="5" t="s">
        <v>575</v>
      </c>
      <c r="E34" s="5" t="s">
        <v>683</v>
      </c>
      <c r="F34" s="5"/>
      <c r="G34" s="5"/>
      <c r="H34" s="5">
        <v>63</v>
      </c>
      <c r="I34" s="5">
        <v>124.1</v>
      </c>
      <c r="J34" s="5">
        <f t="shared" si="2"/>
        <v>3185.3</v>
      </c>
      <c r="K34" s="22">
        <f t="shared" si="0"/>
        <v>1.0629999999999999</v>
      </c>
      <c r="L34" s="5"/>
    </row>
    <row r="35" spans="3:12">
      <c r="C35" s="5">
        <f t="shared" si="1"/>
        <v>31</v>
      </c>
      <c r="D35" s="5" t="s">
        <v>464</v>
      </c>
      <c r="E35" s="5" t="s">
        <v>683</v>
      </c>
      <c r="F35" s="5"/>
      <c r="G35" s="5"/>
      <c r="H35" s="5">
        <v>63</v>
      </c>
      <c r="I35" s="5">
        <f>51-25.3</f>
        <v>25.7</v>
      </c>
      <c r="J35" s="5">
        <f t="shared" si="2"/>
        <v>3211</v>
      </c>
      <c r="K35" s="22">
        <f t="shared" si="0"/>
        <v>1.0629999999999999</v>
      </c>
      <c r="L35" s="5"/>
    </row>
    <row r="36" spans="3:12">
      <c r="C36" s="5">
        <f t="shared" si="1"/>
        <v>32</v>
      </c>
      <c r="D36" s="5" t="s">
        <v>464</v>
      </c>
      <c r="E36" s="5" t="s">
        <v>683</v>
      </c>
      <c r="F36" s="5" t="s">
        <v>199</v>
      </c>
      <c r="G36" s="22">
        <f t="shared" ref="G36:G37" si="4">(300+H36)/1000</f>
        <v>0.36299999999999999</v>
      </c>
      <c r="H36" s="5">
        <v>63</v>
      </c>
      <c r="I36" s="5">
        <v>25.3</v>
      </c>
      <c r="J36" s="5">
        <f t="shared" si="2"/>
        <v>3236.3</v>
      </c>
      <c r="K36" s="22">
        <f t="shared" si="0"/>
        <v>1.0629999999999999</v>
      </c>
      <c r="L36" s="5"/>
    </row>
    <row r="37" spans="3:12">
      <c r="C37" s="5">
        <f t="shared" si="1"/>
        <v>33</v>
      </c>
      <c r="D37" s="5" t="s">
        <v>464</v>
      </c>
      <c r="E37" s="5" t="s">
        <v>1550</v>
      </c>
      <c r="F37" s="5" t="s">
        <v>199</v>
      </c>
      <c r="G37" s="22">
        <f t="shared" si="4"/>
        <v>0.36299999999999999</v>
      </c>
      <c r="H37" s="5">
        <v>63</v>
      </c>
      <c r="I37" s="5">
        <v>72.900000000000006</v>
      </c>
      <c r="J37" s="5">
        <f t="shared" si="2"/>
        <v>3309.2000000000003</v>
      </c>
      <c r="K37" s="22">
        <f t="shared" si="0"/>
        <v>1.0629999999999999</v>
      </c>
      <c r="L37" s="5"/>
    </row>
    <row r="38" spans="3:12">
      <c r="C38" s="5">
        <f t="shared" si="1"/>
        <v>34</v>
      </c>
      <c r="D38" s="5" t="s">
        <v>683</v>
      </c>
      <c r="E38" s="5" t="s">
        <v>802</v>
      </c>
      <c r="F38" s="5"/>
      <c r="G38" s="5"/>
      <c r="H38" s="5">
        <v>63</v>
      </c>
      <c r="I38" s="5">
        <v>47.3</v>
      </c>
      <c r="J38" s="5">
        <f t="shared" si="2"/>
        <v>3356.5000000000005</v>
      </c>
      <c r="K38" s="22">
        <f t="shared" si="0"/>
        <v>1.0629999999999999</v>
      </c>
      <c r="L38" s="5"/>
    </row>
    <row r="39" spans="3:12">
      <c r="C39" s="5">
        <f t="shared" si="1"/>
        <v>35</v>
      </c>
      <c r="D39" s="5" t="s">
        <v>575</v>
      </c>
      <c r="E39" s="5" t="s">
        <v>205</v>
      </c>
      <c r="F39" s="5" t="s">
        <v>199</v>
      </c>
      <c r="G39" s="22">
        <f>(300+H39)/1000</f>
        <v>0.36299999999999999</v>
      </c>
      <c r="H39" s="5">
        <v>63</v>
      </c>
      <c r="I39" s="5">
        <v>3</v>
      </c>
      <c r="J39" s="5">
        <f t="shared" si="2"/>
        <v>3359.5000000000005</v>
      </c>
      <c r="K39" s="22">
        <f t="shared" si="0"/>
        <v>1.0629999999999999</v>
      </c>
      <c r="L39" s="5"/>
    </row>
    <row r="40" spans="3:12">
      <c r="C40" s="5">
        <f t="shared" si="1"/>
        <v>36</v>
      </c>
      <c r="D40" s="5" t="s">
        <v>575</v>
      </c>
      <c r="E40" s="5" t="s">
        <v>205</v>
      </c>
      <c r="F40" s="5"/>
      <c r="G40" s="5"/>
      <c r="H40" s="5">
        <v>63</v>
      </c>
      <c r="I40" s="5">
        <v>99</v>
      </c>
      <c r="J40" s="5">
        <f t="shared" si="2"/>
        <v>3458.5000000000005</v>
      </c>
      <c r="K40" s="22">
        <f t="shared" si="0"/>
        <v>1.0629999999999999</v>
      </c>
      <c r="L40" s="5"/>
    </row>
    <row r="41" spans="3:12">
      <c r="C41" s="5">
        <f t="shared" si="1"/>
        <v>37</v>
      </c>
      <c r="D41" s="5" t="s">
        <v>205</v>
      </c>
      <c r="E41" s="5" t="s">
        <v>463</v>
      </c>
      <c r="F41" s="5"/>
      <c r="G41" s="5"/>
      <c r="H41" s="5">
        <v>63</v>
      </c>
      <c r="I41" s="5">
        <v>36.9</v>
      </c>
      <c r="J41" s="5">
        <f t="shared" si="2"/>
        <v>3495.4000000000005</v>
      </c>
      <c r="K41" s="22">
        <f t="shared" si="0"/>
        <v>1.0629999999999999</v>
      </c>
      <c r="L41" s="5"/>
    </row>
    <row r="42" spans="3:12">
      <c r="C42" s="5">
        <f t="shared" si="1"/>
        <v>38</v>
      </c>
      <c r="D42" s="5" t="s">
        <v>615</v>
      </c>
      <c r="E42" s="5" t="s">
        <v>708</v>
      </c>
      <c r="F42" s="5"/>
      <c r="G42" s="5"/>
      <c r="H42" s="5">
        <v>63</v>
      </c>
      <c r="I42" s="5">
        <v>33.299999999999997</v>
      </c>
      <c r="J42" s="5">
        <f t="shared" si="2"/>
        <v>3528.7000000000007</v>
      </c>
      <c r="K42" s="22">
        <f t="shared" si="0"/>
        <v>1.0629999999999999</v>
      </c>
      <c r="L42" s="5"/>
    </row>
    <row r="43" spans="3:12">
      <c r="C43" s="5">
        <f t="shared" si="1"/>
        <v>39</v>
      </c>
      <c r="D43" s="5" t="s">
        <v>708</v>
      </c>
      <c r="E43" s="5" t="s">
        <v>583</v>
      </c>
      <c r="F43" s="5"/>
      <c r="G43" s="5"/>
      <c r="H43" s="5">
        <v>63</v>
      </c>
      <c r="I43" s="5">
        <v>22.3</v>
      </c>
      <c r="J43" s="5">
        <f t="shared" si="2"/>
        <v>3551.0000000000009</v>
      </c>
      <c r="K43" s="22">
        <f t="shared" si="0"/>
        <v>1.0629999999999999</v>
      </c>
      <c r="L43" s="5"/>
    </row>
    <row r="44" spans="3:12">
      <c r="C44" s="5">
        <f t="shared" si="1"/>
        <v>40</v>
      </c>
      <c r="D44" s="5" t="s">
        <v>708</v>
      </c>
      <c r="E44" s="5" t="s">
        <v>582</v>
      </c>
      <c r="F44" s="5"/>
      <c r="G44" s="5"/>
      <c r="H44" s="5">
        <v>63</v>
      </c>
      <c r="I44" s="5">
        <v>128.80000000000001</v>
      </c>
      <c r="J44" s="5">
        <f t="shared" si="2"/>
        <v>3679.8000000000011</v>
      </c>
      <c r="K44" s="22">
        <f t="shared" si="0"/>
        <v>1.0629999999999999</v>
      </c>
      <c r="L44" s="5"/>
    </row>
    <row r="45" spans="3:12">
      <c r="C45" s="5">
        <f t="shared" si="1"/>
        <v>41</v>
      </c>
      <c r="D45" s="5" t="s">
        <v>582</v>
      </c>
      <c r="E45" s="5" t="s">
        <v>1321</v>
      </c>
      <c r="F45" s="5"/>
      <c r="G45" s="5"/>
      <c r="H45" s="5">
        <v>63</v>
      </c>
      <c r="I45" s="5">
        <v>161.30000000000001</v>
      </c>
      <c r="J45" s="5">
        <f t="shared" si="2"/>
        <v>3841.1000000000013</v>
      </c>
      <c r="K45" s="22">
        <f t="shared" si="0"/>
        <v>1.0629999999999999</v>
      </c>
      <c r="L45" s="5"/>
    </row>
    <row r="46" spans="3:12">
      <c r="C46" s="5">
        <f t="shared" si="1"/>
        <v>42</v>
      </c>
      <c r="D46" s="5" t="s">
        <v>582</v>
      </c>
      <c r="E46" s="5" t="s">
        <v>1321</v>
      </c>
      <c r="F46" s="5" t="s">
        <v>199</v>
      </c>
      <c r="G46" s="22">
        <f>(300+H46)/1000</f>
        <v>0.36299999999999999</v>
      </c>
      <c r="H46" s="5">
        <v>63</v>
      </c>
      <c r="I46" s="5">
        <v>3.4</v>
      </c>
      <c r="J46" s="5">
        <f t="shared" si="2"/>
        <v>3844.5000000000014</v>
      </c>
      <c r="K46" s="22">
        <f t="shared" si="0"/>
        <v>1.0629999999999999</v>
      </c>
      <c r="L46" s="5"/>
    </row>
    <row r="47" spans="3:12">
      <c r="C47" s="5">
        <f t="shared" si="1"/>
        <v>43</v>
      </c>
      <c r="D47" s="5" t="s">
        <v>640</v>
      </c>
      <c r="E47" s="5" t="s">
        <v>358</v>
      </c>
      <c r="F47" s="5"/>
      <c r="G47" s="5"/>
      <c r="H47" s="5">
        <v>63</v>
      </c>
      <c r="I47" s="5">
        <v>131.30000000000001</v>
      </c>
      <c r="J47" s="5">
        <f t="shared" si="2"/>
        <v>3975.8000000000015</v>
      </c>
      <c r="K47" s="22">
        <f t="shared" si="0"/>
        <v>1.0629999999999999</v>
      </c>
      <c r="L47" s="5"/>
    </row>
    <row r="48" spans="3:12">
      <c r="C48" s="5">
        <f t="shared" si="1"/>
        <v>44</v>
      </c>
      <c r="D48" s="5" t="s">
        <v>358</v>
      </c>
      <c r="E48" s="5" t="s">
        <v>308</v>
      </c>
      <c r="F48" s="5"/>
      <c r="G48" s="5"/>
      <c r="H48" s="5">
        <v>63</v>
      </c>
      <c r="I48" s="5">
        <v>26.7</v>
      </c>
      <c r="J48" s="5">
        <f t="shared" si="2"/>
        <v>4002.5000000000014</v>
      </c>
      <c r="K48" s="22">
        <f t="shared" si="0"/>
        <v>1.0629999999999999</v>
      </c>
      <c r="L48" s="5"/>
    </row>
    <row r="49" spans="3:12">
      <c r="C49" s="5">
        <f t="shared" si="1"/>
        <v>45</v>
      </c>
      <c r="D49" s="5" t="s">
        <v>358</v>
      </c>
      <c r="E49" s="5" t="s">
        <v>386</v>
      </c>
      <c r="F49" s="5"/>
      <c r="G49" s="5"/>
      <c r="H49" s="5">
        <v>63</v>
      </c>
      <c r="I49" s="5">
        <v>51</v>
      </c>
      <c r="J49" s="5">
        <f t="shared" si="2"/>
        <v>4053.5000000000014</v>
      </c>
      <c r="K49" s="22">
        <f t="shared" si="0"/>
        <v>1.0629999999999999</v>
      </c>
      <c r="L49" s="5"/>
    </row>
    <row r="50" spans="3:12">
      <c r="C50" s="5">
        <f t="shared" si="1"/>
        <v>46</v>
      </c>
      <c r="D50" s="5" t="s">
        <v>386</v>
      </c>
      <c r="E50" s="5" t="s">
        <v>276</v>
      </c>
      <c r="F50" s="5" t="s">
        <v>193</v>
      </c>
      <c r="G50" s="22">
        <f>(300+H50)/1000</f>
        <v>0.36299999999999999</v>
      </c>
      <c r="H50" s="5">
        <v>63</v>
      </c>
      <c r="I50" s="5">
        <v>3</v>
      </c>
      <c r="J50" s="5">
        <f t="shared" si="2"/>
        <v>4056.5000000000014</v>
      </c>
      <c r="K50" s="22">
        <f t="shared" si="0"/>
        <v>1.0629999999999999</v>
      </c>
      <c r="L50" s="5"/>
    </row>
    <row r="51" spans="3:12">
      <c r="C51" s="5">
        <f t="shared" si="1"/>
        <v>47</v>
      </c>
      <c r="D51" s="5" t="s">
        <v>386</v>
      </c>
      <c r="E51" s="5" t="s">
        <v>276</v>
      </c>
      <c r="F51" s="5"/>
      <c r="G51" s="5"/>
      <c r="H51" s="5">
        <v>63</v>
      </c>
      <c r="I51" s="5">
        <v>209</v>
      </c>
      <c r="J51" s="5">
        <f t="shared" si="2"/>
        <v>4265.5000000000018</v>
      </c>
      <c r="K51" s="22">
        <f t="shared" si="0"/>
        <v>1.0629999999999999</v>
      </c>
      <c r="L51" s="5"/>
    </row>
    <row r="52" spans="3:12">
      <c r="C52" s="5">
        <f t="shared" si="1"/>
        <v>48</v>
      </c>
      <c r="D52" s="5" t="s">
        <v>276</v>
      </c>
      <c r="E52" s="5" t="s">
        <v>351</v>
      </c>
      <c r="F52" s="5" t="s">
        <v>193</v>
      </c>
      <c r="G52" s="22">
        <f>(300+H52)/1000</f>
        <v>0.36299999999999999</v>
      </c>
      <c r="H52" s="5">
        <v>63</v>
      </c>
      <c r="I52" s="5">
        <v>3.4</v>
      </c>
      <c r="J52" s="5">
        <f t="shared" si="2"/>
        <v>4268.9000000000015</v>
      </c>
      <c r="K52" s="22">
        <f t="shared" si="0"/>
        <v>1.0629999999999999</v>
      </c>
      <c r="L52" s="5"/>
    </row>
    <row r="53" spans="3:12">
      <c r="C53" s="5">
        <f t="shared" si="1"/>
        <v>49</v>
      </c>
      <c r="D53" s="5" t="s">
        <v>276</v>
      </c>
      <c r="E53" s="5" t="s">
        <v>351</v>
      </c>
      <c r="F53" s="5"/>
      <c r="G53" s="5"/>
      <c r="H53" s="5">
        <v>63</v>
      </c>
      <c r="I53" s="5">
        <v>307.60000000000002</v>
      </c>
      <c r="J53" s="5">
        <f t="shared" si="2"/>
        <v>4576.5000000000018</v>
      </c>
      <c r="K53" s="22">
        <f t="shared" si="0"/>
        <v>1.0629999999999999</v>
      </c>
      <c r="L53" s="5"/>
    </row>
    <row r="54" spans="3:12">
      <c r="C54" s="5">
        <f t="shared" si="1"/>
        <v>50</v>
      </c>
      <c r="D54" s="5" t="s">
        <v>351</v>
      </c>
      <c r="E54" s="5" t="s">
        <v>270</v>
      </c>
      <c r="F54" s="5"/>
      <c r="G54" s="5"/>
      <c r="H54" s="5">
        <v>63</v>
      </c>
      <c r="I54" s="5">
        <v>222.3</v>
      </c>
      <c r="J54" s="5">
        <f t="shared" si="2"/>
        <v>4798.800000000002</v>
      </c>
      <c r="K54" s="22">
        <f t="shared" si="0"/>
        <v>1.0629999999999999</v>
      </c>
      <c r="L54" s="5"/>
    </row>
    <row r="55" spans="3:12">
      <c r="C55" s="5">
        <f t="shared" si="1"/>
        <v>51</v>
      </c>
      <c r="D55" s="5" t="s">
        <v>351</v>
      </c>
      <c r="E55" s="5" t="s">
        <v>318</v>
      </c>
      <c r="F55" s="5"/>
      <c r="G55" s="5"/>
      <c r="H55" s="5">
        <v>63</v>
      </c>
      <c r="I55" s="5">
        <v>378.6</v>
      </c>
      <c r="J55" s="5">
        <f t="shared" si="2"/>
        <v>5177.4000000000024</v>
      </c>
      <c r="K55" s="22">
        <f t="shared" si="0"/>
        <v>1.0629999999999999</v>
      </c>
      <c r="L55" s="5"/>
    </row>
    <row r="56" spans="3:12">
      <c r="C56" s="5">
        <f t="shared" si="1"/>
        <v>52</v>
      </c>
      <c r="D56" s="5" t="s">
        <v>318</v>
      </c>
      <c r="E56" s="5" t="s">
        <v>319</v>
      </c>
      <c r="F56" s="5"/>
      <c r="G56" s="5"/>
      <c r="H56" s="5">
        <v>63</v>
      </c>
      <c r="I56" s="5">
        <v>343.2</v>
      </c>
      <c r="J56" s="5">
        <f t="shared" si="2"/>
        <v>5520.6000000000022</v>
      </c>
      <c r="K56" s="22">
        <f t="shared" si="0"/>
        <v>1.0629999999999999</v>
      </c>
      <c r="L56" s="5"/>
    </row>
    <row r="57" spans="3:12">
      <c r="C57" s="5">
        <f t="shared" si="1"/>
        <v>53</v>
      </c>
      <c r="D57" s="5" t="s">
        <v>318</v>
      </c>
      <c r="E57" s="5" t="s">
        <v>248</v>
      </c>
      <c r="F57" s="5"/>
      <c r="G57" s="5"/>
      <c r="H57" s="5">
        <v>63</v>
      </c>
      <c r="I57" s="5">
        <v>478.1</v>
      </c>
      <c r="J57" s="5">
        <f t="shared" si="2"/>
        <v>5998.7000000000025</v>
      </c>
      <c r="K57" s="22">
        <f t="shared" si="0"/>
        <v>1.0629999999999999</v>
      </c>
      <c r="L57" s="5"/>
    </row>
    <row r="58" spans="3:12">
      <c r="C58" s="5">
        <f t="shared" si="1"/>
        <v>54</v>
      </c>
      <c r="D58" s="5" t="s">
        <v>507</v>
      </c>
      <c r="E58" s="5" t="s">
        <v>269</v>
      </c>
      <c r="F58" s="5"/>
      <c r="G58" s="5"/>
      <c r="H58" s="5">
        <v>63</v>
      </c>
      <c r="I58" s="5">
        <v>340.9</v>
      </c>
      <c r="J58" s="5">
        <f t="shared" si="2"/>
        <v>6339.6000000000022</v>
      </c>
      <c r="K58" s="22">
        <f t="shared" si="0"/>
        <v>1.0629999999999999</v>
      </c>
      <c r="L58" s="5"/>
    </row>
    <row r="59" spans="3:12">
      <c r="C59" s="5">
        <f t="shared" si="1"/>
        <v>55</v>
      </c>
      <c r="D59" s="5" t="s">
        <v>269</v>
      </c>
      <c r="E59" s="5" t="s">
        <v>352</v>
      </c>
      <c r="F59" s="5"/>
      <c r="G59" s="5"/>
      <c r="H59" s="5">
        <v>63</v>
      </c>
      <c r="I59" s="5">
        <v>624</v>
      </c>
      <c r="J59" s="5">
        <f t="shared" si="2"/>
        <v>6963.6000000000022</v>
      </c>
      <c r="K59" s="22">
        <f t="shared" si="0"/>
        <v>1.0629999999999999</v>
      </c>
      <c r="L59" s="5"/>
    </row>
    <row r="60" spans="3:12">
      <c r="C60" s="5">
        <f t="shared" si="1"/>
        <v>56</v>
      </c>
      <c r="D60" s="5" t="s">
        <v>1551</v>
      </c>
      <c r="E60" s="5" t="s">
        <v>1552</v>
      </c>
      <c r="F60" s="5"/>
      <c r="G60" s="5"/>
      <c r="H60" s="5">
        <v>63</v>
      </c>
      <c r="I60" s="5">
        <v>129.80000000000001</v>
      </c>
      <c r="J60" s="5">
        <f t="shared" si="2"/>
        <v>7093.4000000000024</v>
      </c>
      <c r="K60" s="22">
        <f t="shared" si="0"/>
        <v>1.0629999999999999</v>
      </c>
      <c r="L60" s="5"/>
    </row>
    <row r="61" spans="3:12">
      <c r="C61" s="5">
        <f t="shared" si="1"/>
        <v>57</v>
      </c>
      <c r="D61" s="5" t="s">
        <v>352</v>
      </c>
      <c r="E61" s="5" t="s">
        <v>347</v>
      </c>
      <c r="F61" s="5"/>
      <c r="G61" s="5"/>
      <c r="H61" s="5">
        <v>63</v>
      </c>
      <c r="I61" s="5">
        <v>181.8</v>
      </c>
      <c r="J61" s="5">
        <f t="shared" si="2"/>
        <v>7275.2000000000025</v>
      </c>
      <c r="K61" s="22">
        <f t="shared" si="0"/>
        <v>1.0629999999999999</v>
      </c>
      <c r="L61" s="5"/>
    </row>
    <row r="62" spans="3:12">
      <c r="C62" s="5">
        <f t="shared" si="1"/>
        <v>58</v>
      </c>
      <c r="D62" s="5" t="s">
        <v>340</v>
      </c>
      <c r="E62" s="5" t="s">
        <v>325</v>
      </c>
      <c r="F62" s="5"/>
      <c r="G62" s="5"/>
      <c r="H62" s="5">
        <v>63</v>
      </c>
      <c r="I62" s="5">
        <v>131</v>
      </c>
      <c r="J62" s="5">
        <f t="shared" si="2"/>
        <v>7406.2000000000025</v>
      </c>
      <c r="K62" s="22">
        <f t="shared" si="0"/>
        <v>1.0629999999999999</v>
      </c>
      <c r="L62" s="5"/>
    </row>
    <row r="63" spans="3:12">
      <c r="C63" s="5">
        <f t="shared" si="1"/>
        <v>59</v>
      </c>
      <c r="D63" s="5" t="s">
        <v>258</v>
      </c>
      <c r="E63" s="5" t="s">
        <v>521</v>
      </c>
      <c r="F63" s="5"/>
      <c r="G63" s="5"/>
      <c r="H63" s="5">
        <v>63</v>
      </c>
      <c r="I63" s="5">
        <v>53</v>
      </c>
      <c r="J63" s="5">
        <f t="shared" si="2"/>
        <v>7459.2000000000025</v>
      </c>
      <c r="K63" s="22">
        <f t="shared" si="0"/>
        <v>1.0629999999999999</v>
      </c>
      <c r="L63" s="5"/>
    </row>
    <row r="64" spans="3:12">
      <c r="C64" s="5">
        <f t="shared" si="1"/>
        <v>60</v>
      </c>
      <c r="D64" s="5" t="s">
        <v>521</v>
      </c>
      <c r="E64" s="5" t="s">
        <v>416</v>
      </c>
      <c r="F64" s="5"/>
      <c r="G64" s="5"/>
      <c r="H64" s="5">
        <v>63</v>
      </c>
      <c r="I64" s="5">
        <v>11</v>
      </c>
      <c r="J64" s="5">
        <f t="shared" si="2"/>
        <v>7470.2000000000025</v>
      </c>
      <c r="K64" s="22">
        <f t="shared" si="0"/>
        <v>1.0629999999999999</v>
      </c>
      <c r="L64" s="5"/>
    </row>
    <row r="65" spans="3:12">
      <c r="C65" s="5">
        <f t="shared" si="1"/>
        <v>61</v>
      </c>
      <c r="D65" s="5" t="s">
        <v>416</v>
      </c>
      <c r="E65" s="5" t="s">
        <v>257</v>
      </c>
      <c r="F65" s="5"/>
      <c r="G65" s="5"/>
      <c r="H65" s="5">
        <v>63</v>
      </c>
      <c r="I65" s="5">
        <v>25</v>
      </c>
      <c r="J65" s="5">
        <f t="shared" si="2"/>
        <v>7495.2000000000025</v>
      </c>
      <c r="K65" s="22">
        <f t="shared" si="0"/>
        <v>1.0629999999999999</v>
      </c>
      <c r="L65" s="5"/>
    </row>
    <row r="66" spans="3:12">
      <c r="C66" s="5">
        <f t="shared" si="1"/>
        <v>62</v>
      </c>
      <c r="D66" s="5" t="s">
        <v>257</v>
      </c>
      <c r="E66" s="5" t="s">
        <v>275</v>
      </c>
      <c r="F66" s="5"/>
      <c r="G66" s="5"/>
      <c r="H66" s="5">
        <v>63</v>
      </c>
      <c r="I66" s="5">
        <v>14</v>
      </c>
      <c r="J66" s="5">
        <f t="shared" si="2"/>
        <v>7509.2000000000025</v>
      </c>
      <c r="K66" s="22">
        <f t="shared" si="0"/>
        <v>1.0629999999999999</v>
      </c>
      <c r="L66" s="5"/>
    </row>
    <row r="67" spans="3:12">
      <c r="C67" s="5">
        <f t="shared" si="1"/>
        <v>63</v>
      </c>
      <c r="D67" s="5" t="s">
        <v>275</v>
      </c>
      <c r="E67" s="5" t="s">
        <v>274</v>
      </c>
      <c r="F67" s="5"/>
      <c r="G67" s="5"/>
      <c r="H67" s="5">
        <v>63</v>
      </c>
      <c r="I67" s="5">
        <v>7.6</v>
      </c>
      <c r="J67" s="5">
        <f t="shared" si="2"/>
        <v>7516.8000000000029</v>
      </c>
      <c r="K67" s="22">
        <f t="shared" si="0"/>
        <v>1.0629999999999999</v>
      </c>
      <c r="L67" s="5"/>
    </row>
    <row r="68" spans="3:12">
      <c r="C68" s="5">
        <f t="shared" si="1"/>
        <v>64</v>
      </c>
      <c r="D68" s="5" t="s">
        <v>274</v>
      </c>
      <c r="E68" s="5" t="s">
        <v>306</v>
      </c>
      <c r="F68" s="5"/>
      <c r="G68" s="5"/>
      <c r="H68" s="5">
        <v>63</v>
      </c>
      <c r="I68" s="5">
        <v>141.4</v>
      </c>
      <c r="J68" s="5">
        <f t="shared" si="2"/>
        <v>7658.2000000000025</v>
      </c>
      <c r="K68" s="22">
        <f t="shared" si="0"/>
        <v>1.0629999999999999</v>
      </c>
      <c r="L68" s="5"/>
    </row>
    <row r="69" spans="3:12">
      <c r="C69" s="5">
        <f t="shared" si="1"/>
        <v>65</v>
      </c>
      <c r="D69" s="5" t="s">
        <v>274</v>
      </c>
      <c r="E69" s="5" t="s">
        <v>306</v>
      </c>
      <c r="F69" s="5" t="s">
        <v>199</v>
      </c>
      <c r="G69" s="22">
        <f>(300+H69)/1000</f>
        <v>0.36299999999999999</v>
      </c>
      <c r="H69" s="5">
        <v>63</v>
      </c>
      <c r="I69" s="5">
        <v>6</v>
      </c>
      <c r="J69" s="5">
        <f t="shared" si="2"/>
        <v>7664.2000000000025</v>
      </c>
      <c r="K69" s="22">
        <f t="shared" si="0"/>
        <v>1.0629999999999999</v>
      </c>
      <c r="L69" s="5"/>
    </row>
    <row r="70" spans="3:12">
      <c r="C70" s="5">
        <f t="shared" si="1"/>
        <v>66</v>
      </c>
      <c r="D70" s="5" t="s">
        <v>290</v>
      </c>
      <c r="E70" s="5" t="s">
        <v>191</v>
      </c>
      <c r="F70" s="5"/>
      <c r="G70" s="5"/>
      <c r="H70" s="5">
        <v>63</v>
      </c>
      <c r="I70" s="5">
        <v>60</v>
      </c>
      <c r="J70" s="5">
        <f t="shared" si="2"/>
        <v>7724.2000000000025</v>
      </c>
      <c r="K70" s="22">
        <f t="shared" ref="K70:K125" si="5">(1000+H70)/1000</f>
        <v>1.0629999999999999</v>
      </c>
      <c r="L70" s="5"/>
    </row>
    <row r="71" spans="3:12">
      <c r="C71" s="5">
        <f t="shared" ref="C71:C125" si="6">1+C70</f>
        <v>67</v>
      </c>
      <c r="D71" s="5" t="s">
        <v>191</v>
      </c>
      <c r="E71" s="5" t="s">
        <v>230</v>
      </c>
      <c r="F71" s="5"/>
      <c r="G71" s="5"/>
      <c r="H71" s="5">
        <v>63</v>
      </c>
      <c r="I71" s="5">
        <v>90</v>
      </c>
      <c r="J71" s="5">
        <f t="shared" si="2"/>
        <v>7814.2000000000025</v>
      </c>
      <c r="K71" s="22">
        <f t="shared" si="5"/>
        <v>1.0629999999999999</v>
      </c>
      <c r="L71" s="5"/>
    </row>
    <row r="72" spans="3:12">
      <c r="C72" s="5">
        <f t="shared" si="6"/>
        <v>68</v>
      </c>
      <c r="D72" s="5" t="s">
        <v>230</v>
      </c>
      <c r="E72" s="5" t="s">
        <v>218</v>
      </c>
      <c r="F72" s="5"/>
      <c r="G72" s="5"/>
      <c r="H72" s="5">
        <v>63</v>
      </c>
      <c r="I72" s="5">
        <v>80</v>
      </c>
      <c r="J72" s="5">
        <f t="shared" si="2"/>
        <v>7894.2000000000025</v>
      </c>
      <c r="K72" s="22">
        <f t="shared" si="5"/>
        <v>1.0629999999999999</v>
      </c>
      <c r="L72" s="5"/>
    </row>
    <row r="73" spans="3:12">
      <c r="C73" s="5">
        <f t="shared" si="6"/>
        <v>69</v>
      </c>
      <c r="D73" s="5" t="s">
        <v>191</v>
      </c>
      <c r="E73" s="5" t="s">
        <v>195</v>
      </c>
      <c r="F73" s="5"/>
      <c r="G73" s="5"/>
      <c r="H73" s="5">
        <v>63</v>
      </c>
      <c r="I73" s="5">
        <v>35</v>
      </c>
      <c r="J73" s="5">
        <f t="shared" ref="J73:J125" si="7">+J72+I73</f>
        <v>7929.2000000000025</v>
      </c>
      <c r="K73" s="22">
        <f t="shared" si="5"/>
        <v>1.0629999999999999</v>
      </c>
      <c r="L73" s="5"/>
    </row>
    <row r="74" spans="3:12">
      <c r="C74" s="5">
        <f t="shared" si="6"/>
        <v>70</v>
      </c>
      <c r="D74" s="5" t="s">
        <v>191</v>
      </c>
      <c r="E74" s="5" t="s">
        <v>195</v>
      </c>
      <c r="F74" s="5" t="s">
        <v>193</v>
      </c>
      <c r="G74" s="22">
        <f>(300+H74)/1000</f>
        <v>0.36299999999999999</v>
      </c>
      <c r="H74" s="5">
        <v>63</v>
      </c>
      <c r="I74" s="5">
        <v>4</v>
      </c>
      <c r="J74" s="5">
        <f t="shared" si="7"/>
        <v>7933.2000000000025</v>
      </c>
      <c r="K74" s="22">
        <f t="shared" si="5"/>
        <v>1.0629999999999999</v>
      </c>
      <c r="L74" s="5"/>
    </row>
    <row r="75" spans="3:12">
      <c r="C75" s="5">
        <f t="shared" si="6"/>
        <v>71</v>
      </c>
      <c r="D75" s="5" t="s">
        <v>191</v>
      </c>
      <c r="E75" s="5" t="s">
        <v>287</v>
      </c>
      <c r="F75" s="5"/>
      <c r="G75" s="5"/>
      <c r="H75" s="5">
        <v>63</v>
      </c>
      <c r="I75" s="5">
        <v>191</v>
      </c>
      <c r="J75" s="5">
        <f t="shared" si="7"/>
        <v>8124.2000000000025</v>
      </c>
      <c r="K75" s="22">
        <f t="shared" si="5"/>
        <v>1.0629999999999999</v>
      </c>
      <c r="L75" s="5"/>
    </row>
    <row r="76" spans="3:12">
      <c r="C76" s="5">
        <f t="shared" si="6"/>
        <v>72</v>
      </c>
      <c r="D76" s="5" t="s">
        <v>204</v>
      </c>
      <c r="E76" s="5" t="s">
        <v>206</v>
      </c>
      <c r="F76" s="5"/>
      <c r="G76" s="5"/>
      <c r="H76" s="5">
        <v>63</v>
      </c>
      <c r="I76" s="5">
        <v>21</v>
      </c>
      <c r="J76" s="5">
        <f t="shared" si="7"/>
        <v>8145.2000000000025</v>
      </c>
      <c r="K76" s="22">
        <f t="shared" si="5"/>
        <v>1.0629999999999999</v>
      </c>
      <c r="L76" s="5"/>
    </row>
    <row r="77" spans="3:12">
      <c r="C77" s="5">
        <f t="shared" si="6"/>
        <v>73</v>
      </c>
      <c r="D77" s="5" t="s">
        <v>206</v>
      </c>
      <c r="E77" s="5" t="s">
        <v>705</v>
      </c>
      <c r="F77" s="5"/>
      <c r="G77" s="5"/>
      <c r="H77" s="5">
        <v>63</v>
      </c>
      <c r="I77" s="5">
        <v>42</v>
      </c>
      <c r="J77" s="5">
        <f t="shared" si="7"/>
        <v>8187.2000000000025</v>
      </c>
      <c r="K77" s="22">
        <f t="shared" si="5"/>
        <v>1.0629999999999999</v>
      </c>
      <c r="L77" s="5"/>
    </row>
    <row r="78" spans="3:12">
      <c r="C78" s="5">
        <f t="shared" si="6"/>
        <v>74</v>
      </c>
      <c r="D78" s="5" t="s">
        <v>204</v>
      </c>
      <c r="E78" s="5" t="s">
        <v>211</v>
      </c>
      <c r="F78" s="5" t="s">
        <v>199</v>
      </c>
      <c r="G78" s="22">
        <f>(300+H78)/1000</f>
        <v>0.36299999999999999</v>
      </c>
      <c r="H78" s="5">
        <v>63</v>
      </c>
      <c r="I78" s="5">
        <v>15.4</v>
      </c>
      <c r="J78" s="5">
        <f t="shared" si="7"/>
        <v>8202.6000000000022</v>
      </c>
      <c r="K78" s="22">
        <f t="shared" si="5"/>
        <v>1.0629999999999999</v>
      </c>
      <c r="L78" s="5"/>
    </row>
    <row r="79" spans="3:12">
      <c r="C79" s="5">
        <f t="shared" si="6"/>
        <v>75</v>
      </c>
      <c r="D79" s="5" t="s">
        <v>204</v>
      </c>
      <c r="E79" s="5" t="s">
        <v>211</v>
      </c>
      <c r="F79" s="5"/>
      <c r="G79" s="5"/>
      <c r="H79" s="5">
        <v>63</v>
      </c>
      <c r="I79" s="5">
        <v>100</v>
      </c>
      <c r="J79" s="5">
        <f t="shared" si="7"/>
        <v>8302.6000000000022</v>
      </c>
      <c r="K79" s="22">
        <f t="shared" si="5"/>
        <v>1.0629999999999999</v>
      </c>
      <c r="L79" s="5"/>
    </row>
    <row r="80" spans="3:12">
      <c r="C80" s="5">
        <f t="shared" si="6"/>
        <v>76</v>
      </c>
      <c r="D80" s="5" t="s">
        <v>1553</v>
      </c>
      <c r="E80" s="5" t="s">
        <v>1554</v>
      </c>
      <c r="F80" s="5"/>
      <c r="G80" s="5"/>
      <c r="H80" s="5">
        <v>63</v>
      </c>
      <c r="I80" s="5">
        <v>17</v>
      </c>
      <c r="J80" s="5">
        <f t="shared" si="7"/>
        <v>8319.6000000000022</v>
      </c>
      <c r="K80" s="22">
        <f t="shared" si="5"/>
        <v>1.0629999999999999</v>
      </c>
      <c r="L80" s="5"/>
    </row>
    <row r="81" spans="3:12">
      <c r="C81" s="5">
        <f t="shared" si="6"/>
        <v>77</v>
      </c>
      <c r="D81" s="5" t="s">
        <v>919</v>
      </c>
      <c r="E81" s="5" t="s">
        <v>576</v>
      </c>
      <c r="F81" s="5" t="s">
        <v>199</v>
      </c>
      <c r="G81" s="22">
        <f t="shared" ref="G81:G82" si="8">(300+H81)/1000</f>
        <v>0.36299999999999999</v>
      </c>
      <c r="H81" s="5">
        <v>63</v>
      </c>
      <c r="I81" s="5">
        <v>26.4</v>
      </c>
      <c r="J81" s="5">
        <f t="shared" si="7"/>
        <v>8346.0000000000018</v>
      </c>
      <c r="K81" s="22">
        <f t="shared" si="5"/>
        <v>1.0629999999999999</v>
      </c>
      <c r="L81" s="5"/>
    </row>
    <row r="82" spans="3:12">
      <c r="C82" s="5">
        <f t="shared" si="6"/>
        <v>78</v>
      </c>
      <c r="D82" s="5" t="s">
        <v>211</v>
      </c>
      <c r="E82" s="5" t="s">
        <v>590</v>
      </c>
      <c r="F82" s="5" t="s">
        <v>199</v>
      </c>
      <c r="G82" s="22">
        <f t="shared" si="8"/>
        <v>0.36299999999999999</v>
      </c>
      <c r="H82" s="5">
        <v>63</v>
      </c>
      <c r="I82" s="5">
        <v>23.5</v>
      </c>
      <c r="J82" s="5">
        <f t="shared" si="7"/>
        <v>8369.5000000000018</v>
      </c>
      <c r="K82" s="22">
        <f t="shared" si="5"/>
        <v>1.0629999999999999</v>
      </c>
      <c r="L82" s="5"/>
    </row>
    <row r="83" spans="3:12">
      <c r="C83" s="5">
        <f t="shared" si="6"/>
        <v>79</v>
      </c>
      <c r="D83" s="5" t="s">
        <v>211</v>
      </c>
      <c r="E83" s="5" t="s">
        <v>590</v>
      </c>
      <c r="F83" s="5"/>
      <c r="G83" s="5"/>
      <c r="H83" s="5">
        <v>63</v>
      </c>
      <c r="I83" s="5">
        <v>10</v>
      </c>
      <c r="J83" s="5">
        <f t="shared" si="7"/>
        <v>8379.5000000000018</v>
      </c>
      <c r="K83" s="22">
        <f t="shared" si="5"/>
        <v>1.0629999999999999</v>
      </c>
      <c r="L83" s="5"/>
    </row>
    <row r="84" spans="3:12">
      <c r="C84" s="5">
        <f t="shared" si="6"/>
        <v>80</v>
      </c>
      <c r="D84" s="5" t="s">
        <v>590</v>
      </c>
      <c r="E84" s="5" t="s">
        <v>705</v>
      </c>
      <c r="F84" s="5" t="s">
        <v>199</v>
      </c>
      <c r="G84" s="22">
        <f>(300+H84)/1000</f>
        <v>0.36299999999999999</v>
      </c>
      <c r="H84" s="5">
        <v>63</v>
      </c>
      <c r="I84" s="5">
        <v>27.2</v>
      </c>
      <c r="J84" s="5">
        <f t="shared" si="7"/>
        <v>8406.7000000000025</v>
      </c>
      <c r="K84" s="22">
        <f t="shared" si="5"/>
        <v>1.0629999999999999</v>
      </c>
      <c r="L84" s="5"/>
    </row>
    <row r="85" spans="3:12">
      <c r="C85" s="5">
        <f t="shared" si="6"/>
        <v>81</v>
      </c>
      <c r="D85" s="5" t="s">
        <v>705</v>
      </c>
      <c r="E85" s="5" t="s">
        <v>686</v>
      </c>
      <c r="F85" s="5"/>
      <c r="G85" s="5"/>
      <c r="H85" s="5">
        <v>63</v>
      </c>
      <c r="I85" s="509">
        <v>52.9</v>
      </c>
      <c r="J85" s="5">
        <f t="shared" si="7"/>
        <v>8459.6000000000022</v>
      </c>
      <c r="K85" s="22">
        <f t="shared" si="5"/>
        <v>1.0629999999999999</v>
      </c>
      <c r="L85" s="5"/>
    </row>
    <row r="86" spans="3:12">
      <c r="C86" s="5">
        <f t="shared" si="6"/>
        <v>82</v>
      </c>
      <c r="D86" s="5" t="s">
        <v>686</v>
      </c>
      <c r="E86" s="5" t="s">
        <v>612</v>
      </c>
      <c r="F86" s="5"/>
      <c r="G86" s="5"/>
      <c r="H86" s="5">
        <v>63</v>
      </c>
      <c r="I86" s="509"/>
      <c r="J86" s="5">
        <f t="shared" si="7"/>
        <v>8459.6000000000022</v>
      </c>
      <c r="K86" s="22">
        <f t="shared" si="5"/>
        <v>1.0629999999999999</v>
      </c>
      <c r="L86" s="5"/>
    </row>
    <row r="87" spans="3:12">
      <c r="C87" s="5">
        <f t="shared" si="6"/>
        <v>83</v>
      </c>
      <c r="D87" s="5" t="s">
        <v>612</v>
      </c>
      <c r="E87" s="5" t="s">
        <v>458</v>
      </c>
      <c r="F87" s="5"/>
      <c r="G87" s="5"/>
      <c r="H87" s="5">
        <v>63</v>
      </c>
      <c r="I87" s="509"/>
      <c r="J87" s="5">
        <f t="shared" si="7"/>
        <v>8459.6000000000022</v>
      </c>
      <c r="K87" s="22">
        <f t="shared" si="5"/>
        <v>1.0629999999999999</v>
      </c>
      <c r="L87" s="5"/>
    </row>
    <row r="88" spans="3:12">
      <c r="C88" s="5">
        <f t="shared" si="6"/>
        <v>84</v>
      </c>
      <c r="D88" s="5" t="s">
        <v>458</v>
      </c>
      <c r="E88" s="5" t="s">
        <v>578</v>
      </c>
      <c r="F88" s="5"/>
      <c r="G88" s="5"/>
      <c r="H88" s="5">
        <v>63</v>
      </c>
      <c r="I88" s="509"/>
      <c r="J88" s="5">
        <f t="shared" si="7"/>
        <v>8459.6000000000022</v>
      </c>
      <c r="K88" s="22">
        <f t="shared" si="5"/>
        <v>1.0629999999999999</v>
      </c>
      <c r="L88" s="5"/>
    </row>
    <row r="89" spans="3:12">
      <c r="C89" s="5">
        <f t="shared" si="6"/>
        <v>85</v>
      </c>
      <c r="D89" s="5" t="s">
        <v>578</v>
      </c>
      <c r="E89" s="5" t="s">
        <v>609</v>
      </c>
      <c r="F89" s="5" t="s">
        <v>199</v>
      </c>
      <c r="G89" s="22">
        <f t="shared" ref="G89:G92" si="9">(300+H89)/1000</f>
        <v>0.36299999999999999</v>
      </c>
      <c r="H89" s="5">
        <v>63</v>
      </c>
      <c r="I89" s="5">
        <v>171.2</v>
      </c>
      <c r="J89" s="5">
        <f t="shared" si="7"/>
        <v>8630.8000000000029</v>
      </c>
      <c r="K89" s="22">
        <f t="shared" si="5"/>
        <v>1.0629999999999999</v>
      </c>
      <c r="L89" s="5"/>
    </row>
    <row r="90" spans="3:12">
      <c r="C90" s="5">
        <f t="shared" si="6"/>
        <v>86</v>
      </c>
      <c r="D90" s="5" t="s">
        <v>609</v>
      </c>
      <c r="E90" s="5" t="s">
        <v>680</v>
      </c>
      <c r="F90" s="5" t="s">
        <v>199</v>
      </c>
      <c r="G90" s="22">
        <f t="shared" si="9"/>
        <v>0.36299999999999999</v>
      </c>
      <c r="H90" s="5">
        <v>63</v>
      </c>
      <c r="I90" s="5">
        <v>69.3</v>
      </c>
      <c r="J90" s="5">
        <f t="shared" si="7"/>
        <v>8700.1000000000022</v>
      </c>
      <c r="K90" s="22">
        <f t="shared" si="5"/>
        <v>1.0629999999999999</v>
      </c>
      <c r="L90" s="5"/>
    </row>
    <row r="91" spans="3:12">
      <c r="C91" s="5">
        <f t="shared" si="6"/>
        <v>87</v>
      </c>
      <c r="D91" s="5" t="s">
        <v>225</v>
      </c>
      <c r="E91" s="5" t="s">
        <v>344</v>
      </c>
      <c r="F91" s="5" t="s">
        <v>199</v>
      </c>
      <c r="G91" s="22">
        <f t="shared" si="9"/>
        <v>0.36299999999999999</v>
      </c>
      <c r="H91" s="5">
        <v>63</v>
      </c>
      <c r="I91" s="5">
        <v>148.9</v>
      </c>
      <c r="J91" s="5">
        <f t="shared" si="7"/>
        <v>8849.0000000000018</v>
      </c>
      <c r="K91" s="22">
        <f t="shared" si="5"/>
        <v>1.0629999999999999</v>
      </c>
      <c r="L91" s="5"/>
    </row>
    <row r="92" spans="3:12">
      <c r="C92" s="5">
        <f t="shared" si="6"/>
        <v>88</v>
      </c>
      <c r="D92" s="5" t="s">
        <v>344</v>
      </c>
      <c r="E92" s="5" t="s">
        <v>272</v>
      </c>
      <c r="F92" s="5" t="s">
        <v>199</v>
      </c>
      <c r="G92" s="22">
        <f t="shared" si="9"/>
        <v>0.36299999999999999</v>
      </c>
      <c r="H92" s="5">
        <v>63</v>
      </c>
      <c r="I92" s="5">
        <v>162.30000000000001</v>
      </c>
      <c r="J92" s="5">
        <f t="shared" si="7"/>
        <v>9011.3000000000011</v>
      </c>
      <c r="K92" s="22">
        <f t="shared" si="5"/>
        <v>1.0629999999999999</v>
      </c>
      <c r="L92" s="5"/>
    </row>
    <row r="93" spans="3:12">
      <c r="C93" s="5">
        <f t="shared" si="6"/>
        <v>89</v>
      </c>
      <c r="D93" s="5" t="s">
        <v>417</v>
      </c>
      <c r="E93" s="5" t="s">
        <v>398</v>
      </c>
      <c r="F93" s="5"/>
      <c r="G93" s="5"/>
      <c r="H93" s="5">
        <v>63</v>
      </c>
      <c r="I93" s="5">
        <v>13.4</v>
      </c>
      <c r="J93" s="5">
        <f t="shared" si="7"/>
        <v>9024.7000000000007</v>
      </c>
      <c r="K93" s="22">
        <f t="shared" si="5"/>
        <v>1.0629999999999999</v>
      </c>
      <c r="L93" s="5"/>
    </row>
    <row r="94" spans="3:12">
      <c r="C94" s="5">
        <f t="shared" si="6"/>
        <v>90</v>
      </c>
      <c r="D94" s="5" t="s">
        <v>398</v>
      </c>
      <c r="E94" s="5" t="s">
        <v>254</v>
      </c>
      <c r="F94" s="5"/>
      <c r="G94" s="5"/>
      <c r="H94" s="5">
        <v>63</v>
      </c>
      <c r="I94" s="5">
        <v>36</v>
      </c>
      <c r="J94" s="5">
        <f t="shared" si="7"/>
        <v>9060.7000000000007</v>
      </c>
      <c r="K94" s="22">
        <f t="shared" si="5"/>
        <v>1.0629999999999999</v>
      </c>
      <c r="L94" s="5"/>
    </row>
    <row r="95" spans="3:12">
      <c r="C95" s="5">
        <f t="shared" si="6"/>
        <v>91</v>
      </c>
      <c r="D95" s="5" t="s">
        <v>254</v>
      </c>
      <c r="E95" s="5" t="s">
        <v>507</v>
      </c>
      <c r="F95" s="5"/>
      <c r="G95" s="5"/>
      <c r="H95" s="5">
        <v>63</v>
      </c>
      <c r="I95" s="5">
        <v>144</v>
      </c>
      <c r="J95" s="5">
        <f t="shared" si="7"/>
        <v>9204.7000000000007</v>
      </c>
      <c r="K95" s="22">
        <f t="shared" si="5"/>
        <v>1.0629999999999999</v>
      </c>
      <c r="L95" s="5"/>
    </row>
    <row r="96" spans="3:12">
      <c r="C96" s="5">
        <f t="shared" si="6"/>
        <v>92</v>
      </c>
      <c r="D96" s="5" t="s">
        <v>507</v>
      </c>
      <c r="E96" s="5" t="s">
        <v>347</v>
      </c>
      <c r="F96" s="5"/>
      <c r="G96" s="5"/>
      <c r="H96" s="5">
        <v>63</v>
      </c>
      <c r="I96" s="5">
        <v>173</v>
      </c>
      <c r="J96" s="5">
        <f t="shared" si="7"/>
        <v>9377.7000000000007</v>
      </c>
      <c r="K96" s="22">
        <f t="shared" si="5"/>
        <v>1.0629999999999999</v>
      </c>
      <c r="L96" s="5"/>
    </row>
    <row r="97" spans="3:12">
      <c r="C97" s="5">
        <f t="shared" si="6"/>
        <v>93</v>
      </c>
      <c r="D97" s="5" t="s">
        <v>386</v>
      </c>
      <c r="E97" s="5" t="s">
        <v>273</v>
      </c>
      <c r="F97" s="5"/>
      <c r="G97" s="5"/>
      <c r="H97" s="5">
        <v>75</v>
      </c>
      <c r="I97" s="5">
        <v>263.2</v>
      </c>
      <c r="J97" s="5">
        <f t="shared" si="7"/>
        <v>9640.9000000000015</v>
      </c>
      <c r="K97" s="22">
        <f t="shared" si="5"/>
        <v>1.075</v>
      </c>
      <c r="L97" s="5"/>
    </row>
    <row r="98" spans="3:12">
      <c r="C98" s="5">
        <f t="shared" si="6"/>
        <v>94</v>
      </c>
      <c r="D98" s="5" t="s">
        <v>273</v>
      </c>
      <c r="E98" s="5" t="s">
        <v>198</v>
      </c>
      <c r="F98" s="5"/>
      <c r="G98" s="5"/>
      <c r="H98" s="5">
        <v>75</v>
      </c>
      <c r="I98" s="5">
        <v>119.9</v>
      </c>
      <c r="J98" s="5">
        <f t="shared" si="7"/>
        <v>9760.8000000000011</v>
      </c>
      <c r="K98" s="22">
        <f t="shared" si="5"/>
        <v>1.075</v>
      </c>
      <c r="L98" s="5"/>
    </row>
    <row r="99" spans="3:12">
      <c r="C99" s="5">
        <f t="shared" si="6"/>
        <v>95</v>
      </c>
      <c r="D99" s="5" t="s">
        <v>323</v>
      </c>
      <c r="E99" s="5" t="s">
        <v>346</v>
      </c>
      <c r="F99" s="5"/>
      <c r="G99" s="5"/>
      <c r="H99" s="5">
        <v>75</v>
      </c>
      <c r="I99" s="5">
        <v>77</v>
      </c>
      <c r="J99" s="5">
        <f t="shared" si="7"/>
        <v>9837.8000000000011</v>
      </c>
      <c r="K99" s="22">
        <f t="shared" si="5"/>
        <v>1.075</v>
      </c>
      <c r="L99" s="5"/>
    </row>
    <row r="100" spans="3:12">
      <c r="C100" s="5">
        <f t="shared" si="6"/>
        <v>96</v>
      </c>
      <c r="D100" s="5" t="s">
        <v>240</v>
      </c>
      <c r="E100" s="5" t="s">
        <v>324</v>
      </c>
      <c r="F100" s="5"/>
      <c r="G100" s="5"/>
      <c r="H100" s="5">
        <v>75</v>
      </c>
      <c r="I100" s="5">
        <v>147.5</v>
      </c>
      <c r="J100" s="5">
        <f t="shared" si="7"/>
        <v>9985.3000000000011</v>
      </c>
      <c r="K100" s="22">
        <f t="shared" si="5"/>
        <v>1.075</v>
      </c>
      <c r="L100" s="5"/>
    </row>
    <row r="101" spans="3:12">
      <c r="C101" s="5">
        <f t="shared" si="6"/>
        <v>97</v>
      </c>
      <c r="D101" s="5" t="s">
        <v>346</v>
      </c>
      <c r="E101" s="5" t="s">
        <v>323</v>
      </c>
      <c r="F101" s="5"/>
      <c r="G101" s="5"/>
      <c r="H101" s="5">
        <v>75</v>
      </c>
      <c r="I101" s="5">
        <v>80.400000000000006</v>
      </c>
      <c r="J101" s="5">
        <f t="shared" si="7"/>
        <v>10065.700000000001</v>
      </c>
      <c r="K101" s="22">
        <f t="shared" si="5"/>
        <v>1.075</v>
      </c>
      <c r="L101" s="5"/>
    </row>
    <row r="102" spans="3:12">
      <c r="C102" s="5">
        <f t="shared" si="6"/>
        <v>98</v>
      </c>
      <c r="D102" s="5" t="s">
        <v>550</v>
      </c>
      <c r="E102" s="5" t="s">
        <v>561</v>
      </c>
      <c r="F102" s="5" t="s">
        <v>199</v>
      </c>
      <c r="G102" s="22">
        <f t="shared" ref="G102:G103" si="10">(300+H102)/1000</f>
        <v>0.375</v>
      </c>
      <c r="H102" s="5">
        <v>75</v>
      </c>
      <c r="I102" s="5">
        <v>66.099999999999994</v>
      </c>
      <c r="J102" s="5">
        <f t="shared" si="7"/>
        <v>10131.800000000001</v>
      </c>
      <c r="K102" s="22">
        <f t="shared" si="5"/>
        <v>1.075</v>
      </c>
      <c r="L102" s="5"/>
    </row>
    <row r="103" spans="3:12">
      <c r="C103" s="5">
        <f t="shared" si="6"/>
        <v>99</v>
      </c>
      <c r="D103" s="5" t="s">
        <v>1323</v>
      </c>
      <c r="E103" s="5" t="s">
        <v>561</v>
      </c>
      <c r="F103" s="5" t="s">
        <v>199</v>
      </c>
      <c r="G103" s="22">
        <f t="shared" si="10"/>
        <v>0.375</v>
      </c>
      <c r="H103" s="5">
        <v>75</v>
      </c>
      <c r="I103" s="5">
        <v>46.8</v>
      </c>
      <c r="J103" s="5">
        <f t="shared" si="7"/>
        <v>10178.6</v>
      </c>
      <c r="K103" s="22">
        <f t="shared" si="5"/>
        <v>1.075</v>
      </c>
      <c r="L103" s="5"/>
    </row>
    <row r="104" spans="3:12">
      <c r="C104" s="5">
        <f t="shared" si="6"/>
        <v>100</v>
      </c>
      <c r="D104" s="5" t="s">
        <v>1263</v>
      </c>
      <c r="E104" s="5" t="s">
        <v>1257</v>
      </c>
      <c r="F104" s="5"/>
      <c r="G104" s="5"/>
      <c r="H104" s="5">
        <v>75</v>
      </c>
      <c r="I104" s="5">
        <v>38.200000000000003</v>
      </c>
      <c r="J104" s="5">
        <f t="shared" si="7"/>
        <v>10216.800000000001</v>
      </c>
      <c r="K104" s="22">
        <f t="shared" si="5"/>
        <v>1.075</v>
      </c>
      <c r="L104" s="5"/>
    </row>
    <row r="105" spans="3:12">
      <c r="C105" s="5">
        <f t="shared" si="6"/>
        <v>101</v>
      </c>
      <c r="D105" s="5" t="s">
        <v>1257</v>
      </c>
      <c r="E105" s="5" t="s">
        <v>1051</v>
      </c>
      <c r="F105" s="5" t="s">
        <v>199</v>
      </c>
      <c r="G105" s="22">
        <f>(300+H105)/1000</f>
        <v>0.375</v>
      </c>
      <c r="H105" s="5">
        <v>75</v>
      </c>
      <c r="I105" s="5">
        <v>4</v>
      </c>
      <c r="J105" s="5">
        <f t="shared" si="7"/>
        <v>10220.800000000001</v>
      </c>
      <c r="K105" s="22">
        <f t="shared" si="5"/>
        <v>1.075</v>
      </c>
      <c r="L105" s="5"/>
    </row>
    <row r="106" spans="3:12">
      <c r="C106" s="5">
        <f t="shared" si="6"/>
        <v>102</v>
      </c>
      <c r="D106" s="5" t="s">
        <v>1257</v>
      </c>
      <c r="E106" s="5" t="s">
        <v>1051</v>
      </c>
      <c r="F106" s="5"/>
      <c r="G106" s="5"/>
      <c r="H106" s="5">
        <v>75</v>
      </c>
      <c r="I106" s="5">
        <v>33.200000000000003</v>
      </c>
      <c r="J106" s="5">
        <f t="shared" si="7"/>
        <v>10254.000000000002</v>
      </c>
      <c r="K106" s="22">
        <f t="shared" si="5"/>
        <v>1.075</v>
      </c>
      <c r="L106" s="5"/>
    </row>
    <row r="107" spans="3:12">
      <c r="C107" s="5">
        <f t="shared" si="6"/>
        <v>103</v>
      </c>
      <c r="D107" s="5" t="s">
        <v>240</v>
      </c>
      <c r="E107" s="5" t="s">
        <v>291</v>
      </c>
      <c r="F107" s="5"/>
      <c r="G107" s="5"/>
      <c r="H107" s="5">
        <v>75</v>
      </c>
      <c r="I107" s="5">
        <v>268</v>
      </c>
      <c r="J107" s="5">
        <f t="shared" si="7"/>
        <v>10522.000000000002</v>
      </c>
      <c r="K107" s="22">
        <f t="shared" si="5"/>
        <v>1.075</v>
      </c>
      <c r="L107" s="5"/>
    </row>
    <row r="108" spans="3:12">
      <c r="C108" s="5">
        <f t="shared" si="6"/>
        <v>104</v>
      </c>
      <c r="D108" s="5" t="s">
        <v>347</v>
      </c>
      <c r="E108" s="5" t="s">
        <v>340</v>
      </c>
      <c r="F108" s="5"/>
      <c r="G108" s="5"/>
      <c r="H108" s="5">
        <v>75</v>
      </c>
      <c r="I108" s="5">
        <v>65</v>
      </c>
      <c r="J108" s="5">
        <f t="shared" si="7"/>
        <v>10587.000000000002</v>
      </c>
      <c r="K108" s="22">
        <f t="shared" si="5"/>
        <v>1.075</v>
      </c>
      <c r="L108" s="5"/>
    </row>
    <row r="109" spans="3:12">
      <c r="C109" s="5">
        <f t="shared" si="6"/>
        <v>105</v>
      </c>
      <c r="D109" s="5" t="s">
        <v>347</v>
      </c>
      <c r="E109" s="5" t="s">
        <v>340</v>
      </c>
      <c r="F109" s="5"/>
      <c r="G109" s="5"/>
      <c r="H109" s="5">
        <v>75</v>
      </c>
      <c r="I109" s="5">
        <v>266</v>
      </c>
      <c r="J109" s="5">
        <f t="shared" si="7"/>
        <v>10853.000000000002</v>
      </c>
      <c r="K109" s="22">
        <f t="shared" si="5"/>
        <v>1.075</v>
      </c>
      <c r="L109" s="5"/>
    </row>
    <row r="110" spans="3:12">
      <c r="C110" s="5">
        <f t="shared" si="6"/>
        <v>106</v>
      </c>
      <c r="D110" s="5" t="s">
        <v>340</v>
      </c>
      <c r="E110" s="5" t="s">
        <v>229</v>
      </c>
      <c r="F110" s="5"/>
      <c r="G110" s="5"/>
      <c r="H110" s="5">
        <v>75</v>
      </c>
      <c r="I110" s="5">
        <v>195.8</v>
      </c>
      <c r="J110" s="5">
        <f t="shared" si="7"/>
        <v>11048.800000000001</v>
      </c>
      <c r="K110" s="22">
        <f t="shared" si="5"/>
        <v>1.075</v>
      </c>
      <c r="L110" s="5"/>
    </row>
    <row r="111" spans="3:12">
      <c r="C111" s="5">
        <f t="shared" si="6"/>
        <v>107</v>
      </c>
      <c r="D111" s="5" t="s">
        <v>862</v>
      </c>
      <c r="E111" s="5" t="s">
        <v>456</v>
      </c>
      <c r="F111" s="5"/>
      <c r="G111" s="5"/>
      <c r="H111" s="5">
        <v>75</v>
      </c>
      <c r="I111" s="5">
        <v>74.3</v>
      </c>
      <c r="J111" s="5">
        <f t="shared" si="7"/>
        <v>11123.1</v>
      </c>
      <c r="K111" s="22">
        <f t="shared" si="5"/>
        <v>1.075</v>
      </c>
      <c r="L111" s="5"/>
    </row>
    <row r="112" spans="3:12">
      <c r="C112" s="5">
        <f t="shared" si="6"/>
        <v>108</v>
      </c>
      <c r="D112" s="5" t="s">
        <v>456</v>
      </c>
      <c r="E112" s="5" t="s">
        <v>305</v>
      </c>
      <c r="F112" s="5"/>
      <c r="G112" s="5"/>
      <c r="H112" s="5">
        <v>75</v>
      </c>
      <c r="I112" s="5">
        <v>64</v>
      </c>
      <c r="J112" s="5">
        <f t="shared" si="7"/>
        <v>11187.1</v>
      </c>
      <c r="K112" s="22">
        <f t="shared" si="5"/>
        <v>1.075</v>
      </c>
      <c r="L112" s="5"/>
    </row>
    <row r="113" spans="3:12">
      <c r="C113" s="5">
        <f t="shared" si="6"/>
        <v>109</v>
      </c>
      <c r="D113" s="5" t="s">
        <v>305</v>
      </c>
      <c r="E113" s="5" t="s">
        <v>303</v>
      </c>
      <c r="F113" s="5"/>
      <c r="G113" s="5"/>
      <c r="H113" s="5">
        <v>75</v>
      </c>
      <c r="I113" s="5">
        <v>33.4</v>
      </c>
      <c r="J113" s="5">
        <f t="shared" si="7"/>
        <v>11220.5</v>
      </c>
      <c r="K113" s="22">
        <f t="shared" si="5"/>
        <v>1.075</v>
      </c>
      <c r="L113" s="5"/>
    </row>
    <row r="114" spans="3:12">
      <c r="C114" s="5">
        <f t="shared" si="6"/>
        <v>110</v>
      </c>
      <c r="D114" s="5" t="s">
        <v>303</v>
      </c>
      <c r="E114" s="5" t="s">
        <v>290</v>
      </c>
      <c r="F114" s="5"/>
      <c r="G114" s="5"/>
      <c r="H114" s="5">
        <v>75</v>
      </c>
      <c r="I114" s="5">
        <v>58</v>
      </c>
      <c r="J114" s="5">
        <f t="shared" si="7"/>
        <v>11278.5</v>
      </c>
      <c r="K114" s="22">
        <f t="shared" si="5"/>
        <v>1.075</v>
      </c>
      <c r="L114" s="5"/>
    </row>
    <row r="115" spans="3:12">
      <c r="C115" s="5">
        <f t="shared" si="6"/>
        <v>111</v>
      </c>
      <c r="D115" s="5" t="s">
        <v>325</v>
      </c>
      <c r="E115" s="5" t="s">
        <v>272</v>
      </c>
      <c r="F115" s="5"/>
      <c r="G115" s="5"/>
      <c r="H115" s="5">
        <v>90</v>
      </c>
      <c r="I115" s="5">
        <v>536.9</v>
      </c>
      <c r="J115" s="5">
        <f t="shared" si="7"/>
        <v>11815.4</v>
      </c>
      <c r="K115" s="22">
        <f t="shared" si="5"/>
        <v>1.0900000000000001</v>
      </c>
      <c r="L115" s="5"/>
    </row>
    <row r="116" spans="3:12">
      <c r="C116" s="5">
        <f t="shared" si="6"/>
        <v>112</v>
      </c>
      <c r="D116" s="5" t="s">
        <v>272</v>
      </c>
      <c r="E116" s="5" t="s">
        <v>266</v>
      </c>
      <c r="F116" s="5"/>
      <c r="G116" s="5"/>
      <c r="H116" s="5">
        <v>90</v>
      </c>
      <c r="I116" s="5">
        <v>111.8</v>
      </c>
      <c r="J116" s="5">
        <f t="shared" si="7"/>
        <v>11927.199999999999</v>
      </c>
      <c r="K116" s="22">
        <f t="shared" si="5"/>
        <v>1.0900000000000001</v>
      </c>
      <c r="L116" s="5"/>
    </row>
    <row r="117" spans="3:12">
      <c r="C117" s="5">
        <f t="shared" si="6"/>
        <v>113</v>
      </c>
      <c r="D117" s="5" t="s">
        <v>198</v>
      </c>
      <c r="E117" s="5" t="s">
        <v>323</v>
      </c>
      <c r="F117" s="5"/>
      <c r="G117" s="5"/>
      <c r="H117" s="5">
        <v>90</v>
      </c>
      <c r="I117" s="5">
        <v>166.3</v>
      </c>
      <c r="J117" s="5">
        <f t="shared" si="7"/>
        <v>12093.499999999998</v>
      </c>
      <c r="K117" s="22">
        <f t="shared" si="5"/>
        <v>1.0900000000000001</v>
      </c>
      <c r="L117" s="5"/>
    </row>
    <row r="118" spans="3:12">
      <c r="C118" s="5">
        <f t="shared" si="6"/>
        <v>114</v>
      </c>
      <c r="D118" s="5" t="s">
        <v>550</v>
      </c>
      <c r="E118" s="5" t="s">
        <v>561</v>
      </c>
      <c r="F118" s="5"/>
      <c r="G118" s="5"/>
      <c r="H118" s="5">
        <v>90</v>
      </c>
      <c r="I118" s="5">
        <v>70</v>
      </c>
      <c r="J118" s="5">
        <f t="shared" si="7"/>
        <v>12163.499999999998</v>
      </c>
      <c r="K118" s="22">
        <f t="shared" si="5"/>
        <v>1.0900000000000001</v>
      </c>
      <c r="L118" s="5"/>
    </row>
    <row r="119" spans="3:12">
      <c r="C119" s="5">
        <f t="shared" si="6"/>
        <v>115</v>
      </c>
      <c r="D119" s="5" t="s">
        <v>242</v>
      </c>
      <c r="E119" s="5" t="s">
        <v>188</v>
      </c>
      <c r="F119" s="5" t="s">
        <v>199</v>
      </c>
      <c r="G119" s="22">
        <f t="shared" ref="G119:G121" si="11">(300+H119)/1000</f>
        <v>0.39</v>
      </c>
      <c r="H119" s="5">
        <v>90</v>
      </c>
      <c r="I119" s="5">
        <v>55.8</v>
      </c>
      <c r="J119" s="5">
        <f t="shared" si="7"/>
        <v>12219.299999999997</v>
      </c>
      <c r="K119" s="22">
        <f t="shared" si="5"/>
        <v>1.0900000000000001</v>
      </c>
      <c r="L119" s="5"/>
    </row>
    <row r="120" spans="3:12">
      <c r="C120" s="5">
        <f t="shared" si="6"/>
        <v>116</v>
      </c>
      <c r="D120" s="5" t="s">
        <v>188</v>
      </c>
      <c r="E120" s="5" t="s">
        <v>432</v>
      </c>
      <c r="F120" s="5" t="s">
        <v>199</v>
      </c>
      <c r="G120" s="22">
        <f t="shared" si="11"/>
        <v>0.39</v>
      </c>
      <c r="H120" s="5">
        <v>90</v>
      </c>
      <c r="I120" s="5">
        <v>45.4</v>
      </c>
      <c r="J120" s="5">
        <f t="shared" si="7"/>
        <v>12264.699999999997</v>
      </c>
      <c r="K120" s="22">
        <f t="shared" si="5"/>
        <v>1.0900000000000001</v>
      </c>
      <c r="L120" s="5"/>
    </row>
    <row r="121" spans="3:12">
      <c r="C121" s="5">
        <f t="shared" si="6"/>
        <v>117</v>
      </c>
      <c r="D121" s="5" t="s">
        <v>432</v>
      </c>
      <c r="E121" s="5" t="s">
        <v>225</v>
      </c>
      <c r="F121" s="5" t="s">
        <v>199</v>
      </c>
      <c r="G121" s="22">
        <f t="shared" si="11"/>
        <v>0.39</v>
      </c>
      <c r="H121" s="5">
        <v>90</v>
      </c>
      <c r="I121" s="5">
        <v>67.2</v>
      </c>
      <c r="J121" s="5">
        <f t="shared" si="7"/>
        <v>12331.899999999998</v>
      </c>
      <c r="K121" s="22">
        <f t="shared" si="5"/>
        <v>1.0900000000000001</v>
      </c>
      <c r="L121" s="5"/>
    </row>
    <row r="122" spans="3:12">
      <c r="C122" s="5">
        <f t="shared" si="6"/>
        <v>118</v>
      </c>
      <c r="D122" s="5" t="s">
        <v>225</v>
      </c>
      <c r="E122" s="5" t="s">
        <v>344</v>
      </c>
      <c r="F122" s="5"/>
      <c r="G122" s="5"/>
      <c r="H122" s="5">
        <v>90</v>
      </c>
      <c r="I122" s="5">
        <v>190</v>
      </c>
      <c r="J122" s="5">
        <f t="shared" si="7"/>
        <v>12521.899999999998</v>
      </c>
      <c r="K122" s="22">
        <f t="shared" si="5"/>
        <v>1.0900000000000001</v>
      </c>
      <c r="L122" s="5"/>
    </row>
    <row r="123" spans="3:12">
      <c r="C123" s="5">
        <f t="shared" si="6"/>
        <v>119</v>
      </c>
      <c r="D123" s="5" t="s">
        <v>347</v>
      </c>
      <c r="E123" s="5" t="s">
        <v>507</v>
      </c>
      <c r="F123" s="5"/>
      <c r="G123" s="5"/>
      <c r="H123" s="5">
        <v>90</v>
      </c>
      <c r="I123" s="5">
        <v>137.1</v>
      </c>
      <c r="J123" s="5">
        <f t="shared" si="7"/>
        <v>12658.999999999998</v>
      </c>
      <c r="K123" s="22">
        <f t="shared" si="5"/>
        <v>1.0900000000000001</v>
      </c>
      <c r="L123" s="5"/>
    </row>
    <row r="124" spans="3:12">
      <c r="C124" s="5">
        <f t="shared" si="6"/>
        <v>120</v>
      </c>
      <c r="D124" s="5" t="s">
        <v>234</v>
      </c>
      <c r="E124" s="5" t="s">
        <v>242</v>
      </c>
      <c r="F124" s="5"/>
      <c r="G124" s="5"/>
      <c r="H124" s="5">
        <v>110</v>
      </c>
      <c r="I124" s="5">
        <v>282.3</v>
      </c>
      <c r="J124" s="5">
        <f t="shared" si="7"/>
        <v>12941.299999999997</v>
      </c>
      <c r="K124" s="22">
        <f t="shared" si="5"/>
        <v>1.1100000000000001</v>
      </c>
      <c r="L124" s="5"/>
    </row>
    <row r="125" spans="3:12">
      <c r="C125" s="5">
        <f t="shared" si="6"/>
        <v>121</v>
      </c>
      <c r="D125" s="5" t="s">
        <v>234</v>
      </c>
      <c r="E125" s="5" t="s">
        <v>242</v>
      </c>
      <c r="F125" s="5" t="s">
        <v>199</v>
      </c>
      <c r="G125" s="22">
        <f>(300+H125)/1000</f>
        <v>0.41</v>
      </c>
      <c r="H125" s="5">
        <v>110</v>
      </c>
      <c r="I125" s="5">
        <v>46.7</v>
      </c>
      <c r="J125" s="5">
        <f t="shared" si="7"/>
        <v>12987.999999999998</v>
      </c>
      <c r="K125" s="22">
        <f t="shared" si="5"/>
        <v>1.1100000000000001</v>
      </c>
      <c r="L125" s="5"/>
    </row>
    <row r="126" spans="3:12">
      <c r="C126" s="5"/>
      <c r="D126" s="5"/>
      <c r="E126" s="5"/>
      <c r="F126" s="5"/>
      <c r="G126" s="5"/>
      <c r="H126" s="5"/>
      <c r="I126" s="5"/>
      <c r="J126" s="5"/>
      <c r="K126" s="5"/>
      <c r="L126" s="5"/>
    </row>
    <row r="127" spans="3:12">
      <c r="C127" s="5"/>
      <c r="D127" s="5">
        <v>63</v>
      </c>
      <c r="E127" s="5">
        <v>75</v>
      </c>
      <c r="F127" s="5">
        <v>90</v>
      </c>
      <c r="G127" s="5">
        <v>110</v>
      </c>
      <c r="H127" s="5"/>
      <c r="I127" s="5"/>
      <c r="J127" s="5"/>
      <c r="K127" s="5"/>
      <c r="L127" s="5"/>
    </row>
    <row r="128" spans="3:12">
      <c r="C128" s="5"/>
      <c r="D128" s="5">
        <f>+SUMIF($H$5:$H$125,D127,$I$5:$I$125)</f>
        <v>9377.7000000000007</v>
      </c>
      <c r="E128" s="5">
        <f>+SUMIF($H$5:$H$125,E127,$I$5:$I$125)</f>
        <v>1900.8000000000002</v>
      </c>
      <c r="F128" s="5">
        <f>+SUMIF($H$5:$H$125,F127,$I$5:$I$125)</f>
        <v>1380.4999999999998</v>
      </c>
      <c r="G128" s="5">
        <f>+SUMIF($H$5:$H$125,G127,$I$5:$I$125)</f>
        <v>329</v>
      </c>
      <c r="H128" s="5"/>
      <c r="I128" s="5"/>
      <c r="J128" s="5">
        <f>+SUM(D128:G128)</f>
        <v>12988</v>
      </c>
      <c r="K128" s="5"/>
      <c r="L128" s="5"/>
    </row>
    <row r="129" spans="3:12" ht="15.75">
      <c r="C129" s="503" t="s">
        <v>365</v>
      </c>
      <c r="D129" s="504"/>
      <c r="E129" s="504"/>
      <c r="F129" s="505"/>
      <c r="G129" s="506" t="s">
        <v>366</v>
      </c>
      <c r="H129" s="507"/>
      <c r="I129" s="508"/>
      <c r="J129" s="498" t="s">
        <v>367</v>
      </c>
      <c r="K129" s="498"/>
      <c r="L129" s="498"/>
    </row>
    <row r="130" spans="3:12" ht="15.75">
      <c r="C130" s="7" t="s">
        <v>368</v>
      </c>
      <c r="D130" s="499"/>
      <c r="E130" s="500"/>
      <c r="F130" s="501"/>
      <c r="G130" s="8" t="s">
        <v>368</v>
      </c>
      <c r="H130" s="498"/>
      <c r="I130" s="498"/>
      <c r="J130" s="8" t="s">
        <v>368</v>
      </c>
      <c r="K130" s="498"/>
      <c r="L130" s="498"/>
    </row>
    <row r="131" spans="3:12" ht="15.75">
      <c r="C131" s="7" t="s">
        <v>369</v>
      </c>
      <c r="D131" s="498"/>
      <c r="E131" s="498"/>
      <c r="F131" s="498"/>
      <c r="G131" s="8" t="s">
        <v>369</v>
      </c>
      <c r="H131" s="498"/>
      <c r="I131" s="498"/>
      <c r="J131" s="8" t="s">
        <v>369</v>
      </c>
      <c r="K131" s="498"/>
      <c r="L131" s="498"/>
    </row>
    <row r="132" spans="3:12" ht="31.5">
      <c r="C132" s="30" t="s">
        <v>370</v>
      </c>
      <c r="D132" s="499"/>
      <c r="E132" s="500"/>
      <c r="F132" s="501"/>
      <c r="G132" s="31" t="s">
        <v>370</v>
      </c>
      <c r="H132" s="498"/>
      <c r="I132" s="498"/>
      <c r="J132" s="31" t="s">
        <v>370</v>
      </c>
      <c r="K132" s="498"/>
      <c r="L132" s="498"/>
    </row>
  </sheetData>
  <autoFilter ref="C4:L125"/>
  <mergeCells count="14">
    <mergeCell ref="C3:L3"/>
    <mergeCell ref="C129:F129"/>
    <mergeCell ref="G129:I129"/>
    <mergeCell ref="J129:L129"/>
    <mergeCell ref="D130:F130"/>
    <mergeCell ref="H130:I130"/>
    <mergeCell ref="K130:L130"/>
    <mergeCell ref="I85:I88"/>
    <mergeCell ref="D131:F131"/>
    <mergeCell ref="H131:I131"/>
    <mergeCell ref="K131:L131"/>
    <mergeCell ref="D132:F132"/>
    <mergeCell ref="H132:I132"/>
    <mergeCell ref="K132:L13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B3:W229"/>
  <sheetViews>
    <sheetView topLeftCell="B1" workbookViewId="0">
      <selection activeCell="N150" sqref="N150"/>
    </sheetView>
  </sheetViews>
  <sheetFormatPr defaultColWidth="9" defaultRowHeight="15"/>
  <cols>
    <col min="3" max="3" width="13.7109375" customWidth="1"/>
    <col min="4" max="4" width="12.140625" customWidth="1"/>
    <col min="5" max="5" width="16" customWidth="1"/>
    <col min="7" max="7" width="13.5703125" customWidth="1"/>
    <col min="8" max="8" width="19.5703125" customWidth="1"/>
    <col min="9" max="9" width="15.28515625" style="63" customWidth="1"/>
  </cols>
  <sheetData>
    <row r="3" spans="2:20" ht="18.75">
      <c r="B3" s="502" t="s">
        <v>945</v>
      </c>
      <c r="C3" s="502"/>
      <c r="D3" s="502"/>
      <c r="E3" s="502"/>
      <c r="F3" s="502"/>
      <c r="G3" s="502"/>
      <c r="H3" s="502"/>
      <c r="I3" s="502"/>
      <c r="J3" s="647" t="s">
        <v>679</v>
      </c>
      <c r="K3" s="648"/>
      <c r="L3" s="96"/>
    </row>
    <row r="4" spans="2:20" ht="63">
      <c r="B4" s="25" t="s">
        <v>448</v>
      </c>
      <c r="C4" s="25" t="s">
        <v>180</v>
      </c>
      <c r="D4" s="25" t="s">
        <v>13</v>
      </c>
      <c r="E4" s="25" t="s">
        <v>181</v>
      </c>
      <c r="F4" s="27" t="s">
        <v>449</v>
      </c>
      <c r="G4" s="25" t="s">
        <v>719</v>
      </c>
      <c r="H4" s="69" t="s">
        <v>184</v>
      </c>
      <c r="I4" s="26" t="s">
        <v>185</v>
      </c>
      <c r="J4" s="649"/>
      <c r="K4" s="650"/>
      <c r="L4" s="96"/>
    </row>
    <row r="5" spans="2:20" hidden="1">
      <c r="B5" s="5">
        <v>1</v>
      </c>
      <c r="C5" s="70" t="s">
        <v>1063</v>
      </c>
      <c r="D5" s="70" t="s">
        <v>1064</v>
      </c>
      <c r="E5" s="5"/>
      <c r="F5" s="5"/>
      <c r="G5" s="5">
        <v>63</v>
      </c>
      <c r="H5" s="10">
        <v>195.1</v>
      </c>
      <c r="I5" s="5">
        <f>+H5</f>
        <v>195.1</v>
      </c>
      <c r="J5" s="499"/>
      <c r="K5" s="501"/>
      <c r="L5" s="63" t="str">
        <f>+C5&amp;"-"&amp;D5</f>
        <v>J714-J718</v>
      </c>
      <c r="N5" s="18" t="s">
        <v>810</v>
      </c>
      <c r="O5" s="18">
        <v>63</v>
      </c>
      <c r="P5" s="18" t="s">
        <v>1063</v>
      </c>
      <c r="Q5" s="18" t="s">
        <v>1064</v>
      </c>
      <c r="R5" s="18">
        <v>195.1</v>
      </c>
      <c r="T5" t="str">
        <f>+P5&amp;"-"&amp;Q5</f>
        <v>J714-J718</v>
      </c>
    </row>
    <row r="6" spans="2:20" hidden="1">
      <c r="B6" s="18">
        <f>1+B5</f>
        <v>2</v>
      </c>
      <c r="C6" s="70" t="s">
        <v>460</v>
      </c>
      <c r="D6" s="70" t="s">
        <v>1065</v>
      </c>
      <c r="E6" s="5"/>
      <c r="F6" s="5"/>
      <c r="G6" s="5">
        <v>63</v>
      </c>
      <c r="H6" s="10">
        <v>26.6</v>
      </c>
      <c r="I6" s="5">
        <f>+I5+H6</f>
        <v>221.7</v>
      </c>
      <c r="J6" s="499"/>
      <c r="K6" s="501"/>
      <c r="L6" s="63" t="str">
        <f t="shared" ref="L6:L69" si="0">+C6&amp;"-"&amp;D6</f>
        <v>J218-J448</v>
      </c>
      <c r="N6" s="18" t="s">
        <v>810</v>
      </c>
      <c r="O6" s="18">
        <v>90</v>
      </c>
      <c r="P6" s="18" t="s">
        <v>1064</v>
      </c>
      <c r="Q6" s="18" t="s">
        <v>460</v>
      </c>
      <c r="R6" s="18">
        <v>36.4</v>
      </c>
      <c r="T6" t="str">
        <f t="shared" ref="T6:T69" si="1">+P6&amp;"-"&amp;Q6</f>
        <v>J718-J218</v>
      </c>
    </row>
    <row r="7" spans="2:20" hidden="1">
      <c r="B7" s="18">
        <f t="shared" ref="B7:B114" si="2">1+B6</f>
        <v>3</v>
      </c>
      <c r="C7" s="70" t="s">
        <v>1066</v>
      </c>
      <c r="D7" s="70" t="s">
        <v>1067</v>
      </c>
      <c r="E7" s="8"/>
      <c r="F7" s="8"/>
      <c r="G7" s="5">
        <v>63</v>
      </c>
      <c r="H7" s="10">
        <v>83.6</v>
      </c>
      <c r="I7" s="5">
        <f t="shared" ref="I7:I75" si="3">+I6+H7</f>
        <v>305.29999999999995</v>
      </c>
      <c r="J7" s="499"/>
      <c r="K7" s="501"/>
      <c r="L7" s="63" t="str">
        <f t="shared" si="0"/>
        <v>J462-J374</v>
      </c>
      <c r="N7" s="18" t="s">
        <v>810</v>
      </c>
      <c r="O7" s="18">
        <v>63</v>
      </c>
      <c r="P7" s="18" t="s">
        <v>460</v>
      </c>
      <c r="Q7" s="18" t="s">
        <v>1065</v>
      </c>
      <c r="R7" s="18">
        <v>26.6</v>
      </c>
      <c r="T7" t="str">
        <f t="shared" si="1"/>
        <v>J218-J448</v>
      </c>
    </row>
    <row r="8" spans="2:20" hidden="1">
      <c r="B8" s="18">
        <f t="shared" si="2"/>
        <v>4</v>
      </c>
      <c r="C8" s="70" t="s">
        <v>1068</v>
      </c>
      <c r="D8" s="70">
        <v>462</v>
      </c>
      <c r="E8" s="8"/>
      <c r="F8" s="8"/>
      <c r="G8" s="5">
        <v>63</v>
      </c>
      <c r="H8" s="10">
        <v>17.399999999999999</v>
      </c>
      <c r="I8" s="5">
        <f t="shared" si="3"/>
        <v>322.69999999999993</v>
      </c>
      <c r="J8" s="499"/>
      <c r="K8" s="501"/>
      <c r="L8" s="63" t="str">
        <f t="shared" si="0"/>
        <v>J479-462</v>
      </c>
      <c r="N8" s="18" t="s">
        <v>810</v>
      </c>
      <c r="O8" s="18">
        <v>90</v>
      </c>
      <c r="P8" s="18" t="s">
        <v>460</v>
      </c>
      <c r="Q8" s="18" t="s">
        <v>585</v>
      </c>
      <c r="R8" s="18">
        <v>46.3</v>
      </c>
      <c r="T8" t="str">
        <f t="shared" si="1"/>
        <v>J218-J219</v>
      </c>
    </row>
    <row r="9" spans="2:20" hidden="1">
      <c r="B9" s="18">
        <f t="shared" si="2"/>
        <v>5</v>
      </c>
      <c r="C9" s="70" t="s">
        <v>1069</v>
      </c>
      <c r="D9" s="70" t="s">
        <v>1070</v>
      </c>
      <c r="E9" s="8"/>
      <c r="F9" s="8"/>
      <c r="G9" s="5">
        <v>63</v>
      </c>
      <c r="H9" s="10">
        <v>120.4</v>
      </c>
      <c r="I9" s="5">
        <f t="shared" si="3"/>
        <v>443.09999999999991</v>
      </c>
      <c r="J9" s="499"/>
      <c r="K9" s="501"/>
      <c r="L9" s="63" t="str">
        <f t="shared" si="0"/>
        <v>J524-J382</v>
      </c>
      <c r="N9" s="18" t="s">
        <v>810</v>
      </c>
      <c r="O9" s="18">
        <v>90</v>
      </c>
      <c r="P9" s="18" t="s">
        <v>1066</v>
      </c>
      <c r="Q9" s="18" t="s">
        <v>1071</v>
      </c>
      <c r="R9" s="18">
        <v>46.6</v>
      </c>
      <c r="T9" t="str">
        <f t="shared" si="1"/>
        <v>J462-J394</v>
      </c>
    </row>
    <row r="10" spans="2:20" hidden="1">
      <c r="B10" s="18">
        <f t="shared" si="2"/>
        <v>6</v>
      </c>
      <c r="C10" s="70" t="s">
        <v>1070</v>
      </c>
      <c r="D10" s="70" t="s">
        <v>1072</v>
      </c>
      <c r="E10" s="8"/>
      <c r="F10" s="8"/>
      <c r="G10" s="5">
        <v>63</v>
      </c>
      <c r="H10" s="10">
        <v>212.2</v>
      </c>
      <c r="I10" s="5">
        <f t="shared" si="3"/>
        <v>655.29999999999995</v>
      </c>
      <c r="J10" s="499"/>
      <c r="K10" s="501"/>
      <c r="L10" s="63" t="str">
        <f t="shared" si="0"/>
        <v>J382-J469</v>
      </c>
      <c r="N10" s="18" t="s">
        <v>810</v>
      </c>
      <c r="O10" s="18">
        <v>63</v>
      </c>
      <c r="P10" s="18" t="s">
        <v>1066</v>
      </c>
      <c r="Q10" s="18" t="s">
        <v>1073</v>
      </c>
      <c r="R10" s="18">
        <v>83.6</v>
      </c>
      <c r="T10" t="str">
        <f t="shared" si="1"/>
        <v>J462-J379</v>
      </c>
    </row>
    <row r="11" spans="2:20" hidden="1">
      <c r="B11" s="18">
        <f t="shared" si="2"/>
        <v>7</v>
      </c>
      <c r="C11" s="70" t="s">
        <v>1074</v>
      </c>
      <c r="D11" s="70" t="s">
        <v>1075</v>
      </c>
      <c r="E11" s="8"/>
      <c r="F11" s="8"/>
      <c r="G11" s="5">
        <v>63</v>
      </c>
      <c r="H11" s="10">
        <v>94.7</v>
      </c>
      <c r="I11" s="5">
        <f t="shared" si="3"/>
        <v>750</v>
      </c>
      <c r="J11" s="499"/>
      <c r="K11" s="501"/>
      <c r="L11" s="63" t="str">
        <f t="shared" si="0"/>
        <v>J338-J410</v>
      </c>
      <c r="N11" s="18" t="s">
        <v>810</v>
      </c>
      <c r="O11" s="18">
        <v>63</v>
      </c>
      <c r="P11" s="18" t="s">
        <v>1069</v>
      </c>
      <c r="Q11" s="18" t="s">
        <v>1070</v>
      </c>
      <c r="R11" s="18">
        <v>120.4</v>
      </c>
      <c r="T11" t="str">
        <f t="shared" si="1"/>
        <v>J524-J382</v>
      </c>
    </row>
    <row r="12" spans="2:20" hidden="1">
      <c r="B12" s="18">
        <f t="shared" si="2"/>
        <v>8</v>
      </c>
      <c r="C12" s="70" t="s">
        <v>1074</v>
      </c>
      <c r="D12" s="70" t="s">
        <v>572</v>
      </c>
      <c r="E12" s="8"/>
      <c r="F12" s="8"/>
      <c r="G12" s="5">
        <v>63</v>
      </c>
      <c r="H12" s="10">
        <v>24.6</v>
      </c>
      <c r="I12" s="5">
        <f t="shared" si="3"/>
        <v>774.6</v>
      </c>
      <c r="J12" s="499"/>
      <c r="K12" s="501"/>
      <c r="L12" s="63" t="str">
        <f t="shared" si="0"/>
        <v>J338-J171</v>
      </c>
      <c r="N12" s="18" t="s">
        <v>810</v>
      </c>
      <c r="O12" s="18">
        <v>63</v>
      </c>
      <c r="P12" s="18" t="s">
        <v>1070</v>
      </c>
      <c r="Q12" s="18" t="s">
        <v>1072</v>
      </c>
      <c r="R12" s="18">
        <v>212.2</v>
      </c>
      <c r="T12" t="str">
        <f t="shared" si="1"/>
        <v>J382-J469</v>
      </c>
    </row>
    <row r="13" spans="2:20" hidden="1">
      <c r="B13" s="18">
        <f t="shared" si="2"/>
        <v>9</v>
      </c>
      <c r="C13" s="70" t="s">
        <v>572</v>
      </c>
      <c r="D13" s="70" t="s">
        <v>298</v>
      </c>
      <c r="E13" s="8"/>
      <c r="F13" s="8"/>
      <c r="G13" s="5">
        <v>63</v>
      </c>
      <c r="H13" s="10">
        <v>111.3</v>
      </c>
      <c r="I13" s="5">
        <f t="shared" si="3"/>
        <v>885.9</v>
      </c>
      <c r="J13" s="499"/>
      <c r="K13" s="501"/>
      <c r="L13" s="63" t="str">
        <f t="shared" si="0"/>
        <v>J171-J167</v>
      </c>
      <c r="N13" s="18" t="s">
        <v>810</v>
      </c>
      <c r="O13" s="18">
        <v>75</v>
      </c>
      <c r="P13" s="18" t="s">
        <v>1072</v>
      </c>
      <c r="Q13" s="18" t="s">
        <v>1074</v>
      </c>
      <c r="R13" s="18">
        <v>44.5</v>
      </c>
      <c r="T13" t="str">
        <f t="shared" si="1"/>
        <v>J469-J338</v>
      </c>
    </row>
    <row r="14" spans="2:20" hidden="1">
      <c r="B14" s="18">
        <f t="shared" si="2"/>
        <v>10</v>
      </c>
      <c r="C14" s="70" t="s">
        <v>1076</v>
      </c>
      <c r="D14" s="70" t="s">
        <v>1077</v>
      </c>
      <c r="E14" s="18"/>
      <c r="F14" s="18"/>
      <c r="G14" s="18">
        <v>63</v>
      </c>
      <c r="H14" s="55">
        <v>170.3</v>
      </c>
      <c r="I14" s="5">
        <f t="shared" si="3"/>
        <v>1056.2</v>
      </c>
      <c r="J14" s="499"/>
      <c r="K14" s="501"/>
      <c r="L14" s="63" t="str">
        <f t="shared" si="0"/>
        <v>J567-J358</v>
      </c>
      <c r="N14" s="18" t="s">
        <v>810</v>
      </c>
      <c r="O14" s="18">
        <v>63</v>
      </c>
      <c r="P14" s="18" t="s">
        <v>1074</v>
      </c>
      <c r="Q14" s="18" t="s">
        <v>1075</v>
      </c>
      <c r="R14" s="18">
        <v>94.7</v>
      </c>
      <c r="T14" t="str">
        <f t="shared" si="1"/>
        <v>J338-J410</v>
      </c>
    </row>
    <row r="15" spans="2:20" hidden="1">
      <c r="B15" s="18">
        <f t="shared" si="2"/>
        <v>11</v>
      </c>
      <c r="C15" s="70" t="s">
        <v>1077</v>
      </c>
      <c r="D15" s="70" t="s">
        <v>1078</v>
      </c>
      <c r="E15" s="18"/>
      <c r="F15" s="18"/>
      <c r="G15" s="18">
        <v>63</v>
      </c>
      <c r="H15" s="55">
        <v>13.4</v>
      </c>
      <c r="I15" s="5">
        <f t="shared" si="3"/>
        <v>1069.6000000000001</v>
      </c>
      <c r="J15" s="499"/>
      <c r="K15" s="501"/>
      <c r="L15" s="63" t="str">
        <f t="shared" si="0"/>
        <v>J358-J439</v>
      </c>
      <c r="N15" s="18" t="s">
        <v>810</v>
      </c>
      <c r="O15" s="18">
        <v>63</v>
      </c>
      <c r="P15" s="18" t="s">
        <v>1074</v>
      </c>
      <c r="Q15" s="18" t="s">
        <v>572</v>
      </c>
      <c r="R15" s="18">
        <v>24.6</v>
      </c>
      <c r="T15" t="str">
        <f t="shared" si="1"/>
        <v>J338-J171</v>
      </c>
    </row>
    <row r="16" spans="2:20" hidden="1">
      <c r="B16" s="18">
        <f t="shared" si="2"/>
        <v>12</v>
      </c>
      <c r="C16" s="70" t="s">
        <v>205</v>
      </c>
      <c r="D16" s="70" t="s">
        <v>1079</v>
      </c>
      <c r="E16" s="18"/>
      <c r="F16" s="18"/>
      <c r="G16" s="18">
        <v>63</v>
      </c>
      <c r="H16" s="55">
        <v>137.30000000000001</v>
      </c>
      <c r="I16" s="5">
        <f t="shared" si="3"/>
        <v>1206.9000000000001</v>
      </c>
      <c r="J16" s="499"/>
      <c r="K16" s="501"/>
      <c r="L16" s="63" t="str">
        <f t="shared" si="0"/>
        <v>J201-J544</v>
      </c>
      <c r="N16" s="18" t="s">
        <v>810</v>
      </c>
      <c r="O16" s="18">
        <v>63</v>
      </c>
      <c r="P16" s="18" t="s">
        <v>572</v>
      </c>
      <c r="Q16" s="18" t="s">
        <v>298</v>
      </c>
      <c r="R16" s="18">
        <v>111.3</v>
      </c>
      <c r="T16" t="str">
        <f t="shared" si="1"/>
        <v>J171-J167</v>
      </c>
    </row>
    <row r="17" spans="2:20" hidden="1">
      <c r="B17" s="18">
        <f t="shared" si="2"/>
        <v>13</v>
      </c>
      <c r="C17" s="70" t="s">
        <v>1080</v>
      </c>
      <c r="D17" s="70" t="s">
        <v>1081</v>
      </c>
      <c r="E17" s="18"/>
      <c r="F17" s="18"/>
      <c r="G17" s="18">
        <v>63</v>
      </c>
      <c r="H17" s="55">
        <v>169.4</v>
      </c>
      <c r="I17" s="5">
        <f t="shared" si="3"/>
        <v>1376.3000000000002</v>
      </c>
      <c r="J17" s="499"/>
      <c r="K17" s="501"/>
      <c r="L17" s="63" t="str">
        <f t="shared" si="0"/>
        <v>J484-JJ166</v>
      </c>
      <c r="N17" s="18" t="s">
        <v>810</v>
      </c>
      <c r="O17" s="18">
        <v>75</v>
      </c>
      <c r="P17" s="18" t="s">
        <v>1074</v>
      </c>
      <c r="Q17" s="18" t="s">
        <v>1082</v>
      </c>
      <c r="R17" s="18">
        <v>75.099999999999994</v>
      </c>
      <c r="T17" t="str">
        <f t="shared" si="1"/>
        <v>J338-J463</v>
      </c>
    </row>
    <row r="18" spans="2:20" hidden="1">
      <c r="B18" s="18">
        <f t="shared" si="2"/>
        <v>14</v>
      </c>
      <c r="C18" s="70" t="s">
        <v>336</v>
      </c>
      <c r="D18" s="70" t="s">
        <v>1083</v>
      </c>
      <c r="E18" s="18"/>
      <c r="F18" s="18"/>
      <c r="G18" s="18">
        <v>63</v>
      </c>
      <c r="H18" s="55">
        <v>103.6</v>
      </c>
      <c r="I18" s="5">
        <f t="shared" si="3"/>
        <v>1479.9</v>
      </c>
      <c r="J18" s="499"/>
      <c r="K18" s="501"/>
      <c r="L18" s="63" t="str">
        <f t="shared" si="0"/>
        <v>J131-J589</v>
      </c>
      <c r="N18" s="18" t="s">
        <v>810</v>
      </c>
      <c r="O18" s="18">
        <v>75</v>
      </c>
      <c r="P18" s="18" t="s">
        <v>1082</v>
      </c>
      <c r="Q18" s="18" t="s">
        <v>1084</v>
      </c>
      <c r="R18" s="18">
        <v>46.2</v>
      </c>
      <c r="T18" t="str">
        <f t="shared" si="1"/>
        <v>J463-J467</v>
      </c>
    </row>
    <row r="19" spans="2:20" hidden="1">
      <c r="B19" s="18">
        <f t="shared" si="2"/>
        <v>15</v>
      </c>
      <c r="C19" s="70" t="s">
        <v>1085</v>
      </c>
      <c r="D19" s="70" t="s">
        <v>1086</v>
      </c>
      <c r="E19" s="18" t="s">
        <v>199</v>
      </c>
      <c r="F19" s="18">
        <v>0.36</v>
      </c>
      <c r="G19" s="18">
        <v>63</v>
      </c>
      <c r="H19" s="55">
        <v>41.1</v>
      </c>
      <c r="I19" s="5">
        <f t="shared" si="3"/>
        <v>1521</v>
      </c>
      <c r="J19" s="499"/>
      <c r="K19" s="501"/>
      <c r="L19" s="63" t="str">
        <f t="shared" si="0"/>
        <v>J638-J266</v>
      </c>
      <c r="N19" s="18" t="s">
        <v>810</v>
      </c>
      <c r="O19" s="18">
        <v>75</v>
      </c>
      <c r="P19" s="18" t="s">
        <v>1084</v>
      </c>
      <c r="Q19" s="18" t="s">
        <v>1087</v>
      </c>
      <c r="R19" s="18">
        <v>49.7</v>
      </c>
      <c r="T19" t="str">
        <f t="shared" si="1"/>
        <v>J467-J478</v>
      </c>
    </row>
    <row r="20" spans="2:20" hidden="1">
      <c r="B20" s="18">
        <f t="shared" si="2"/>
        <v>16</v>
      </c>
      <c r="C20" s="70" t="s">
        <v>1088</v>
      </c>
      <c r="D20" s="70" t="s">
        <v>1089</v>
      </c>
      <c r="E20" s="18"/>
      <c r="F20" s="18"/>
      <c r="G20" s="18">
        <v>63</v>
      </c>
      <c r="H20" s="55">
        <v>13.9</v>
      </c>
      <c r="I20" s="5">
        <f t="shared" si="3"/>
        <v>1534.9</v>
      </c>
      <c r="J20" s="499"/>
      <c r="K20" s="501"/>
      <c r="L20" s="63" t="str">
        <f t="shared" si="0"/>
        <v>J597-J605</v>
      </c>
      <c r="N20" s="18" t="s">
        <v>810</v>
      </c>
      <c r="O20" s="18">
        <v>75</v>
      </c>
      <c r="P20" s="18" t="s">
        <v>1087</v>
      </c>
      <c r="Q20" s="18" t="s">
        <v>1090</v>
      </c>
      <c r="R20" s="18">
        <v>14.8</v>
      </c>
      <c r="T20" t="str">
        <f t="shared" si="1"/>
        <v>J478-J383</v>
      </c>
    </row>
    <row r="21" spans="2:20" hidden="1">
      <c r="B21" s="18">
        <f t="shared" si="2"/>
        <v>17</v>
      </c>
      <c r="C21" s="70" t="s">
        <v>1091</v>
      </c>
      <c r="D21" s="70" t="s">
        <v>1092</v>
      </c>
      <c r="E21" s="18"/>
      <c r="F21" s="18"/>
      <c r="G21" s="18">
        <v>63</v>
      </c>
      <c r="H21" s="55">
        <v>142.1</v>
      </c>
      <c r="I21" s="5">
        <f t="shared" si="3"/>
        <v>1677</v>
      </c>
      <c r="J21" s="499" t="s">
        <v>1093</v>
      </c>
      <c r="K21" s="501"/>
      <c r="L21" s="63" t="str">
        <f t="shared" si="0"/>
        <v>J543-J606</v>
      </c>
      <c r="N21" s="18" t="s">
        <v>810</v>
      </c>
      <c r="O21" s="18">
        <v>75</v>
      </c>
      <c r="P21" s="18" t="s">
        <v>1090</v>
      </c>
      <c r="Q21" s="18" t="s">
        <v>1070</v>
      </c>
      <c r="R21" s="18">
        <v>81.3</v>
      </c>
      <c r="T21" t="str">
        <f t="shared" si="1"/>
        <v>J383-J382</v>
      </c>
    </row>
    <row r="22" spans="2:20" hidden="1">
      <c r="B22" s="18">
        <f t="shared" si="2"/>
        <v>18</v>
      </c>
      <c r="C22" s="70" t="s">
        <v>1094</v>
      </c>
      <c r="D22" s="70" t="s">
        <v>1095</v>
      </c>
      <c r="E22" s="18"/>
      <c r="F22" s="18"/>
      <c r="G22" s="18">
        <v>63</v>
      </c>
      <c r="H22" s="55">
        <v>10.3</v>
      </c>
      <c r="I22" s="5">
        <f t="shared" si="3"/>
        <v>1687.3</v>
      </c>
      <c r="J22" s="499"/>
      <c r="K22" s="501"/>
      <c r="L22" s="63" t="str">
        <f t="shared" si="0"/>
        <v>J547-J588</v>
      </c>
      <c r="N22" s="18" t="s">
        <v>810</v>
      </c>
      <c r="O22" s="18">
        <v>75</v>
      </c>
      <c r="P22" s="18" t="s">
        <v>1090</v>
      </c>
      <c r="Q22" s="18" t="s">
        <v>690</v>
      </c>
      <c r="R22" s="18">
        <v>47.5</v>
      </c>
      <c r="T22" t="str">
        <f t="shared" si="1"/>
        <v>J383-J243</v>
      </c>
    </row>
    <row r="23" spans="2:20" hidden="1">
      <c r="B23" s="18">
        <f t="shared" si="2"/>
        <v>19</v>
      </c>
      <c r="C23" s="70" t="s">
        <v>1095</v>
      </c>
      <c r="D23" s="70" t="s">
        <v>1094</v>
      </c>
      <c r="E23" s="18"/>
      <c r="F23" s="18"/>
      <c r="G23" s="18">
        <v>63</v>
      </c>
      <c r="H23" s="55">
        <v>133</v>
      </c>
      <c r="I23" s="5">
        <f t="shared" si="3"/>
        <v>1820.3</v>
      </c>
      <c r="J23" s="499"/>
      <c r="K23" s="501"/>
      <c r="L23" s="63" t="str">
        <f t="shared" si="0"/>
        <v>J588-J547</v>
      </c>
      <c r="N23" s="18" t="s">
        <v>810</v>
      </c>
      <c r="O23" s="18">
        <v>75</v>
      </c>
      <c r="P23" s="18" t="s">
        <v>1077</v>
      </c>
      <c r="Q23" s="18" t="s">
        <v>205</v>
      </c>
      <c r="R23" s="18">
        <v>108.7</v>
      </c>
      <c r="T23" t="str">
        <f t="shared" si="1"/>
        <v>J358-J201</v>
      </c>
    </row>
    <row r="24" spans="2:20" hidden="1">
      <c r="B24" s="18">
        <f t="shared" si="2"/>
        <v>20</v>
      </c>
      <c r="C24" s="70" t="s">
        <v>1096</v>
      </c>
      <c r="D24" s="70" t="s">
        <v>1097</v>
      </c>
      <c r="E24" s="18" t="s">
        <v>1098</v>
      </c>
      <c r="F24" s="18">
        <v>0.36</v>
      </c>
      <c r="G24" s="18">
        <v>63</v>
      </c>
      <c r="H24" s="55">
        <v>3.5</v>
      </c>
      <c r="I24" s="5">
        <f t="shared" si="3"/>
        <v>1823.8</v>
      </c>
      <c r="J24" s="499"/>
      <c r="K24" s="501"/>
      <c r="L24" s="63" t="str">
        <f t="shared" si="0"/>
        <v>j614-j418</v>
      </c>
      <c r="N24" s="18" t="s">
        <v>810</v>
      </c>
      <c r="O24" s="18">
        <v>63</v>
      </c>
      <c r="P24" s="18" t="s">
        <v>205</v>
      </c>
      <c r="Q24" s="18" t="s">
        <v>1079</v>
      </c>
      <c r="R24" s="18">
        <v>137.30000000000001</v>
      </c>
      <c r="T24" t="str">
        <f t="shared" si="1"/>
        <v>J201-J544</v>
      </c>
    </row>
    <row r="25" spans="2:20" hidden="1">
      <c r="B25" s="18">
        <f t="shared" si="2"/>
        <v>21</v>
      </c>
      <c r="C25" s="70" t="s">
        <v>1096</v>
      </c>
      <c r="D25" s="70" t="s">
        <v>1097</v>
      </c>
      <c r="E25" s="18"/>
      <c r="F25" s="18"/>
      <c r="G25" s="18">
        <v>63</v>
      </c>
      <c r="H25" s="55">
        <v>229.2</v>
      </c>
      <c r="I25" s="5">
        <f t="shared" si="3"/>
        <v>2053</v>
      </c>
      <c r="J25" s="499"/>
      <c r="K25" s="501"/>
      <c r="L25" s="63" t="str">
        <f t="shared" si="0"/>
        <v>j614-j418</v>
      </c>
      <c r="N25" s="18" t="s">
        <v>810</v>
      </c>
      <c r="O25" s="18">
        <v>63</v>
      </c>
      <c r="P25" s="18" t="s">
        <v>1080</v>
      </c>
      <c r="Q25" s="18" t="s">
        <v>549</v>
      </c>
      <c r="R25" s="18">
        <v>169.4</v>
      </c>
      <c r="T25" t="str">
        <f t="shared" si="1"/>
        <v>J484-J166</v>
      </c>
    </row>
    <row r="26" spans="2:20" hidden="1">
      <c r="B26" s="18">
        <f t="shared" si="2"/>
        <v>22</v>
      </c>
      <c r="C26" s="70" t="s">
        <v>1099</v>
      </c>
      <c r="D26" s="70" t="s">
        <v>1100</v>
      </c>
      <c r="E26" s="18"/>
      <c r="F26" s="18"/>
      <c r="G26" s="18">
        <v>63</v>
      </c>
      <c r="H26" s="55">
        <v>30.1</v>
      </c>
      <c r="I26" s="5">
        <f t="shared" si="3"/>
        <v>2083.1</v>
      </c>
      <c r="J26" s="499"/>
      <c r="K26" s="501"/>
      <c r="L26" s="63" t="str">
        <f t="shared" si="0"/>
        <v>j194-j680</v>
      </c>
      <c r="N26" s="18" t="s">
        <v>810</v>
      </c>
      <c r="O26" s="18">
        <v>75</v>
      </c>
      <c r="P26" s="18" t="s">
        <v>549</v>
      </c>
      <c r="Q26" s="18" t="s">
        <v>205</v>
      </c>
      <c r="R26" s="18">
        <v>73.900000000000006</v>
      </c>
      <c r="T26" t="str">
        <f t="shared" si="1"/>
        <v>J166-J201</v>
      </c>
    </row>
    <row r="27" spans="2:20" hidden="1">
      <c r="B27" s="18">
        <f t="shared" si="2"/>
        <v>23</v>
      </c>
      <c r="C27" s="70" t="s">
        <v>293</v>
      </c>
      <c r="D27" s="70" t="s">
        <v>1101</v>
      </c>
      <c r="E27" s="18"/>
      <c r="F27" s="18"/>
      <c r="G27" s="18">
        <v>63</v>
      </c>
      <c r="H27" s="55">
        <v>150.19999999999999</v>
      </c>
      <c r="I27" s="5">
        <f t="shared" si="3"/>
        <v>2233.2999999999997</v>
      </c>
      <c r="J27" s="499"/>
      <c r="K27" s="501"/>
      <c r="L27" s="63" t="str">
        <f t="shared" si="0"/>
        <v>J159-J423</v>
      </c>
      <c r="N27" s="18" t="s">
        <v>810</v>
      </c>
      <c r="O27" s="18">
        <v>75</v>
      </c>
      <c r="P27" s="18" t="s">
        <v>549</v>
      </c>
      <c r="Q27" s="18" t="s">
        <v>336</v>
      </c>
      <c r="R27" s="18">
        <v>93.3</v>
      </c>
      <c r="T27" t="str">
        <f t="shared" si="1"/>
        <v>J166-J131</v>
      </c>
    </row>
    <row r="28" spans="2:20" hidden="1">
      <c r="B28" s="18">
        <f t="shared" si="2"/>
        <v>24</v>
      </c>
      <c r="C28" s="18" t="s">
        <v>1102</v>
      </c>
      <c r="D28" s="18" t="s">
        <v>1103</v>
      </c>
      <c r="E28" s="18"/>
      <c r="F28" s="18"/>
      <c r="G28" s="18">
        <v>63</v>
      </c>
      <c r="H28" s="55">
        <v>57.4</v>
      </c>
      <c r="I28" s="5">
        <f t="shared" si="3"/>
        <v>2290.6999999999998</v>
      </c>
      <c r="J28" s="499"/>
      <c r="K28" s="501"/>
      <c r="L28" s="63" t="str">
        <f t="shared" si="0"/>
        <v>J509-J596</v>
      </c>
      <c r="N28" s="18" t="s">
        <v>810</v>
      </c>
      <c r="O28" s="18">
        <v>63</v>
      </c>
      <c r="P28" s="18" t="s">
        <v>336</v>
      </c>
      <c r="Q28" s="18" t="s">
        <v>1083</v>
      </c>
      <c r="R28" s="18">
        <v>103.6</v>
      </c>
      <c r="T28" t="str">
        <f t="shared" si="1"/>
        <v>J131-J589</v>
      </c>
    </row>
    <row r="29" spans="2:20" hidden="1">
      <c r="B29" s="18">
        <f t="shared" si="2"/>
        <v>25</v>
      </c>
      <c r="C29" s="18" t="s">
        <v>1103</v>
      </c>
      <c r="D29" s="18" t="s">
        <v>1104</v>
      </c>
      <c r="E29" s="18"/>
      <c r="F29" s="18"/>
      <c r="G29" s="18">
        <v>63</v>
      </c>
      <c r="H29" s="55">
        <v>75.599999999999994</v>
      </c>
      <c r="I29" s="5">
        <f t="shared" si="3"/>
        <v>2366.2999999999997</v>
      </c>
      <c r="J29" s="499"/>
      <c r="K29" s="501"/>
      <c r="L29" s="63" t="str">
        <f t="shared" si="0"/>
        <v>J596-J405</v>
      </c>
      <c r="N29" s="8"/>
      <c r="O29" s="18">
        <v>63</v>
      </c>
      <c r="P29" s="18" t="s">
        <v>1085</v>
      </c>
      <c r="Q29" s="18" t="s">
        <v>1086</v>
      </c>
      <c r="R29" s="18">
        <v>41.1</v>
      </c>
      <c r="T29" t="str">
        <f t="shared" si="1"/>
        <v>J638-J266</v>
      </c>
    </row>
    <row r="30" spans="2:20" hidden="1">
      <c r="B30" s="18">
        <f t="shared" si="2"/>
        <v>26</v>
      </c>
      <c r="C30" s="18" t="s">
        <v>1105</v>
      </c>
      <c r="D30" s="18" t="s">
        <v>1106</v>
      </c>
      <c r="E30" s="18"/>
      <c r="F30" s="18"/>
      <c r="G30" s="18">
        <v>63</v>
      </c>
      <c r="H30" s="55">
        <v>70.2</v>
      </c>
      <c r="I30" s="5">
        <f t="shared" si="3"/>
        <v>2436.4999999999995</v>
      </c>
      <c r="J30" s="499"/>
      <c r="K30" s="501"/>
      <c r="L30" s="63" t="str">
        <f t="shared" si="0"/>
        <v>J508-J650</v>
      </c>
      <c r="N30" s="8"/>
      <c r="O30" s="18">
        <v>110</v>
      </c>
      <c r="P30" s="18" t="s">
        <v>1083</v>
      </c>
      <c r="Q30" s="18" t="s">
        <v>1085</v>
      </c>
      <c r="R30" s="18">
        <v>79.2</v>
      </c>
      <c r="T30" t="str">
        <f t="shared" si="1"/>
        <v>J589-J638</v>
      </c>
    </row>
    <row r="31" spans="2:20" hidden="1">
      <c r="B31" s="18">
        <f t="shared" si="2"/>
        <v>27</v>
      </c>
      <c r="C31" s="18" t="s">
        <v>1107</v>
      </c>
      <c r="D31" s="18" t="s">
        <v>1108</v>
      </c>
      <c r="E31" s="18"/>
      <c r="F31" s="18"/>
      <c r="G31" s="18">
        <v>63</v>
      </c>
      <c r="H31" s="55">
        <v>83.6</v>
      </c>
      <c r="I31" s="5">
        <f t="shared" si="3"/>
        <v>2520.0999999999995</v>
      </c>
      <c r="J31" s="499"/>
      <c r="K31" s="501"/>
      <c r="L31" s="63" t="str">
        <f t="shared" si="0"/>
        <v>J270-J286</v>
      </c>
      <c r="N31" s="8"/>
      <c r="O31" s="18">
        <v>110</v>
      </c>
      <c r="P31" s="18" t="s">
        <v>1085</v>
      </c>
      <c r="Q31" s="18" t="s">
        <v>1109</v>
      </c>
      <c r="R31" s="18">
        <v>50.3</v>
      </c>
      <c r="T31" t="str">
        <f t="shared" si="1"/>
        <v>J638-J489</v>
      </c>
    </row>
    <row r="32" spans="2:20" hidden="1">
      <c r="B32" s="18">
        <f t="shared" si="2"/>
        <v>28</v>
      </c>
      <c r="C32" s="18" t="s">
        <v>1110</v>
      </c>
      <c r="D32" s="18" t="s">
        <v>1111</v>
      </c>
      <c r="E32" s="18"/>
      <c r="F32" s="18"/>
      <c r="G32" s="18">
        <v>63</v>
      </c>
      <c r="H32" s="55">
        <v>22.3</v>
      </c>
      <c r="I32" s="5">
        <f t="shared" si="3"/>
        <v>2542.3999999999996</v>
      </c>
      <c r="J32" s="499"/>
      <c r="K32" s="501"/>
      <c r="L32" s="63" t="str">
        <f t="shared" si="0"/>
        <v>J300-J652</v>
      </c>
      <c r="N32" s="8"/>
      <c r="O32" s="18">
        <v>75</v>
      </c>
      <c r="P32" s="18" t="s">
        <v>1109</v>
      </c>
      <c r="Q32" s="18" t="s">
        <v>1088</v>
      </c>
      <c r="R32" s="18">
        <v>58.2</v>
      </c>
      <c r="T32" t="str">
        <f t="shared" si="1"/>
        <v>J489-J597</v>
      </c>
    </row>
    <row r="33" spans="2:20" hidden="1">
      <c r="B33" s="18">
        <f t="shared" si="2"/>
        <v>29</v>
      </c>
      <c r="C33" s="18" t="s">
        <v>1112</v>
      </c>
      <c r="D33" s="18" t="s">
        <v>1113</v>
      </c>
      <c r="E33" s="18"/>
      <c r="F33" s="18"/>
      <c r="G33" s="18">
        <v>63</v>
      </c>
      <c r="H33" s="55">
        <v>21.5</v>
      </c>
      <c r="I33" s="5">
        <f t="shared" si="3"/>
        <v>2563.8999999999996</v>
      </c>
      <c r="J33" s="499"/>
      <c r="K33" s="501"/>
      <c r="L33" s="63" t="str">
        <f t="shared" si="0"/>
        <v>J696-J507</v>
      </c>
      <c r="N33" s="8"/>
      <c r="O33" s="18">
        <v>63</v>
      </c>
      <c r="P33" s="18" t="s">
        <v>1088</v>
      </c>
      <c r="Q33" s="18" t="s">
        <v>1089</v>
      </c>
      <c r="R33" s="18">
        <v>13.9</v>
      </c>
      <c r="T33" t="str">
        <f t="shared" si="1"/>
        <v>J597-J605</v>
      </c>
    </row>
    <row r="34" spans="2:20" hidden="1">
      <c r="B34" s="18">
        <f t="shared" si="2"/>
        <v>30</v>
      </c>
      <c r="C34" s="18" t="s">
        <v>1114</v>
      </c>
      <c r="D34" s="18" t="s">
        <v>226</v>
      </c>
      <c r="E34" s="18"/>
      <c r="F34" s="18"/>
      <c r="G34" s="18">
        <v>63</v>
      </c>
      <c r="H34" s="55">
        <v>48.1</v>
      </c>
      <c r="I34" s="5">
        <f t="shared" si="3"/>
        <v>2611.9999999999995</v>
      </c>
      <c r="J34" s="499"/>
      <c r="K34" s="501"/>
      <c r="L34" s="63" t="str">
        <f t="shared" si="0"/>
        <v>J501-J151</v>
      </c>
      <c r="N34" s="8"/>
      <c r="O34" s="18">
        <v>75</v>
      </c>
      <c r="P34" s="18" t="s">
        <v>1088</v>
      </c>
      <c r="Q34" s="18" t="s">
        <v>1091</v>
      </c>
      <c r="R34" s="18">
        <v>43.8</v>
      </c>
      <c r="T34" t="str">
        <f t="shared" si="1"/>
        <v>J597-J543</v>
      </c>
    </row>
    <row r="35" spans="2:20" hidden="1">
      <c r="B35" s="18">
        <f t="shared" si="2"/>
        <v>31</v>
      </c>
      <c r="C35" s="18" t="s">
        <v>1115</v>
      </c>
      <c r="D35" s="18" t="s">
        <v>1116</v>
      </c>
      <c r="E35" s="18"/>
      <c r="F35" s="18"/>
      <c r="G35" s="18">
        <v>63</v>
      </c>
      <c r="H35" s="55">
        <v>56.3</v>
      </c>
      <c r="I35" s="5">
        <f t="shared" si="3"/>
        <v>2668.2999999999997</v>
      </c>
      <c r="J35" s="499"/>
      <c r="K35" s="501"/>
      <c r="L35" s="63" t="str">
        <f t="shared" si="0"/>
        <v>JJ548-J511</v>
      </c>
      <c r="N35" s="8"/>
      <c r="O35" s="18">
        <v>63</v>
      </c>
      <c r="P35" s="18" t="s">
        <v>1091</v>
      </c>
      <c r="Q35" s="18" t="s">
        <v>1092</v>
      </c>
      <c r="R35" s="18">
        <v>142.1</v>
      </c>
      <c r="T35" t="str">
        <f t="shared" si="1"/>
        <v>J543-J606</v>
      </c>
    </row>
    <row r="36" spans="2:20" hidden="1">
      <c r="B36" s="18">
        <f t="shared" si="2"/>
        <v>32</v>
      </c>
      <c r="C36" s="18" t="s">
        <v>1117</v>
      </c>
      <c r="D36" s="18" t="s">
        <v>1118</v>
      </c>
      <c r="E36" s="18" t="s">
        <v>199</v>
      </c>
      <c r="F36" s="18">
        <v>0.36</v>
      </c>
      <c r="G36" s="18">
        <v>63</v>
      </c>
      <c r="H36" s="55">
        <v>35.4</v>
      </c>
      <c r="I36" s="5">
        <f t="shared" si="3"/>
        <v>2703.7</v>
      </c>
      <c r="J36" s="499"/>
      <c r="K36" s="501"/>
      <c r="L36" s="63" t="str">
        <f t="shared" si="0"/>
        <v>J563-J491</v>
      </c>
      <c r="N36" s="8"/>
      <c r="O36" s="18">
        <v>75</v>
      </c>
      <c r="P36" s="18" t="s">
        <v>1091</v>
      </c>
      <c r="Q36" s="18" t="s">
        <v>1094</v>
      </c>
      <c r="R36" s="18">
        <v>121.6</v>
      </c>
      <c r="T36" t="str">
        <f t="shared" si="1"/>
        <v>J543-J547</v>
      </c>
    </row>
    <row r="37" spans="2:20" hidden="1">
      <c r="B37" s="18">
        <f t="shared" si="2"/>
        <v>33</v>
      </c>
      <c r="C37" s="18" t="s">
        <v>1119</v>
      </c>
      <c r="D37" s="18" t="s">
        <v>257</v>
      </c>
      <c r="E37" s="18"/>
      <c r="F37" s="18"/>
      <c r="G37" s="18">
        <v>63</v>
      </c>
      <c r="H37" s="55">
        <v>139.1</v>
      </c>
      <c r="I37" s="5">
        <f t="shared" si="3"/>
        <v>2842.7999999999997</v>
      </c>
      <c r="J37" s="499"/>
      <c r="K37" s="501"/>
      <c r="L37" s="63" t="str">
        <f t="shared" si="0"/>
        <v>J427-J73</v>
      </c>
      <c r="N37" s="8"/>
      <c r="O37" s="18">
        <v>63</v>
      </c>
      <c r="P37" s="18" t="s">
        <v>1095</v>
      </c>
      <c r="Q37" s="18" t="s">
        <v>1094</v>
      </c>
      <c r="R37" s="18">
        <v>133</v>
      </c>
      <c r="T37" t="str">
        <f t="shared" si="1"/>
        <v>J588-J547</v>
      </c>
    </row>
    <row r="38" spans="2:20" hidden="1">
      <c r="B38" s="18">
        <f t="shared" si="2"/>
        <v>34</v>
      </c>
      <c r="C38" s="18" t="s">
        <v>704</v>
      </c>
      <c r="D38" s="18" t="s">
        <v>1120</v>
      </c>
      <c r="E38" s="18"/>
      <c r="F38" s="18"/>
      <c r="G38" s="18">
        <v>63</v>
      </c>
      <c r="H38" s="55">
        <v>38.200000000000003</v>
      </c>
      <c r="I38" s="5">
        <f t="shared" si="3"/>
        <v>2880.9999999999995</v>
      </c>
      <c r="J38" s="499"/>
      <c r="K38" s="501"/>
      <c r="L38" s="63" t="str">
        <f t="shared" si="0"/>
        <v>J216-j264</v>
      </c>
      <c r="N38" s="8"/>
      <c r="O38" s="18">
        <v>75</v>
      </c>
      <c r="P38" s="18" t="s">
        <v>1121</v>
      </c>
      <c r="Q38" s="18" t="s">
        <v>1095</v>
      </c>
      <c r="R38" s="18">
        <v>97.9</v>
      </c>
      <c r="T38" t="str">
        <f t="shared" si="1"/>
        <v>J564-J588</v>
      </c>
    </row>
    <row r="39" spans="2:20" hidden="1">
      <c r="B39" s="18">
        <f t="shared" si="2"/>
        <v>35</v>
      </c>
      <c r="C39" s="18" t="s">
        <v>1120</v>
      </c>
      <c r="D39" s="18" t="s">
        <v>1122</v>
      </c>
      <c r="E39" s="18"/>
      <c r="F39" s="18"/>
      <c r="G39" s="18">
        <v>63</v>
      </c>
      <c r="H39" s="55">
        <v>234</v>
      </c>
      <c r="I39" s="5">
        <f t="shared" si="3"/>
        <v>3114.9999999999995</v>
      </c>
      <c r="J39" s="499"/>
      <c r="K39" s="501"/>
      <c r="L39" s="63" t="str">
        <f t="shared" si="0"/>
        <v>j264-j420</v>
      </c>
      <c r="N39" s="8"/>
      <c r="O39" s="18">
        <v>75</v>
      </c>
      <c r="P39" s="18" t="s">
        <v>1094</v>
      </c>
      <c r="Q39" s="18" t="s">
        <v>1121</v>
      </c>
      <c r="R39" s="18">
        <v>53.2</v>
      </c>
      <c r="T39" t="str">
        <f t="shared" si="1"/>
        <v>J547-J564</v>
      </c>
    </row>
    <row r="40" spans="2:20" hidden="1">
      <c r="B40" s="18">
        <f t="shared" si="2"/>
        <v>36</v>
      </c>
      <c r="C40" s="5" t="s">
        <v>1072</v>
      </c>
      <c r="D40" s="5" t="s">
        <v>1074</v>
      </c>
      <c r="E40" s="8"/>
      <c r="F40" s="8"/>
      <c r="G40" s="5">
        <v>75</v>
      </c>
      <c r="H40" s="10">
        <v>44.5</v>
      </c>
      <c r="I40" s="5">
        <f t="shared" si="3"/>
        <v>3159.4999999999995</v>
      </c>
      <c r="J40" s="499"/>
      <c r="K40" s="501"/>
      <c r="L40" s="63" t="str">
        <f t="shared" si="0"/>
        <v>J469-J338</v>
      </c>
      <c r="N40" s="8"/>
      <c r="O40" s="18">
        <v>75</v>
      </c>
      <c r="P40" s="18" t="s">
        <v>1095</v>
      </c>
      <c r="Q40" s="18" t="s">
        <v>1123</v>
      </c>
      <c r="R40" s="18">
        <v>162.80000000000001</v>
      </c>
      <c r="T40" t="str">
        <f t="shared" si="1"/>
        <v>J588-J432</v>
      </c>
    </row>
    <row r="41" spans="2:20" hidden="1">
      <c r="B41" s="18">
        <f t="shared" si="2"/>
        <v>37</v>
      </c>
      <c r="C41" s="5" t="s">
        <v>572</v>
      </c>
      <c r="D41" s="5" t="s">
        <v>1124</v>
      </c>
      <c r="E41" s="8"/>
      <c r="F41" s="8"/>
      <c r="G41" s="5">
        <v>75</v>
      </c>
      <c r="H41" s="10">
        <v>54.2</v>
      </c>
      <c r="I41" s="5">
        <f t="shared" si="3"/>
        <v>3213.6999999999994</v>
      </c>
      <c r="J41" s="499"/>
      <c r="K41" s="501"/>
      <c r="L41" s="63" t="str">
        <f t="shared" si="0"/>
        <v>J171-J277</v>
      </c>
      <c r="N41" s="8"/>
      <c r="O41" s="18">
        <v>90</v>
      </c>
      <c r="P41" s="18" t="s">
        <v>1121</v>
      </c>
      <c r="Q41" s="18" t="s">
        <v>1125</v>
      </c>
      <c r="R41" s="18">
        <v>578.20000000000005</v>
      </c>
      <c r="T41" t="str">
        <f t="shared" si="1"/>
        <v>J564-J614</v>
      </c>
    </row>
    <row r="42" spans="2:20" hidden="1">
      <c r="B42" s="18">
        <f t="shared" si="2"/>
        <v>38</v>
      </c>
      <c r="C42" s="5" t="s">
        <v>1074</v>
      </c>
      <c r="D42" s="5" t="s">
        <v>1082</v>
      </c>
      <c r="E42" s="8"/>
      <c r="F42" s="8"/>
      <c r="G42" s="5">
        <v>75</v>
      </c>
      <c r="H42" s="10">
        <v>75.099999999999994</v>
      </c>
      <c r="I42" s="5">
        <f t="shared" si="3"/>
        <v>3288.7999999999993</v>
      </c>
      <c r="J42" s="499"/>
      <c r="K42" s="501"/>
      <c r="L42" s="63" t="str">
        <f t="shared" si="0"/>
        <v>J338-J463</v>
      </c>
      <c r="N42" s="8"/>
      <c r="O42" s="18">
        <v>63</v>
      </c>
      <c r="P42" s="18" t="s">
        <v>1125</v>
      </c>
      <c r="Q42" s="18" t="s">
        <v>1126</v>
      </c>
      <c r="R42" s="18">
        <v>232.7</v>
      </c>
      <c r="T42" t="str">
        <f t="shared" si="1"/>
        <v>J614-J418</v>
      </c>
    </row>
    <row r="43" spans="2:20" hidden="1">
      <c r="B43" s="18">
        <f t="shared" si="2"/>
        <v>39</v>
      </c>
      <c r="C43" s="5" t="s">
        <v>1082</v>
      </c>
      <c r="D43" s="5" t="s">
        <v>1084</v>
      </c>
      <c r="E43" s="8"/>
      <c r="F43" s="8"/>
      <c r="G43" s="5">
        <v>75</v>
      </c>
      <c r="H43" s="10">
        <v>46.2</v>
      </c>
      <c r="I43" s="5">
        <f t="shared" si="3"/>
        <v>3334.9999999999991</v>
      </c>
      <c r="J43" s="499"/>
      <c r="K43" s="501"/>
      <c r="L43" s="63" t="str">
        <f t="shared" si="0"/>
        <v>J463-J467</v>
      </c>
      <c r="N43" s="8"/>
      <c r="O43" s="18">
        <v>110</v>
      </c>
      <c r="P43" s="18" t="s">
        <v>1126</v>
      </c>
      <c r="Q43" s="18" t="s">
        <v>1127</v>
      </c>
      <c r="R43" s="18">
        <v>72.5</v>
      </c>
      <c r="T43" t="str">
        <f t="shared" si="1"/>
        <v>J418-J372</v>
      </c>
    </row>
    <row r="44" spans="2:20" hidden="1">
      <c r="B44" s="18">
        <f t="shared" si="2"/>
        <v>40</v>
      </c>
      <c r="C44" s="5" t="s">
        <v>1084</v>
      </c>
      <c r="D44" s="5" t="s">
        <v>1087</v>
      </c>
      <c r="E44" s="8"/>
      <c r="F44" s="8"/>
      <c r="G44" s="5">
        <v>75</v>
      </c>
      <c r="H44" s="10">
        <v>49.7</v>
      </c>
      <c r="I44" s="5">
        <f t="shared" si="3"/>
        <v>3384.6999999999989</v>
      </c>
      <c r="J44" s="499"/>
      <c r="K44" s="501"/>
      <c r="L44" s="63" t="str">
        <f t="shared" si="0"/>
        <v>J467-J478</v>
      </c>
      <c r="N44" s="8"/>
      <c r="O44" s="18">
        <v>110</v>
      </c>
      <c r="P44" s="18" t="s">
        <v>1127</v>
      </c>
      <c r="Q44" s="18" t="s">
        <v>1128</v>
      </c>
      <c r="R44" s="18">
        <v>11.1</v>
      </c>
      <c r="T44" t="str">
        <f t="shared" si="1"/>
        <v>J372-J311</v>
      </c>
    </row>
    <row r="45" spans="2:20" hidden="1">
      <c r="B45" s="18">
        <f t="shared" si="2"/>
        <v>41</v>
      </c>
      <c r="C45" s="5" t="s">
        <v>1087</v>
      </c>
      <c r="D45" s="5" t="s">
        <v>1090</v>
      </c>
      <c r="E45" s="8"/>
      <c r="F45" s="8"/>
      <c r="G45" s="5">
        <v>75</v>
      </c>
      <c r="H45" s="10">
        <v>14.8</v>
      </c>
      <c r="I45" s="5">
        <f t="shared" si="3"/>
        <v>3399.4999999999991</v>
      </c>
      <c r="J45" s="499"/>
      <c r="K45" s="501"/>
      <c r="L45" s="63" t="str">
        <f t="shared" si="0"/>
        <v>J478-J383</v>
      </c>
      <c r="N45" s="8"/>
      <c r="O45" s="18">
        <v>110</v>
      </c>
      <c r="P45" s="18" t="s">
        <v>1128</v>
      </c>
      <c r="Q45" s="18" t="s">
        <v>1129</v>
      </c>
      <c r="R45" s="18">
        <v>21.2</v>
      </c>
      <c r="T45" t="str">
        <f t="shared" si="1"/>
        <v>J311-J287</v>
      </c>
    </row>
    <row r="46" spans="2:20" hidden="1">
      <c r="B46" s="18">
        <f t="shared" si="2"/>
        <v>42</v>
      </c>
      <c r="C46" s="5" t="s">
        <v>1090</v>
      </c>
      <c r="D46" s="5" t="s">
        <v>1070</v>
      </c>
      <c r="E46" s="8"/>
      <c r="F46" s="8"/>
      <c r="G46" s="5">
        <v>75</v>
      </c>
      <c r="H46" s="10">
        <v>81.3</v>
      </c>
      <c r="I46" s="5">
        <f t="shared" si="3"/>
        <v>3480.7999999999993</v>
      </c>
      <c r="J46" s="499"/>
      <c r="K46" s="501"/>
      <c r="L46" s="63" t="str">
        <f t="shared" si="0"/>
        <v>J383-J382</v>
      </c>
      <c r="N46" s="8"/>
      <c r="O46" s="18">
        <v>75</v>
      </c>
      <c r="P46" s="18" t="s">
        <v>1128</v>
      </c>
      <c r="Q46" s="18" t="s">
        <v>336</v>
      </c>
      <c r="R46" s="18">
        <v>295.2</v>
      </c>
      <c r="T46" t="str">
        <f t="shared" si="1"/>
        <v>J311-J131</v>
      </c>
    </row>
    <row r="47" spans="2:20" hidden="1">
      <c r="B47" s="18">
        <f t="shared" si="2"/>
        <v>43</v>
      </c>
      <c r="C47" s="5" t="s">
        <v>1130</v>
      </c>
      <c r="D47" s="5" t="s">
        <v>1131</v>
      </c>
      <c r="E47" s="8"/>
      <c r="F47" s="8"/>
      <c r="G47" s="5">
        <v>75</v>
      </c>
      <c r="H47" s="10">
        <v>47.5</v>
      </c>
      <c r="I47" s="5">
        <f t="shared" si="3"/>
        <v>3528.2999999999993</v>
      </c>
      <c r="J47" s="499"/>
      <c r="K47" s="501"/>
      <c r="L47" s="63" t="str">
        <f t="shared" si="0"/>
        <v>j383-j243</v>
      </c>
      <c r="N47" s="8"/>
      <c r="O47" s="18">
        <v>110</v>
      </c>
      <c r="P47" s="18" t="s">
        <v>1129</v>
      </c>
      <c r="Q47" s="18" t="s">
        <v>1083</v>
      </c>
      <c r="R47" s="18">
        <v>272.60000000000002</v>
      </c>
      <c r="T47" t="str">
        <f t="shared" si="1"/>
        <v>J287-J589</v>
      </c>
    </row>
    <row r="48" spans="2:20" hidden="1">
      <c r="B48" s="18">
        <f t="shared" si="2"/>
        <v>44</v>
      </c>
      <c r="C48" s="5" t="s">
        <v>1132</v>
      </c>
      <c r="D48" s="5" t="s">
        <v>1133</v>
      </c>
      <c r="E48" s="8"/>
      <c r="F48" s="8"/>
      <c r="G48" s="5">
        <v>75</v>
      </c>
      <c r="H48" s="10">
        <v>108.7</v>
      </c>
      <c r="I48" s="5">
        <f t="shared" si="3"/>
        <v>3636.9999999999991</v>
      </c>
      <c r="J48" s="499"/>
      <c r="K48" s="501"/>
      <c r="L48" s="63" t="str">
        <f t="shared" si="0"/>
        <v>j358-j201</v>
      </c>
      <c r="N48" s="8"/>
      <c r="O48" s="18">
        <v>90</v>
      </c>
      <c r="P48" s="18" t="s">
        <v>1134</v>
      </c>
      <c r="Q48" s="18" t="s">
        <v>1135</v>
      </c>
      <c r="R48" s="18">
        <v>10.1</v>
      </c>
      <c r="T48" t="str">
        <f t="shared" si="1"/>
        <v>J693-J603</v>
      </c>
    </row>
    <row r="49" spans="2:20" hidden="1">
      <c r="B49" s="18">
        <f t="shared" si="2"/>
        <v>45</v>
      </c>
      <c r="C49" s="5" t="s">
        <v>105</v>
      </c>
      <c r="D49" s="5" t="s">
        <v>1133</v>
      </c>
      <c r="E49" s="8"/>
      <c r="F49" s="8"/>
      <c r="G49" s="5">
        <v>75</v>
      </c>
      <c r="H49" s="10">
        <v>73.900000000000006</v>
      </c>
      <c r="I49" s="5">
        <f t="shared" si="3"/>
        <v>3710.8999999999992</v>
      </c>
      <c r="J49" s="499"/>
      <c r="K49" s="501"/>
      <c r="L49" s="63" t="str">
        <f t="shared" si="0"/>
        <v>j166-j201</v>
      </c>
      <c r="N49" s="8"/>
      <c r="O49" s="18">
        <v>90</v>
      </c>
      <c r="P49" s="18" t="s">
        <v>1135</v>
      </c>
      <c r="Q49" s="18" t="s">
        <v>1136</v>
      </c>
      <c r="R49" s="18">
        <v>182.8</v>
      </c>
      <c r="T49" t="str">
        <f t="shared" si="1"/>
        <v>J603-J313</v>
      </c>
    </row>
    <row r="50" spans="2:20" hidden="1">
      <c r="B50" s="18">
        <f t="shared" si="2"/>
        <v>46</v>
      </c>
      <c r="C50" s="5" t="s">
        <v>105</v>
      </c>
      <c r="D50" s="5" t="s">
        <v>70</v>
      </c>
      <c r="E50" s="8"/>
      <c r="F50" s="8"/>
      <c r="G50" s="5">
        <v>75</v>
      </c>
      <c r="H50" s="10">
        <v>93.3</v>
      </c>
      <c r="I50" s="5">
        <f t="shared" si="3"/>
        <v>3804.1999999999994</v>
      </c>
      <c r="J50" s="499"/>
      <c r="K50" s="501"/>
      <c r="L50" s="63" t="str">
        <f t="shared" si="0"/>
        <v>j166-j131</v>
      </c>
      <c r="N50" s="8"/>
      <c r="O50" s="18">
        <v>90</v>
      </c>
      <c r="P50" s="18" t="s">
        <v>1136</v>
      </c>
      <c r="Q50" s="18" t="s">
        <v>1137</v>
      </c>
      <c r="R50" s="18">
        <v>18.2</v>
      </c>
      <c r="T50" t="str">
        <f t="shared" si="1"/>
        <v>J313-J341</v>
      </c>
    </row>
    <row r="51" spans="2:20" hidden="1">
      <c r="B51" s="18">
        <f t="shared" si="2"/>
        <v>47</v>
      </c>
      <c r="C51" s="5" t="s">
        <v>1138</v>
      </c>
      <c r="D51" s="5" t="s">
        <v>1139</v>
      </c>
      <c r="E51" s="8"/>
      <c r="F51" s="8"/>
      <c r="G51" s="5">
        <v>75</v>
      </c>
      <c r="H51" s="10">
        <v>58.2</v>
      </c>
      <c r="I51" s="5">
        <f t="shared" si="3"/>
        <v>3862.3999999999992</v>
      </c>
      <c r="J51" s="499"/>
      <c r="K51" s="501"/>
      <c r="L51" s="63" t="str">
        <f t="shared" si="0"/>
        <v>j489-j597</v>
      </c>
      <c r="N51" s="8"/>
      <c r="O51" s="18">
        <v>90</v>
      </c>
      <c r="P51" s="18" t="s">
        <v>1140</v>
      </c>
      <c r="Q51" s="18" t="s">
        <v>212</v>
      </c>
      <c r="R51" s="18">
        <v>68.400000000000006</v>
      </c>
      <c r="T51" t="str">
        <f t="shared" si="1"/>
        <v>J424-J194</v>
      </c>
    </row>
    <row r="52" spans="2:20" hidden="1">
      <c r="B52" s="18">
        <f t="shared" si="2"/>
        <v>48</v>
      </c>
      <c r="C52" s="5" t="s">
        <v>1139</v>
      </c>
      <c r="D52" s="5" t="s">
        <v>1141</v>
      </c>
      <c r="E52" s="8"/>
      <c r="F52" s="8"/>
      <c r="G52" s="5">
        <v>75</v>
      </c>
      <c r="H52" s="10">
        <v>43.8</v>
      </c>
      <c r="I52" s="5">
        <f t="shared" si="3"/>
        <v>3906.1999999999994</v>
      </c>
      <c r="J52" s="499"/>
      <c r="K52" s="501"/>
      <c r="L52" s="63" t="str">
        <f t="shared" si="0"/>
        <v>j597-j543</v>
      </c>
      <c r="N52" s="8"/>
      <c r="O52" s="18">
        <v>63</v>
      </c>
      <c r="P52" s="18" t="s">
        <v>212</v>
      </c>
      <c r="Q52" s="18" t="s">
        <v>1016</v>
      </c>
      <c r="R52" s="18">
        <v>30.1</v>
      </c>
      <c r="T52" t="str">
        <f t="shared" si="1"/>
        <v>J194-J680</v>
      </c>
    </row>
    <row r="53" spans="2:20" hidden="1">
      <c r="B53" s="18">
        <f t="shared" si="2"/>
        <v>49</v>
      </c>
      <c r="C53" s="5" t="s">
        <v>1141</v>
      </c>
      <c r="D53" s="5" t="s">
        <v>1142</v>
      </c>
      <c r="E53" s="8"/>
      <c r="F53" s="8"/>
      <c r="G53" s="5">
        <v>75</v>
      </c>
      <c r="H53" s="10">
        <v>121.6</v>
      </c>
      <c r="I53" s="5">
        <f t="shared" si="3"/>
        <v>4027.7999999999993</v>
      </c>
      <c r="J53" s="499"/>
      <c r="K53" s="501"/>
      <c r="L53" s="63" t="str">
        <f t="shared" si="0"/>
        <v>j543-j547</v>
      </c>
      <c r="N53" s="8"/>
      <c r="O53" s="18">
        <v>110</v>
      </c>
      <c r="P53" s="18" t="s">
        <v>212</v>
      </c>
      <c r="Q53" s="18" t="s">
        <v>1143</v>
      </c>
      <c r="R53" s="18">
        <v>98.2</v>
      </c>
      <c r="T53" t="str">
        <f t="shared" si="1"/>
        <v>J194-J395</v>
      </c>
    </row>
    <row r="54" spans="2:20" hidden="1">
      <c r="B54" s="18">
        <f t="shared" si="2"/>
        <v>50</v>
      </c>
      <c r="C54" s="5" t="s">
        <v>1144</v>
      </c>
      <c r="D54" s="5" t="s">
        <v>1145</v>
      </c>
      <c r="E54" s="8"/>
      <c r="F54" s="8"/>
      <c r="G54" s="5">
        <v>75</v>
      </c>
      <c r="H54" s="10">
        <v>97.9</v>
      </c>
      <c r="I54" s="5">
        <f t="shared" si="3"/>
        <v>4125.6999999999989</v>
      </c>
      <c r="J54" s="499"/>
      <c r="K54" s="501"/>
      <c r="L54" s="63" t="str">
        <f t="shared" si="0"/>
        <v>j564-j588</v>
      </c>
      <c r="N54" s="8"/>
      <c r="O54" s="18">
        <v>110</v>
      </c>
      <c r="P54" s="18" t="s">
        <v>1143</v>
      </c>
      <c r="Q54" s="18" t="s">
        <v>1146</v>
      </c>
      <c r="R54" s="18">
        <v>14.1</v>
      </c>
      <c r="T54" t="str">
        <f t="shared" si="1"/>
        <v>J395-J457</v>
      </c>
    </row>
    <row r="55" spans="2:20" hidden="1">
      <c r="B55" s="18">
        <f t="shared" si="2"/>
        <v>51</v>
      </c>
      <c r="C55" s="5" t="s">
        <v>1142</v>
      </c>
      <c r="D55" s="5" t="s">
        <v>1144</v>
      </c>
      <c r="E55" s="5"/>
      <c r="F55" s="5"/>
      <c r="G55" s="5">
        <v>75</v>
      </c>
      <c r="H55" s="10">
        <v>53.2</v>
      </c>
      <c r="I55" s="5">
        <f t="shared" si="3"/>
        <v>4178.8999999999987</v>
      </c>
      <c r="J55" s="499"/>
      <c r="K55" s="501"/>
      <c r="L55" s="63" t="str">
        <f t="shared" si="0"/>
        <v>j547-j564</v>
      </c>
      <c r="N55" s="8"/>
      <c r="O55" s="18">
        <v>90</v>
      </c>
      <c r="P55" s="18" t="s">
        <v>1146</v>
      </c>
      <c r="Q55" s="18" t="s">
        <v>1147</v>
      </c>
      <c r="R55" s="18">
        <v>98.5</v>
      </c>
      <c r="T55" t="str">
        <f t="shared" si="1"/>
        <v>J457-J496</v>
      </c>
    </row>
    <row r="56" spans="2:20" hidden="1">
      <c r="B56" s="18">
        <f t="shared" si="2"/>
        <v>52</v>
      </c>
      <c r="C56" s="5" t="s">
        <v>1145</v>
      </c>
      <c r="D56" s="5" t="s">
        <v>1148</v>
      </c>
      <c r="E56" s="8"/>
      <c r="F56" s="8"/>
      <c r="G56" s="5">
        <v>75</v>
      </c>
      <c r="H56" s="10">
        <v>162.80000000000001</v>
      </c>
      <c r="I56" s="5">
        <f t="shared" si="3"/>
        <v>4341.6999999999989</v>
      </c>
      <c r="J56" s="499"/>
      <c r="K56" s="501"/>
      <c r="L56" s="63" t="str">
        <f t="shared" si="0"/>
        <v>j588-j432</v>
      </c>
      <c r="N56" s="8"/>
      <c r="O56" s="18">
        <v>90</v>
      </c>
      <c r="P56" s="18" t="s">
        <v>1147</v>
      </c>
      <c r="Q56" s="18" t="s">
        <v>1149</v>
      </c>
      <c r="R56" s="18">
        <v>16.3</v>
      </c>
      <c r="T56" t="str">
        <f t="shared" si="1"/>
        <v>J496-J557</v>
      </c>
    </row>
    <row r="57" spans="2:20" hidden="1">
      <c r="B57" s="18">
        <f t="shared" si="2"/>
        <v>53</v>
      </c>
      <c r="C57" s="5" t="s">
        <v>1150</v>
      </c>
      <c r="D57" s="5" t="s">
        <v>70</v>
      </c>
      <c r="E57" s="8"/>
      <c r="F57" s="8"/>
      <c r="G57" s="5">
        <v>75</v>
      </c>
      <c r="H57" s="10">
        <v>295.2</v>
      </c>
      <c r="I57" s="5">
        <f t="shared" si="3"/>
        <v>4636.8999999999987</v>
      </c>
      <c r="J57" s="499"/>
      <c r="K57" s="501"/>
      <c r="L57" s="63" t="str">
        <f t="shared" si="0"/>
        <v>j311-j131</v>
      </c>
      <c r="N57" s="8"/>
      <c r="O57" s="18">
        <v>90</v>
      </c>
      <c r="P57" s="18" t="s">
        <v>1149</v>
      </c>
      <c r="Q57" s="18" t="s">
        <v>1105</v>
      </c>
      <c r="R57" s="18">
        <v>38.4</v>
      </c>
      <c r="T57" t="str">
        <f t="shared" si="1"/>
        <v>J557-J508</v>
      </c>
    </row>
    <row r="58" spans="2:20" hidden="1">
      <c r="B58" s="18">
        <f t="shared" si="2"/>
        <v>54</v>
      </c>
      <c r="C58" s="5" t="s">
        <v>1151</v>
      </c>
      <c r="D58" s="5" t="s">
        <v>1152</v>
      </c>
      <c r="E58" s="5" t="s">
        <v>199</v>
      </c>
      <c r="F58" s="5">
        <v>0.37</v>
      </c>
      <c r="G58" s="5">
        <v>75</v>
      </c>
      <c r="H58" s="10">
        <v>160</v>
      </c>
      <c r="I58" s="5">
        <f t="shared" si="3"/>
        <v>4796.8999999999987</v>
      </c>
      <c r="J58" s="499"/>
      <c r="K58" s="501"/>
      <c r="L58" s="63" t="str">
        <f t="shared" si="0"/>
        <v>j529-J530</v>
      </c>
      <c r="M58" s="123"/>
      <c r="N58" s="124"/>
      <c r="O58" s="18">
        <v>90</v>
      </c>
      <c r="P58" s="18" t="s">
        <v>1105</v>
      </c>
      <c r="Q58" s="18" t="s">
        <v>1153</v>
      </c>
      <c r="R58" s="18">
        <v>58.1</v>
      </c>
      <c r="T58" t="str">
        <f t="shared" si="1"/>
        <v>J508-J325</v>
      </c>
    </row>
    <row r="59" spans="2:20" hidden="1">
      <c r="B59" s="18">
        <f t="shared" si="2"/>
        <v>55</v>
      </c>
      <c r="C59" s="5" t="s">
        <v>1151</v>
      </c>
      <c r="D59" s="5" t="s">
        <v>1152</v>
      </c>
      <c r="E59" s="5" t="s">
        <v>1098</v>
      </c>
      <c r="F59" s="5">
        <v>0.37</v>
      </c>
      <c r="G59" s="5">
        <v>75</v>
      </c>
      <c r="H59" s="10">
        <v>3.5</v>
      </c>
      <c r="I59" s="5">
        <f t="shared" si="3"/>
        <v>4800.3999999999987</v>
      </c>
      <c r="J59" s="499"/>
      <c r="K59" s="501"/>
      <c r="L59" s="63" t="str">
        <f t="shared" si="0"/>
        <v>j529-J530</v>
      </c>
      <c r="M59" s="97"/>
      <c r="N59" s="124"/>
      <c r="O59" s="18">
        <v>90</v>
      </c>
      <c r="P59" s="18" t="s">
        <v>1153</v>
      </c>
      <c r="Q59" s="18" t="s">
        <v>1154</v>
      </c>
      <c r="R59" s="18">
        <v>57.3</v>
      </c>
      <c r="T59" t="str">
        <f t="shared" si="1"/>
        <v>J325-J699</v>
      </c>
    </row>
    <row r="60" spans="2:20" hidden="1">
      <c r="B60" s="18">
        <f t="shared" si="2"/>
        <v>56</v>
      </c>
      <c r="C60" s="5" t="s">
        <v>1151</v>
      </c>
      <c r="D60" s="5" t="s">
        <v>1152</v>
      </c>
      <c r="E60" s="5"/>
      <c r="F60" s="5"/>
      <c r="G60" s="5">
        <v>75</v>
      </c>
      <c r="H60" s="10">
        <v>129.30000000000001</v>
      </c>
      <c r="I60" s="5">
        <f t="shared" si="3"/>
        <v>4929.6999999999989</v>
      </c>
      <c r="J60" s="499"/>
      <c r="K60" s="501"/>
      <c r="L60" s="63" t="str">
        <f t="shared" si="0"/>
        <v>j529-J530</v>
      </c>
      <c r="N60" s="8"/>
      <c r="O60" s="18">
        <v>63</v>
      </c>
      <c r="P60" s="18" t="s">
        <v>1105</v>
      </c>
      <c r="Q60" s="18" t="s">
        <v>1106</v>
      </c>
      <c r="R60" s="18">
        <v>70.2</v>
      </c>
      <c r="T60" t="str">
        <f t="shared" si="1"/>
        <v>J508-J650</v>
      </c>
    </row>
    <row r="61" spans="2:20" hidden="1">
      <c r="B61" s="18">
        <f t="shared" si="2"/>
        <v>57</v>
      </c>
      <c r="C61" s="5" t="s">
        <v>1155</v>
      </c>
      <c r="D61" s="5" t="s">
        <v>1156</v>
      </c>
      <c r="E61" s="5"/>
      <c r="F61" s="5"/>
      <c r="G61" s="5">
        <v>75</v>
      </c>
      <c r="H61" s="10">
        <v>87.2</v>
      </c>
      <c r="I61" s="5">
        <f t="shared" si="3"/>
        <v>5016.8999999999987</v>
      </c>
      <c r="J61" s="499"/>
      <c r="K61" s="501"/>
      <c r="L61" s="63" t="str">
        <f t="shared" si="0"/>
        <v>j395-j270</v>
      </c>
      <c r="N61" s="8"/>
      <c r="O61" s="18">
        <v>90</v>
      </c>
      <c r="P61" s="18" t="s">
        <v>1106</v>
      </c>
      <c r="Q61" s="18" t="s">
        <v>1157</v>
      </c>
      <c r="R61" s="18">
        <v>70.099999999999994</v>
      </c>
      <c r="T61" t="str">
        <f t="shared" si="1"/>
        <v>J650-J453</v>
      </c>
    </row>
    <row r="62" spans="2:20" hidden="1">
      <c r="B62" s="18">
        <f t="shared" si="2"/>
        <v>58</v>
      </c>
      <c r="C62" s="5" t="s">
        <v>1158</v>
      </c>
      <c r="D62" s="5" t="s">
        <v>1159</v>
      </c>
      <c r="E62" s="5" t="s">
        <v>1098</v>
      </c>
      <c r="F62" s="5">
        <v>0.37</v>
      </c>
      <c r="G62" s="5">
        <v>75</v>
      </c>
      <c r="H62" s="10">
        <v>3.5</v>
      </c>
      <c r="I62" s="5">
        <f t="shared" si="3"/>
        <v>5020.3999999999987</v>
      </c>
      <c r="J62" s="499"/>
      <c r="K62" s="501"/>
      <c r="L62" s="63" t="str">
        <f t="shared" si="0"/>
        <v>j650-j737</v>
      </c>
      <c r="N62" s="8"/>
      <c r="O62" s="18">
        <v>90</v>
      </c>
      <c r="P62" s="18" t="s">
        <v>1160</v>
      </c>
      <c r="Q62" s="18" t="s">
        <v>1161</v>
      </c>
      <c r="R62" s="18">
        <v>65.400000000000006</v>
      </c>
      <c r="T62" t="str">
        <f t="shared" si="1"/>
        <v>J672-J529</v>
      </c>
    </row>
    <row r="63" spans="2:20" hidden="1">
      <c r="B63" s="18">
        <f t="shared" si="2"/>
        <v>59</v>
      </c>
      <c r="C63" s="5" t="s">
        <v>1158</v>
      </c>
      <c r="D63" s="5" t="s">
        <v>1159</v>
      </c>
      <c r="E63" s="8"/>
      <c r="F63" s="8"/>
      <c r="G63" s="5">
        <v>75</v>
      </c>
      <c r="H63" s="10">
        <f>144.5-H62</f>
        <v>141</v>
      </c>
      <c r="I63" s="5">
        <f t="shared" si="3"/>
        <v>5161.3999999999987</v>
      </c>
      <c r="J63" s="499"/>
      <c r="K63" s="501"/>
      <c r="L63" s="63" t="str">
        <f t="shared" si="0"/>
        <v>j650-j737</v>
      </c>
      <c r="N63" s="8"/>
      <c r="O63" s="18">
        <v>90</v>
      </c>
      <c r="P63" s="18" t="s">
        <v>1157</v>
      </c>
      <c r="Q63" s="18" t="s">
        <v>1161</v>
      </c>
      <c r="R63" s="18">
        <v>6.1</v>
      </c>
      <c r="T63" t="str">
        <f t="shared" si="1"/>
        <v>J453-J529</v>
      </c>
    </row>
    <row r="64" spans="2:20" hidden="1">
      <c r="B64" s="18">
        <f t="shared" si="2"/>
        <v>60</v>
      </c>
      <c r="C64" s="5" t="s">
        <v>1159</v>
      </c>
      <c r="D64" s="5" t="s">
        <v>1162</v>
      </c>
      <c r="E64" s="8"/>
      <c r="F64" s="8"/>
      <c r="G64" s="5">
        <v>75</v>
      </c>
      <c r="H64" s="10">
        <v>57.1</v>
      </c>
      <c r="I64" s="5">
        <f t="shared" si="3"/>
        <v>5218.4999999999991</v>
      </c>
      <c r="J64" s="499"/>
      <c r="K64" s="501"/>
      <c r="L64" s="63" t="str">
        <f t="shared" si="0"/>
        <v>j737-j696</v>
      </c>
      <c r="N64" s="8"/>
      <c r="O64" s="18">
        <v>75</v>
      </c>
      <c r="P64" s="18" t="s">
        <v>1161</v>
      </c>
      <c r="Q64" s="18" t="s">
        <v>1163</v>
      </c>
      <c r="R64" s="18">
        <v>292.8</v>
      </c>
      <c r="T64" t="str">
        <f t="shared" si="1"/>
        <v>J529-LAST</v>
      </c>
    </row>
    <row r="65" spans="2:20" hidden="1">
      <c r="B65" s="18">
        <f t="shared" si="2"/>
        <v>61</v>
      </c>
      <c r="C65" s="5" t="s">
        <v>1099</v>
      </c>
      <c r="D65" s="5" t="s">
        <v>1164</v>
      </c>
      <c r="E65" s="8"/>
      <c r="F65" s="8"/>
      <c r="G65" s="5">
        <v>75</v>
      </c>
      <c r="H65" s="10">
        <v>78.900000000000006</v>
      </c>
      <c r="I65" s="5">
        <f t="shared" si="3"/>
        <v>5297.3999999999987</v>
      </c>
      <c r="J65" s="499"/>
      <c r="K65" s="501"/>
      <c r="L65" s="63" t="str">
        <f t="shared" si="0"/>
        <v>j194-j211</v>
      </c>
      <c r="N65" s="8"/>
      <c r="O65" s="18">
        <v>90</v>
      </c>
      <c r="P65" s="18" t="s">
        <v>1106</v>
      </c>
      <c r="Q65" s="18" t="s">
        <v>1165</v>
      </c>
      <c r="R65" s="18">
        <v>8.3000000000000007</v>
      </c>
      <c r="T65" t="str">
        <f t="shared" si="1"/>
        <v>J650-J633</v>
      </c>
    </row>
    <row r="66" spans="2:20" hidden="1">
      <c r="B66" s="18">
        <f t="shared" si="2"/>
        <v>62</v>
      </c>
      <c r="C66" s="5" t="s">
        <v>1164</v>
      </c>
      <c r="D66" s="5" t="s">
        <v>67</v>
      </c>
      <c r="E66" s="8"/>
      <c r="F66" s="8"/>
      <c r="G66" s="5">
        <v>75</v>
      </c>
      <c r="H66" s="10">
        <v>39.799999999999997</v>
      </c>
      <c r="I66" s="5">
        <f t="shared" si="3"/>
        <v>5337.1999999999989</v>
      </c>
      <c r="J66" s="499"/>
      <c r="K66" s="501"/>
      <c r="L66" s="63" t="str">
        <f t="shared" si="0"/>
        <v>j211-j128</v>
      </c>
      <c r="N66" s="8"/>
      <c r="O66" s="18">
        <v>90</v>
      </c>
      <c r="P66" s="18" t="s">
        <v>1165</v>
      </c>
      <c r="Q66" s="18" t="s">
        <v>1166</v>
      </c>
      <c r="R66" s="18">
        <v>126.2</v>
      </c>
      <c r="T66" t="str">
        <f t="shared" si="1"/>
        <v>J633-J711</v>
      </c>
    </row>
    <row r="67" spans="2:20" hidden="1">
      <c r="B67" s="18">
        <f t="shared" si="2"/>
        <v>63</v>
      </c>
      <c r="C67" s="5" t="s">
        <v>67</v>
      </c>
      <c r="D67" s="5" t="s">
        <v>1167</v>
      </c>
      <c r="E67" s="8"/>
      <c r="F67" s="8"/>
      <c r="G67" s="5">
        <v>75</v>
      </c>
      <c r="H67" s="10">
        <v>34.299999999999997</v>
      </c>
      <c r="I67" s="5">
        <f t="shared" si="3"/>
        <v>5371.4999999999991</v>
      </c>
      <c r="J67" s="499"/>
      <c r="K67" s="501"/>
      <c r="L67" s="63" t="str">
        <f t="shared" si="0"/>
        <v>j128-j121</v>
      </c>
      <c r="N67" s="8"/>
      <c r="O67" s="18">
        <v>90</v>
      </c>
      <c r="P67" s="18" t="s">
        <v>1166</v>
      </c>
      <c r="Q67" s="18" t="s">
        <v>1146</v>
      </c>
      <c r="R67" s="18">
        <v>78.099999999999994</v>
      </c>
      <c r="T67" t="str">
        <f t="shared" si="1"/>
        <v>J711-J457</v>
      </c>
    </row>
    <row r="68" spans="2:20" hidden="1">
      <c r="B68" s="18">
        <f t="shared" si="2"/>
        <v>64</v>
      </c>
      <c r="C68" s="5" t="s">
        <v>1167</v>
      </c>
      <c r="D68" s="5" t="s">
        <v>1168</v>
      </c>
      <c r="E68" s="8"/>
      <c r="F68" s="8"/>
      <c r="G68" s="5">
        <v>75</v>
      </c>
      <c r="H68" s="10">
        <v>32.6</v>
      </c>
      <c r="I68" s="5">
        <f t="shared" si="3"/>
        <v>5404.0999999999995</v>
      </c>
      <c r="J68" s="499"/>
      <c r="K68" s="501"/>
      <c r="L68" s="63" t="str">
        <f t="shared" si="0"/>
        <v>j121-j106</v>
      </c>
      <c r="N68" s="8"/>
      <c r="O68" s="18">
        <v>75</v>
      </c>
      <c r="P68" s="18" t="s">
        <v>1143</v>
      </c>
      <c r="Q68" s="18" t="s">
        <v>1107</v>
      </c>
      <c r="R68" s="18">
        <v>87.2</v>
      </c>
      <c r="T68" t="str">
        <f t="shared" si="1"/>
        <v>J395-J270</v>
      </c>
    </row>
    <row r="69" spans="2:20" hidden="1">
      <c r="B69" s="18">
        <f t="shared" si="2"/>
        <v>65</v>
      </c>
      <c r="C69" s="5" t="s">
        <v>1168</v>
      </c>
      <c r="D69" s="5" t="s">
        <v>83</v>
      </c>
      <c r="E69" s="8"/>
      <c r="F69" s="8"/>
      <c r="G69" s="5">
        <v>75</v>
      </c>
      <c r="H69" s="10">
        <v>68.5</v>
      </c>
      <c r="I69" s="5">
        <f t="shared" si="3"/>
        <v>5472.5999999999995</v>
      </c>
      <c r="J69" s="499"/>
      <c r="K69" s="501"/>
      <c r="L69" s="63" t="str">
        <f t="shared" si="0"/>
        <v>j106-j177</v>
      </c>
      <c r="N69" s="8"/>
      <c r="O69" s="18">
        <v>63</v>
      </c>
      <c r="P69" s="18" t="s">
        <v>1107</v>
      </c>
      <c r="Q69" s="18" t="s">
        <v>1108</v>
      </c>
      <c r="R69" s="18">
        <v>83.6</v>
      </c>
      <c r="T69" t="str">
        <f t="shared" si="1"/>
        <v>J270-J286</v>
      </c>
    </row>
    <row r="70" spans="2:20" hidden="1">
      <c r="B70" s="18">
        <f t="shared" si="2"/>
        <v>66</v>
      </c>
      <c r="C70" s="5" t="s">
        <v>1169</v>
      </c>
      <c r="D70" s="5" t="s">
        <v>1170</v>
      </c>
      <c r="E70" s="8"/>
      <c r="F70" s="8"/>
      <c r="G70" s="5">
        <v>75</v>
      </c>
      <c r="H70" s="10">
        <v>27.8</v>
      </c>
      <c r="I70" s="5">
        <f t="shared" si="3"/>
        <v>5500.4</v>
      </c>
      <c r="J70" s="499"/>
      <c r="K70" s="501"/>
      <c r="L70" s="63" t="str">
        <f t="shared" ref="L70:L135" si="4">+C70&amp;"-"&amp;D70</f>
        <v>j397-j434</v>
      </c>
      <c r="N70" s="8"/>
      <c r="O70" s="70">
        <v>90</v>
      </c>
      <c r="P70" s="70" t="s">
        <v>1166</v>
      </c>
      <c r="Q70" s="70" t="s">
        <v>1171</v>
      </c>
      <c r="R70" s="70">
        <v>26.2</v>
      </c>
      <c r="T70" t="str">
        <f t="shared" ref="T70:T81" si="5">+P70&amp;"-"&amp;Q70</f>
        <v>J711-J719</v>
      </c>
    </row>
    <row r="71" spans="2:20" hidden="1">
      <c r="B71" s="18">
        <f t="shared" si="2"/>
        <v>67</v>
      </c>
      <c r="C71" s="5" t="s">
        <v>1169</v>
      </c>
      <c r="D71" s="5" t="s">
        <v>1172</v>
      </c>
      <c r="E71" s="8"/>
      <c r="F71" s="8"/>
      <c r="G71" s="5">
        <v>75</v>
      </c>
      <c r="H71" s="10">
        <v>51.6</v>
      </c>
      <c r="I71" s="5">
        <f t="shared" si="3"/>
        <v>5552</v>
      </c>
      <c r="J71" s="499"/>
      <c r="K71" s="501"/>
      <c r="L71" s="63" t="str">
        <f t="shared" si="4"/>
        <v>j397-j229</v>
      </c>
      <c r="N71" s="8"/>
      <c r="O71" s="70">
        <v>90</v>
      </c>
      <c r="P71" s="70" t="s">
        <v>1171</v>
      </c>
      <c r="Q71" s="70" t="s">
        <v>1111</v>
      </c>
      <c r="R71" s="70">
        <v>59.1</v>
      </c>
      <c r="T71" t="str">
        <f t="shared" si="5"/>
        <v>J719-J652</v>
      </c>
    </row>
    <row r="72" spans="2:20" hidden="1">
      <c r="B72" s="18">
        <f t="shared" si="2"/>
        <v>68</v>
      </c>
      <c r="C72" s="5" t="s">
        <v>1172</v>
      </c>
      <c r="D72" s="5" t="s">
        <v>1173</v>
      </c>
      <c r="E72" s="8"/>
      <c r="F72" s="8"/>
      <c r="G72" s="5">
        <v>75</v>
      </c>
      <c r="H72" s="10">
        <v>102.9</v>
      </c>
      <c r="I72" s="5">
        <f t="shared" si="3"/>
        <v>5654.9</v>
      </c>
      <c r="J72" s="499"/>
      <c r="K72" s="501"/>
      <c r="L72" s="63" t="str">
        <f t="shared" si="4"/>
        <v>j229-j216</v>
      </c>
      <c r="N72" s="8"/>
      <c r="O72" s="70">
        <v>90</v>
      </c>
      <c r="P72" s="70" t="s">
        <v>1111</v>
      </c>
      <c r="Q72" s="70" t="s">
        <v>1174</v>
      </c>
      <c r="R72" s="70">
        <v>22.2</v>
      </c>
      <c r="T72" t="str">
        <f t="shared" si="5"/>
        <v>J652-J612</v>
      </c>
    </row>
    <row r="73" spans="2:20" hidden="1">
      <c r="B73" s="18">
        <f t="shared" si="2"/>
        <v>69</v>
      </c>
      <c r="C73" s="5" t="s">
        <v>1172</v>
      </c>
      <c r="D73" s="5" t="s">
        <v>1173</v>
      </c>
      <c r="E73" s="8"/>
      <c r="F73" s="8"/>
      <c r="G73" s="5">
        <v>75</v>
      </c>
      <c r="H73" s="10">
        <v>2.1</v>
      </c>
      <c r="I73" s="5">
        <f t="shared" si="3"/>
        <v>5657</v>
      </c>
      <c r="J73" s="499"/>
      <c r="K73" s="501"/>
      <c r="L73" s="63" t="str">
        <f t="shared" si="4"/>
        <v>j229-j216</v>
      </c>
      <c r="N73" s="8"/>
      <c r="O73" s="70">
        <v>90</v>
      </c>
      <c r="P73" s="70" t="s">
        <v>1174</v>
      </c>
      <c r="Q73" s="70" t="s">
        <v>1175</v>
      </c>
      <c r="R73" s="18">
        <v>16.8</v>
      </c>
      <c r="T73" t="str">
        <f t="shared" si="5"/>
        <v>J612-J526</v>
      </c>
    </row>
    <row r="74" spans="2:20" hidden="1">
      <c r="B74" s="18">
        <f t="shared" si="2"/>
        <v>70</v>
      </c>
      <c r="C74" s="5" t="s">
        <v>1176</v>
      </c>
      <c r="D74" s="5" t="s">
        <v>1177</v>
      </c>
      <c r="E74" s="8"/>
      <c r="F74" s="8"/>
      <c r="G74" s="5">
        <v>75</v>
      </c>
      <c r="H74" s="10">
        <v>44.3</v>
      </c>
      <c r="I74" s="5">
        <f t="shared" si="3"/>
        <v>5701.3</v>
      </c>
      <c r="J74" s="10"/>
      <c r="K74" s="11"/>
      <c r="L74" s="63" t="str">
        <f t="shared" si="4"/>
        <v>J618-J632</v>
      </c>
      <c r="N74" s="8"/>
      <c r="O74" s="70"/>
      <c r="P74" s="70"/>
      <c r="Q74" s="70"/>
      <c r="R74" s="18"/>
    </row>
    <row r="75" spans="2:20" hidden="1">
      <c r="B75" s="18">
        <f t="shared" si="2"/>
        <v>71</v>
      </c>
      <c r="C75" s="5" t="s">
        <v>1114</v>
      </c>
      <c r="D75" s="5" t="s">
        <v>1176</v>
      </c>
      <c r="E75" s="8"/>
      <c r="F75" s="8"/>
      <c r="G75" s="5">
        <v>75</v>
      </c>
      <c r="H75" s="10">
        <v>129.9</v>
      </c>
      <c r="I75" s="5">
        <f t="shared" si="3"/>
        <v>5831.2</v>
      </c>
      <c r="J75" s="10"/>
      <c r="K75" s="11"/>
      <c r="L75" s="63" t="str">
        <f t="shared" si="4"/>
        <v>J501-J618</v>
      </c>
      <c r="N75" s="8"/>
      <c r="O75" s="70"/>
      <c r="P75" s="70"/>
      <c r="Q75" s="70"/>
      <c r="R75" s="18"/>
    </row>
    <row r="76" spans="2:20" hidden="1">
      <c r="B76" s="18">
        <f t="shared" si="2"/>
        <v>72</v>
      </c>
      <c r="C76" s="5" t="s">
        <v>1028</v>
      </c>
      <c r="D76" s="5" t="s">
        <v>1178</v>
      </c>
      <c r="E76" s="8"/>
      <c r="F76" s="8"/>
      <c r="G76" s="5">
        <v>75</v>
      </c>
      <c r="H76" s="10">
        <v>33.9</v>
      </c>
      <c r="I76" s="5">
        <f t="shared" ref="I76:I77" si="6">+I75+H76</f>
        <v>5865.0999999999995</v>
      </c>
      <c r="J76" s="10"/>
      <c r="K76" s="11"/>
      <c r="L76" s="63" t="str">
        <f t="shared" si="4"/>
        <v>J433-J434</v>
      </c>
      <c r="N76" s="8"/>
      <c r="O76" s="70"/>
      <c r="P76" s="70"/>
      <c r="Q76" s="70"/>
      <c r="R76" s="18"/>
    </row>
    <row r="77" spans="2:20" hidden="1">
      <c r="B77" s="18">
        <f t="shared" si="2"/>
        <v>73</v>
      </c>
      <c r="C77" s="5" t="s">
        <v>1177</v>
      </c>
      <c r="D77" s="5" t="s">
        <v>1176</v>
      </c>
      <c r="E77" s="8"/>
      <c r="F77" s="8"/>
      <c r="G77" s="5">
        <v>75</v>
      </c>
      <c r="H77" s="10">
        <v>18.100000000000001</v>
      </c>
      <c r="I77" s="5">
        <f t="shared" si="6"/>
        <v>5883.2</v>
      </c>
      <c r="J77" s="10"/>
      <c r="K77" s="11"/>
      <c r="L77" s="63" t="str">
        <f t="shared" si="4"/>
        <v>J632-J618</v>
      </c>
      <c r="N77" s="8"/>
      <c r="O77" s="70"/>
      <c r="P77" s="70"/>
      <c r="Q77" s="70"/>
      <c r="R77" s="18"/>
    </row>
    <row r="78" spans="2:20" hidden="1">
      <c r="B78" s="18">
        <f t="shared" si="2"/>
        <v>74</v>
      </c>
      <c r="C78" s="18" t="s">
        <v>1179</v>
      </c>
      <c r="D78" s="18" t="s">
        <v>1180</v>
      </c>
      <c r="E78" s="8"/>
      <c r="F78" s="8"/>
      <c r="G78" s="5">
        <v>90</v>
      </c>
      <c r="H78" s="10">
        <v>36.4</v>
      </c>
      <c r="I78" s="5">
        <f>+I73+H78</f>
        <v>5693.4</v>
      </c>
      <c r="J78" s="499"/>
      <c r="K78" s="501"/>
      <c r="L78" s="63" t="str">
        <f t="shared" si="4"/>
        <v>j718-j218</v>
      </c>
      <c r="N78" s="8"/>
      <c r="O78" s="70">
        <v>90</v>
      </c>
      <c r="P78" s="70" t="s">
        <v>1175</v>
      </c>
      <c r="Q78" s="70" t="s">
        <v>1181</v>
      </c>
      <c r="R78" s="18">
        <v>13.6</v>
      </c>
      <c r="T78" t="str">
        <f t="shared" si="5"/>
        <v>J526-J538</v>
      </c>
    </row>
    <row r="79" spans="2:20" hidden="1">
      <c r="B79" s="18">
        <f t="shared" si="2"/>
        <v>75</v>
      </c>
      <c r="C79" s="18" t="s">
        <v>1180</v>
      </c>
      <c r="D79" s="18" t="s">
        <v>585</v>
      </c>
      <c r="E79" s="8"/>
      <c r="F79" s="8"/>
      <c r="G79" s="5">
        <v>90</v>
      </c>
      <c r="H79" s="10">
        <v>46.3</v>
      </c>
      <c r="I79" s="5">
        <f t="shared" ref="I79:I135" si="7">+I78+H79</f>
        <v>5739.7</v>
      </c>
      <c r="J79" s="499"/>
      <c r="K79" s="501"/>
      <c r="L79" s="63" t="str">
        <f t="shared" si="4"/>
        <v>j218-J219</v>
      </c>
      <c r="N79" s="8"/>
      <c r="O79" s="18">
        <v>90</v>
      </c>
      <c r="P79" s="18" t="s">
        <v>1181</v>
      </c>
      <c r="Q79" s="18" t="s">
        <v>1182</v>
      </c>
      <c r="R79" s="18">
        <v>72.900000000000006</v>
      </c>
      <c r="T79" t="str">
        <f t="shared" si="5"/>
        <v>J538-J546</v>
      </c>
    </row>
    <row r="80" spans="2:20" hidden="1">
      <c r="B80" s="18">
        <f t="shared" si="2"/>
        <v>76</v>
      </c>
      <c r="C80" s="18" t="s">
        <v>1144</v>
      </c>
      <c r="D80" s="18" t="s">
        <v>1096</v>
      </c>
      <c r="E80" s="8"/>
      <c r="F80" s="8"/>
      <c r="G80" s="5">
        <v>90</v>
      </c>
      <c r="H80" s="10">
        <v>578.20000000000005</v>
      </c>
      <c r="I80" s="5">
        <f t="shared" si="7"/>
        <v>6317.9</v>
      </c>
      <c r="J80" s="499"/>
      <c r="K80" s="501"/>
      <c r="L80" s="63" t="str">
        <f t="shared" si="4"/>
        <v>j564-j614</v>
      </c>
      <c r="N80" s="8"/>
      <c r="O80" s="18">
        <v>90</v>
      </c>
      <c r="P80" s="18" t="s">
        <v>1182</v>
      </c>
      <c r="Q80" s="18" t="s">
        <v>1125</v>
      </c>
      <c r="R80" s="18">
        <v>89.8</v>
      </c>
      <c r="T80" t="str">
        <f t="shared" si="5"/>
        <v>J546-J614</v>
      </c>
    </row>
    <row r="81" spans="2:20" hidden="1">
      <c r="B81" s="18">
        <f t="shared" si="2"/>
        <v>77</v>
      </c>
      <c r="C81" s="18" t="s">
        <v>1183</v>
      </c>
      <c r="D81" s="18" t="s">
        <v>1184</v>
      </c>
      <c r="E81" s="8"/>
      <c r="F81" s="8"/>
      <c r="G81" s="5">
        <v>90</v>
      </c>
      <c r="H81" s="10">
        <v>10.1</v>
      </c>
      <c r="I81" s="5">
        <f t="shared" si="7"/>
        <v>6328</v>
      </c>
      <c r="J81" s="499"/>
      <c r="K81" s="501"/>
      <c r="L81" s="63" t="str">
        <f t="shared" si="4"/>
        <v>j693-j603</v>
      </c>
      <c r="N81" s="8"/>
      <c r="O81" s="18">
        <v>63</v>
      </c>
      <c r="P81" s="18" t="s">
        <v>1110</v>
      </c>
      <c r="Q81" s="18" t="s">
        <v>1111</v>
      </c>
      <c r="R81" s="18">
        <v>22.3</v>
      </c>
      <c r="T81" t="str">
        <f t="shared" si="5"/>
        <v>J300-J652</v>
      </c>
    </row>
    <row r="82" spans="2:20" hidden="1">
      <c r="B82" s="18">
        <f t="shared" si="2"/>
        <v>78</v>
      </c>
      <c r="C82" s="18" t="s">
        <v>1184</v>
      </c>
      <c r="D82" s="18" t="s">
        <v>1185</v>
      </c>
      <c r="E82" s="8"/>
      <c r="F82" s="8"/>
      <c r="G82" s="5">
        <v>90</v>
      </c>
      <c r="H82" s="10">
        <v>182.8</v>
      </c>
      <c r="I82" s="5">
        <f t="shared" si="7"/>
        <v>6510.8</v>
      </c>
      <c r="J82" s="499"/>
      <c r="K82" s="501"/>
      <c r="L82" s="63" t="str">
        <f t="shared" si="4"/>
        <v>j603-j313</v>
      </c>
    </row>
    <row r="83" spans="2:20" hidden="1">
      <c r="B83" s="18">
        <f t="shared" si="2"/>
        <v>79</v>
      </c>
      <c r="C83" s="18" t="s">
        <v>1186</v>
      </c>
      <c r="D83" s="18" t="s">
        <v>1099</v>
      </c>
      <c r="E83" s="8"/>
      <c r="F83" s="8"/>
      <c r="G83" s="5">
        <v>90</v>
      </c>
      <c r="H83" s="10">
        <v>68.400000000000006</v>
      </c>
      <c r="I83" s="5">
        <f t="shared" si="7"/>
        <v>6579.2</v>
      </c>
      <c r="J83" s="499"/>
      <c r="K83" s="501"/>
      <c r="L83" s="63" t="str">
        <f t="shared" si="4"/>
        <v>j424-j194</v>
      </c>
    </row>
    <row r="84" spans="2:20" hidden="1">
      <c r="B84" s="18">
        <f t="shared" si="2"/>
        <v>80</v>
      </c>
      <c r="C84" s="18" t="s">
        <v>1187</v>
      </c>
      <c r="D84" s="18" t="s">
        <v>1188</v>
      </c>
      <c r="E84" s="8"/>
      <c r="F84" s="8"/>
      <c r="G84" s="5">
        <v>90</v>
      </c>
      <c r="H84" s="10">
        <v>98.5</v>
      </c>
      <c r="I84" s="5">
        <f t="shared" si="7"/>
        <v>6677.7</v>
      </c>
      <c r="J84" s="499"/>
      <c r="K84" s="501"/>
      <c r="L84" s="63" t="str">
        <f t="shared" si="4"/>
        <v>j454-j496</v>
      </c>
    </row>
    <row r="85" spans="2:20" hidden="1">
      <c r="B85" s="18">
        <f t="shared" si="2"/>
        <v>81</v>
      </c>
      <c r="C85" s="18" t="s">
        <v>1189</v>
      </c>
      <c r="D85" s="18" t="s">
        <v>1190</v>
      </c>
      <c r="E85" s="8"/>
      <c r="F85" s="8"/>
      <c r="G85" s="5">
        <v>90</v>
      </c>
      <c r="H85" s="10">
        <v>16.3</v>
      </c>
      <c r="I85" s="5">
        <f t="shared" si="7"/>
        <v>6694</v>
      </c>
      <c r="J85" s="499"/>
      <c r="K85" s="501"/>
      <c r="L85" s="63" t="str">
        <f t="shared" si="4"/>
        <v>j495-j557</v>
      </c>
    </row>
    <row r="86" spans="2:20" hidden="1">
      <c r="B86" s="18">
        <f t="shared" si="2"/>
        <v>82</v>
      </c>
      <c r="C86" s="5" t="s">
        <v>1190</v>
      </c>
      <c r="D86" s="5" t="s">
        <v>1191</v>
      </c>
      <c r="E86" s="8"/>
      <c r="F86" s="8"/>
      <c r="G86" s="5">
        <v>90</v>
      </c>
      <c r="H86" s="10">
        <v>38.4</v>
      </c>
      <c r="I86" s="5">
        <f t="shared" si="7"/>
        <v>6732.4</v>
      </c>
      <c r="J86" s="499"/>
      <c r="K86" s="501"/>
      <c r="L86" s="63" t="str">
        <f t="shared" si="4"/>
        <v>j557-j508</v>
      </c>
      <c r="O86" s="63"/>
      <c r="P86" s="63" t="str">
        <f t="shared" ref="P86:P87" si="8">+G86&amp;"-"&amp;H86</f>
        <v>90-38.4</v>
      </c>
    </row>
    <row r="87" spans="2:20" hidden="1">
      <c r="B87" s="18">
        <f t="shared" si="2"/>
        <v>83</v>
      </c>
      <c r="C87" s="5" t="s">
        <v>1191</v>
      </c>
      <c r="D87" s="5" t="s">
        <v>1192</v>
      </c>
      <c r="E87" s="8"/>
      <c r="F87" s="8"/>
      <c r="G87" s="5">
        <v>90</v>
      </c>
      <c r="H87" s="10">
        <v>57.3</v>
      </c>
      <c r="I87" s="5">
        <f t="shared" si="7"/>
        <v>6789.7</v>
      </c>
      <c r="J87" s="499"/>
      <c r="K87" s="501"/>
      <c r="L87" s="63" t="str">
        <f t="shared" si="4"/>
        <v>j508-j325</v>
      </c>
      <c r="O87" s="63"/>
      <c r="P87" s="63" t="str">
        <f t="shared" si="8"/>
        <v>90-57.3</v>
      </c>
    </row>
    <row r="88" spans="2:20" hidden="1">
      <c r="B88" s="18">
        <f t="shared" si="2"/>
        <v>84</v>
      </c>
      <c r="C88" s="5" t="s">
        <v>1158</v>
      </c>
      <c r="D88" s="5" t="s">
        <v>1193</v>
      </c>
      <c r="E88" s="8"/>
      <c r="F88" s="8"/>
      <c r="G88" s="5">
        <v>90</v>
      </c>
      <c r="H88" s="10">
        <v>70.099999999999994</v>
      </c>
      <c r="I88" s="5">
        <f t="shared" si="7"/>
        <v>6859.8</v>
      </c>
      <c r="J88" s="499"/>
      <c r="K88" s="501"/>
      <c r="L88" s="63" t="str">
        <f t="shared" si="4"/>
        <v>j650-j453</v>
      </c>
    </row>
    <row r="89" spans="2:20" hidden="1">
      <c r="B89" s="18">
        <f t="shared" si="2"/>
        <v>85</v>
      </c>
      <c r="C89" s="5" t="s">
        <v>1194</v>
      </c>
      <c r="D89" s="5" t="s">
        <v>1151</v>
      </c>
      <c r="E89" s="8"/>
      <c r="F89" s="8"/>
      <c r="G89" s="5">
        <v>90</v>
      </c>
      <c r="H89" s="10">
        <v>65.400000000000006</v>
      </c>
      <c r="I89" s="5">
        <f t="shared" si="7"/>
        <v>6925.2</v>
      </c>
      <c r="J89" s="499"/>
      <c r="K89" s="501"/>
      <c r="L89" s="63" t="str">
        <f t="shared" si="4"/>
        <v>j672-j529</v>
      </c>
    </row>
    <row r="90" spans="2:20" hidden="1">
      <c r="B90" s="18">
        <f t="shared" si="2"/>
        <v>86</v>
      </c>
      <c r="C90" s="5" t="s">
        <v>1193</v>
      </c>
      <c r="D90" s="5" t="s">
        <v>1151</v>
      </c>
      <c r="E90" s="8"/>
      <c r="F90" s="8"/>
      <c r="G90" s="5">
        <v>90</v>
      </c>
      <c r="H90" s="10">
        <v>6</v>
      </c>
      <c r="I90" s="5">
        <f t="shared" si="7"/>
        <v>6931.2</v>
      </c>
      <c r="J90" s="499"/>
      <c r="K90" s="501"/>
      <c r="L90" s="63" t="str">
        <f t="shared" si="4"/>
        <v>j453-j529</v>
      </c>
      <c r="P90" t="s">
        <v>740</v>
      </c>
    </row>
    <row r="91" spans="2:20" hidden="1">
      <c r="B91" s="18">
        <f t="shared" si="2"/>
        <v>87</v>
      </c>
      <c r="C91" s="5" t="s">
        <v>1158</v>
      </c>
      <c r="D91" s="5" t="s">
        <v>1195</v>
      </c>
      <c r="E91" s="8"/>
      <c r="F91" s="8"/>
      <c r="G91" s="5">
        <v>90</v>
      </c>
      <c r="H91" s="10">
        <v>8.3000000000000007</v>
      </c>
      <c r="I91" s="5">
        <f t="shared" si="7"/>
        <v>6939.5</v>
      </c>
      <c r="J91" s="499"/>
      <c r="K91" s="501"/>
      <c r="L91" s="63" t="str">
        <f t="shared" si="4"/>
        <v>j650-j633</v>
      </c>
    </row>
    <row r="92" spans="2:20" hidden="1">
      <c r="B92" s="18">
        <f t="shared" si="2"/>
        <v>88</v>
      </c>
      <c r="C92" s="5" t="s">
        <v>1195</v>
      </c>
      <c r="D92" s="5" t="s">
        <v>1196</v>
      </c>
      <c r="E92" s="8"/>
      <c r="F92" s="8"/>
      <c r="G92" s="5">
        <v>90</v>
      </c>
      <c r="H92" s="10">
        <v>126.2</v>
      </c>
      <c r="I92" s="5">
        <f t="shared" si="7"/>
        <v>7065.7</v>
      </c>
      <c r="J92" s="499"/>
      <c r="K92" s="501"/>
      <c r="L92" s="63" t="str">
        <f t="shared" si="4"/>
        <v>j633-j711</v>
      </c>
    </row>
    <row r="93" spans="2:20" hidden="1">
      <c r="B93" s="18">
        <f t="shared" si="2"/>
        <v>89</v>
      </c>
      <c r="C93" s="5" t="s">
        <v>1196</v>
      </c>
      <c r="D93" s="5" t="s">
        <v>1197</v>
      </c>
      <c r="E93" s="5" t="s">
        <v>1098</v>
      </c>
      <c r="F93" s="5">
        <v>0.39</v>
      </c>
      <c r="G93" s="5">
        <v>90</v>
      </c>
      <c r="H93" s="10">
        <v>3.5</v>
      </c>
      <c r="I93" s="5">
        <f t="shared" si="7"/>
        <v>7069.2</v>
      </c>
      <c r="J93" s="499"/>
      <c r="K93" s="501"/>
      <c r="L93" s="63" t="str">
        <f t="shared" si="4"/>
        <v>j711-j457</v>
      </c>
    </row>
    <row r="94" spans="2:20" hidden="1">
      <c r="B94" s="18">
        <f t="shared" si="2"/>
        <v>90</v>
      </c>
      <c r="C94" s="5" t="s">
        <v>1196</v>
      </c>
      <c r="D94" s="5" t="s">
        <v>1197</v>
      </c>
      <c r="E94" s="5"/>
      <c r="F94" s="5"/>
      <c r="G94" s="5">
        <v>90</v>
      </c>
      <c r="H94" s="10">
        <f>78.1-H93</f>
        <v>74.599999999999994</v>
      </c>
      <c r="I94" s="5">
        <f t="shared" si="7"/>
        <v>7143.8</v>
      </c>
      <c r="J94" s="499"/>
      <c r="K94" s="501"/>
      <c r="L94" s="63" t="str">
        <f t="shared" si="4"/>
        <v>j711-j457</v>
      </c>
    </row>
    <row r="95" spans="2:20" hidden="1">
      <c r="B95" s="18">
        <f t="shared" si="2"/>
        <v>91</v>
      </c>
      <c r="C95" s="5" t="s">
        <v>1196</v>
      </c>
      <c r="D95" s="5" t="s">
        <v>1198</v>
      </c>
      <c r="E95" s="5"/>
      <c r="F95" s="5"/>
      <c r="G95" s="5">
        <v>90</v>
      </c>
      <c r="H95" s="10">
        <f>26.2-H96</f>
        <v>22.7</v>
      </c>
      <c r="I95" s="5">
        <f t="shared" si="7"/>
        <v>7166.5</v>
      </c>
      <c r="J95" s="499"/>
      <c r="K95" s="501"/>
      <c r="L95" s="63" t="str">
        <f t="shared" si="4"/>
        <v>j711-j719</v>
      </c>
    </row>
    <row r="96" spans="2:20" hidden="1">
      <c r="B96" s="18">
        <f t="shared" si="2"/>
        <v>92</v>
      </c>
      <c r="C96" s="5" t="s">
        <v>1196</v>
      </c>
      <c r="D96" s="5" t="s">
        <v>1198</v>
      </c>
      <c r="E96" s="5" t="s">
        <v>1098</v>
      </c>
      <c r="F96" s="5">
        <v>0.39</v>
      </c>
      <c r="G96" s="5">
        <v>90</v>
      </c>
      <c r="H96" s="10">
        <v>3.5</v>
      </c>
      <c r="I96" s="5">
        <f t="shared" si="7"/>
        <v>7170</v>
      </c>
      <c r="J96" s="499"/>
      <c r="K96" s="501"/>
      <c r="L96" s="63" t="str">
        <f t="shared" si="4"/>
        <v>j711-j719</v>
      </c>
    </row>
    <row r="97" spans="2:13" hidden="1">
      <c r="B97" s="18">
        <f t="shared" si="2"/>
        <v>93</v>
      </c>
      <c r="C97" s="5" t="s">
        <v>1198</v>
      </c>
      <c r="D97" s="5" t="s">
        <v>1199</v>
      </c>
      <c r="E97" s="8"/>
      <c r="F97" s="8"/>
      <c r="G97" s="5">
        <v>90</v>
      </c>
      <c r="H97" s="10">
        <v>59.1</v>
      </c>
      <c r="I97" s="5">
        <f t="shared" si="7"/>
        <v>7229.1</v>
      </c>
      <c r="J97" s="499"/>
      <c r="K97" s="501"/>
      <c r="L97" s="63" t="str">
        <f t="shared" si="4"/>
        <v>j719-j652</v>
      </c>
    </row>
    <row r="98" spans="2:13" hidden="1">
      <c r="B98" s="18">
        <f t="shared" si="2"/>
        <v>94</v>
      </c>
      <c r="C98" s="5" t="s">
        <v>1199</v>
      </c>
      <c r="D98" s="5" t="s">
        <v>1200</v>
      </c>
      <c r="E98" s="8"/>
      <c r="F98" s="8"/>
      <c r="G98" s="5">
        <v>90</v>
      </c>
      <c r="H98" s="10">
        <v>29.2</v>
      </c>
      <c r="I98" s="5">
        <f t="shared" si="7"/>
        <v>7258.3</v>
      </c>
      <c r="J98" s="499"/>
      <c r="K98" s="501"/>
      <c r="L98" s="63" t="str">
        <f t="shared" si="4"/>
        <v>j652-j612</v>
      </c>
    </row>
    <row r="99" spans="2:13" hidden="1">
      <c r="B99" s="18">
        <f t="shared" si="2"/>
        <v>95</v>
      </c>
      <c r="C99" s="5" t="s">
        <v>1200</v>
      </c>
      <c r="D99" s="5" t="s">
        <v>1201</v>
      </c>
      <c r="E99" s="8"/>
      <c r="F99" s="8"/>
      <c r="G99" s="5">
        <v>90</v>
      </c>
      <c r="H99" s="10">
        <v>16.8</v>
      </c>
      <c r="I99" s="5">
        <f t="shared" si="7"/>
        <v>7275.1</v>
      </c>
      <c r="J99" s="499"/>
      <c r="K99" s="501"/>
      <c r="L99" s="63" t="str">
        <f t="shared" si="4"/>
        <v>j612-j526</v>
      </c>
    </row>
    <row r="100" spans="2:13" hidden="1">
      <c r="B100" s="18">
        <f t="shared" si="2"/>
        <v>96</v>
      </c>
      <c r="C100" s="5" t="s">
        <v>1201</v>
      </c>
      <c r="D100" s="5" t="s">
        <v>1202</v>
      </c>
      <c r="E100" s="8"/>
      <c r="F100" s="8"/>
      <c r="G100" s="5">
        <v>90</v>
      </c>
      <c r="H100" s="10">
        <v>13.6</v>
      </c>
      <c r="I100" s="5">
        <f t="shared" si="7"/>
        <v>7288.7000000000007</v>
      </c>
      <c r="J100" s="499"/>
      <c r="K100" s="501"/>
      <c r="L100" s="63" t="str">
        <f t="shared" si="4"/>
        <v>j526-j538</v>
      </c>
    </row>
    <row r="101" spans="2:13" hidden="1">
      <c r="B101" s="18">
        <f t="shared" si="2"/>
        <v>97</v>
      </c>
      <c r="C101" s="5" t="s">
        <v>1202</v>
      </c>
      <c r="D101" s="5" t="s">
        <v>1203</v>
      </c>
      <c r="E101" s="8"/>
      <c r="F101" s="8"/>
      <c r="G101" s="5">
        <v>90</v>
      </c>
      <c r="H101" s="10">
        <v>72.900000000000006</v>
      </c>
      <c r="I101" s="5">
        <f t="shared" si="7"/>
        <v>7361.6</v>
      </c>
      <c r="J101" s="499"/>
      <c r="K101" s="501"/>
      <c r="L101" s="63" t="str">
        <f t="shared" si="4"/>
        <v>j538-j546</v>
      </c>
    </row>
    <row r="102" spans="2:13" hidden="1">
      <c r="B102" s="18">
        <f t="shared" si="2"/>
        <v>98</v>
      </c>
      <c r="C102" s="5" t="s">
        <v>1203</v>
      </c>
      <c r="D102" s="5" t="s">
        <v>1096</v>
      </c>
      <c r="E102" s="8"/>
      <c r="F102" s="8"/>
      <c r="G102" s="5">
        <v>90</v>
      </c>
      <c r="H102" s="10">
        <v>89.8</v>
      </c>
      <c r="I102" s="5">
        <f t="shared" si="7"/>
        <v>7451.4000000000005</v>
      </c>
      <c r="J102" s="499"/>
      <c r="K102" s="501"/>
      <c r="L102" s="63" t="str">
        <f t="shared" si="4"/>
        <v>j546-j614</v>
      </c>
    </row>
    <row r="103" spans="2:13" hidden="1">
      <c r="B103" s="18">
        <f t="shared" si="2"/>
        <v>99</v>
      </c>
      <c r="C103" s="5" t="s">
        <v>1204</v>
      </c>
      <c r="D103" s="5" t="s">
        <v>76</v>
      </c>
      <c r="E103" s="8"/>
      <c r="F103" s="8"/>
      <c r="G103" s="5">
        <v>90</v>
      </c>
      <c r="H103" s="10">
        <v>65.099999999999994</v>
      </c>
      <c r="I103" s="5">
        <f t="shared" si="7"/>
        <v>7516.5000000000009</v>
      </c>
      <c r="J103" s="499"/>
      <c r="K103" s="501"/>
      <c r="L103" s="63" t="str">
        <f t="shared" si="4"/>
        <v>j400-j159</v>
      </c>
    </row>
    <row r="104" spans="2:13" hidden="1">
      <c r="B104" s="18">
        <f t="shared" si="2"/>
        <v>100</v>
      </c>
      <c r="C104" s="5" t="s">
        <v>1205</v>
      </c>
      <c r="D104" s="5" t="s">
        <v>1206</v>
      </c>
      <c r="E104" s="8"/>
      <c r="F104" s="8"/>
      <c r="G104" s="5">
        <v>90</v>
      </c>
      <c r="H104" s="10">
        <v>74.3</v>
      </c>
      <c r="I104" s="5">
        <f t="shared" si="7"/>
        <v>7590.8000000000011</v>
      </c>
      <c r="J104" s="499"/>
      <c r="K104" s="501"/>
      <c r="L104" s="63" t="str">
        <f t="shared" si="4"/>
        <v>j662-j509</v>
      </c>
    </row>
    <row r="105" spans="2:13" hidden="1">
      <c r="B105" s="18">
        <f t="shared" si="2"/>
        <v>101</v>
      </c>
      <c r="C105" s="5" t="s">
        <v>1162</v>
      </c>
      <c r="D105" s="5" t="s">
        <v>1207</v>
      </c>
      <c r="E105" s="8"/>
      <c r="F105" s="8"/>
      <c r="G105" s="5">
        <v>90</v>
      </c>
      <c r="H105" s="10">
        <v>97.5</v>
      </c>
      <c r="I105" s="5">
        <f t="shared" si="7"/>
        <v>7688.3000000000011</v>
      </c>
      <c r="J105" s="499"/>
      <c r="K105" s="501"/>
      <c r="L105" s="63" t="str">
        <f t="shared" si="4"/>
        <v>j696-j649</v>
      </c>
    </row>
    <row r="106" spans="2:13" hidden="1">
      <c r="B106" s="18">
        <f t="shared" si="2"/>
        <v>102</v>
      </c>
      <c r="C106" s="5" t="s">
        <v>1208</v>
      </c>
      <c r="D106" s="5" t="s">
        <v>1169</v>
      </c>
      <c r="E106" s="8"/>
      <c r="F106" s="8"/>
      <c r="G106" s="5">
        <v>90</v>
      </c>
      <c r="H106" s="10">
        <v>69.099999999999994</v>
      </c>
      <c r="I106" s="5">
        <f t="shared" si="7"/>
        <v>7757.4000000000015</v>
      </c>
      <c r="J106" s="499"/>
      <c r="K106" s="501"/>
      <c r="L106" s="63" t="str">
        <f t="shared" si="4"/>
        <v>j361-j397</v>
      </c>
    </row>
    <row r="107" spans="2:13" hidden="1">
      <c r="B107" s="18">
        <f t="shared" si="2"/>
        <v>103</v>
      </c>
      <c r="C107" s="5" t="s">
        <v>1209</v>
      </c>
      <c r="D107" s="5" t="s">
        <v>1210</v>
      </c>
      <c r="E107" s="8"/>
      <c r="F107" s="8"/>
      <c r="G107" s="5">
        <v>90</v>
      </c>
      <c r="H107" s="10">
        <v>46.6</v>
      </c>
      <c r="I107" s="5">
        <f t="shared" si="7"/>
        <v>7804.0000000000018</v>
      </c>
      <c r="J107" s="499"/>
      <c r="K107" s="501"/>
      <c r="L107" s="63" t="str">
        <f t="shared" si="4"/>
        <v>j462-j394</v>
      </c>
    </row>
    <row r="108" spans="2:13" hidden="1">
      <c r="B108" s="18">
        <f t="shared" si="2"/>
        <v>104</v>
      </c>
      <c r="C108" s="5" t="s">
        <v>1185</v>
      </c>
      <c r="D108" s="5" t="s">
        <v>1211</v>
      </c>
      <c r="E108" s="8"/>
      <c r="F108" s="8"/>
      <c r="G108" s="5">
        <v>90</v>
      </c>
      <c r="H108" s="10">
        <v>18.2</v>
      </c>
      <c r="I108" s="5">
        <f t="shared" si="7"/>
        <v>7822.2000000000016</v>
      </c>
      <c r="J108" s="499"/>
      <c r="K108" s="501"/>
      <c r="L108" s="63" t="str">
        <f t="shared" si="4"/>
        <v>j313-j341</v>
      </c>
    </row>
    <row r="109" spans="2:13" hidden="1">
      <c r="B109" s="18">
        <f t="shared" si="2"/>
        <v>105</v>
      </c>
      <c r="C109" s="5" t="s">
        <v>1191</v>
      </c>
      <c r="D109" s="5" t="s">
        <v>1192</v>
      </c>
      <c r="E109" s="18" t="s">
        <v>199</v>
      </c>
      <c r="F109" s="5">
        <v>0.39</v>
      </c>
      <c r="G109" s="5">
        <v>90</v>
      </c>
      <c r="H109" s="10">
        <v>58.1</v>
      </c>
      <c r="I109" s="5">
        <f t="shared" si="7"/>
        <v>7880.300000000002</v>
      </c>
      <c r="J109" s="499"/>
      <c r="K109" s="501"/>
      <c r="L109" s="63" t="str">
        <f t="shared" si="4"/>
        <v>j508-j325</v>
      </c>
      <c r="M109" t="s">
        <v>199</v>
      </c>
    </row>
    <row r="110" spans="2:13" hidden="1">
      <c r="B110" s="18">
        <f t="shared" si="2"/>
        <v>106</v>
      </c>
      <c r="C110" s="5" t="s">
        <v>1131</v>
      </c>
      <c r="D110" s="5" t="s">
        <v>1212</v>
      </c>
      <c r="E110" s="5"/>
      <c r="F110" s="5"/>
      <c r="G110" s="5">
        <v>110</v>
      </c>
      <c r="H110" s="10">
        <v>1046.0999999999999</v>
      </c>
      <c r="I110" s="5">
        <f t="shared" si="7"/>
        <v>8926.4000000000015</v>
      </c>
      <c r="J110" s="499"/>
      <c r="K110" s="501"/>
      <c r="L110" s="63" t="str">
        <f t="shared" si="4"/>
        <v>j243-j567</v>
      </c>
    </row>
    <row r="111" spans="2:13" hidden="1">
      <c r="B111" s="18">
        <f t="shared" si="2"/>
        <v>107</v>
      </c>
      <c r="C111" s="5" t="s">
        <v>1212</v>
      </c>
      <c r="D111" s="5" t="s">
        <v>1213</v>
      </c>
      <c r="E111" s="5"/>
      <c r="F111" s="5"/>
      <c r="G111" s="5">
        <v>110</v>
      </c>
      <c r="H111" s="10">
        <v>113.5</v>
      </c>
      <c r="I111" s="5">
        <f t="shared" si="7"/>
        <v>9039.9000000000015</v>
      </c>
      <c r="J111" s="499"/>
      <c r="K111" s="501"/>
      <c r="L111" s="63" t="str">
        <f t="shared" si="4"/>
        <v>j567-j544</v>
      </c>
    </row>
    <row r="112" spans="2:13" hidden="1">
      <c r="B112" s="18">
        <f t="shared" si="2"/>
        <v>108</v>
      </c>
      <c r="C112" s="5" t="s">
        <v>1213</v>
      </c>
      <c r="D112" s="5" t="s">
        <v>1214</v>
      </c>
      <c r="E112" s="5"/>
      <c r="F112" s="5"/>
      <c r="G112" s="5">
        <v>110</v>
      </c>
      <c r="H112" s="10">
        <v>43.8</v>
      </c>
      <c r="I112" s="5">
        <f t="shared" si="7"/>
        <v>9083.7000000000007</v>
      </c>
      <c r="J112" s="499"/>
      <c r="K112" s="501"/>
      <c r="L112" s="63" t="str">
        <f t="shared" si="4"/>
        <v>j544-j484</v>
      </c>
    </row>
    <row r="113" spans="2:12" hidden="1">
      <c r="B113" s="18">
        <f t="shared" si="2"/>
        <v>109</v>
      </c>
      <c r="C113" s="5" t="s">
        <v>1214</v>
      </c>
      <c r="D113" s="5" t="s">
        <v>1138</v>
      </c>
      <c r="E113" s="5"/>
      <c r="F113" s="5"/>
      <c r="G113" s="5">
        <v>110</v>
      </c>
      <c r="H113" s="10">
        <v>14.1</v>
      </c>
      <c r="I113" s="5">
        <f t="shared" si="7"/>
        <v>9097.8000000000011</v>
      </c>
      <c r="J113" s="499"/>
      <c r="K113" s="501"/>
      <c r="L113" s="63" t="str">
        <f t="shared" si="4"/>
        <v>j484-j489</v>
      </c>
    </row>
    <row r="114" spans="2:12" hidden="1">
      <c r="B114" s="18">
        <f t="shared" si="2"/>
        <v>110</v>
      </c>
      <c r="C114" s="5" t="s">
        <v>1215</v>
      </c>
      <c r="D114" s="5" t="s">
        <v>1216</v>
      </c>
      <c r="E114" s="8"/>
      <c r="F114" s="8"/>
      <c r="G114" s="5">
        <v>110</v>
      </c>
      <c r="H114" s="10">
        <v>79.2</v>
      </c>
      <c r="I114" s="5">
        <f t="shared" si="7"/>
        <v>9177.0000000000018</v>
      </c>
      <c r="J114" s="499"/>
      <c r="K114" s="501"/>
      <c r="L114" s="63" t="str">
        <f t="shared" si="4"/>
        <v>j589-j638</v>
      </c>
    </row>
    <row r="115" spans="2:12" hidden="1">
      <c r="B115" s="18">
        <f t="shared" ref="B115:B135" si="9">1+B114</f>
        <v>111</v>
      </c>
      <c r="C115" s="5" t="s">
        <v>1216</v>
      </c>
      <c r="D115" s="5" t="s">
        <v>1138</v>
      </c>
      <c r="E115" s="8"/>
      <c r="F115" s="8"/>
      <c r="G115" s="5">
        <v>110</v>
      </c>
      <c r="H115" s="10">
        <v>50.3</v>
      </c>
      <c r="I115" s="5">
        <f t="shared" si="7"/>
        <v>9227.3000000000011</v>
      </c>
      <c r="J115" s="499"/>
      <c r="K115" s="501"/>
      <c r="L115" s="63" t="str">
        <f t="shared" si="4"/>
        <v>j638-j489</v>
      </c>
    </row>
    <row r="116" spans="2:12" hidden="1">
      <c r="B116" s="18">
        <f t="shared" si="9"/>
        <v>112</v>
      </c>
      <c r="C116" s="5" t="s">
        <v>1097</v>
      </c>
      <c r="D116" s="5" t="s">
        <v>1217</v>
      </c>
      <c r="E116" s="8"/>
      <c r="F116" s="8"/>
      <c r="G116" s="5">
        <v>110</v>
      </c>
      <c r="H116" s="10">
        <v>72.5</v>
      </c>
      <c r="I116" s="5">
        <f t="shared" si="7"/>
        <v>9299.8000000000011</v>
      </c>
      <c r="J116" s="499"/>
      <c r="K116" s="501"/>
      <c r="L116" s="63" t="str">
        <f t="shared" si="4"/>
        <v>j418-j372</v>
      </c>
    </row>
    <row r="117" spans="2:12" hidden="1">
      <c r="B117" s="18">
        <f t="shared" si="9"/>
        <v>113</v>
      </c>
      <c r="C117" s="5" t="s">
        <v>1217</v>
      </c>
      <c r="D117" s="5" t="s">
        <v>1150</v>
      </c>
      <c r="E117" s="8"/>
      <c r="F117" s="8"/>
      <c r="G117" s="5">
        <v>110</v>
      </c>
      <c r="H117" s="10">
        <v>11.1</v>
      </c>
      <c r="I117" s="5">
        <f t="shared" si="7"/>
        <v>9310.9000000000015</v>
      </c>
      <c r="J117" s="499"/>
      <c r="K117" s="501"/>
      <c r="L117" s="63" t="str">
        <f t="shared" si="4"/>
        <v>j372-j311</v>
      </c>
    </row>
    <row r="118" spans="2:12" hidden="1">
      <c r="B118" s="18">
        <f t="shared" si="9"/>
        <v>114</v>
      </c>
      <c r="C118" s="5" t="s">
        <v>1218</v>
      </c>
      <c r="D118" s="5" t="s">
        <v>1215</v>
      </c>
      <c r="E118" s="8"/>
      <c r="F118" s="8"/>
      <c r="G118" s="5">
        <v>110</v>
      </c>
      <c r="H118" s="10">
        <v>272.60000000000002</v>
      </c>
      <c r="I118" s="5">
        <f t="shared" si="7"/>
        <v>9583.5000000000018</v>
      </c>
      <c r="J118" s="499"/>
      <c r="K118" s="501"/>
      <c r="L118" s="63" t="str">
        <f t="shared" si="4"/>
        <v>j287-j589</v>
      </c>
    </row>
    <row r="119" spans="2:12" hidden="1">
      <c r="B119" s="18">
        <f t="shared" si="9"/>
        <v>115</v>
      </c>
      <c r="C119" s="5" t="s">
        <v>1099</v>
      </c>
      <c r="D119" s="5" t="s">
        <v>1155</v>
      </c>
      <c r="E119" s="8"/>
      <c r="F119" s="8"/>
      <c r="G119" s="5">
        <v>110</v>
      </c>
      <c r="H119" s="10">
        <v>98.2</v>
      </c>
      <c r="I119" s="5">
        <f t="shared" si="7"/>
        <v>9681.7000000000025</v>
      </c>
      <c r="J119" s="499"/>
      <c r="K119" s="501"/>
      <c r="L119" s="63" t="str">
        <f t="shared" si="4"/>
        <v>j194-j395</v>
      </c>
    </row>
    <row r="120" spans="2:12" hidden="1">
      <c r="B120" s="18">
        <f t="shared" si="9"/>
        <v>116</v>
      </c>
      <c r="C120" s="5" t="s">
        <v>1155</v>
      </c>
      <c r="D120" s="5" t="s">
        <v>1197</v>
      </c>
      <c r="E120" s="8"/>
      <c r="F120" s="8"/>
      <c r="G120" s="5">
        <v>110</v>
      </c>
      <c r="H120" s="10">
        <v>14.1</v>
      </c>
      <c r="I120" s="5">
        <f t="shared" si="7"/>
        <v>9695.8000000000029</v>
      </c>
      <c r="J120" s="499"/>
      <c r="K120" s="501"/>
      <c r="L120" s="63" t="str">
        <f t="shared" si="4"/>
        <v>j395-j457</v>
      </c>
    </row>
    <row r="121" spans="2:12" hidden="1">
      <c r="B121" s="18">
        <f t="shared" si="9"/>
        <v>117</v>
      </c>
      <c r="C121" s="5" t="s">
        <v>1212</v>
      </c>
      <c r="D121" s="5" t="s">
        <v>1219</v>
      </c>
      <c r="E121" s="8"/>
      <c r="F121" s="8"/>
      <c r="G121" s="5">
        <v>110</v>
      </c>
      <c r="H121" s="10">
        <v>168.1</v>
      </c>
      <c r="I121" s="5">
        <f t="shared" si="7"/>
        <v>9863.9000000000033</v>
      </c>
      <c r="J121" s="499"/>
      <c r="K121" s="501"/>
      <c r="L121" s="63" t="str">
        <f t="shared" si="4"/>
        <v>j567-j707</v>
      </c>
    </row>
    <row r="122" spans="2:12" hidden="1">
      <c r="B122" s="18">
        <f t="shared" si="9"/>
        <v>118</v>
      </c>
      <c r="C122" s="5" t="s">
        <v>1219</v>
      </c>
      <c r="D122" s="5" t="s">
        <v>1204</v>
      </c>
      <c r="E122" s="8"/>
      <c r="F122" s="8"/>
      <c r="G122" s="5">
        <v>110</v>
      </c>
      <c r="H122" s="10">
        <v>38.200000000000003</v>
      </c>
      <c r="I122" s="5">
        <f t="shared" si="7"/>
        <v>9902.100000000004</v>
      </c>
      <c r="J122" s="499"/>
      <c r="K122" s="501"/>
      <c r="L122" s="63" t="str">
        <f t="shared" si="4"/>
        <v>j707-j400</v>
      </c>
    </row>
    <row r="123" spans="2:12" hidden="1">
      <c r="B123" s="18">
        <f t="shared" si="9"/>
        <v>119</v>
      </c>
      <c r="C123" s="5" t="s">
        <v>1204</v>
      </c>
      <c r="D123" s="5" t="s">
        <v>1220</v>
      </c>
      <c r="E123" s="8"/>
      <c r="F123" s="8"/>
      <c r="G123" s="5">
        <v>110</v>
      </c>
      <c r="H123" s="10">
        <v>26.4</v>
      </c>
      <c r="I123" s="5">
        <f t="shared" si="7"/>
        <v>9928.5000000000036</v>
      </c>
      <c r="J123" s="499"/>
      <c r="K123" s="501"/>
      <c r="L123" s="63" t="str">
        <f t="shared" si="4"/>
        <v>j400-j620</v>
      </c>
    </row>
    <row r="124" spans="2:12" hidden="1">
      <c r="B124" s="18">
        <f t="shared" si="9"/>
        <v>120</v>
      </c>
      <c r="C124" s="5" t="s">
        <v>1205</v>
      </c>
      <c r="D124" s="5" t="s">
        <v>1221</v>
      </c>
      <c r="E124" s="8"/>
      <c r="F124" s="8"/>
      <c r="G124" s="5">
        <v>110</v>
      </c>
      <c r="H124" s="10">
        <v>587.1</v>
      </c>
      <c r="I124" s="5">
        <f t="shared" si="7"/>
        <v>10515.600000000004</v>
      </c>
      <c r="J124" s="499"/>
      <c r="K124" s="501"/>
      <c r="L124" s="63" t="str">
        <f t="shared" si="4"/>
        <v>j662-j688</v>
      </c>
    </row>
    <row r="125" spans="2:12" hidden="1">
      <c r="B125" s="18">
        <f t="shared" si="9"/>
        <v>121</v>
      </c>
      <c r="C125" s="5" t="s">
        <v>1221</v>
      </c>
      <c r="D125" s="5" t="s">
        <v>1222</v>
      </c>
      <c r="E125" s="8"/>
      <c r="F125" s="8"/>
      <c r="G125" s="5">
        <v>110</v>
      </c>
      <c r="H125" s="10">
        <v>97.3</v>
      </c>
      <c r="I125" s="5">
        <f t="shared" si="7"/>
        <v>10612.900000000003</v>
      </c>
      <c r="J125" s="499"/>
      <c r="K125" s="501"/>
      <c r="L125" s="63" t="str">
        <f t="shared" si="4"/>
        <v>j688-j750</v>
      </c>
    </row>
    <row r="126" spans="2:12" hidden="1">
      <c r="B126" s="18">
        <f t="shared" si="9"/>
        <v>122</v>
      </c>
      <c r="C126" s="5" t="s">
        <v>1207</v>
      </c>
      <c r="D126" s="5" t="s">
        <v>1223</v>
      </c>
      <c r="E126" s="8"/>
      <c r="F126" s="8"/>
      <c r="G126" s="5">
        <v>110</v>
      </c>
      <c r="H126" s="10">
        <v>20.399999999999999</v>
      </c>
      <c r="I126" s="5">
        <f t="shared" si="7"/>
        <v>10633.300000000003</v>
      </c>
      <c r="J126" s="499"/>
      <c r="K126" s="501"/>
      <c r="L126" s="63" t="str">
        <f t="shared" si="4"/>
        <v>j649-j640</v>
      </c>
    </row>
    <row r="127" spans="2:12" hidden="1">
      <c r="B127" s="18">
        <f t="shared" si="9"/>
        <v>123</v>
      </c>
      <c r="C127" s="5" t="s">
        <v>1223</v>
      </c>
      <c r="D127" s="5" t="s">
        <v>1224</v>
      </c>
      <c r="E127" s="8"/>
      <c r="F127" s="8"/>
      <c r="G127" s="5">
        <v>110</v>
      </c>
      <c r="H127" s="10">
        <v>89.3</v>
      </c>
      <c r="I127" s="5">
        <f t="shared" si="7"/>
        <v>10722.600000000002</v>
      </c>
      <c r="J127" s="499"/>
      <c r="K127" s="501"/>
      <c r="L127" s="63" t="str">
        <f t="shared" si="4"/>
        <v>j640-j507</v>
      </c>
    </row>
    <row r="128" spans="2:12" hidden="1">
      <c r="B128" s="18">
        <f t="shared" si="9"/>
        <v>124</v>
      </c>
      <c r="C128" s="5" t="s">
        <v>1224</v>
      </c>
      <c r="D128" s="5" t="s">
        <v>1225</v>
      </c>
      <c r="E128" s="8"/>
      <c r="F128" s="8"/>
      <c r="G128" s="5">
        <v>110</v>
      </c>
      <c r="H128" s="10">
        <v>90.7</v>
      </c>
      <c r="I128" s="5">
        <f t="shared" si="7"/>
        <v>10813.300000000003</v>
      </c>
      <c r="J128" s="499"/>
      <c r="K128" s="501"/>
      <c r="L128" s="63" t="str">
        <f t="shared" si="4"/>
        <v>j507-j501</v>
      </c>
    </row>
    <row r="129" spans="2:23" hidden="1">
      <c r="B129" s="18">
        <f t="shared" si="9"/>
        <v>125</v>
      </c>
      <c r="C129" s="5" t="s">
        <v>1225</v>
      </c>
      <c r="D129" s="5" t="s">
        <v>1226</v>
      </c>
      <c r="E129" s="8"/>
      <c r="F129" s="8"/>
      <c r="G129" s="5">
        <v>110</v>
      </c>
      <c r="H129" s="10">
        <v>154.1</v>
      </c>
      <c r="I129" s="5">
        <f t="shared" si="7"/>
        <v>10967.400000000003</v>
      </c>
      <c r="J129" s="499"/>
      <c r="K129" s="501"/>
      <c r="L129" s="63" t="str">
        <f t="shared" si="4"/>
        <v>j501-j548</v>
      </c>
    </row>
    <row r="130" spans="2:23" hidden="1">
      <c r="B130" s="18">
        <f t="shared" si="9"/>
        <v>126</v>
      </c>
      <c r="C130" s="5" t="s">
        <v>1226</v>
      </c>
      <c r="D130" s="5" t="s">
        <v>953</v>
      </c>
      <c r="E130" s="8"/>
      <c r="F130" s="8"/>
      <c r="G130" s="5">
        <v>110</v>
      </c>
      <c r="H130" s="10">
        <v>32</v>
      </c>
      <c r="I130" s="5">
        <f t="shared" si="7"/>
        <v>10999.400000000003</v>
      </c>
      <c r="J130" s="499"/>
      <c r="K130" s="501"/>
      <c r="L130" s="63" t="str">
        <f t="shared" si="4"/>
        <v>j548-J549</v>
      </c>
    </row>
    <row r="131" spans="2:23">
      <c r="B131" s="18">
        <f t="shared" si="9"/>
        <v>127</v>
      </c>
      <c r="C131" s="5" t="s">
        <v>1227</v>
      </c>
      <c r="D131" s="5" t="s">
        <v>1228</v>
      </c>
      <c r="E131" s="5" t="s">
        <v>301</v>
      </c>
      <c r="F131" s="5">
        <v>0.44</v>
      </c>
      <c r="G131" s="5">
        <v>110</v>
      </c>
      <c r="H131" s="10">
        <v>72.900000000000006</v>
      </c>
      <c r="I131" s="5">
        <f t="shared" si="7"/>
        <v>11072.300000000003</v>
      </c>
      <c r="J131" s="499"/>
      <c r="K131" s="501"/>
      <c r="L131" s="63" t="str">
        <f t="shared" si="4"/>
        <v>j563-j427</v>
      </c>
    </row>
    <row r="132" spans="2:23">
      <c r="B132" s="18">
        <f t="shared" si="9"/>
        <v>128</v>
      </c>
      <c r="C132" s="5" t="s">
        <v>1228</v>
      </c>
      <c r="D132" s="5" t="s">
        <v>1097</v>
      </c>
      <c r="E132" s="5" t="s">
        <v>301</v>
      </c>
      <c r="F132" s="5">
        <v>0.44</v>
      </c>
      <c r="G132" s="5">
        <v>110</v>
      </c>
      <c r="H132" s="10">
        <v>62.3</v>
      </c>
      <c r="I132" s="5">
        <f t="shared" si="7"/>
        <v>11134.600000000002</v>
      </c>
      <c r="J132" s="499"/>
      <c r="K132" s="501"/>
      <c r="L132" s="63" t="str">
        <f t="shared" si="4"/>
        <v>j427-j418</v>
      </c>
    </row>
    <row r="133" spans="2:23" hidden="1">
      <c r="B133" s="18">
        <f t="shared" si="9"/>
        <v>129</v>
      </c>
      <c r="C133" s="5" t="s">
        <v>1150</v>
      </c>
      <c r="D133" s="5" t="s">
        <v>1218</v>
      </c>
      <c r="E133" s="8"/>
      <c r="F133" s="8"/>
      <c r="G133" s="5">
        <v>110</v>
      </c>
      <c r="H133" s="10">
        <v>21.2</v>
      </c>
      <c r="I133" s="5">
        <f t="shared" si="7"/>
        <v>11155.800000000003</v>
      </c>
      <c r="J133" s="499"/>
      <c r="K133" s="501"/>
      <c r="L133" s="63" t="str">
        <f t="shared" si="4"/>
        <v>j311-j287</v>
      </c>
    </row>
    <row r="134" spans="2:23" hidden="1">
      <c r="B134" s="18">
        <f t="shared" si="9"/>
        <v>130</v>
      </c>
      <c r="C134" s="5" t="s">
        <v>1222</v>
      </c>
      <c r="D134" s="5" t="s">
        <v>1229</v>
      </c>
      <c r="E134" s="8"/>
      <c r="F134" s="8"/>
      <c r="G134" s="5">
        <v>250</v>
      </c>
      <c r="H134" s="10">
        <v>440</v>
      </c>
      <c r="I134" s="5">
        <f t="shared" si="7"/>
        <v>11595.800000000003</v>
      </c>
      <c r="J134" s="499" t="s">
        <v>1230</v>
      </c>
      <c r="K134" s="501"/>
      <c r="L134" s="63" t="str">
        <f t="shared" si="4"/>
        <v>j750-j746</v>
      </c>
    </row>
    <row r="135" spans="2:23" hidden="1">
      <c r="B135" s="18">
        <f t="shared" si="9"/>
        <v>131</v>
      </c>
      <c r="C135" s="5" t="s">
        <v>1222</v>
      </c>
      <c r="D135" s="5" t="s">
        <v>1231</v>
      </c>
      <c r="E135" s="8"/>
      <c r="F135" s="8"/>
      <c r="G135" s="5">
        <v>250</v>
      </c>
      <c r="H135" s="10">
        <v>300</v>
      </c>
      <c r="I135" s="5">
        <f t="shared" si="7"/>
        <v>11895.800000000003</v>
      </c>
      <c r="J135" s="499" t="s">
        <v>1230</v>
      </c>
      <c r="K135" s="501"/>
      <c r="L135" s="63" t="str">
        <f t="shared" si="4"/>
        <v>j750-J749</v>
      </c>
    </row>
    <row r="136" spans="2:23">
      <c r="B136" s="18"/>
      <c r="C136" s="8"/>
      <c r="D136" s="8"/>
      <c r="E136" s="8"/>
      <c r="F136" s="8"/>
      <c r="G136" s="8"/>
      <c r="H136" s="10"/>
      <c r="I136" s="5"/>
      <c r="J136" s="499"/>
      <c r="K136" s="501"/>
      <c r="L136" s="63"/>
    </row>
    <row r="137" spans="2:23">
      <c r="B137" s="8"/>
      <c r="C137" s="5">
        <v>63</v>
      </c>
      <c r="D137" s="5">
        <v>75</v>
      </c>
      <c r="E137" s="5">
        <v>90</v>
      </c>
      <c r="F137" s="5">
        <v>110</v>
      </c>
      <c r="G137" s="5">
        <v>250</v>
      </c>
      <c r="H137" s="10"/>
      <c r="I137" s="5"/>
      <c r="J137" s="499"/>
      <c r="K137" s="501"/>
      <c r="L137" s="63"/>
    </row>
    <row r="138" spans="2:23">
      <c r="B138" s="8"/>
      <c r="C138">
        <f>+SUMIF($G$5:$G$135,C137,$H$5:$H$135)</f>
        <v>3114.9999999999995</v>
      </c>
      <c r="D138">
        <f t="shared" ref="D138:G138" si="10">+SUMIF($G$5:$G$135,D137,$H$5:$H$135)</f>
        <v>2768.2000000000007</v>
      </c>
      <c r="E138">
        <f t="shared" si="10"/>
        <v>2223.2999999999997</v>
      </c>
      <c r="F138">
        <f t="shared" si="10"/>
        <v>3275.5</v>
      </c>
      <c r="G138">
        <f t="shared" si="10"/>
        <v>740</v>
      </c>
      <c r="H138" s="5">
        <f>+SUM('[155]attarasand khayathi '!R68+'[155]attarasand khayathi '!S68+'[155]attarasand khayathi '!T68+'[155]attarasand khayathi '!U68+'[155]attarasand khayathi '!V68)</f>
        <v>11858</v>
      </c>
      <c r="I138" s="5"/>
      <c r="J138" s="498"/>
      <c r="K138" s="498"/>
      <c r="L138" s="63"/>
    </row>
    <row r="139" spans="2:23" ht="18.75">
      <c r="B139" s="8"/>
      <c r="C139" s="68">
        <v>5880</v>
      </c>
      <c r="D139" s="68">
        <v>4144</v>
      </c>
      <c r="E139" s="68">
        <v>2528</v>
      </c>
      <c r="F139" s="68">
        <v>3580</v>
      </c>
      <c r="G139" s="68">
        <v>2944</v>
      </c>
      <c r="H139" s="68">
        <f>+C139+D139+E139+F139+G139</f>
        <v>19076</v>
      </c>
      <c r="I139" s="5"/>
      <c r="J139" s="498"/>
      <c r="K139" s="498"/>
      <c r="L139" s="63"/>
    </row>
    <row r="140" spans="2:23">
      <c r="B140" s="78" t="s">
        <v>366</v>
      </c>
      <c r="C140" s="78"/>
      <c r="D140" s="78"/>
      <c r="E140" s="654"/>
      <c r="F140" s="655"/>
      <c r="G140" s="78" t="s">
        <v>367</v>
      </c>
      <c r="H140" s="78"/>
      <c r="I140" s="78"/>
      <c r="J140" s="78"/>
      <c r="K140" s="499"/>
      <c r="L140" s="500"/>
      <c r="M140" s="500"/>
      <c r="N140" s="501"/>
    </row>
    <row r="141" spans="2:23">
      <c r="B141" s="8" t="s">
        <v>368</v>
      </c>
      <c r="C141" s="8"/>
      <c r="D141" s="499"/>
      <c r="E141" s="500"/>
      <c r="F141" s="501"/>
      <c r="G141" s="8" t="s">
        <v>368</v>
      </c>
      <c r="H141" s="79"/>
      <c r="I141" s="80"/>
      <c r="J141" s="81"/>
      <c r="K141" s="499"/>
      <c r="L141" s="500"/>
      <c r="M141" s="500"/>
      <c r="N141" s="501"/>
    </row>
    <row r="142" spans="2:23">
      <c r="B142" s="8" t="s">
        <v>369</v>
      </c>
      <c r="C142" s="79"/>
      <c r="D142" s="80"/>
      <c r="E142" s="80"/>
      <c r="F142" s="81"/>
      <c r="G142" s="8" t="s">
        <v>369</v>
      </c>
      <c r="H142" s="79"/>
      <c r="I142" s="80"/>
      <c r="J142" s="81"/>
      <c r="K142" s="499"/>
      <c r="L142" s="500"/>
      <c r="M142" s="500"/>
      <c r="N142" s="501"/>
    </row>
    <row r="143" spans="2:23" ht="18">
      <c r="B143" s="8" t="s">
        <v>370</v>
      </c>
      <c r="C143" s="8"/>
      <c r="D143" s="79"/>
      <c r="E143" s="80"/>
      <c r="F143" s="81"/>
      <c r="G143" s="8" t="s">
        <v>370</v>
      </c>
      <c r="H143" s="79"/>
      <c r="I143" s="80"/>
      <c r="J143" s="81"/>
      <c r="K143" s="499"/>
      <c r="L143" s="500"/>
      <c r="M143" s="500"/>
      <c r="N143" s="501"/>
      <c r="O143" s="125">
        <v>5880</v>
      </c>
      <c r="P143" s="125">
        <v>4144</v>
      </c>
      <c r="Q143" s="125">
        <v>2528</v>
      </c>
      <c r="R143" s="125">
        <v>3580</v>
      </c>
      <c r="S143" s="125">
        <v>0</v>
      </c>
      <c r="T143" s="125">
        <v>0</v>
      </c>
      <c r="U143" s="125">
        <v>0</v>
      </c>
      <c r="V143" s="125">
        <v>2994</v>
      </c>
      <c r="W143" s="125">
        <f t="shared" ref="W143" si="11">V143+T143+S143+R143+Q143+P143+O143</f>
        <v>19126</v>
      </c>
    </row>
    <row r="144" spans="2:23">
      <c r="H144" s="63"/>
      <c r="J144" s="609"/>
      <c r="K144" s="609"/>
      <c r="L144" s="63"/>
    </row>
    <row r="145" spans="3:12">
      <c r="H145" s="63"/>
      <c r="J145" s="609"/>
      <c r="K145" s="609"/>
      <c r="L145" s="63"/>
    </row>
    <row r="146" spans="3:12">
      <c r="H146" s="63"/>
      <c r="J146" s="609"/>
      <c r="K146" s="609"/>
      <c r="L146" s="63"/>
    </row>
    <row r="147" spans="3:12">
      <c r="F147" s="63">
        <v>63</v>
      </c>
      <c r="G147" s="63">
        <v>75</v>
      </c>
      <c r="H147" s="63">
        <v>90</v>
      </c>
      <c r="I147" s="63">
        <v>110</v>
      </c>
      <c r="J147" s="609">
        <v>250</v>
      </c>
      <c r="K147" s="609"/>
      <c r="L147" s="63"/>
    </row>
    <row r="148" spans="3:12">
      <c r="J148" s="609"/>
      <c r="K148" s="609"/>
      <c r="L148" s="63"/>
    </row>
    <row r="149" spans="3:12">
      <c r="J149" s="609"/>
      <c r="K149" s="609"/>
      <c r="L149" s="63"/>
    </row>
    <row r="150" spans="3:12">
      <c r="J150" s="609"/>
      <c r="K150" s="609"/>
      <c r="L150" s="63"/>
    </row>
    <row r="151" spans="3:12">
      <c r="E151" s="651" t="s">
        <v>1232</v>
      </c>
      <c r="F151" s="652"/>
      <c r="G151" s="652"/>
      <c r="H151" s="653"/>
      <c r="J151" s="609"/>
      <c r="K151" s="609"/>
      <c r="L151" s="63"/>
    </row>
    <row r="152" spans="3:12">
      <c r="C152" s="8" t="s">
        <v>1233</v>
      </c>
      <c r="D152" s="5">
        <v>63</v>
      </c>
      <c r="E152" s="107">
        <v>75</v>
      </c>
      <c r="F152" s="107">
        <v>90</v>
      </c>
      <c r="G152" s="107">
        <v>110</v>
      </c>
      <c r="H152" s="107">
        <v>250</v>
      </c>
      <c r="I152" s="5"/>
      <c r="J152" s="609"/>
      <c r="K152" s="609"/>
      <c r="L152" s="63"/>
    </row>
    <row r="153" spans="3:12">
      <c r="C153" s="8" t="s">
        <v>1234</v>
      </c>
      <c r="D153" s="8">
        <f>+SUMIF($G$5:$G$135,D152,$H$5:$H$135)</f>
        <v>3114.9999999999995</v>
      </c>
      <c r="E153" s="8">
        <f t="shared" ref="E153:H153" si="12">+SUMIF($G$5:$G$135,E152,$H$5:$H$135)</f>
        <v>2768.2000000000007</v>
      </c>
      <c r="F153" s="8">
        <f t="shared" si="12"/>
        <v>2223.2999999999997</v>
      </c>
      <c r="G153" s="8">
        <f t="shared" si="12"/>
        <v>3275.5</v>
      </c>
      <c r="H153" s="8">
        <f t="shared" si="12"/>
        <v>740</v>
      </c>
      <c r="I153" s="5">
        <f>+H138</f>
        <v>11858</v>
      </c>
      <c r="J153" s="609"/>
      <c r="K153" s="609"/>
      <c r="L153" s="63"/>
    </row>
    <row r="154" spans="3:12" ht="18.75">
      <c r="C154" s="8" t="s">
        <v>1235</v>
      </c>
      <c r="D154" s="68">
        <v>5880</v>
      </c>
      <c r="E154" s="68">
        <v>4144</v>
      </c>
      <c r="F154" s="68">
        <v>2528</v>
      </c>
      <c r="G154" s="68">
        <v>3580</v>
      </c>
      <c r="H154" s="68">
        <v>2944</v>
      </c>
      <c r="I154" s="68">
        <f>+D154+E154+F154+G154+H154</f>
        <v>19076</v>
      </c>
      <c r="J154" s="609"/>
      <c r="K154" s="609"/>
      <c r="L154" s="63"/>
    </row>
    <row r="155" spans="3:12">
      <c r="J155" s="609"/>
      <c r="K155" s="609"/>
      <c r="L155" s="63"/>
    </row>
    <row r="156" spans="3:12">
      <c r="J156" s="609"/>
      <c r="K156" s="609"/>
      <c r="L156" s="63"/>
    </row>
    <row r="157" spans="3:12">
      <c r="J157" s="609"/>
      <c r="K157" s="609"/>
      <c r="L157" s="63"/>
    </row>
    <row r="158" spans="3:12">
      <c r="J158" s="609"/>
      <c r="K158" s="609"/>
      <c r="L158" s="63"/>
    </row>
    <row r="159" spans="3:12">
      <c r="J159" s="609"/>
      <c r="K159" s="609"/>
      <c r="L159" s="63"/>
    </row>
    <row r="160" spans="3:12">
      <c r="J160" s="609"/>
      <c r="K160" s="609"/>
      <c r="L160" s="63"/>
    </row>
    <row r="161" spans="10:12">
      <c r="J161" s="609"/>
      <c r="K161" s="609"/>
      <c r="L161" s="63"/>
    </row>
    <row r="162" spans="10:12">
      <c r="J162" s="609"/>
      <c r="K162" s="609"/>
      <c r="L162" s="63"/>
    </row>
    <row r="163" spans="10:12">
      <c r="J163" s="609"/>
      <c r="K163" s="609"/>
      <c r="L163" s="63"/>
    </row>
    <row r="164" spans="10:12">
      <c r="J164" s="609"/>
      <c r="K164" s="609"/>
      <c r="L164" s="63"/>
    </row>
    <row r="165" spans="10:12">
      <c r="J165" s="609"/>
      <c r="K165" s="609"/>
      <c r="L165" s="63"/>
    </row>
    <row r="166" spans="10:12">
      <c r="J166" s="609"/>
      <c r="K166" s="609"/>
      <c r="L166" s="63"/>
    </row>
    <row r="167" spans="10:12">
      <c r="J167" s="609"/>
      <c r="K167" s="609"/>
      <c r="L167" s="63"/>
    </row>
    <row r="168" spans="10:12">
      <c r="J168" s="609"/>
      <c r="K168" s="609"/>
      <c r="L168" s="63"/>
    </row>
    <row r="169" spans="10:12">
      <c r="J169" s="609"/>
      <c r="K169" s="609"/>
      <c r="L169" s="63"/>
    </row>
    <row r="170" spans="10:12">
      <c r="J170" s="609"/>
      <c r="K170" s="609"/>
      <c r="L170" s="63"/>
    </row>
    <row r="171" spans="10:12">
      <c r="J171" s="609"/>
      <c r="K171" s="609"/>
      <c r="L171" s="63"/>
    </row>
    <row r="172" spans="10:12">
      <c r="J172" s="609"/>
      <c r="K172" s="609"/>
      <c r="L172" s="63"/>
    </row>
    <row r="173" spans="10:12">
      <c r="J173" s="609"/>
      <c r="K173" s="609"/>
      <c r="L173" s="63"/>
    </row>
    <row r="174" spans="10:12">
      <c r="J174" s="609"/>
      <c r="K174" s="609"/>
      <c r="L174" s="63"/>
    </row>
    <row r="175" spans="10:12">
      <c r="J175" s="609"/>
      <c r="K175" s="609"/>
      <c r="L175" s="63"/>
    </row>
    <row r="176" spans="10:12">
      <c r="J176" s="609"/>
      <c r="K176" s="609"/>
      <c r="L176" s="63"/>
    </row>
    <row r="177" spans="10:12">
      <c r="J177" s="609"/>
      <c r="K177" s="609"/>
      <c r="L177" s="63"/>
    </row>
    <row r="178" spans="10:12">
      <c r="J178" s="609"/>
      <c r="K178" s="609"/>
      <c r="L178" s="63"/>
    </row>
    <row r="179" spans="10:12">
      <c r="J179" s="609"/>
      <c r="K179" s="609"/>
      <c r="L179" s="63"/>
    </row>
    <row r="180" spans="10:12">
      <c r="J180" s="609"/>
      <c r="K180" s="609"/>
      <c r="L180" s="63"/>
    </row>
    <row r="181" spans="10:12">
      <c r="J181" s="609"/>
      <c r="K181" s="609"/>
      <c r="L181" s="63"/>
    </row>
    <row r="182" spans="10:12">
      <c r="J182" s="609"/>
      <c r="K182" s="609"/>
      <c r="L182" s="63"/>
    </row>
    <row r="183" spans="10:12">
      <c r="J183" s="609"/>
      <c r="K183" s="609"/>
      <c r="L183" s="63"/>
    </row>
    <row r="184" spans="10:12">
      <c r="J184" s="609"/>
      <c r="K184" s="609"/>
      <c r="L184" s="63"/>
    </row>
    <row r="185" spans="10:12">
      <c r="J185" s="609"/>
      <c r="K185" s="609"/>
      <c r="L185" s="63"/>
    </row>
    <row r="186" spans="10:12">
      <c r="J186" s="609"/>
      <c r="K186" s="609"/>
      <c r="L186" s="63"/>
    </row>
    <row r="187" spans="10:12">
      <c r="J187" s="609"/>
      <c r="K187" s="609"/>
      <c r="L187" s="63"/>
    </row>
    <row r="188" spans="10:12">
      <c r="J188" s="609"/>
      <c r="K188" s="609"/>
      <c r="L188" s="63"/>
    </row>
    <row r="189" spans="10:12">
      <c r="J189" s="609"/>
      <c r="K189" s="609"/>
      <c r="L189" s="63"/>
    </row>
    <row r="190" spans="10:12">
      <c r="J190" s="609"/>
      <c r="K190" s="609"/>
      <c r="L190" s="63"/>
    </row>
    <row r="191" spans="10:12">
      <c r="J191" s="609"/>
      <c r="K191" s="609"/>
      <c r="L191" s="63"/>
    </row>
    <row r="192" spans="10:12">
      <c r="J192" s="609"/>
      <c r="K192" s="609"/>
      <c r="L192" s="63"/>
    </row>
    <row r="193" spans="10:12">
      <c r="J193" s="609"/>
      <c r="K193" s="609"/>
      <c r="L193" s="63"/>
    </row>
    <row r="194" spans="10:12">
      <c r="J194" s="609"/>
      <c r="K194" s="609"/>
      <c r="L194" s="63"/>
    </row>
    <row r="195" spans="10:12">
      <c r="J195" s="609"/>
      <c r="K195" s="609"/>
      <c r="L195" s="63"/>
    </row>
    <row r="196" spans="10:12">
      <c r="J196" s="609"/>
      <c r="K196" s="609"/>
      <c r="L196" s="63"/>
    </row>
    <row r="197" spans="10:12">
      <c r="J197" s="609"/>
      <c r="K197" s="609"/>
      <c r="L197" s="63"/>
    </row>
    <row r="198" spans="10:12">
      <c r="J198" s="609"/>
      <c r="K198" s="609"/>
      <c r="L198" s="63"/>
    </row>
    <row r="199" spans="10:12">
      <c r="J199" s="609"/>
      <c r="K199" s="609"/>
      <c r="L199" s="63"/>
    </row>
    <row r="200" spans="10:12">
      <c r="J200" s="609"/>
      <c r="K200" s="609"/>
      <c r="L200" s="63"/>
    </row>
    <row r="201" spans="10:12">
      <c r="J201" s="609"/>
      <c r="K201" s="609"/>
      <c r="L201" s="63"/>
    </row>
    <row r="202" spans="10:12">
      <c r="J202" s="609"/>
      <c r="K202" s="609"/>
      <c r="L202" s="63"/>
    </row>
    <row r="203" spans="10:12">
      <c r="J203" s="609"/>
      <c r="K203" s="609"/>
      <c r="L203" s="63"/>
    </row>
    <row r="204" spans="10:12">
      <c r="J204" s="609"/>
      <c r="K204" s="609"/>
      <c r="L204" s="63"/>
    </row>
    <row r="205" spans="10:12">
      <c r="J205" s="609"/>
      <c r="K205" s="609"/>
      <c r="L205" s="63"/>
    </row>
    <row r="206" spans="10:12">
      <c r="J206" s="609"/>
      <c r="K206" s="609"/>
      <c r="L206" s="63"/>
    </row>
    <row r="207" spans="10:12">
      <c r="J207" s="609"/>
      <c r="K207" s="609"/>
      <c r="L207" s="63"/>
    </row>
    <row r="208" spans="10:12">
      <c r="J208" s="609"/>
      <c r="K208" s="609"/>
      <c r="L208" s="63"/>
    </row>
    <row r="209" spans="10:12">
      <c r="J209" s="609"/>
      <c r="K209" s="609"/>
      <c r="L209" s="63"/>
    </row>
    <row r="210" spans="10:12">
      <c r="J210" s="609"/>
      <c r="K210" s="609"/>
      <c r="L210" s="63"/>
    </row>
    <row r="211" spans="10:12">
      <c r="J211" s="609"/>
      <c r="K211" s="609"/>
      <c r="L211" s="63"/>
    </row>
    <row r="212" spans="10:12">
      <c r="J212" s="609"/>
      <c r="K212" s="609"/>
      <c r="L212" s="63"/>
    </row>
    <row r="213" spans="10:12">
      <c r="J213" s="609"/>
      <c r="K213" s="609"/>
      <c r="L213" s="63"/>
    </row>
    <row r="214" spans="10:12">
      <c r="J214" s="609"/>
      <c r="K214" s="609"/>
      <c r="L214" s="63"/>
    </row>
    <row r="215" spans="10:12">
      <c r="J215" s="609"/>
      <c r="K215" s="609"/>
      <c r="L215" s="63"/>
    </row>
    <row r="216" spans="10:12">
      <c r="J216" s="609"/>
      <c r="K216" s="609"/>
      <c r="L216" s="63"/>
    </row>
    <row r="217" spans="10:12">
      <c r="J217" s="609"/>
      <c r="K217" s="609"/>
      <c r="L217" s="63"/>
    </row>
    <row r="218" spans="10:12">
      <c r="J218" s="609"/>
      <c r="K218" s="609"/>
      <c r="L218" s="63"/>
    </row>
    <row r="219" spans="10:12">
      <c r="J219" s="609"/>
      <c r="K219" s="609"/>
      <c r="L219" s="63"/>
    </row>
    <row r="220" spans="10:12">
      <c r="J220" s="609"/>
      <c r="K220" s="609"/>
      <c r="L220" s="63"/>
    </row>
    <row r="221" spans="10:12">
      <c r="J221" s="609"/>
      <c r="K221" s="609"/>
      <c r="L221" s="63"/>
    </row>
    <row r="222" spans="10:12">
      <c r="J222" s="609"/>
      <c r="K222" s="609"/>
      <c r="L222" s="63"/>
    </row>
    <row r="223" spans="10:12">
      <c r="J223" s="609"/>
      <c r="K223" s="609"/>
      <c r="L223" s="63"/>
    </row>
    <row r="224" spans="10:12">
      <c r="J224" s="609"/>
      <c r="K224" s="609"/>
      <c r="L224" s="63"/>
    </row>
    <row r="225" spans="10:12">
      <c r="J225" s="609"/>
      <c r="K225" s="609"/>
      <c r="L225" s="63"/>
    </row>
    <row r="226" spans="10:12">
      <c r="J226" s="609"/>
      <c r="K226" s="609"/>
      <c r="L226" s="63"/>
    </row>
    <row r="227" spans="10:12">
      <c r="J227" s="609"/>
      <c r="K227" s="609"/>
      <c r="L227" s="63"/>
    </row>
    <row r="228" spans="10:12">
      <c r="J228" s="609"/>
      <c r="K228" s="609"/>
      <c r="L228" s="63"/>
    </row>
    <row r="229" spans="10:12">
      <c r="J229" s="609"/>
      <c r="K229" s="609"/>
      <c r="L229" s="63"/>
    </row>
  </sheetData>
  <autoFilter ref="B4:W135">
    <filterColumn colId="3">
      <filters>
        <filter val="INTERLOCKING"/>
      </filters>
    </filterColumn>
    <filterColumn colId="8" showButton="0"/>
  </autoFilter>
  <mergeCells count="226">
    <mergeCell ref="B3:I3"/>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E140:F140"/>
    <mergeCell ref="K140:N140"/>
    <mergeCell ref="D141:F141"/>
    <mergeCell ref="K141:N141"/>
    <mergeCell ref="K142:N142"/>
    <mergeCell ref="K143:N143"/>
    <mergeCell ref="J144:K144"/>
    <mergeCell ref="J145:K145"/>
    <mergeCell ref="J146:K146"/>
    <mergeCell ref="J147:K147"/>
    <mergeCell ref="J148:K148"/>
    <mergeCell ref="J149:K149"/>
    <mergeCell ref="J150:K150"/>
    <mergeCell ref="E151:H151"/>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210:K210"/>
    <mergeCell ref="J211:K211"/>
    <mergeCell ref="J212:K212"/>
    <mergeCell ref="J195:K195"/>
    <mergeCell ref="J196:K196"/>
    <mergeCell ref="J197:K197"/>
    <mergeCell ref="J198:K198"/>
    <mergeCell ref="J199:K199"/>
    <mergeCell ref="J200:K200"/>
    <mergeCell ref="J201:K201"/>
    <mergeCell ref="J202:K202"/>
    <mergeCell ref="J203:K203"/>
    <mergeCell ref="J222:K222"/>
    <mergeCell ref="J223:K223"/>
    <mergeCell ref="J224:K224"/>
    <mergeCell ref="J225:K225"/>
    <mergeCell ref="J226:K226"/>
    <mergeCell ref="J227:K227"/>
    <mergeCell ref="J228:K228"/>
    <mergeCell ref="J229:K229"/>
    <mergeCell ref="J3:K4"/>
    <mergeCell ref="J213:K213"/>
    <mergeCell ref="J214:K214"/>
    <mergeCell ref="J215:K215"/>
    <mergeCell ref="J216:K216"/>
    <mergeCell ref="J217:K217"/>
    <mergeCell ref="J218:K218"/>
    <mergeCell ref="J219:K219"/>
    <mergeCell ref="J220:K220"/>
    <mergeCell ref="J221:K221"/>
    <mergeCell ref="J204:K204"/>
    <mergeCell ref="J205:K205"/>
    <mergeCell ref="J206:K206"/>
    <mergeCell ref="J207:K207"/>
    <mergeCell ref="J208:K208"/>
    <mergeCell ref="J209:K209"/>
  </mergeCells>
  <conditionalFormatting sqref="O86:O87">
    <cfRule type="duplicateValues" dxfId="3" priority="2"/>
  </conditionalFormatting>
  <conditionalFormatting sqref="P86:P87">
    <cfRule type="duplicateValues" dxfId="2" priority="1"/>
  </conditionalFormatting>
  <conditionalFormatting sqref="L5:L135 T5:T81">
    <cfRule type="duplicateValues" dxfId="1" priority="3"/>
  </conditionalFormatting>
  <pageMargins left="0.70866141732283505" right="0.70866141732283505" top="0.74803149606299202" bottom="0.74803149606299202" header="0.31496062992126" footer="0.31496062992126"/>
  <pageSetup paperSize="9" scale="9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B3:Z150"/>
  <sheetViews>
    <sheetView workbookViewId="0">
      <selection activeCell="H11" sqref="H11:K136"/>
    </sheetView>
  </sheetViews>
  <sheetFormatPr defaultColWidth="9" defaultRowHeight="15"/>
  <cols>
    <col min="2" max="2" width="9.140625" style="63"/>
    <col min="3" max="3" width="13.7109375" customWidth="1"/>
    <col min="4" max="4" width="12.140625" customWidth="1"/>
    <col min="5" max="6" width="16" customWidth="1"/>
    <col min="7" max="7" width="13.5703125" customWidth="1"/>
    <col min="10" max="10" width="11" customWidth="1"/>
    <col min="11" max="11" width="2.28515625" customWidth="1"/>
    <col min="12" max="12" width="6.5703125" hidden="1" customWidth="1"/>
    <col min="13" max="13" width="9.140625" hidden="1" customWidth="1"/>
    <col min="14" max="14" width="30.28515625" customWidth="1"/>
    <col min="15" max="15" width="9.140625" customWidth="1"/>
    <col min="16" max="16" width="1.7109375" customWidth="1"/>
  </cols>
  <sheetData>
    <row r="3" spans="2:20" ht="18.75">
      <c r="B3" s="502" t="s">
        <v>945</v>
      </c>
      <c r="C3" s="502"/>
      <c r="D3" s="502"/>
      <c r="E3" s="502"/>
      <c r="F3" s="502"/>
      <c r="G3" s="502"/>
      <c r="H3" s="502"/>
      <c r="I3" s="502"/>
      <c r="J3" s="502"/>
      <c r="K3" s="502"/>
      <c r="L3" s="502"/>
      <c r="M3" s="502"/>
      <c r="N3" s="502"/>
      <c r="O3" s="498" t="s">
        <v>679</v>
      </c>
      <c r="P3" s="498"/>
    </row>
    <row r="4" spans="2:20" ht="31.5">
      <c r="B4" s="25" t="s">
        <v>448</v>
      </c>
      <c r="C4" s="25" t="s">
        <v>180</v>
      </c>
      <c r="D4" s="25" t="s">
        <v>13</v>
      </c>
      <c r="E4" s="25" t="s">
        <v>181</v>
      </c>
      <c r="F4" s="27" t="s">
        <v>449</v>
      </c>
      <c r="G4" s="25" t="s">
        <v>719</v>
      </c>
      <c r="H4" s="640" t="s">
        <v>184</v>
      </c>
      <c r="I4" s="641"/>
      <c r="J4" s="641"/>
      <c r="K4" s="641"/>
      <c r="L4" s="641"/>
      <c r="M4" s="642"/>
      <c r="N4" s="26" t="s">
        <v>185</v>
      </c>
      <c r="O4" s="498"/>
      <c r="P4" s="498"/>
    </row>
    <row r="5" spans="2:20" hidden="1">
      <c r="B5" s="5">
        <v>1</v>
      </c>
      <c r="C5" s="5" t="s">
        <v>946</v>
      </c>
      <c r="D5" s="5" t="s">
        <v>947</v>
      </c>
      <c r="E5" s="8"/>
      <c r="F5" s="8"/>
      <c r="G5" s="5">
        <v>63</v>
      </c>
      <c r="H5" s="499">
        <v>27.5</v>
      </c>
      <c r="I5" s="500"/>
      <c r="J5" s="500"/>
      <c r="K5" s="501"/>
      <c r="L5" s="8"/>
      <c r="M5" s="8"/>
      <c r="N5" s="5">
        <f>+H5</f>
        <v>27.5</v>
      </c>
      <c r="O5" s="499"/>
      <c r="P5" s="501"/>
    </row>
    <row r="6" spans="2:20" hidden="1">
      <c r="B6" s="5">
        <f>1+B5</f>
        <v>2</v>
      </c>
      <c r="C6" s="5" t="s">
        <v>948</v>
      </c>
      <c r="D6" s="5" t="s">
        <v>701</v>
      </c>
      <c r="E6" s="8"/>
      <c r="F6" s="8"/>
      <c r="G6" s="5">
        <v>63</v>
      </c>
      <c r="H6" s="499">
        <v>286.60000000000002</v>
      </c>
      <c r="I6" s="500"/>
      <c r="J6" s="500"/>
      <c r="K6" s="501"/>
      <c r="L6" s="8"/>
      <c r="M6" s="8"/>
      <c r="N6" s="5">
        <f>+N5+H6</f>
        <v>314.10000000000002</v>
      </c>
      <c r="O6" s="499"/>
      <c r="P6" s="501"/>
      <c r="Q6">
        <v>90</v>
      </c>
      <c r="R6" s="18" t="s">
        <v>553</v>
      </c>
      <c r="S6" s="18" t="s">
        <v>949</v>
      </c>
      <c r="T6" s="18">
        <v>63.2</v>
      </c>
    </row>
    <row r="7" spans="2:20" hidden="1">
      <c r="B7" s="5">
        <f t="shared" ref="B7:B70" si="0">1+B6</f>
        <v>3</v>
      </c>
      <c r="C7" s="5" t="s">
        <v>950</v>
      </c>
      <c r="D7" s="5" t="s">
        <v>551</v>
      </c>
      <c r="E7" s="8"/>
      <c r="F7" s="8"/>
      <c r="G7" s="5">
        <v>63</v>
      </c>
      <c r="H7" s="499">
        <v>34</v>
      </c>
      <c r="I7" s="500"/>
      <c r="J7" s="500"/>
      <c r="K7" s="501"/>
      <c r="L7" s="8"/>
      <c r="M7" s="8"/>
      <c r="N7" s="5">
        <f t="shared" ref="N7:N50" si="1">+N6+H7</f>
        <v>348.1</v>
      </c>
      <c r="O7" s="499"/>
      <c r="P7" s="501"/>
      <c r="Q7">
        <v>90</v>
      </c>
      <c r="R7" s="18" t="s">
        <v>949</v>
      </c>
      <c r="S7" s="18" t="s">
        <v>951</v>
      </c>
      <c r="T7" s="18">
        <v>97.5</v>
      </c>
    </row>
    <row r="8" spans="2:20" hidden="1">
      <c r="B8" s="5">
        <f t="shared" si="0"/>
        <v>4</v>
      </c>
      <c r="C8" s="5" t="s">
        <v>952</v>
      </c>
      <c r="D8" s="5" t="s">
        <v>665</v>
      </c>
      <c r="E8" s="8"/>
      <c r="F8" s="8"/>
      <c r="G8" s="5">
        <v>63</v>
      </c>
      <c r="H8" s="499">
        <v>21.7</v>
      </c>
      <c r="I8" s="500"/>
      <c r="J8" s="500"/>
      <c r="K8" s="501"/>
      <c r="L8" s="8"/>
      <c r="M8" s="8"/>
      <c r="N8" s="5">
        <f t="shared" si="1"/>
        <v>369.8</v>
      </c>
      <c r="O8" s="499"/>
      <c r="P8" s="501"/>
      <c r="Q8">
        <v>90</v>
      </c>
      <c r="R8" s="18" t="s">
        <v>951</v>
      </c>
      <c r="S8" s="18" t="s">
        <v>953</v>
      </c>
      <c r="T8" s="18">
        <v>27.2</v>
      </c>
    </row>
    <row r="9" spans="2:20" hidden="1">
      <c r="B9" s="5">
        <f t="shared" si="0"/>
        <v>5</v>
      </c>
      <c r="C9" s="5" t="s">
        <v>954</v>
      </c>
      <c r="D9" s="5" t="s">
        <v>195</v>
      </c>
      <c r="E9" s="8"/>
      <c r="F9" s="8"/>
      <c r="G9" s="5">
        <v>63</v>
      </c>
      <c r="H9" s="499">
        <v>96</v>
      </c>
      <c r="I9" s="500"/>
      <c r="J9" s="500"/>
      <c r="K9" s="501"/>
      <c r="L9" s="8"/>
      <c r="M9" s="8"/>
      <c r="N9" s="5">
        <f t="shared" si="1"/>
        <v>465.8</v>
      </c>
      <c r="O9" s="499"/>
      <c r="P9" s="501"/>
      <c r="Q9">
        <v>90</v>
      </c>
      <c r="R9" s="18" t="s">
        <v>951</v>
      </c>
      <c r="S9" s="18" t="s">
        <v>955</v>
      </c>
      <c r="T9" s="18">
        <v>182.7</v>
      </c>
    </row>
    <row r="10" spans="2:20" hidden="1">
      <c r="B10" s="5">
        <f t="shared" si="0"/>
        <v>6</v>
      </c>
      <c r="C10" s="5" t="s">
        <v>956</v>
      </c>
      <c r="D10" s="5" t="s">
        <v>957</v>
      </c>
      <c r="E10" s="8"/>
      <c r="F10" s="8"/>
      <c r="G10" s="5">
        <v>63</v>
      </c>
      <c r="H10" s="499">
        <f>78-H11</f>
        <v>75.5</v>
      </c>
      <c r="I10" s="500"/>
      <c r="J10" s="500"/>
      <c r="K10" s="501"/>
      <c r="L10" s="8"/>
      <c r="M10" s="8"/>
      <c r="N10" s="5">
        <f t="shared" si="1"/>
        <v>541.29999999999995</v>
      </c>
      <c r="O10" s="499"/>
      <c r="P10" s="501"/>
      <c r="Q10">
        <v>110</v>
      </c>
      <c r="R10" s="18" t="s">
        <v>958</v>
      </c>
      <c r="S10" s="18" t="s">
        <v>959</v>
      </c>
      <c r="T10" s="18">
        <v>165</v>
      </c>
    </row>
    <row r="11" spans="2:20">
      <c r="B11" s="5">
        <f t="shared" si="0"/>
        <v>7</v>
      </c>
      <c r="C11" s="5" t="s">
        <v>956</v>
      </c>
      <c r="D11" s="5" t="s">
        <v>957</v>
      </c>
      <c r="E11" s="5" t="s">
        <v>960</v>
      </c>
      <c r="F11" s="18">
        <v>0.39</v>
      </c>
      <c r="G11" s="5">
        <v>63</v>
      </c>
      <c r="H11" s="499">
        <v>2.5</v>
      </c>
      <c r="I11" s="500"/>
      <c r="J11" s="500"/>
      <c r="K11" s="501"/>
      <c r="L11" s="8"/>
      <c r="M11" s="8"/>
      <c r="N11" s="5">
        <f t="shared" si="1"/>
        <v>543.79999999999995</v>
      </c>
      <c r="O11" s="499"/>
      <c r="P11" s="501"/>
      <c r="Q11">
        <v>110</v>
      </c>
      <c r="R11" s="18" t="s">
        <v>959</v>
      </c>
      <c r="S11" s="18" t="s">
        <v>961</v>
      </c>
      <c r="T11" s="18">
        <v>30.3</v>
      </c>
    </row>
    <row r="12" spans="2:20" hidden="1">
      <c r="B12" s="5">
        <f t="shared" si="0"/>
        <v>8</v>
      </c>
      <c r="C12" s="5" t="s">
        <v>962</v>
      </c>
      <c r="D12" s="5" t="s">
        <v>963</v>
      </c>
      <c r="E12" s="5"/>
      <c r="F12" s="8"/>
      <c r="G12" s="5">
        <v>63</v>
      </c>
      <c r="H12" s="499">
        <f>53-H13</f>
        <v>50.5</v>
      </c>
      <c r="I12" s="500"/>
      <c r="J12" s="500"/>
      <c r="K12" s="501"/>
      <c r="L12" s="8"/>
      <c r="M12" s="8"/>
      <c r="N12" s="5">
        <f t="shared" si="1"/>
        <v>594.29999999999995</v>
      </c>
      <c r="O12" s="499"/>
      <c r="P12" s="501"/>
      <c r="Q12">
        <v>90</v>
      </c>
      <c r="R12" s="18" t="s">
        <v>959</v>
      </c>
      <c r="S12" s="18" t="s">
        <v>964</v>
      </c>
      <c r="T12" s="18">
        <v>47.5</v>
      </c>
    </row>
    <row r="13" spans="2:20">
      <c r="B13" s="5">
        <f t="shared" si="0"/>
        <v>9</v>
      </c>
      <c r="C13" s="5" t="s">
        <v>962</v>
      </c>
      <c r="D13" s="5" t="s">
        <v>963</v>
      </c>
      <c r="E13" s="5" t="s">
        <v>960</v>
      </c>
      <c r="F13" s="5">
        <v>0.39</v>
      </c>
      <c r="G13" s="5">
        <v>63</v>
      </c>
      <c r="H13" s="499">
        <v>2.5</v>
      </c>
      <c r="I13" s="500"/>
      <c r="J13" s="500"/>
      <c r="K13" s="501"/>
      <c r="L13" s="8"/>
      <c r="M13" s="8"/>
      <c r="N13" s="5">
        <f t="shared" si="1"/>
        <v>596.79999999999995</v>
      </c>
      <c r="O13" s="499"/>
      <c r="P13" s="501"/>
      <c r="Q13">
        <v>110</v>
      </c>
      <c r="R13" s="18" t="s">
        <v>964</v>
      </c>
      <c r="S13" s="18" t="s">
        <v>566</v>
      </c>
      <c r="T13" s="18">
        <v>40</v>
      </c>
    </row>
    <row r="14" spans="2:20" hidden="1">
      <c r="B14" s="5">
        <f t="shared" si="0"/>
        <v>10</v>
      </c>
      <c r="C14" s="5" t="s">
        <v>965</v>
      </c>
      <c r="D14" s="5" t="s">
        <v>966</v>
      </c>
      <c r="E14" s="5"/>
      <c r="F14" s="8"/>
      <c r="G14" s="5">
        <v>63</v>
      </c>
      <c r="H14" s="499">
        <v>88.3</v>
      </c>
      <c r="I14" s="500"/>
      <c r="J14" s="500"/>
      <c r="K14" s="501"/>
      <c r="L14" s="8"/>
      <c r="M14" s="8"/>
      <c r="N14" s="5">
        <f t="shared" si="1"/>
        <v>685.09999999999991</v>
      </c>
      <c r="O14" s="499"/>
      <c r="P14" s="501"/>
    </row>
    <row r="15" spans="2:20">
      <c r="B15" s="5">
        <f t="shared" si="0"/>
        <v>11</v>
      </c>
      <c r="C15" s="5" t="s">
        <v>965</v>
      </c>
      <c r="D15" s="5" t="s">
        <v>966</v>
      </c>
      <c r="E15" s="5" t="s">
        <v>960</v>
      </c>
      <c r="F15" s="5">
        <v>0.39</v>
      </c>
      <c r="G15" s="5">
        <v>63</v>
      </c>
      <c r="H15" s="499">
        <v>2.5</v>
      </c>
      <c r="I15" s="500"/>
      <c r="J15" s="500"/>
      <c r="K15" s="501"/>
      <c r="L15" s="8"/>
      <c r="M15" s="8"/>
      <c r="N15" s="5">
        <f t="shared" si="1"/>
        <v>687.59999999999991</v>
      </c>
      <c r="O15" s="499"/>
      <c r="P15" s="501"/>
    </row>
    <row r="16" spans="2:20" hidden="1">
      <c r="B16" s="5">
        <f t="shared" si="0"/>
        <v>12</v>
      </c>
      <c r="C16" s="5" t="s">
        <v>966</v>
      </c>
      <c r="D16" s="5" t="s">
        <v>967</v>
      </c>
      <c r="E16" s="5"/>
      <c r="F16" s="8"/>
      <c r="G16" s="5">
        <v>63</v>
      </c>
      <c r="H16" s="499">
        <v>45.5</v>
      </c>
      <c r="I16" s="500"/>
      <c r="J16" s="500"/>
      <c r="K16" s="501"/>
      <c r="L16" s="8"/>
      <c r="M16" s="8"/>
      <c r="N16" s="5">
        <f t="shared" si="1"/>
        <v>733.09999999999991</v>
      </c>
      <c r="O16" s="499"/>
      <c r="P16" s="501"/>
    </row>
    <row r="17" spans="2:16" hidden="1">
      <c r="B17" s="5">
        <f t="shared" si="0"/>
        <v>13</v>
      </c>
      <c r="C17" s="5" t="s">
        <v>968</v>
      </c>
      <c r="D17" s="5" t="s">
        <v>969</v>
      </c>
      <c r="E17" s="8"/>
      <c r="F17" s="8"/>
      <c r="G17" s="5">
        <v>63</v>
      </c>
      <c r="H17" s="499">
        <v>60</v>
      </c>
      <c r="I17" s="500"/>
      <c r="J17" s="500"/>
      <c r="K17" s="501"/>
      <c r="L17" s="8"/>
      <c r="M17" s="8"/>
      <c r="N17" s="5">
        <f t="shared" si="1"/>
        <v>793.09999999999991</v>
      </c>
      <c r="O17" s="499"/>
      <c r="P17" s="501"/>
    </row>
    <row r="18" spans="2:16" hidden="1">
      <c r="B18" s="5">
        <f t="shared" si="0"/>
        <v>14</v>
      </c>
      <c r="C18" s="5" t="s">
        <v>970</v>
      </c>
      <c r="D18" s="5" t="s">
        <v>971</v>
      </c>
      <c r="E18" s="8"/>
      <c r="F18" s="8"/>
      <c r="G18" s="5">
        <v>63</v>
      </c>
      <c r="H18" s="499">
        <v>64.3</v>
      </c>
      <c r="I18" s="500"/>
      <c r="J18" s="500"/>
      <c r="K18" s="501"/>
      <c r="L18" s="8"/>
      <c r="M18" s="8"/>
      <c r="N18" s="5">
        <f t="shared" si="1"/>
        <v>857.39999999999986</v>
      </c>
      <c r="O18" s="499"/>
      <c r="P18" s="501"/>
    </row>
    <row r="19" spans="2:16" hidden="1">
      <c r="B19" s="5">
        <f t="shared" si="0"/>
        <v>15</v>
      </c>
      <c r="C19" s="5" t="s">
        <v>972</v>
      </c>
      <c r="D19" s="5" t="s">
        <v>973</v>
      </c>
      <c r="E19" s="8"/>
      <c r="F19" s="8"/>
      <c r="G19" s="5">
        <v>63</v>
      </c>
      <c r="H19" s="499">
        <v>63.9</v>
      </c>
      <c r="I19" s="500"/>
      <c r="J19" s="500"/>
      <c r="K19" s="501"/>
      <c r="L19" s="8"/>
      <c r="M19" s="8"/>
      <c r="N19" s="5">
        <f t="shared" si="1"/>
        <v>921.29999999999984</v>
      </c>
      <c r="O19" s="499"/>
      <c r="P19" s="501"/>
    </row>
    <row r="20" spans="2:16" hidden="1">
      <c r="B20" s="5">
        <f t="shared" si="0"/>
        <v>16</v>
      </c>
      <c r="C20" s="5" t="s">
        <v>974</v>
      </c>
      <c r="D20" s="5" t="s">
        <v>975</v>
      </c>
      <c r="E20" s="8"/>
      <c r="F20" s="8"/>
      <c r="G20" s="5">
        <v>63</v>
      </c>
      <c r="H20" s="499">
        <v>32</v>
      </c>
      <c r="I20" s="500"/>
      <c r="J20" s="500"/>
      <c r="K20" s="501"/>
      <c r="L20" s="8"/>
      <c r="M20" s="8"/>
      <c r="N20" s="5">
        <f t="shared" si="1"/>
        <v>953.29999999999984</v>
      </c>
      <c r="O20" s="499"/>
      <c r="P20" s="501"/>
    </row>
    <row r="21" spans="2:16" hidden="1">
      <c r="B21" s="5">
        <f t="shared" si="0"/>
        <v>17</v>
      </c>
      <c r="C21" s="5" t="s">
        <v>976</v>
      </c>
      <c r="D21" s="5" t="s">
        <v>364</v>
      </c>
      <c r="E21" s="8"/>
      <c r="F21" s="8"/>
      <c r="G21" s="5">
        <v>63</v>
      </c>
      <c r="H21" s="499">
        <v>33</v>
      </c>
      <c r="I21" s="500"/>
      <c r="J21" s="500"/>
      <c r="K21" s="501"/>
      <c r="L21" s="8"/>
      <c r="M21" s="8"/>
      <c r="N21" s="5">
        <f t="shared" si="1"/>
        <v>986.29999999999984</v>
      </c>
      <c r="O21" s="499"/>
      <c r="P21" s="501"/>
    </row>
    <row r="22" spans="2:16" hidden="1">
      <c r="B22" s="5">
        <f t="shared" si="0"/>
        <v>18</v>
      </c>
      <c r="C22" s="5" t="s">
        <v>977</v>
      </c>
      <c r="D22" s="5" t="s">
        <v>978</v>
      </c>
      <c r="E22" s="8"/>
      <c r="F22" s="8"/>
      <c r="G22" s="5">
        <v>63</v>
      </c>
      <c r="H22" s="499">
        <v>32.5</v>
      </c>
      <c r="I22" s="500"/>
      <c r="J22" s="500"/>
      <c r="K22" s="501"/>
      <c r="L22" s="8"/>
      <c r="M22" s="8"/>
      <c r="N22" s="5">
        <f t="shared" si="1"/>
        <v>1018.7999999999998</v>
      </c>
      <c r="O22" s="499"/>
      <c r="P22" s="501"/>
    </row>
    <row r="23" spans="2:16" hidden="1">
      <c r="B23" s="5">
        <f t="shared" si="0"/>
        <v>19</v>
      </c>
      <c r="C23" s="5" t="s">
        <v>977</v>
      </c>
      <c r="D23" s="5" t="s">
        <v>979</v>
      </c>
      <c r="E23" s="8"/>
      <c r="F23" s="8"/>
      <c r="G23" s="5">
        <v>63</v>
      </c>
      <c r="H23" s="499">
        <v>67</v>
      </c>
      <c r="I23" s="500"/>
      <c r="J23" s="500"/>
      <c r="K23" s="501"/>
      <c r="L23" s="8"/>
      <c r="M23" s="8"/>
      <c r="N23" s="5">
        <f t="shared" si="1"/>
        <v>1085.7999999999997</v>
      </c>
      <c r="O23" s="499"/>
      <c r="P23" s="501"/>
    </row>
    <row r="24" spans="2:16" hidden="1">
      <c r="B24" s="5">
        <f t="shared" si="0"/>
        <v>20</v>
      </c>
      <c r="C24" s="5" t="s">
        <v>980</v>
      </c>
      <c r="D24" s="5" t="s">
        <v>981</v>
      </c>
      <c r="E24" s="8"/>
      <c r="F24" s="8"/>
      <c r="G24" s="5">
        <v>63</v>
      </c>
      <c r="H24" s="499">
        <v>33</v>
      </c>
      <c r="I24" s="500"/>
      <c r="J24" s="500"/>
      <c r="K24" s="501"/>
      <c r="L24" s="8"/>
      <c r="M24" s="8"/>
      <c r="N24" s="5">
        <f t="shared" si="1"/>
        <v>1118.7999999999997</v>
      </c>
      <c r="O24" s="499"/>
      <c r="P24" s="501"/>
    </row>
    <row r="25" spans="2:16" hidden="1">
      <c r="B25" s="5">
        <f t="shared" si="0"/>
        <v>21</v>
      </c>
      <c r="C25" s="5" t="s">
        <v>982</v>
      </c>
      <c r="D25" s="5" t="s">
        <v>983</v>
      </c>
      <c r="E25" s="8"/>
      <c r="F25" s="8"/>
      <c r="G25" s="5">
        <v>63</v>
      </c>
      <c r="H25" s="499">
        <v>128</v>
      </c>
      <c r="I25" s="500"/>
      <c r="J25" s="500"/>
      <c r="K25" s="501"/>
      <c r="L25" s="8"/>
      <c r="M25" s="8"/>
      <c r="N25" s="5">
        <f t="shared" si="1"/>
        <v>1246.7999999999997</v>
      </c>
      <c r="O25" s="499"/>
      <c r="P25" s="501"/>
    </row>
    <row r="26" spans="2:16" hidden="1">
      <c r="B26" s="5">
        <f t="shared" si="0"/>
        <v>22</v>
      </c>
      <c r="C26" s="5" t="s">
        <v>984</v>
      </c>
      <c r="D26" s="5" t="s">
        <v>985</v>
      </c>
      <c r="E26" s="8"/>
      <c r="F26" s="8"/>
      <c r="G26" s="5">
        <v>63</v>
      </c>
      <c r="H26" s="499">
        <v>69</v>
      </c>
      <c r="I26" s="500"/>
      <c r="J26" s="500"/>
      <c r="K26" s="501"/>
      <c r="L26" s="8"/>
      <c r="M26" s="8"/>
      <c r="N26" s="5">
        <f t="shared" si="1"/>
        <v>1315.7999999999997</v>
      </c>
      <c r="O26" s="499"/>
      <c r="P26" s="501"/>
    </row>
    <row r="27" spans="2:16" hidden="1">
      <c r="B27" s="5">
        <f t="shared" si="0"/>
        <v>23</v>
      </c>
      <c r="C27" s="5" t="s">
        <v>986</v>
      </c>
      <c r="D27" s="5" t="s">
        <v>987</v>
      </c>
      <c r="E27" s="8"/>
      <c r="F27" s="8"/>
      <c r="G27" s="5">
        <v>63</v>
      </c>
      <c r="H27" s="499">
        <v>56</v>
      </c>
      <c r="I27" s="500"/>
      <c r="J27" s="500"/>
      <c r="K27" s="501"/>
      <c r="L27" s="8"/>
      <c r="M27" s="8"/>
      <c r="N27" s="5">
        <f t="shared" si="1"/>
        <v>1371.7999999999997</v>
      </c>
      <c r="O27" s="499"/>
      <c r="P27" s="501"/>
    </row>
    <row r="28" spans="2:16" hidden="1">
      <c r="B28" s="5">
        <f t="shared" si="0"/>
        <v>24</v>
      </c>
      <c r="C28" s="5" t="s">
        <v>988</v>
      </c>
      <c r="D28" s="5" t="s">
        <v>989</v>
      </c>
      <c r="E28" s="8"/>
      <c r="F28" s="8"/>
      <c r="G28" s="5">
        <v>63</v>
      </c>
      <c r="H28" s="499">
        <v>32.299999999999997</v>
      </c>
      <c r="I28" s="500"/>
      <c r="J28" s="500"/>
      <c r="K28" s="501"/>
      <c r="L28" s="8"/>
      <c r="M28" s="8"/>
      <c r="N28" s="5">
        <f t="shared" si="1"/>
        <v>1404.0999999999997</v>
      </c>
      <c r="O28" s="499"/>
      <c r="P28" s="501"/>
    </row>
    <row r="29" spans="2:16" hidden="1">
      <c r="B29" s="5">
        <f t="shared" si="0"/>
        <v>25</v>
      </c>
      <c r="C29" s="5" t="s">
        <v>990</v>
      </c>
      <c r="D29" s="5" t="s">
        <v>991</v>
      </c>
      <c r="E29" s="8"/>
      <c r="F29" s="8"/>
      <c r="G29" s="5">
        <v>63</v>
      </c>
      <c r="H29" s="499">
        <v>68</v>
      </c>
      <c r="I29" s="500"/>
      <c r="J29" s="500"/>
      <c r="K29" s="501"/>
      <c r="L29" s="8"/>
      <c r="M29" s="8"/>
      <c r="N29" s="5">
        <f t="shared" si="1"/>
        <v>1472.0999999999997</v>
      </c>
      <c r="O29" s="499"/>
      <c r="P29" s="501"/>
    </row>
    <row r="30" spans="2:16" hidden="1">
      <c r="B30" s="5">
        <f t="shared" si="0"/>
        <v>26</v>
      </c>
      <c r="C30" s="5" t="s">
        <v>992</v>
      </c>
      <c r="D30" s="5" t="s">
        <v>993</v>
      </c>
      <c r="E30" s="8"/>
      <c r="F30" s="8"/>
      <c r="G30" s="5">
        <v>63</v>
      </c>
      <c r="H30" s="499">
        <v>64.599999999999994</v>
      </c>
      <c r="I30" s="500"/>
      <c r="J30" s="500"/>
      <c r="K30" s="501"/>
      <c r="L30" s="8"/>
      <c r="M30" s="8"/>
      <c r="N30" s="5">
        <f t="shared" si="1"/>
        <v>1536.6999999999996</v>
      </c>
      <c r="O30" s="499"/>
      <c r="P30" s="501"/>
    </row>
    <row r="31" spans="2:16" hidden="1">
      <c r="B31" s="5">
        <f t="shared" si="0"/>
        <v>27</v>
      </c>
      <c r="C31" s="5" t="s">
        <v>994</v>
      </c>
      <c r="D31" s="5" t="s">
        <v>995</v>
      </c>
      <c r="E31" s="8"/>
      <c r="F31" s="8"/>
      <c r="G31" s="5">
        <v>63</v>
      </c>
      <c r="H31" s="499">
        <v>61.5</v>
      </c>
      <c r="I31" s="500"/>
      <c r="J31" s="500"/>
      <c r="K31" s="501"/>
      <c r="L31" s="8"/>
      <c r="M31" s="8"/>
      <c r="N31" s="5">
        <f t="shared" si="1"/>
        <v>1598.1999999999996</v>
      </c>
      <c r="O31" s="499"/>
      <c r="P31" s="501"/>
    </row>
    <row r="32" spans="2:16" hidden="1">
      <c r="B32" s="5">
        <f t="shared" si="0"/>
        <v>28</v>
      </c>
      <c r="C32" s="5" t="s">
        <v>996</v>
      </c>
      <c r="D32" s="5" t="s">
        <v>997</v>
      </c>
      <c r="E32" s="8"/>
      <c r="F32" s="8"/>
      <c r="G32" s="5">
        <v>63</v>
      </c>
      <c r="H32" s="499">
        <f>36.5-28</f>
        <v>8.5</v>
      </c>
      <c r="I32" s="500"/>
      <c r="J32" s="500"/>
      <c r="K32" s="501"/>
      <c r="L32" s="8"/>
      <c r="M32" s="8"/>
      <c r="N32" s="5">
        <f t="shared" si="1"/>
        <v>1606.6999999999996</v>
      </c>
      <c r="O32" s="499"/>
      <c r="P32" s="501"/>
    </row>
    <row r="33" spans="2:19" hidden="1">
      <c r="B33" s="5">
        <f t="shared" si="0"/>
        <v>29</v>
      </c>
      <c r="C33" s="5" t="s">
        <v>996</v>
      </c>
      <c r="D33" s="5" t="s">
        <v>997</v>
      </c>
      <c r="E33" s="5" t="s">
        <v>199</v>
      </c>
      <c r="F33" s="5">
        <v>0.39</v>
      </c>
      <c r="G33" s="5">
        <v>63</v>
      </c>
      <c r="H33" s="499">
        <v>28</v>
      </c>
      <c r="I33" s="500"/>
      <c r="J33" s="500"/>
      <c r="K33" s="501"/>
      <c r="L33" s="8"/>
      <c r="M33" s="8"/>
      <c r="N33" s="5">
        <f t="shared" si="1"/>
        <v>1634.6999999999996</v>
      </c>
      <c r="O33" s="499"/>
      <c r="P33" s="501"/>
    </row>
    <row r="34" spans="2:19" hidden="1">
      <c r="B34" s="5">
        <f t="shared" si="0"/>
        <v>30</v>
      </c>
      <c r="C34" s="5" t="s">
        <v>996</v>
      </c>
      <c r="D34" s="5" t="s">
        <v>998</v>
      </c>
      <c r="E34" s="8"/>
      <c r="F34" s="8"/>
      <c r="G34" s="5">
        <v>63</v>
      </c>
      <c r="H34" s="499">
        <v>50</v>
      </c>
      <c r="I34" s="500"/>
      <c r="J34" s="500"/>
      <c r="K34" s="501"/>
      <c r="L34" s="8"/>
      <c r="M34" s="8"/>
      <c r="N34" s="5">
        <f t="shared" si="1"/>
        <v>1684.6999999999996</v>
      </c>
      <c r="O34" s="499"/>
      <c r="P34" s="501"/>
    </row>
    <row r="35" spans="2:19" hidden="1">
      <c r="B35" s="5">
        <f t="shared" si="0"/>
        <v>31</v>
      </c>
      <c r="C35" s="5" t="s">
        <v>999</v>
      </c>
      <c r="D35" s="5" t="s">
        <v>1000</v>
      </c>
      <c r="E35" s="8"/>
      <c r="F35" s="8"/>
      <c r="G35" s="5">
        <v>63</v>
      </c>
      <c r="H35" s="498">
        <v>90</v>
      </c>
      <c r="I35" s="498"/>
      <c r="J35" s="498"/>
      <c r="K35" s="498"/>
      <c r="L35" s="8"/>
      <c r="M35" s="8"/>
      <c r="N35" s="5">
        <f t="shared" si="1"/>
        <v>1774.6999999999996</v>
      </c>
      <c r="O35" s="499"/>
      <c r="P35" s="501"/>
    </row>
    <row r="36" spans="2:19" hidden="1">
      <c r="B36" s="5">
        <f t="shared" si="0"/>
        <v>32</v>
      </c>
      <c r="C36" s="5" t="s">
        <v>580</v>
      </c>
      <c r="D36" s="5" t="s">
        <v>1001</v>
      </c>
      <c r="E36" s="8"/>
      <c r="F36" s="8"/>
      <c r="G36" s="5">
        <v>63</v>
      </c>
      <c r="H36" s="499">
        <v>21.3</v>
      </c>
      <c r="I36" s="500"/>
      <c r="J36" s="500"/>
      <c r="K36" s="501"/>
      <c r="L36" s="8"/>
      <c r="M36" s="8"/>
      <c r="N36" s="5">
        <f t="shared" si="1"/>
        <v>1795.9999999999995</v>
      </c>
      <c r="O36" s="499"/>
      <c r="P36" s="501"/>
    </row>
    <row r="37" spans="2:19" hidden="1">
      <c r="B37" s="5">
        <f t="shared" si="0"/>
        <v>33</v>
      </c>
      <c r="C37" s="5" t="s">
        <v>617</v>
      </c>
      <c r="D37" s="5" t="s">
        <v>1002</v>
      </c>
      <c r="E37" s="8"/>
      <c r="F37" s="8"/>
      <c r="G37" s="5">
        <v>63</v>
      </c>
      <c r="H37" s="499">
        <v>113.5</v>
      </c>
      <c r="I37" s="500"/>
      <c r="J37" s="500"/>
      <c r="K37" s="501"/>
      <c r="L37" s="8"/>
      <c r="M37" s="8"/>
      <c r="N37" s="5">
        <f t="shared" si="1"/>
        <v>1909.4999999999995</v>
      </c>
      <c r="O37" s="499"/>
      <c r="P37" s="501"/>
    </row>
    <row r="38" spans="2:19" hidden="1">
      <c r="B38" s="5">
        <f t="shared" si="0"/>
        <v>34</v>
      </c>
      <c r="C38" s="5" t="s">
        <v>1003</v>
      </c>
      <c r="D38" s="5" t="s">
        <v>1004</v>
      </c>
      <c r="E38" s="8"/>
      <c r="F38" s="8"/>
      <c r="G38" s="5">
        <v>63</v>
      </c>
      <c r="H38" s="499">
        <v>57.3</v>
      </c>
      <c r="I38" s="500"/>
      <c r="J38" s="500"/>
      <c r="K38" s="501"/>
      <c r="L38" s="8"/>
      <c r="M38" s="8"/>
      <c r="N38" s="5">
        <f t="shared" si="1"/>
        <v>1966.7999999999995</v>
      </c>
      <c r="O38" s="499"/>
      <c r="P38" s="501"/>
    </row>
    <row r="39" spans="2:19" hidden="1">
      <c r="B39" s="5">
        <f t="shared" si="0"/>
        <v>35</v>
      </c>
      <c r="C39" s="5" t="s">
        <v>1005</v>
      </c>
      <c r="D39" s="5" t="s">
        <v>585</v>
      </c>
      <c r="F39" s="8"/>
      <c r="G39" s="5">
        <v>63</v>
      </c>
      <c r="H39" s="499">
        <f>32.8-2.5</f>
        <v>30.299999999999997</v>
      </c>
      <c r="I39" s="500"/>
      <c r="J39" s="500"/>
      <c r="K39" s="501"/>
      <c r="L39" s="8"/>
      <c r="M39" s="8"/>
      <c r="N39" s="5">
        <f t="shared" si="1"/>
        <v>1997.0999999999995</v>
      </c>
      <c r="O39" s="499"/>
      <c r="P39" s="501"/>
    </row>
    <row r="40" spans="2:19" hidden="1">
      <c r="B40" s="5">
        <f t="shared" si="0"/>
        <v>36</v>
      </c>
      <c r="C40" s="5" t="s">
        <v>1005</v>
      </c>
      <c r="D40" s="5" t="s">
        <v>585</v>
      </c>
      <c r="E40" s="5" t="s">
        <v>199</v>
      </c>
      <c r="F40" s="5">
        <v>0.39</v>
      </c>
      <c r="G40" s="5">
        <v>63</v>
      </c>
      <c r="H40" s="499">
        <v>2.5</v>
      </c>
      <c r="I40" s="500"/>
      <c r="J40" s="500"/>
      <c r="K40" s="501"/>
      <c r="L40" s="8"/>
      <c r="M40" s="8"/>
      <c r="N40" s="5">
        <f t="shared" si="1"/>
        <v>1999.5999999999995</v>
      </c>
      <c r="O40" s="499"/>
      <c r="P40" s="501"/>
    </row>
    <row r="41" spans="2:19" hidden="1">
      <c r="B41" s="5">
        <f t="shared" si="0"/>
        <v>37</v>
      </c>
      <c r="C41" s="5" t="s">
        <v>585</v>
      </c>
      <c r="D41" s="5" t="s">
        <v>919</v>
      </c>
      <c r="E41" s="8"/>
      <c r="F41" s="8"/>
      <c r="G41" s="5">
        <v>63</v>
      </c>
      <c r="H41" s="499">
        <v>21.2</v>
      </c>
      <c r="I41" s="500"/>
      <c r="J41" s="500"/>
      <c r="K41" s="501"/>
      <c r="L41" s="8"/>
      <c r="M41" s="8"/>
      <c r="N41" s="5">
        <f t="shared" si="1"/>
        <v>2020.7999999999995</v>
      </c>
      <c r="O41" s="499"/>
      <c r="P41" s="501"/>
    </row>
    <row r="42" spans="2:19" hidden="1">
      <c r="B42" s="5">
        <f t="shared" si="0"/>
        <v>38</v>
      </c>
      <c r="C42" s="5" t="s">
        <v>585</v>
      </c>
      <c r="D42" s="5" t="s">
        <v>1006</v>
      </c>
      <c r="E42" s="8"/>
      <c r="F42" s="8"/>
      <c r="G42" s="5">
        <v>63</v>
      </c>
      <c r="H42" s="499">
        <v>40</v>
      </c>
      <c r="I42" s="500"/>
      <c r="J42" s="500"/>
      <c r="K42" s="501"/>
      <c r="L42" s="8"/>
      <c r="M42" s="8"/>
      <c r="N42" s="5">
        <f t="shared" si="1"/>
        <v>2060.7999999999993</v>
      </c>
      <c r="O42" s="499"/>
      <c r="P42" s="501"/>
    </row>
    <row r="43" spans="2:19" hidden="1">
      <c r="B43" s="5">
        <f t="shared" si="0"/>
        <v>39</v>
      </c>
      <c r="C43" s="5" t="s">
        <v>1007</v>
      </c>
      <c r="D43" s="5" t="s">
        <v>1008</v>
      </c>
      <c r="E43" s="8"/>
      <c r="F43" s="8"/>
      <c r="G43" s="5">
        <v>63</v>
      </c>
      <c r="H43" s="499">
        <v>52</v>
      </c>
      <c r="I43" s="500"/>
      <c r="J43" s="500"/>
      <c r="K43" s="501"/>
      <c r="L43" s="8"/>
      <c r="M43" s="8"/>
      <c r="N43" s="5">
        <f t="shared" si="1"/>
        <v>2112.7999999999993</v>
      </c>
      <c r="O43" s="499"/>
      <c r="P43" s="501"/>
    </row>
    <row r="44" spans="2:19" hidden="1">
      <c r="B44" s="5">
        <f t="shared" si="0"/>
        <v>40</v>
      </c>
      <c r="C44" s="5" t="s">
        <v>953</v>
      </c>
      <c r="D44" s="5" t="s">
        <v>712</v>
      </c>
      <c r="E44" s="8"/>
      <c r="F44" s="8"/>
      <c r="G44" s="5">
        <v>63</v>
      </c>
      <c r="H44" s="499">
        <v>30</v>
      </c>
      <c r="I44" s="500"/>
      <c r="J44" s="500"/>
      <c r="K44" s="501"/>
      <c r="L44" s="8"/>
      <c r="M44" s="8"/>
      <c r="N44" s="5">
        <f t="shared" si="1"/>
        <v>2142.7999999999993</v>
      </c>
      <c r="O44" s="499"/>
      <c r="P44" s="501"/>
    </row>
    <row r="45" spans="2:19" hidden="1">
      <c r="B45" s="5">
        <f t="shared" si="0"/>
        <v>41</v>
      </c>
      <c r="C45" s="5" t="s">
        <v>1009</v>
      </c>
      <c r="D45" s="5" t="s">
        <v>1010</v>
      </c>
      <c r="E45" s="8"/>
      <c r="F45" s="8"/>
      <c r="G45" s="5">
        <v>63</v>
      </c>
      <c r="H45" s="499">
        <v>61</v>
      </c>
      <c r="I45" s="500"/>
      <c r="J45" s="500"/>
      <c r="K45" s="501"/>
      <c r="L45" s="8"/>
      <c r="M45" s="8"/>
      <c r="N45" s="5">
        <f t="shared" si="1"/>
        <v>2203.7999999999993</v>
      </c>
      <c r="O45" s="499"/>
      <c r="P45" s="501"/>
    </row>
    <row r="46" spans="2:19" hidden="1">
      <c r="B46" s="5">
        <f t="shared" si="0"/>
        <v>42</v>
      </c>
      <c r="C46" s="5" t="s">
        <v>712</v>
      </c>
      <c r="D46" s="5">
        <v>262</v>
      </c>
      <c r="E46" s="8"/>
      <c r="F46" s="8"/>
      <c r="G46" s="5">
        <v>63</v>
      </c>
      <c r="H46" s="499">
        <v>181</v>
      </c>
      <c r="I46" s="500"/>
      <c r="J46" s="500"/>
      <c r="K46" s="501"/>
      <c r="L46" s="8"/>
      <c r="M46" s="8"/>
      <c r="N46" s="5">
        <f t="shared" si="1"/>
        <v>2384.7999999999993</v>
      </c>
      <c r="O46" s="499"/>
      <c r="P46" s="501"/>
    </row>
    <row r="47" spans="2:19" hidden="1">
      <c r="B47" s="5">
        <f t="shared" si="0"/>
        <v>43</v>
      </c>
      <c r="C47" s="5" t="s">
        <v>980</v>
      </c>
      <c r="D47" s="5" t="s">
        <v>1011</v>
      </c>
      <c r="E47" s="8"/>
      <c r="F47" s="8"/>
      <c r="G47" s="5">
        <v>63</v>
      </c>
      <c r="H47" s="499">
        <v>53</v>
      </c>
      <c r="I47" s="500"/>
      <c r="J47" s="500"/>
      <c r="K47" s="501"/>
      <c r="L47" s="8"/>
      <c r="M47" s="8"/>
      <c r="N47" s="5">
        <f t="shared" si="1"/>
        <v>2437.7999999999993</v>
      </c>
      <c r="O47" s="499"/>
      <c r="P47" s="501"/>
      <c r="S47">
        <f>73.3/2</f>
        <v>36.65</v>
      </c>
    </row>
    <row r="48" spans="2:19" hidden="1">
      <c r="B48" s="5">
        <f t="shared" si="0"/>
        <v>44</v>
      </c>
      <c r="C48" s="5" t="s">
        <v>1012</v>
      </c>
      <c r="D48" s="5" t="s">
        <v>1013</v>
      </c>
      <c r="E48" s="8"/>
      <c r="F48" s="8"/>
      <c r="G48" s="5">
        <v>63</v>
      </c>
      <c r="H48" s="499">
        <v>52.7</v>
      </c>
      <c r="I48" s="500"/>
      <c r="J48" s="500"/>
      <c r="K48" s="501"/>
      <c r="L48" s="8"/>
      <c r="M48" s="8"/>
      <c r="N48" s="5">
        <f t="shared" si="1"/>
        <v>2490.4999999999991</v>
      </c>
      <c r="O48" s="499"/>
      <c r="P48" s="501"/>
    </row>
    <row r="49" spans="2:16" hidden="1">
      <c r="B49" s="5">
        <f t="shared" si="0"/>
        <v>45</v>
      </c>
      <c r="C49" s="5" t="s">
        <v>1014</v>
      </c>
      <c r="D49" s="5" t="s">
        <v>1015</v>
      </c>
      <c r="E49" s="8"/>
      <c r="F49" s="8"/>
      <c r="G49" s="18">
        <v>75</v>
      </c>
      <c r="H49" s="659">
        <v>36.65</v>
      </c>
      <c r="I49" s="659"/>
      <c r="J49" s="659"/>
      <c r="K49" s="659"/>
      <c r="L49" s="8"/>
      <c r="M49" s="8"/>
      <c r="N49" s="5">
        <f t="shared" si="1"/>
        <v>2527.1499999999992</v>
      </c>
      <c r="O49" s="499"/>
      <c r="P49" s="501"/>
    </row>
    <row r="50" spans="2:16" hidden="1">
      <c r="B50" s="5">
        <f t="shared" si="0"/>
        <v>46</v>
      </c>
      <c r="C50" s="5" t="s">
        <v>1015</v>
      </c>
      <c r="D50" s="5">
        <v>583</v>
      </c>
      <c r="E50" s="8"/>
      <c r="F50" s="8"/>
      <c r="G50" s="18">
        <v>75</v>
      </c>
      <c r="H50" s="659">
        <v>36.65</v>
      </c>
      <c r="I50" s="659"/>
      <c r="J50" s="659"/>
      <c r="K50" s="659"/>
      <c r="L50" s="8"/>
      <c r="M50" s="8"/>
      <c r="N50" s="5">
        <f t="shared" si="1"/>
        <v>2563.7999999999993</v>
      </c>
      <c r="O50" s="499"/>
      <c r="P50" s="501"/>
    </row>
    <row r="51" spans="2:16" hidden="1">
      <c r="B51" s="5">
        <f t="shared" si="0"/>
        <v>47</v>
      </c>
      <c r="C51" s="5" t="s">
        <v>1016</v>
      </c>
      <c r="D51" s="5" t="s">
        <v>994</v>
      </c>
      <c r="E51" s="8"/>
      <c r="F51" s="8"/>
      <c r="G51" s="5">
        <v>75</v>
      </c>
      <c r="H51" s="499">
        <v>28.9</v>
      </c>
      <c r="I51" s="500"/>
      <c r="J51" s="500"/>
      <c r="K51" s="501"/>
      <c r="L51" s="8"/>
      <c r="M51" s="8"/>
      <c r="N51" s="5">
        <f t="shared" ref="N51:N114" si="2">+N50+H51</f>
        <v>2592.6999999999994</v>
      </c>
      <c r="O51" s="499"/>
      <c r="P51" s="501"/>
    </row>
    <row r="52" spans="2:16" hidden="1">
      <c r="B52" s="5">
        <f t="shared" si="0"/>
        <v>48</v>
      </c>
      <c r="C52" s="5" t="s">
        <v>994</v>
      </c>
      <c r="D52" s="5" t="s">
        <v>996</v>
      </c>
      <c r="E52" s="8"/>
      <c r="F52" s="8"/>
      <c r="G52" s="5">
        <v>75</v>
      </c>
      <c r="H52" s="499">
        <v>45.5</v>
      </c>
      <c r="I52" s="500"/>
      <c r="J52" s="500"/>
      <c r="K52" s="501"/>
      <c r="L52" s="8"/>
      <c r="M52" s="8"/>
      <c r="N52" s="5">
        <f t="shared" si="2"/>
        <v>2638.1999999999994</v>
      </c>
      <c r="O52" s="499"/>
      <c r="P52" s="501"/>
    </row>
    <row r="53" spans="2:16" hidden="1">
      <c r="B53" s="5">
        <f t="shared" si="0"/>
        <v>49</v>
      </c>
      <c r="C53" s="5" t="s">
        <v>950</v>
      </c>
      <c r="D53" s="5" t="s">
        <v>952</v>
      </c>
      <c r="E53" s="8"/>
      <c r="F53" s="8"/>
      <c r="G53" s="5">
        <v>75</v>
      </c>
      <c r="H53" s="499">
        <v>102.4</v>
      </c>
      <c r="I53" s="500"/>
      <c r="J53" s="500"/>
      <c r="K53" s="501"/>
      <c r="L53" s="8"/>
      <c r="M53" s="8"/>
      <c r="N53" s="5">
        <f t="shared" si="2"/>
        <v>2740.5999999999995</v>
      </c>
      <c r="O53" s="499"/>
      <c r="P53" s="501"/>
    </row>
    <row r="54" spans="2:16" hidden="1">
      <c r="B54" s="5">
        <f t="shared" si="0"/>
        <v>50</v>
      </c>
      <c r="C54" s="5" t="s">
        <v>952</v>
      </c>
      <c r="D54" s="5" t="s">
        <v>1017</v>
      </c>
      <c r="E54" s="8"/>
      <c r="F54" s="8"/>
      <c r="G54" s="5">
        <v>75</v>
      </c>
      <c r="H54" s="499">
        <v>748.6</v>
      </c>
      <c r="I54" s="500"/>
      <c r="J54" s="500"/>
      <c r="K54" s="501"/>
      <c r="L54" s="8"/>
      <c r="M54" s="8"/>
      <c r="N54" s="5">
        <f t="shared" si="2"/>
        <v>3489.1999999999994</v>
      </c>
      <c r="O54" s="499"/>
      <c r="P54" s="501"/>
    </row>
    <row r="55" spans="2:16" hidden="1">
      <c r="B55" s="5">
        <f t="shared" si="0"/>
        <v>51</v>
      </c>
      <c r="C55" s="5" t="s">
        <v>1018</v>
      </c>
      <c r="D55" s="5" t="s">
        <v>1019</v>
      </c>
      <c r="E55" s="8"/>
      <c r="F55" s="8"/>
      <c r="G55" s="5">
        <v>75</v>
      </c>
      <c r="H55" s="499">
        <v>96</v>
      </c>
      <c r="I55" s="500"/>
      <c r="J55" s="500"/>
      <c r="K55" s="501"/>
      <c r="L55" s="8"/>
      <c r="M55" s="8"/>
      <c r="N55" s="5">
        <f t="shared" si="2"/>
        <v>3585.1999999999994</v>
      </c>
      <c r="O55" s="499"/>
      <c r="P55" s="501"/>
    </row>
    <row r="56" spans="2:16">
      <c r="B56" s="5">
        <f t="shared" si="0"/>
        <v>52</v>
      </c>
      <c r="C56" s="5" t="s">
        <v>1020</v>
      </c>
      <c r="D56" s="5" t="s">
        <v>956</v>
      </c>
      <c r="E56" s="18" t="s">
        <v>960</v>
      </c>
      <c r="F56" s="18">
        <v>0.39</v>
      </c>
      <c r="G56" s="5">
        <v>75</v>
      </c>
      <c r="H56" s="499">
        <v>83</v>
      </c>
      <c r="I56" s="500"/>
      <c r="J56" s="500"/>
      <c r="K56" s="501"/>
      <c r="L56" s="8"/>
      <c r="M56" s="8"/>
      <c r="N56" s="5">
        <f t="shared" si="2"/>
        <v>3668.1999999999994</v>
      </c>
      <c r="O56" s="499" t="s">
        <v>1021</v>
      </c>
      <c r="P56" s="501"/>
    </row>
    <row r="57" spans="2:16">
      <c r="B57" s="5">
        <f t="shared" si="0"/>
        <v>53</v>
      </c>
      <c r="C57" s="5" t="s">
        <v>956</v>
      </c>
      <c r="D57" s="5" t="s">
        <v>962</v>
      </c>
      <c r="E57" s="18" t="s">
        <v>960</v>
      </c>
      <c r="F57" s="18">
        <v>0.39</v>
      </c>
      <c r="G57" s="5">
        <v>75</v>
      </c>
      <c r="H57" s="499">
        <v>90</v>
      </c>
      <c r="I57" s="500"/>
      <c r="J57" s="500"/>
      <c r="K57" s="501"/>
      <c r="L57" s="8"/>
      <c r="M57" s="8"/>
      <c r="N57" s="5">
        <f t="shared" si="2"/>
        <v>3758.1999999999994</v>
      </c>
      <c r="O57" s="499" t="s">
        <v>1021</v>
      </c>
      <c r="P57" s="501"/>
    </row>
    <row r="58" spans="2:16">
      <c r="B58" s="5">
        <f t="shared" si="0"/>
        <v>54</v>
      </c>
      <c r="C58" s="5" t="s">
        <v>962</v>
      </c>
      <c r="D58" s="5" t="s">
        <v>965</v>
      </c>
      <c r="E58" s="18" t="s">
        <v>960</v>
      </c>
      <c r="F58" s="18">
        <v>0.39</v>
      </c>
      <c r="G58" s="5">
        <v>75</v>
      </c>
      <c r="H58" s="499">
        <v>77</v>
      </c>
      <c r="I58" s="500"/>
      <c r="J58" s="500"/>
      <c r="K58" s="501"/>
      <c r="L58" s="8"/>
      <c r="M58" s="8"/>
      <c r="N58" s="5">
        <f t="shared" si="2"/>
        <v>3835.1999999999994</v>
      </c>
      <c r="O58" s="499" t="s">
        <v>1021</v>
      </c>
      <c r="P58" s="501"/>
    </row>
    <row r="59" spans="2:16">
      <c r="B59" s="5">
        <f t="shared" si="0"/>
        <v>55</v>
      </c>
      <c r="C59" s="5" t="s">
        <v>965</v>
      </c>
      <c r="D59" s="5" t="s">
        <v>1019</v>
      </c>
      <c r="E59" s="18" t="s">
        <v>960</v>
      </c>
      <c r="F59" s="18">
        <v>0.39</v>
      </c>
      <c r="G59" s="5">
        <v>75</v>
      </c>
      <c r="H59" s="499">
        <v>35</v>
      </c>
      <c r="I59" s="500"/>
      <c r="J59" s="500"/>
      <c r="K59" s="501"/>
      <c r="L59" s="8"/>
      <c r="M59" s="8"/>
      <c r="N59" s="5">
        <f t="shared" si="2"/>
        <v>3870.1999999999994</v>
      </c>
      <c r="O59" s="499" t="s">
        <v>1021</v>
      </c>
      <c r="P59" s="501"/>
    </row>
    <row r="60" spans="2:16" hidden="1">
      <c r="B60" s="5">
        <f t="shared" si="0"/>
        <v>56</v>
      </c>
      <c r="C60" s="5" t="s">
        <v>1022</v>
      </c>
      <c r="D60" s="5" t="s">
        <v>1023</v>
      </c>
      <c r="E60" s="8"/>
      <c r="F60" s="8"/>
      <c r="G60" s="5">
        <v>75</v>
      </c>
      <c r="H60" s="499">
        <v>46.5</v>
      </c>
      <c r="I60" s="500"/>
      <c r="J60" s="500"/>
      <c r="K60" s="501"/>
      <c r="L60" s="8"/>
      <c r="M60" s="8"/>
      <c r="N60" s="5">
        <f t="shared" si="2"/>
        <v>3916.6999999999994</v>
      </c>
      <c r="O60" s="499"/>
      <c r="P60" s="501"/>
    </row>
    <row r="61" spans="2:16" hidden="1">
      <c r="B61" s="5">
        <f t="shared" si="0"/>
        <v>57</v>
      </c>
      <c r="C61" s="5" t="s">
        <v>1024</v>
      </c>
      <c r="D61" s="5" t="s">
        <v>1023</v>
      </c>
      <c r="E61" s="8"/>
      <c r="F61" s="8"/>
      <c r="G61" s="5">
        <v>75</v>
      </c>
      <c r="H61" s="499">
        <v>81</v>
      </c>
      <c r="I61" s="500"/>
      <c r="J61" s="500"/>
      <c r="K61" s="501"/>
      <c r="L61" s="8"/>
      <c r="M61" s="8"/>
      <c r="N61" s="5">
        <f t="shared" si="2"/>
        <v>3997.6999999999994</v>
      </c>
      <c r="O61" s="499"/>
      <c r="P61" s="501"/>
    </row>
    <row r="62" spans="2:16" hidden="1">
      <c r="B62" s="5">
        <f t="shared" si="0"/>
        <v>58</v>
      </c>
      <c r="C62" s="5" t="s">
        <v>1024</v>
      </c>
      <c r="D62" s="5" t="s">
        <v>1025</v>
      </c>
      <c r="E62" s="8"/>
      <c r="F62" s="8"/>
      <c r="G62" s="5">
        <v>75</v>
      </c>
      <c r="H62" s="499">
        <v>76</v>
      </c>
      <c r="I62" s="500"/>
      <c r="J62" s="500"/>
      <c r="K62" s="501"/>
      <c r="L62" s="8"/>
      <c r="M62" s="8"/>
      <c r="N62" s="5">
        <f t="shared" si="2"/>
        <v>4073.6999999999994</v>
      </c>
      <c r="O62" s="499"/>
      <c r="P62" s="501"/>
    </row>
    <row r="63" spans="2:16" hidden="1">
      <c r="B63" s="5">
        <f t="shared" si="0"/>
        <v>59</v>
      </c>
      <c r="C63" s="5" t="s">
        <v>1026</v>
      </c>
      <c r="D63" s="5" t="s">
        <v>1027</v>
      </c>
      <c r="E63" s="8"/>
      <c r="F63" s="8"/>
      <c r="G63" s="5">
        <v>75</v>
      </c>
      <c r="H63" s="499">
        <v>199</v>
      </c>
      <c r="I63" s="500"/>
      <c r="J63" s="500"/>
      <c r="K63" s="501"/>
      <c r="L63" s="8"/>
      <c r="M63" s="8"/>
      <c r="N63" s="5">
        <f t="shared" si="2"/>
        <v>4272.6999999999989</v>
      </c>
      <c r="O63" s="499"/>
      <c r="P63" s="501"/>
    </row>
    <row r="64" spans="2:16" hidden="1">
      <c r="B64" s="5">
        <f t="shared" si="0"/>
        <v>60</v>
      </c>
      <c r="C64" s="5" t="s">
        <v>1028</v>
      </c>
      <c r="D64" s="5" t="s">
        <v>982</v>
      </c>
      <c r="E64" s="8"/>
      <c r="F64" s="8"/>
      <c r="G64" s="5">
        <v>75</v>
      </c>
      <c r="H64" s="499">
        <v>107</v>
      </c>
      <c r="I64" s="500"/>
      <c r="J64" s="500"/>
      <c r="K64" s="501"/>
      <c r="L64" s="8"/>
      <c r="M64" s="8"/>
      <c r="N64" s="5">
        <f t="shared" si="2"/>
        <v>4379.6999999999989</v>
      </c>
      <c r="O64" s="499"/>
      <c r="P64" s="501"/>
    </row>
    <row r="65" spans="2:16" hidden="1">
      <c r="B65" s="5">
        <f t="shared" si="0"/>
        <v>61</v>
      </c>
      <c r="C65" s="5" t="s">
        <v>982</v>
      </c>
      <c r="D65" s="5" t="s">
        <v>986</v>
      </c>
      <c r="E65" s="8"/>
      <c r="F65" s="8"/>
      <c r="G65" s="5">
        <v>75</v>
      </c>
      <c r="H65" s="499">
        <v>12.6</v>
      </c>
      <c r="I65" s="500"/>
      <c r="J65" s="500"/>
      <c r="K65" s="501"/>
      <c r="L65" s="8"/>
      <c r="M65" s="8"/>
      <c r="N65" s="5">
        <f t="shared" si="2"/>
        <v>4392.2999999999993</v>
      </c>
      <c r="O65" s="499"/>
      <c r="P65" s="501"/>
    </row>
    <row r="66" spans="2:16" hidden="1">
      <c r="B66" s="5">
        <f t="shared" si="0"/>
        <v>62</v>
      </c>
      <c r="C66" s="5" t="s">
        <v>986</v>
      </c>
      <c r="D66" s="5" t="s">
        <v>1029</v>
      </c>
      <c r="E66" s="8"/>
      <c r="F66" s="8"/>
      <c r="G66" s="5">
        <v>75</v>
      </c>
      <c r="H66" s="499">
        <v>77.599999999999994</v>
      </c>
      <c r="I66" s="500"/>
      <c r="J66" s="500"/>
      <c r="K66" s="501"/>
      <c r="L66" s="8"/>
      <c r="M66" s="8"/>
      <c r="N66" s="5">
        <f t="shared" si="2"/>
        <v>4469.8999999999996</v>
      </c>
      <c r="O66" s="499"/>
      <c r="P66" s="501"/>
    </row>
    <row r="67" spans="2:16" hidden="1">
      <c r="B67" s="5">
        <f t="shared" si="0"/>
        <v>63</v>
      </c>
      <c r="C67" s="5" t="s">
        <v>1029</v>
      </c>
      <c r="D67" s="5" t="s">
        <v>1030</v>
      </c>
      <c r="E67" s="8"/>
      <c r="F67" s="8"/>
      <c r="G67" s="5">
        <v>75</v>
      </c>
      <c r="H67" s="499">
        <f>53.8-H68</f>
        <v>51.199999999999996</v>
      </c>
      <c r="I67" s="500"/>
      <c r="J67" s="500"/>
      <c r="K67" s="501"/>
      <c r="L67" s="8"/>
      <c r="M67" s="8"/>
      <c r="N67" s="5">
        <f t="shared" si="2"/>
        <v>4521.0999999999995</v>
      </c>
      <c r="O67" s="499"/>
      <c r="P67" s="501"/>
    </row>
    <row r="68" spans="2:16" hidden="1">
      <c r="B68" s="5">
        <f t="shared" si="0"/>
        <v>64</v>
      </c>
      <c r="C68" s="5" t="s">
        <v>1029</v>
      </c>
      <c r="D68" s="5" t="s">
        <v>1030</v>
      </c>
      <c r="E68" s="8"/>
      <c r="F68" s="8"/>
      <c r="G68" s="5">
        <v>75</v>
      </c>
      <c r="H68" s="499">
        <v>2.6</v>
      </c>
      <c r="I68" s="500"/>
      <c r="J68" s="500"/>
      <c r="K68" s="501"/>
      <c r="L68" s="8"/>
      <c r="M68" s="8"/>
      <c r="N68" s="5">
        <f t="shared" si="2"/>
        <v>4523.7</v>
      </c>
      <c r="O68" s="499"/>
      <c r="P68" s="501"/>
    </row>
    <row r="69" spans="2:16" hidden="1">
      <c r="B69" s="5">
        <f t="shared" si="0"/>
        <v>65</v>
      </c>
      <c r="C69" s="5" t="s">
        <v>1029</v>
      </c>
      <c r="D69" s="5" t="s">
        <v>1014</v>
      </c>
      <c r="E69" s="8"/>
      <c r="F69" s="8"/>
      <c r="G69" s="5">
        <v>75</v>
      </c>
      <c r="H69" s="499">
        <v>41.2</v>
      </c>
      <c r="I69" s="500"/>
      <c r="J69" s="500"/>
      <c r="K69" s="501"/>
      <c r="L69" s="8"/>
      <c r="M69" s="8"/>
      <c r="N69" s="5">
        <f t="shared" si="2"/>
        <v>4564.8999999999996</v>
      </c>
      <c r="O69" s="499"/>
      <c r="P69" s="501"/>
    </row>
    <row r="70" spans="2:16" hidden="1">
      <c r="B70" s="5">
        <f t="shared" si="0"/>
        <v>66</v>
      </c>
      <c r="C70" s="5" t="s">
        <v>1014</v>
      </c>
      <c r="D70" s="5" t="s">
        <v>988</v>
      </c>
      <c r="E70" s="8"/>
      <c r="F70" s="8"/>
      <c r="G70" s="5">
        <v>75</v>
      </c>
      <c r="H70" s="498">
        <f>97.4-73</f>
        <v>24.400000000000006</v>
      </c>
      <c r="I70" s="498"/>
      <c r="J70" s="498"/>
      <c r="K70" s="498"/>
      <c r="L70" s="8"/>
      <c r="M70" s="8"/>
      <c r="N70" s="5">
        <f t="shared" si="2"/>
        <v>4589.2999999999993</v>
      </c>
      <c r="O70" s="499"/>
      <c r="P70" s="501"/>
    </row>
    <row r="71" spans="2:16" hidden="1">
      <c r="B71" s="5">
        <f t="shared" ref="B71:B135" si="3">1+B70</f>
        <v>67</v>
      </c>
      <c r="C71" s="5" t="s">
        <v>1014</v>
      </c>
      <c r="D71" s="5" t="s">
        <v>988</v>
      </c>
      <c r="E71" s="5" t="s">
        <v>199</v>
      </c>
      <c r="F71" s="5">
        <v>0.39</v>
      </c>
      <c r="G71" s="5">
        <v>75</v>
      </c>
      <c r="H71" s="498">
        <v>73</v>
      </c>
      <c r="I71" s="498"/>
      <c r="J71" s="498"/>
      <c r="K71" s="498"/>
      <c r="L71" s="8"/>
      <c r="M71" s="8"/>
      <c r="N71" s="5">
        <f t="shared" si="2"/>
        <v>4662.2999999999993</v>
      </c>
      <c r="O71" s="499"/>
      <c r="P71" s="501"/>
    </row>
    <row r="72" spans="2:16" hidden="1">
      <c r="B72" s="5">
        <f t="shared" si="3"/>
        <v>68</v>
      </c>
      <c r="C72" s="5" t="s">
        <v>988</v>
      </c>
      <c r="D72" s="5" t="s">
        <v>990</v>
      </c>
      <c r="E72" s="5" t="s">
        <v>301</v>
      </c>
      <c r="F72" s="5">
        <v>0.39</v>
      </c>
      <c r="G72" s="5">
        <v>75</v>
      </c>
      <c r="H72" s="498">
        <v>25</v>
      </c>
      <c r="I72" s="498"/>
      <c r="J72" s="498"/>
      <c r="K72" s="498"/>
      <c r="L72" s="8"/>
      <c r="M72" s="8"/>
      <c r="N72" s="5">
        <f t="shared" si="2"/>
        <v>4687.2999999999993</v>
      </c>
      <c r="O72" s="499"/>
      <c r="P72" s="501"/>
    </row>
    <row r="73" spans="2:16" hidden="1">
      <c r="B73" s="5">
        <f t="shared" si="3"/>
        <v>69</v>
      </c>
      <c r="C73" s="5" t="s">
        <v>988</v>
      </c>
      <c r="D73" s="5" t="s">
        <v>990</v>
      </c>
      <c r="E73" s="8"/>
      <c r="F73" s="8"/>
      <c r="G73" s="5">
        <v>75</v>
      </c>
      <c r="H73" s="498">
        <f>113.5-H72</f>
        <v>88.5</v>
      </c>
      <c r="I73" s="498"/>
      <c r="J73" s="498"/>
      <c r="K73" s="498"/>
      <c r="L73" s="8"/>
      <c r="M73" s="8"/>
      <c r="N73" s="5">
        <f t="shared" si="2"/>
        <v>4775.7999999999993</v>
      </c>
      <c r="O73" s="499"/>
      <c r="P73" s="501"/>
    </row>
    <row r="74" spans="2:16" hidden="1">
      <c r="B74" s="5">
        <f t="shared" si="3"/>
        <v>70</v>
      </c>
      <c r="C74" s="5" t="s">
        <v>1031</v>
      </c>
      <c r="D74" s="5" t="s">
        <v>980</v>
      </c>
      <c r="E74" s="8"/>
      <c r="F74" s="8"/>
      <c r="G74" s="5">
        <v>75</v>
      </c>
      <c r="H74" s="499">
        <v>116.3</v>
      </c>
      <c r="I74" s="500"/>
      <c r="J74" s="500"/>
      <c r="K74" s="501"/>
      <c r="L74" s="8"/>
      <c r="M74" s="8"/>
      <c r="N74" s="5">
        <f t="shared" si="2"/>
        <v>4892.0999999999995</v>
      </c>
      <c r="O74" s="10"/>
      <c r="P74" s="11"/>
    </row>
    <row r="75" spans="2:16" hidden="1">
      <c r="B75" s="5">
        <f t="shared" si="3"/>
        <v>71</v>
      </c>
      <c r="C75" s="5" t="s">
        <v>1012</v>
      </c>
      <c r="D75" s="5" t="s">
        <v>1032</v>
      </c>
      <c r="E75" s="8"/>
      <c r="F75" s="8"/>
      <c r="G75" s="5">
        <v>75</v>
      </c>
      <c r="H75" s="499">
        <v>148</v>
      </c>
      <c r="I75" s="500"/>
      <c r="J75" s="500"/>
      <c r="K75" s="501"/>
      <c r="L75" s="8"/>
      <c r="M75" s="8"/>
      <c r="N75" s="5">
        <f t="shared" si="2"/>
        <v>5040.0999999999995</v>
      </c>
      <c r="O75" s="10"/>
      <c r="P75" s="11"/>
    </row>
    <row r="76" spans="2:16" hidden="1">
      <c r="B76" s="5">
        <f t="shared" si="3"/>
        <v>72</v>
      </c>
      <c r="C76" s="5" t="s">
        <v>980</v>
      </c>
      <c r="D76" s="5" t="s">
        <v>1012</v>
      </c>
      <c r="E76" s="8"/>
      <c r="F76" s="8"/>
      <c r="G76" s="5">
        <v>75</v>
      </c>
      <c r="H76" s="499">
        <v>138</v>
      </c>
      <c r="I76" s="500"/>
      <c r="J76" s="500"/>
      <c r="K76" s="501"/>
      <c r="L76" s="8"/>
      <c r="M76" s="8"/>
      <c r="N76" s="5">
        <f t="shared" si="2"/>
        <v>5178.0999999999995</v>
      </c>
      <c r="O76" s="10"/>
      <c r="P76" s="11"/>
    </row>
    <row r="77" spans="2:16" hidden="1">
      <c r="B77" s="5">
        <f t="shared" si="3"/>
        <v>73</v>
      </c>
      <c r="C77" s="6" t="s">
        <v>1033</v>
      </c>
      <c r="D77" s="6" t="s">
        <v>1034</v>
      </c>
      <c r="E77" s="8"/>
      <c r="F77" s="8"/>
      <c r="G77" s="18">
        <v>90</v>
      </c>
      <c r="H77" s="498">
        <v>44.6</v>
      </c>
      <c r="I77" s="498"/>
      <c r="J77" s="498"/>
      <c r="K77" s="498"/>
      <c r="L77" s="8"/>
      <c r="M77" s="8"/>
      <c r="N77" s="5">
        <f t="shared" si="2"/>
        <v>5222.7</v>
      </c>
      <c r="O77" s="499"/>
      <c r="P77" s="501"/>
    </row>
    <row r="78" spans="2:16" hidden="1">
      <c r="B78" s="5">
        <f t="shared" si="3"/>
        <v>74</v>
      </c>
      <c r="C78" s="6" t="s">
        <v>1034</v>
      </c>
      <c r="D78" s="6" t="s">
        <v>1035</v>
      </c>
      <c r="E78" s="8"/>
      <c r="F78" s="8"/>
      <c r="G78" s="18">
        <v>90</v>
      </c>
      <c r="H78" s="498">
        <v>133</v>
      </c>
      <c r="I78" s="498"/>
      <c r="J78" s="498"/>
      <c r="K78" s="498"/>
      <c r="L78" s="8"/>
      <c r="M78" s="8"/>
      <c r="N78" s="5">
        <f t="shared" si="2"/>
        <v>5355.7</v>
      </c>
      <c r="O78" s="499"/>
      <c r="P78" s="501"/>
    </row>
    <row r="79" spans="2:16" hidden="1">
      <c r="B79" s="5">
        <f t="shared" si="3"/>
        <v>75</v>
      </c>
      <c r="C79" s="6" t="s">
        <v>1034</v>
      </c>
      <c r="D79" s="6" t="s">
        <v>1022</v>
      </c>
      <c r="E79" s="8"/>
      <c r="F79" s="8"/>
      <c r="G79" s="18">
        <v>90</v>
      </c>
      <c r="H79" s="498">
        <v>180</v>
      </c>
      <c r="I79" s="498"/>
      <c r="J79" s="498"/>
      <c r="K79" s="498"/>
      <c r="L79" s="8"/>
      <c r="M79" s="8"/>
      <c r="N79" s="5">
        <f t="shared" si="2"/>
        <v>5535.7</v>
      </c>
      <c r="O79" s="499"/>
      <c r="P79" s="501"/>
    </row>
    <row r="80" spans="2:16" hidden="1">
      <c r="B80" s="5">
        <f t="shared" si="3"/>
        <v>76</v>
      </c>
      <c r="C80" s="6" t="s">
        <v>1024</v>
      </c>
      <c r="D80" s="6" t="s">
        <v>977</v>
      </c>
      <c r="E80" s="8"/>
      <c r="F80" s="8"/>
      <c r="G80" s="18">
        <v>90</v>
      </c>
      <c r="H80" s="498">
        <v>12</v>
      </c>
      <c r="I80" s="498"/>
      <c r="J80" s="498"/>
      <c r="K80" s="498"/>
      <c r="L80" s="8"/>
      <c r="M80" s="8"/>
      <c r="N80" s="5">
        <f t="shared" si="2"/>
        <v>5547.7</v>
      </c>
      <c r="O80" s="499"/>
      <c r="P80" s="501"/>
    </row>
    <row r="81" spans="2:16" hidden="1">
      <c r="B81" s="5">
        <f t="shared" si="3"/>
        <v>77</v>
      </c>
      <c r="C81" s="6" t="s">
        <v>977</v>
      </c>
      <c r="D81" s="6" t="s">
        <v>1026</v>
      </c>
      <c r="E81" s="8"/>
      <c r="F81" s="8"/>
      <c r="G81" s="18">
        <v>90</v>
      </c>
      <c r="H81" s="498">
        <v>102</v>
      </c>
      <c r="I81" s="498"/>
      <c r="J81" s="498"/>
      <c r="K81" s="498"/>
      <c r="L81" s="8"/>
      <c r="M81" s="8"/>
      <c r="N81" s="5">
        <f t="shared" si="2"/>
        <v>5649.7</v>
      </c>
      <c r="O81" s="499"/>
      <c r="P81" s="501"/>
    </row>
    <row r="82" spans="2:16" hidden="1">
      <c r="B82" s="5">
        <f t="shared" si="3"/>
        <v>78</v>
      </c>
      <c r="C82" s="6" t="s">
        <v>1036</v>
      </c>
      <c r="D82" s="6" t="s">
        <v>1005</v>
      </c>
      <c r="E82" s="8"/>
      <c r="F82" s="8"/>
      <c r="G82" s="18">
        <v>90</v>
      </c>
      <c r="H82" s="499">
        <v>60.2</v>
      </c>
      <c r="I82" s="500"/>
      <c r="J82" s="500"/>
      <c r="K82" s="501"/>
      <c r="L82" s="8"/>
      <c r="M82" s="8"/>
      <c r="N82" s="5">
        <f t="shared" si="2"/>
        <v>5709.9</v>
      </c>
      <c r="O82" s="10"/>
      <c r="P82" s="11"/>
    </row>
    <row r="83" spans="2:16" hidden="1">
      <c r="B83" s="5">
        <f t="shared" si="3"/>
        <v>79</v>
      </c>
      <c r="C83" s="6" t="s">
        <v>1005</v>
      </c>
      <c r="D83" s="6">
        <v>549</v>
      </c>
      <c r="E83" s="8"/>
      <c r="F83" s="8"/>
      <c r="G83" s="18">
        <v>90</v>
      </c>
      <c r="H83" s="499">
        <v>72.7</v>
      </c>
      <c r="I83" s="500"/>
      <c r="J83" s="500"/>
      <c r="K83" s="501"/>
      <c r="L83" s="8"/>
      <c r="M83" s="8"/>
      <c r="N83" s="5">
        <f t="shared" si="2"/>
        <v>5782.5999999999995</v>
      </c>
      <c r="O83" s="10"/>
      <c r="P83" s="11"/>
    </row>
    <row r="84" spans="2:16" hidden="1">
      <c r="B84" s="5">
        <f t="shared" si="3"/>
        <v>80</v>
      </c>
      <c r="C84" s="6" t="s">
        <v>553</v>
      </c>
      <c r="D84" s="6" t="s">
        <v>949</v>
      </c>
      <c r="E84" s="8"/>
      <c r="F84" s="8"/>
      <c r="G84" s="18">
        <v>90</v>
      </c>
      <c r="H84" s="499">
        <f>63.2-2.5</f>
        <v>60.7</v>
      </c>
      <c r="I84" s="500"/>
      <c r="J84" s="500"/>
      <c r="K84" s="501"/>
      <c r="L84" s="8"/>
      <c r="M84" s="8"/>
      <c r="N84" s="5">
        <f t="shared" si="2"/>
        <v>5843.2999999999993</v>
      </c>
      <c r="O84" s="10"/>
      <c r="P84" s="11"/>
    </row>
    <row r="85" spans="2:16" hidden="1">
      <c r="B85" s="5">
        <f t="shared" si="3"/>
        <v>81</v>
      </c>
      <c r="C85" s="6" t="s">
        <v>553</v>
      </c>
      <c r="D85" s="6" t="s">
        <v>949</v>
      </c>
      <c r="E85" s="5" t="s">
        <v>199</v>
      </c>
      <c r="F85" s="5">
        <v>0.39</v>
      </c>
      <c r="G85" s="18">
        <v>90</v>
      </c>
      <c r="H85" s="499">
        <v>2.5</v>
      </c>
      <c r="I85" s="500"/>
      <c r="J85" s="500"/>
      <c r="K85" s="501"/>
      <c r="L85" s="8"/>
      <c r="M85" s="8"/>
      <c r="N85" s="5">
        <f t="shared" si="2"/>
        <v>5845.7999999999993</v>
      </c>
      <c r="O85" s="10"/>
      <c r="P85" s="11"/>
    </row>
    <row r="86" spans="2:16" hidden="1">
      <c r="B86" s="5">
        <f t="shared" si="3"/>
        <v>82</v>
      </c>
      <c r="C86" s="6" t="s">
        <v>949</v>
      </c>
      <c r="D86" s="6" t="s">
        <v>951</v>
      </c>
      <c r="E86" s="5"/>
      <c r="F86" s="5"/>
      <c r="G86" s="18">
        <v>90</v>
      </c>
      <c r="H86" s="656">
        <v>97.5</v>
      </c>
      <c r="I86" s="657"/>
      <c r="J86" s="657"/>
      <c r="K86" s="658"/>
      <c r="L86" s="8"/>
      <c r="M86" s="8"/>
      <c r="N86" s="5">
        <f t="shared" si="2"/>
        <v>5943.2999999999993</v>
      </c>
      <c r="O86" s="10"/>
      <c r="P86" s="11"/>
    </row>
    <row r="87" spans="2:16" hidden="1">
      <c r="B87" s="5">
        <f t="shared" si="3"/>
        <v>83</v>
      </c>
      <c r="C87" s="6" t="s">
        <v>951</v>
      </c>
      <c r="D87" s="6" t="s">
        <v>953</v>
      </c>
      <c r="E87" s="5"/>
      <c r="F87" s="5"/>
      <c r="G87" s="18">
        <v>90</v>
      </c>
      <c r="H87" s="656">
        <v>27.2</v>
      </c>
      <c r="I87" s="657"/>
      <c r="J87" s="657"/>
      <c r="K87" s="658"/>
      <c r="L87" s="8"/>
      <c r="M87" s="8"/>
      <c r="N87" s="5">
        <f t="shared" si="2"/>
        <v>5970.4999999999991</v>
      </c>
      <c r="O87" s="10"/>
      <c r="P87" s="11"/>
    </row>
    <row r="88" spans="2:16" hidden="1">
      <c r="B88" s="5">
        <f t="shared" si="3"/>
        <v>84</v>
      </c>
      <c r="C88" s="6" t="s">
        <v>951</v>
      </c>
      <c r="D88" s="6" t="s">
        <v>955</v>
      </c>
      <c r="E88" s="5"/>
      <c r="F88" s="5"/>
      <c r="G88" s="18">
        <v>90</v>
      </c>
      <c r="H88" s="656">
        <v>182.7</v>
      </c>
      <c r="I88" s="657"/>
      <c r="J88" s="657"/>
      <c r="K88" s="658"/>
      <c r="L88" s="8"/>
      <c r="M88" s="8"/>
      <c r="N88" s="5">
        <f t="shared" si="2"/>
        <v>6153.1999999999989</v>
      </c>
      <c r="O88" s="10"/>
      <c r="P88" s="11"/>
    </row>
    <row r="89" spans="2:16" hidden="1">
      <c r="B89" s="5">
        <f t="shared" si="3"/>
        <v>85</v>
      </c>
      <c r="C89" s="6" t="s">
        <v>959</v>
      </c>
      <c r="D89" s="6" t="s">
        <v>964</v>
      </c>
      <c r="E89" s="5"/>
      <c r="F89" s="5"/>
      <c r="G89" s="18">
        <v>90</v>
      </c>
      <c r="H89" s="499">
        <v>47.5</v>
      </c>
      <c r="I89" s="500"/>
      <c r="J89" s="500"/>
      <c r="K89" s="501"/>
      <c r="L89" s="8"/>
      <c r="M89" s="8"/>
      <c r="N89" s="5">
        <f t="shared" si="2"/>
        <v>6200.6999999999989</v>
      </c>
      <c r="O89" s="10"/>
      <c r="P89" s="11"/>
    </row>
    <row r="90" spans="2:16" hidden="1">
      <c r="B90" s="5">
        <f t="shared" si="3"/>
        <v>86</v>
      </c>
      <c r="C90" s="5" t="s">
        <v>1037</v>
      </c>
      <c r="D90" s="5" t="s">
        <v>1038</v>
      </c>
      <c r="E90" s="5"/>
      <c r="F90" s="5"/>
      <c r="G90" s="18">
        <v>110</v>
      </c>
      <c r="H90" s="656">
        <v>104.5</v>
      </c>
      <c r="I90" s="657"/>
      <c r="J90" s="657"/>
      <c r="K90" s="658"/>
      <c r="L90" s="8"/>
      <c r="M90" s="8"/>
      <c r="N90" s="5">
        <f t="shared" si="2"/>
        <v>6305.1999999999989</v>
      </c>
      <c r="O90" s="10"/>
      <c r="P90" s="11"/>
    </row>
    <row r="91" spans="2:16" hidden="1">
      <c r="B91" s="5">
        <f t="shared" si="3"/>
        <v>87</v>
      </c>
      <c r="C91" s="5" t="s">
        <v>1039</v>
      </c>
      <c r="D91" s="5" t="s">
        <v>1040</v>
      </c>
      <c r="E91" s="5"/>
      <c r="F91" s="5"/>
      <c r="G91" s="18">
        <v>110</v>
      </c>
      <c r="H91" s="656">
        <v>57</v>
      </c>
      <c r="I91" s="657"/>
      <c r="J91" s="657"/>
      <c r="K91" s="658"/>
      <c r="L91" s="8"/>
      <c r="M91" s="8"/>
      <c r="N91" s="5">
        <f t="shared" si="2"/>
        <v>6362.1999999999989</v>
      </c>
      <c r="O91" s="10"/>
      <c r="P91" s="11"/>
    </row>
    <row r="92" spans="2:16" hidden="1">
      <c r="B92" s="5">
        <f t="shared" si="3"/>
        <v>88</v>
      </c>
      <c r="C92" s="5" t="s">
        <v>1041</v>
      </c>
      <c r="D92" s="5" t="s">
        <v>948</v>
      </c>
      <c r="E92" s="8"/>
      <c r="F92" s="8"/>
      <c r="G92" s="5">
        <v>110</v>
      </c>
      <c r="H92" s="498">
        <v>66.2</v>
      </c>
      <c r="I92" s="498"/>
      <c r="J92" s="498"/>
      <c r="K92" s="498"/>
      <c r="L92" s="8"/>
      <c r="M92" s="8"/>
      <c r="N92" s="5">
        <f t="shared" si="2"/>
        <v>6428.3999999999987</v>
      </c>
      <c r="O92" s="499"/>
      <c r="P92" s="501"/>
    </row>
    <row r="93" spans="2:16" hidden="1">
      <c r="B93" s="5">
        <f t="shared" si="3"/>
        <v>89</v>
      </c>
      <c r="C93" s="5" t="s">
        <v>948</v>
      </c>
      <c r="D93" s="5" t="s">
        <v>950</v>
      </c>
      <c r="E93" s="8"/>
      <c r="F93" s="8"/>
      <c r="G93" s="5">
        <v>110</v>
      </c>
      <c r="H93" s="498">
        <v>265</v>
      </c>
      <c r="I93" s="498"/>
      <c r="J93" s="498"/>
      <c r="K93" s="498"/>
      <c r="L93" s="8"/>
      <c r="M93" s="8"/>
      <c r="N93" s="5">
        <f t="shared" si="2"/>
        <v>6693.3999999999987</v>
      </c>
      <c r="O93" s="499"/>
      <c r="P93" s="501"/>
    </row>
    <row r="94" spans="2:16" hidden="1">
      <c r="B94" s="5">
        <f t="shared" si="3"/>
        <v>90</v>
      </c>
      <c r="C94" s="5" t="s">
        <v>1042</v>
      </c>
      <c r="D94" s="5" t="s">
        <v>1018</v>
      </c>
      <c r="E94" s="8"/>
      <c r="F94" s="8"/>
      <c r="G94" s="5">
        <v>110</v>
      </c>
      <c r="H94" s="498">
        <v>96</v>
      </c>
      <c r="I94" s="498"/>
      <c r="J94" s="498"/>
      <c r="K94" s="498"/>
      <c r="L94" s="8"/>
      <c r="M94" s="8"/>
      <c r="N94" s="5">
        <f t="shared" si="2"/>
        <v>6789.3999999999987</v>
      </c>
      <c r="O94" s="499"/>
      <c r="P94" s="501"/>
    </row>
    <row r="95" spans="2:16" hidden="1">
      <c r="B95" s="5">
        <f t="shared" si="3"/>
        <v>91</v>
      </c>
      <c r="C95" s="5" t="s">
        <v>1018</v>
      </c>
      <c r="D95" s="5" t="s">
        <v>954</v>
      </c>
      <c r="E95" s="8"/>
      <c r="F95" s="8"/>
      <c r="G95" s="5">
        <v>110</v>
      </c>
      <c r="H95" s="498">
        <v>52</v>
      </c>
      <c r="I95" s="498"/>
      <c r="J95" s="498"/>
      <c r="K95" s="498"/>
      <c r="L95" s="8"/>
      <c r="M95" s="8"/>
      <c r="N95" s="5">
        <f t="shared" si="2"/>
        <v>6841.3999999999987</v>
      </c>
      <c r="O95" s="499"/>
      <c r="P95" s="501"/>
    </row>
    <row r="96" spans="2:16" hidden="1">
      <c r="B96" s="5">
        <f t="shared" si="3"/>
        <v>92</v>
      </c>
      <c r="C96" s="5" t="s">
        <v>954</v>
      </c>
      <c r="D96" s="5" t="s">
        <v>1020</v>
      </c>
      <c r="E96" s="8"/>
      <c r="F96" s="8"/>
      <c r="G96" s="5">
        <v>110</v>
      </c>
      <c r="H96" s="498">
        <v>58.5</v>
      </c>
      <c r="I96" s="498"/>
      <c r="J96" s="498"/>
      <c r="K96" s="498"/>
      <c r="L96" s="8"/>
      <c r="M96" s="8"/>
      <c r="N96" s="5">
        <f t="shared" si="2"/>
        <v>6899.8999999999987</v>
      </c>
      <c r="O96" s="499"/>
      <c r="P96" s="501"/>
    </row>
    <row r="97" spans="2:19" hidden="1">
      <c r="B97" s="5">
        <f t="shared" si="3"/>
        <v>93</v>
      </c>
      <c r="C97" s="5" t="s">
        <v>1020</v>
      </c>
      <c r="D97" s="5" t="s">
        <v>1043</v>
      </c>
      <c r="E97" s="8"/>
      <c r="F97" s="8"/>
      <c r="G97" s="5">
        <v>110</v>
      </c>
      <c r="H97" s="498">
        <f>80-4.2</f>
        <v>75.8</v>
      </c>
      <c r="I97" s="498"/>
      <c r="J97" s="498"/>
      <c r="K97" s="498"/>
      <c r="L97" s="8"/>
      <c r="M97" s="8"/>
      <c r="N97" s="5">
        <f t="shared" si="2"/>
        <v>6975.6999999999989</v>
      </c>
      <c r="O97" s="499"/>
      <c r="P97" s="501"/>
    </row>
    <row r="98" spans="2:19">
      <c r="B98" s="5">
        <f t="shared" si="3"/>
        <v>94</v>
      </c>
      <c r="C98" s="5" t="s">
        <v>1020</v>
      </c>
      <c r="D98" s="5" t="s">
        <v>1043</v>
      </c>
      <c r="E98" s="18" t="s">
        <v>960</v>
      </c>
      <c r="F98" s="18">
        <v>0.44</v>
      </c>
      <c r="G98" s="5">
        <v>110</v>
      </c>
      <c r="H98" s="499">
        <v>4.2</v>
      </c>
      <c r="I98" s="500"/>
      <c r="J98" s="500"/>
      <c r="K98" s="501"/>
      <c r="L98" s="8"/>
      <c r="M98" s="8"/>
      <c r="N98" s="5">
        <f t="shared" si="2"/>
        <v>6979.8999999999987</v>
      </c>
      <c r="O98" s="10"/>
      <c r="P98" s="11"/>
    </row>
    <row r="99" spans="2:19" hidden="1">
      <c r="B99" s="5">
        <f t="shared" si="3"/>
        <v>95</v>
      </c>
      <c r="C99" s="5" t="s">
        <v>970</v>
      </c>
      <c r="D99" s="5" t="s">
        <v>972</v>
      </c>
      <c r="E99" s="8"/>
      <c r="F99" s="8"/>
      <c r="G99" s="5">
        <v>110</v>
      </c>
      <c r="H99" s="498">
        <v>37.5</v>
      </c>
      <c r="I99" s="498"/>
      <c r="J99" s="498"/>
      <c r="K99" s="498"/>
      <c r="L99" s="8"/>
      <c r="M99" s="8"/>
      <c r="N99" s="5">
        <f t="shared" si="2"/>
        <v>7017.3999999999987</v>
      </c>
      <c r="O99" s="499"/>
      <c r="P99" s="501"/>
    </row>
    <row r="100" spans="2:19" hidden="1">
      <c r="B100" s="5">
        <f t="shared" si="3"/>
        <v>96</v>
      </c>
      <c r="C100" s="5" t="s">
        <v>972</v>
      </c>
      <c r="D100" s="5" t="s">
        <v>1044</v>
      </c>
      <c r="E100" s="8"/>
      <c r="F100" s="8"/>
      <c r="G100" s="5">
        <v>110</v>
      </c>
      <c r="H100" s="498">
        <v>27</v>
      </c>
      <c r="I100" s="498"/>
      <c r="J100" s="498"/>
      <c r="K100" s="498"/>
      <c r="L100" s="8"/>
      <c r="M100" s="8"/>
      <c r="N100" s="5">
        <f t="shared" si="2"/>
        <v>7044.3999999999987</v>
      </c>
      <c r="O100" s="499"/>
      <c r="P100" s="501"/>
    </row>
    <row r="101" spans="2:19" hidden="1">
      <c r="B101" s="5">
        <f t="shared" si="3"/>
        <v>97</v>
      </c>
      <c r="C101" s="5" t="s">
        <v>1044</v>
      </c>
      <c r="D101" s="5" t="s">
        <v>1044</v>
      </c>
      <c r="E101" s="8"/>
      <c r="F101" s="8"/>
      <c r="G101" s="5">
        <v>110</v>
      </c>
      <c r="H101" s="499">
        <v>26</v>
      </c>
      <c r="I101" s="500"/>
      <c r="J101" s="500"/>
      <c r="K101" s="501"/>
      <c r="L101" s="8"/>
      <c r="M101" s="8"/>
      <c r="N101" s="5">
        <f t="shared" si="2"/>
        <v>7070.3999999999987</v>
      </c>
      <c r="O101" s="499"/>
      <c r="P101" s="501"/>
    </row>
    <row r="102" spans="2:19" hidden="1">
      <c r="B102" s="5">
        <f t="shared" si="3"/>
        <v>98</v>
      </c>
      <c r="C102" s="5" t="s">
        <v>976</v>
      </c>
      <c r="D102" s="5" t="s">
        <v>1033</v>
      </c>
      <c r="E102" s="8"/>
      <c r="F102" s="8"/>
      <c r="G102" s="5">
        <v>110</v>
      </c>
      <c r="H102" s="499">
        <v>33.799999999999997</v>
      </c>
      <c r="I102" s="500"/>
      <c r="J102" s="500"/>
      <c r="K102" s="501"/>
      <c r="L102" s="8"/>
      <c r="M102" s="8"/>
      <c r="N102" s="5">
        <f t="shared" si="2"/>
        <v>7104.1999999999989</v>
      </c>
      <c r="O102" s="499"/>
      <c r="P102" s="501"/>
    </row>
    <row r="103" spans="2:19" hidden="1">
      <c r="B103" s="5">
        <f t="shared" si="3"/>
        <v>99</v>
      </c>
      <c r="C103" s="5" t="s">
        <v>1033</v>
      </c>
      <c r="D103" s="5" t="s">
        <v>1026</v>
      </c>
      <c r="E103" s="8"/>
      <c r="F103" s="8"/>
      <c r="G103" s="5">
        <v>110</v>
      </c>
      <c r="H103" s="499">
        <v>180</v>
      </c>
      <c r="I103" s="500"/>
      <c r="J103" s="500"/>
      <c r="K103" s="501"/>
      <c r="L103" s="8"/>
      <c r="M103" s="8"/>
      <c r="N103" s="5">
        <f t="shared" si="2"/>
        <v>7284.1999999999989</v>
      </c>
      <c r="O103" s="499"/>
      <c r="P103" s="501"/>
    </row>
    <row r="104" spans="2:19" hidden="1">
      <c r="B104" s="5">
        <f t="shared" si="3"/>
        <v>100</v>
      </c>
      <c r="C104" s="5" t="s">
        <v>1040</v>
      </c>
      <c r="D104" s="5" t="s">
        <v>1045</v>
      </c>
      <c r="E104" s="5" t="s">
        <v>199</v>
      </c>
      <c r="F104" s="18">
        <v>0.44</v>
      </c>
      <c r="G104" s="5">
        <v>110</v>
      </c>
      <c r="H104" s="499">
        <v>64</v>
      </c>
      <c r="I104" s="500"/>
      <c r="J104" s="500"/>
      <c r="K104" s="501"/>
      <c r="L104" s="8"/>
      <c r="M104" s="8"/>
      <c r="N104" s="5">
        <f t="shared" si="2"/>
        <v>7348.1999999999989</v>
      </c>
      <c r="O104" s="10"/>
      <c r="P104" s="11"/>
    </row>
    <row r="105" spans="2:19" hidden="1">
      <c r="B105" s="5">
        <f t="shared" si="3"/>
        <v>101</v>
      </c>
      <c r="C105" s="5" t="s">
        <v>1040</v>
      </c>
      <c r="D105" s="5" t="s">
        <v>1045</v>
      </c>
      <c r="E105" s="8"/>
      <c r="F105" s="8"/>
      <c r="G105" s="5">
        <v>110</v>
      </c>
      <c r="H105" s="499">
        <v>85</v>
      </c>
      <c r="I105" s="500"/>
      <c r="J105" s="500"/>
      <c r="K105" s="501"/>
      <c r="L105" s="8"/>
      <c r="M105" s="8"/>
      <c r="N105" s="5">
        <f t="shared" si="2"/>
        <v>7433.1999999999989</v>
      </c>
      <c r="O105" s="10"/>
      <c r="P105" s="11"/>
    </row>
    <row r="106" spans="2:19" hidden="1">
      <c r="B106" s="5">
        <f t="shared" si="3"/>
        <v>102</v>
      </c>
      <c r="C106" s="5" t="s">
        <v>1046</v>
      </c>
      <c r="D106" s="5" t="s">
        <v>1047</v>
      </c>
      <c r="E106" s="8"/>
      <c r="F106" s="8"/>
      <c r="G106" s="5">
        <v>110</v>
      </c>
      <c r="H106" s="499">
        <v>40</v>
      </c>
      <c r="I106" s="500"/>
      <c r="J106" s="500"/>
      <c r="K106" s="501"/>
      <c r="L106" s="8"/>
      <c r="M106" s="8"/>
      <c r="N106" s="5">
        <f t="shared" si="2"/>
        <v>7473.1999999999989</v>
      </c>
      <c r="O106" s="10"/>
      <c r="P106" s="11"/>
    </row>
    <row r="107" spans="2:19" hidden="1">
      <c r="B107" s="5">
        <f t="shared" si="3"/>
        <v>103</v>
      </c>
      <c r="C107" s="5" t="s">
        <v>581</v>
      </c>
      <c r="D107" s="5" t="s">
        <v>287</v>
      </c>
      <c r="E107" s="8"/>
      <c r="F107" s="8"/>
      <c r="G107" s="5">
        <v>110</v>
      </c>
      <c r="H107" s="499">
        <v>30</v>
      </c>
      <c r="I107" s="500"/>
      <c r="J107" s="500"/>
      <c r="K107" s="501"/>
      <c r="L107" s="8"/>
      <c r="M107" s="8"/>
      <c r="N107" s="5">
        <f t="shared" si="2"/>
        <v>7503.1999999999989</v>
      </c>
      <c r="O107" s="10"/>
      <c r="P107" s="11"/>
    </row>
    <row r="108" spans="2:19" hidden="1">
      <c r="B108" s="5">
        <f t="shared" si="3"/>
        <v>104</v>
      </c>
      <c r="C108" s="5" t="s">
        <v>1047</v>
      </c>
      <c r="D108" s="5" t="s">
        <v>958</v>
      </c>
      <c r="E108" s="8"/>
      <c r="F108" s="8"/>
      <c r="G108" s="5">
        <v>110</v>
      </c>
      <c r="H108" s="499">
        <v>375</v>
      </c>
      <c r="I108" s="500"/>
      <c r="J108" s="500"/>
      <c r="K108" s="501"/>
      <c r="L108" s="8"/>
      <c r="M108" s="8"/>
      <c r="N108" s="5">
        <f t="shared" si="2"/>
        <v>7878.1999999999989</v>
      </c>
      <c r="O108" s="10"/>
      <c r="P108" s="11"/>
    </row>
    <row r="109" spans="2:19" hidden="1">
      <c r="B109" s="5">
        <f t="shared" si="3"/>
        <v>105</v>
      </c>
      <c r="C109" s="5" t="s">
        <v>958</v>
      </c>
      <c r="D109" s="5" t="s">
        <v>955</v>
      </c>
      <c r="E109" s="8"/>
      <c r="F109" s="8"/>
      <c r="G109" s="5">
        <v>110</v>
      </c>
      <c r="H109" s="499">
        <v>65</v>
      </c>
      <c r="I109" s="500"/>
      <c r="J109" s="500"/>
      <c r="K109" s="501"/>
      <c r="L109" s="8"/>
      <c r="M109" s="8"/>
      <c r="N109" s="5">
        <f t="shared" si="2"/>
        <v>7943.1999999999989</v>
      </c>
      <c r="O109" s="10"/>
      <c r="P109" s="11"/>
    </row>
    <row r="110" spans="2:19" hidden="1">
      <c r="B110" s="5">
        <f t="shared" si="3"/>
        <v>106</v>
      </c>
      <c r="C110" s="5" t="s">
        <v>955</v>
      </c>
      <c r="D110" s="5" t="s">
        <v>1036</v>
      </c>
      <c r="E110" s="8"/>
      <c r="F110" s="8"/>
      <c r="G110" s="5">
        <v>110</v>
      </c>
      <c r="H110" s="499">
        <v>204</v>
      </c>
      <c r="I110" s="500"/>
      <c r="J110" s="500"/>
      <c r="K110" s="501"/>
      <c r="L110" s="8"/>
      <c r="M110" s="8"/>
      <c r="N110" s="5">
        <f t="shared" si="2"/>
        <v>8147.1999999999989</v>
      </c>
      <c r="O110" s="10"/>
      <c r="P110" s="11"/>
      <c r="S110">
        <f>207.6-202</f>
        <v>5.5999999999999943</v>
      </c>
    </row>
    <row r="111" spans="2:19" hidden="1">
      <c r="B111" s="5">
        <f t="shared" si="3"/>
        <v>107</v>
      </c>
      <c r="C111" s="5" t="s">
        <v>1036</v>
      </c>
      <c r="D111" s="5" t="s">
        <v>1048</v>
      </c>
      <c r="E111" s="8"/>
      <c r="F111" s="8"/>
      <c r="G111" s="5">
        <v>110</v>
      </c>
      <c r="H111" s="499">
        <v>454</v>
      </c>
      <c r="I111" s="500"/>
      <c r="J111" s="500"/>
      <c r="K111" s="501"/>
      <c r="L111" s="8"/>
      <c r="M111" s="8"/>
      <c r="N111" s="5">
        <f t="shared" si="2"/>
        <v>8601.1999999999989</v>
      </c>
      <c r="O111" s="10"/>
      <c r="P111" s="11"/>
    </row>
    <row r="112" spans="2:19" hidden="1">
      <c r="B112" s="5">
        <f t="shared" si="3"/>
        <v>108</v>
      </c>
      <c r="C112" s="5" t="s">
        <v>958</v>
      </c>
      <c r="D112" s="5" t="s">
        <v>959</v>
      </c>
      <c r="E112" s="8"/>
      <c r="F112" s="8"/>
      <c r="G112" s="5">
        <v>110</v>
      </c>
      <c r="H112" s="499">
        <f>207.6-12.6</f>
        <v>195</v>
      </c>
      <c r="I112" s="500"/>
      <c r="J112" s="500"/>
      <c r="K112" s="501"/>
      <c r="L112" s="8"/>
      <c r="M112" s="8"/>
      <c r="N112" s="5">
        <f t="shared" si="2"/>
        <v>8796.1999999999989</v>
      </c>
      <c r="O112" s="10"/>
      <c r="P112" s="11"/>
    </row>
    <row r="113" spans="2:19" hidden="1">
      <c r="B113" s="5">
        <f t="shared" si="3"/>
        <v>109</v>
      </c>
      <c r="C113" s="5" t="s">
        <v>958</v>
      </c>
      <c r="D113" s="5" t="s">
        <v>959</v>
      </c>
      <c r="E113" s="5" t="s">
        <v>199</v>
      </c>
      <c r="F113" s="5">
        <v>0.44</v>
      </c>
      <c r="G113" s="5">
        <v>110</v>
      </c>
      <c r="H113" s="499">
        <v>7</v>
      </c>
      <c r="I113" s="500"/>
      <c r="J113" s="500"/>
      <c r="K113" s="501"/>
      <c r="L113" s="8"/>
      <c r="M113" s="8"/>
      <c r="N113" s="5">
        <f t="shared" si="2"/>
        <v>8803.1999999999989</v>
      </c>
      <c r="O113" s="10"/>
      <c r="P113" s="11"/>
      <c r="S113">
        <f>7+5.6</f>
        <v>12.6</v>
      </c>
    </row>
    <row r="114" spans="2:19" hidden="1">
      <c r="B114" s="5">
        <f t="shared" si="3"/>
        <v>110</v>
      </c>
      <c r="C114" s="5" t="s">
        <v>958</v>
      </c>
      <c r="D114" s="5" t="s">
        <v>959</v>
      </c>
      <c r="E114" s="5" t="s">
        <v>1049</v>
      </c>
      <c r="F114" s="5">
        <v>0.44</v>
      </c>
      <c r="G114" s="5">
        <v>110</v>
      </c>
      <c r="H114" s="499">
        <v>5.6</v>
      </c>
      <c r="I114" s="500"/>
      <c r="J114" s="500"/>
      <c r="K114" s="501"/>
      <c r="L114" s="8"/>
      <c r="M114" s="8"/>
      <c r="N114" s="5">
        <f t="shared" si="2"/>
        <v>8808.7999999999993</v>
      </c>
      <c r="O114" s="10"/>
      <c r="P114" s="11"/>
    </row>
    <row r="115" spans="2:19" hidden="1">
      <c r="B115" s="5">
        <f t="shared" si="3"/>
        <v>111</v>
      </c>
      <c r="C115" s="5" t="s">
        <v>959</v>
      </c>
      <c r="D115" s="5" t="s">
        <v>961</v>
      </c>
      <c r="E115" s="8"/>
      <c r="F115" s="8"/>
      <c r="G115" s="5">
        <v>110</v>
      </c>
      <c r="H115" s="499">
        <v>30.3</v>
      </c>
      <c r="I115" s="500"/>
      <c r="J115" s="500"/>
      <c r="K115" s="501"/>
      <c r="L115" s="8"/>
      <c r="M115" s="8"/>
      <c r="N115" s="5">
        <f t="shared" ref="N115:N135" si="4">+N114+H115</f>
        <v>8839.0999999999985</v>
      </c>
      <c r="O115" s="10"/>
      <c r="P115" s="11"/>
    </row>
    <row r="116" spans="2:19" hidden="1">
      <c r="B116" s="5">
        <f t="shared" si="3"/>
        <v>112</v>
      </c>
      <c r="C116" s="5" t="s">
        <v>964</v>
      </c>
      <c r="D116" s="5" t="s">
        <v>566</v>
      </c>
      <c r="E116" s="8"/>
      <c r="F116" s="8"/>
      <c r="G116" s="5">
        <v>110</v>
      </c>
      <c r="H116" s="499">
        <f>40-2.5</f>
        <v>37.5</v>
      </c>
      <c r="I116" s="500"/>
      <c r="J116" s="500"/>
      <c r="K116" s="501"/>
      <c r="L116" s="8"/>
      <c r="M116" s="8"/>
      <c r="N116" s="5">
        <f t="shared" si="4"/>
        <v>8876.5999999999985</v>
      </c>
      <c r="O116" s="10"/>
      <c r="P116" s="11"/>
    </row>
    <row r="117" spans="2:19" hidden="1">
      <c r="B117" s="5">
        <f t="shared" si="3"/>
        <v>113</v>
      </c>
      <c r="C117" s="5" t="s">
        <v>964</v>
      </c>
      <c r="D117" s="5" t="s">
        <v>566</v>
      </c>
      <c r="E117" s="8"/>
      <c r="F117" s="8"/>
      <c r="G117" s="5">
        <v>110</v>
      </c>
      <c r="H117" s="499">
        <v>2.5</v>
      </c>
      <c r="I117" s="500"/>
      <c r="J117" s="500"/>
      <c r="K117" s="501"/>
      <c r="L117" s="8"/>
      <c r="M117" s="8"/>
      <c r="N117" s="5">
        <f t="shared" si="4"/>
        <v>8879.0999999999985</v>
      </c>
      <c r="O117" s="10"/>
      <c r="P117" s="11"/>
    </row>
    <row r="118" spans="2:19" hidden="1">
      <c r="B118" s="5">
        <f t="shared" si="3"/>
        <v>114</v>
      </c>
      <c r="C118" s="5" t="s">
        <v>1050</v>
      </c>
      <c r="D118" s="5" t="s">
        <v>333</v>
      </c>
      <c r="E118" s="8"/>
      <c r="F118" s="8"/>
      <c r="G118" s="5">
        <v>140</v>
      </c>
      <c r="H118" s="499">
        <v>57</v>
      </c>
      <c r="I118" s="500"/>
      <c r="J118" s="500"/>
      <c r="K118" s="501"/>
      <c r="L118" s="8"/>
      <c r="M118" s="8"/>
      <c r="N118" s="5">
        <f t="shared" si="4"/>
        <v>8936.0999999999985</v>
      </c>
      <c r="O118" s="10"/>
      <c r="P118" s="11"/>
    </row>
    <row r="119" spans="2:19" hidden="1">
      <c r="B119" s="5">
        <f t="shared" si="3"/>
        <v>115</v>
      </c>
      <c r="C119" s="5" t="s">
        <v>333</v>
      </c>
      <c r="D119" s="5" t="s">
        <v>580</v>
      </c>
      <c r="E119" s="8"/>
      <c r="F119" s="8"/>
      <c r="G119" s="5">
        <v>140</v>
      </c>
      <c r="H119" s="499">
        <v>96.3</v>
      </c>
      <c r="I119" s="500"/>
      <c r="J119" s="500"/>
      <c r="K119" s="501"/>
      <c r="L119" s="8"/>
      <c r="M119" s="8"/>
      <c r="N119" s="5">
        <f t="shared" si="4"/>
        <v>9032.3999999999978</v>
      </c>
      <c r="O119" s="10"/>
      <c r="P119" s="11"/>
    </row>
    <row r="120" spans="2:19" hidden="1">
      <c r="B120" s="5">
        <f t="shared" si="3"/>
        <v>116</v>
      </c>
      <c r="C120" s="5" t="s">
        <v>1003</v>
      </c>
      <c r="D120" s="5" t="s">
        <v>1028</v>
      </c>
      <c r="E120" s="5"/>
      <c r="F120" s="5"/>
      <c r="G120" s="5">
        <v>140</v>
      </c>
      <c r="H120" s="499">
        <v>238.8</v>
      </c>
      <c r="I120" s="500"/>
      <c r="J120" s="500"/>
      <c r="K120" s="501"/>
      <c r="L120" s="8"/>
      <c r="M120" s="8"/>
      <c r="N120" s="5">
        <f t="shared" si="4"/>
        <v>9271.1999999999971</v>
      </c>
      <c r="O120" s="499"/>
      <c r="P120" s="501"/>
    </row>
    <row r="121" spans="2:19" hidden="1">
      <c r="B121" s="5">
        <f t="shared" si="3"/>
        <v>117</v>
      </c>
      <c r="C121" s="5" t="s">
        <v>580</v>
      </c>
      <c r="D121" s="5" t="s">
        <v>617</v>
      </c>
      <c r="E121" s="5"/>
      <c r="F121" s="5"/>
      <c r="G121" s="5">
        <v>140</v>
      </c>
      <c r="H121" s="499">
        <v>13</v>
      </c>
      <c r="I121" s="500"/>
      <c r="J121" s="500"/>
      <c r="K121" s="501"/>
      <c r="L121" s="8"/>
      <c r="M121" s="8"/>
      <c r="N121" s="5">
        <f t="shared" si="4"/>
        <v>9284.1999999999971</v>
      </c>
      <c r="O121" s="10"/>
      <c r="P121" s="11"/>
    </row>
    <row r="122" spans="2:19" hidden="1">
      <c r="B122" s="5">
        <f t="shared" si="3"/>
        <v>118</v>
      </c>
      <c r="C122" s="5" t="s">
        <v>617</v>
      </c>
      <c r="D122" s="5" t="s">
        <v>1051</v>
      </c>
      <c r="E122" s="5"/>
      <c r="F122" s="5"/>
      <c r="G122" s="5">
        <v>140</v>
      </c>
      <c r="H122" s="499">
        <v>65.3</v>
      </c>
      <c r="I122" s="500"/>
      <c r="J122" s="500"/>
      <c r="K122" s="501"/>
      <c r="L122" s="8"/>
      <c r="M122" s="8"/>
      <c r="N122" s="5">
        <f t="shared" si="4"/>
        <v>9349.4999999999964</v>
      </c>
      <c r="O122" s="10"/>
      <c r="P122" s="11"/>
    </row>
    <row r="123" spans="2:19" hidden="1">
      <c r="B123" s="5">
        <f t="shared" si="3"/>
        <v>119</v>
      </c>
      <c r="C123" s="5" t="s">
        <v>1051</v>
      </c>
      <c r="D123" s="5" t="s">
        <v>1003</v>
      </c>
      <c r="E123" s="5"/>
      <c r="F123" s="5"/>
      <c r="G123" s="5">
        <v>140</v>
      </c>
      <c r="H123" s="499">
        <v>27</v>
      </c>
      <c r="I123" s="500"/>
      <c r="J123" s="500"/>
      <c r="K123" s="501"/>
      <c r="L123" s="8"/>
      <c r="M123" s="8"/>
      <c r="N123" s="5">
        <f t="shared" si="4"/>
        <v>9376.4999999999964</v>
      </c>
      <c r="O123" s="10"/>
      <c r="P123" s="11"/>
    </row>
    <row r="124" spans="2:19" hidden="1">
      <c r="B124" s="5">
        <f t="shared" si="3"/>
        <v>120</v>
      </c>
      <c r="C124" s="5" t="s">
        <v>1051</v>
      </c>
      <c r="D124" s="5" t="s">
        <v>1037</v>
      </c>
      <c r="E124" s="5"/>
      <c r="F124" s="5"/>
      <c r="G124" s="5">
        <v>140</v>
      </c>
      <c r="H124" s="499">
        <v>210</v>
      </c>
      <c r="I124" s="500"/>
      <c r="J124" s="500"/>
      <c r="K124" s="501"/>
      <c r="L124" s="8"/>
      <c r="M124" s="8"/>
      <c r="N124" s="5">
        <f t="shared" si="4"/>
        <v>9586.4999999999964</v>
      </c>
      <c r="O124" s="10"/>
      <c r="P124" s="11"/>
    </row>
    <row r="125" spans="2:19" hidden="1">
      <c r="B125" s="5">
        <f t="shared" si="3"/>
        <v>121</v>
      </c>
      <c r="C125" s="5" t="s">
        <v>1052</v>
      </c>
      <c r="D125" s="5" t="s">
        <v>1053</v>
      </c>
      <c r="E125" s="5"/>
      <c r="F125" s="5"/>
      <c r="G125" s="5">
        <v>160</v>
      </c>
      <c r="H125" s="499">
        <v>185.5</v>
      </c>
      <c r="I125" s="500"/>
      <c r="J125" s="500"/>
      <c r="K125" s="501"/>
      <c r="L125" s="8"/>
      <c r="M125" s="8"/>
      <c r="N125" s="5">
        <f t="shared" si="4"/>
        <v>9771.9999999999964</v>
      </c>
      <c r="O125" s="10"/>
      <c r="P125" s="11"/>
    </row>
    <row r="126" spans="2:19" hidden="1">
      <c r="B126" s="5">
        <f t="shared" si="3"/>
        <v>122</v>
      </c>
      <c r="C126" s="5" t="s">
        <v>1054</v>
      </c>
      <c r="D126" s="5" t="s">
        <v>1055</v>
      </c>
      <c r="E126" s="5"/>
      <c r="F126" s="5"/>
      <c r="G126" s="5">
        <v>160</v>
      </c>
      <c r="H126" s="499">
        <v>649.4</v>
      </c>
      <c r="I126" s="500"/>
      <c r="J126" s="500"/>
      <c r="K126" s="501"/>
      <c r="L126" s="8"/>
      <c r="M126" s="8"/>
      <c r="N126" s="5">
        <f t="shared" si="4"/>
        <v>10421.399999999996</v>
      </c>
      <c r="O126" s="10"/>
      <c r="P126" s="11"/>
    </row>
    <row r="127" spans="2:19" hidden="1">
      <c r="B127" s="5">
        <f t="shared" si="3"/>
        <v>123</v>
      </c>
      <c r="C127" s="5" t="s">
        <v>1055</v>
      </c>
      <c r="D127" s="5" t="s">
        <v>1056</v>
      </c>
      <c r="E127" s="5"/>
      <c r="F127" s="5"/>
      <c r="G127" s="5">
        <v>160</v>
      </c>
      <c r="H127" s="499">
        <f>175.3-2.5</f>
        <v>172.8</v>
      </c>
      <c r="I127" s="500"/>
      <c r="J127" s="500"/>
      <c r="K127" s="501"/>
      <c r="L127" s="8"/>
      <c r="M127" s="8"/>
      <c r="N127" s="5">
        <f t="shared" si="4"/>
        <v>10594.199999999995</v>
      </c>
      <c r="O127" s="10"/>
      <c r="P127" s="11"/>
    </row>
    <row r="128" spans="2:19" hidden="1">
      <c r="B128" s="5">
        <f t="shared" si="3"/>
        <v>124</v>
      </c>
      <c r="C128" s="5" t="s">
        <v>1055</v>
      </c>
      <c r="D128" s="5" t="s">
        <v>1056</v>
      </c>
      <c r="E128" s="5" t="s">
        <v>193</v>
      </c>
      <c r="F128" s="5">
        <v>0.44</v>
      </c>
      <c r="G128" s="5">
        <v>160</v>
      </c>
      <c r="H128" s="499">
        <v>2.5</v>
      </c>
      <c r="I128" s="500"/>
      <c r="J128" s="500"/>
      <c r="K128" s="501"/>
      <c r="L128" s="8"/>
      <c r="M128" s="8"/>
      <c r="N128" s="5">
        <f t="shared" si="4"/>
        <v>10596.699999999995</v>
      </c>
      <c r="O128" s="10"/>
      <c r="P128" s="11"/>
    </row>
    <row r="129" spans="2:26" hidden="1">
      <c r="B129" s="5">
        <f t="shared" si="3"/>
        <v>125</v>
      </c>
      <c r="C129" s="5" t="s">
        <v>1053</v>
      </c>
      <c r="D129" s="5" t="s">
        <v>1057</v>
      </c>
      <c r="E129" s="5"/>
      <c r="F129" s="5"/>
      <c r="G129" s="5">
        <v>160</v>
      </c>
      <c r="H129" s="499">
        <v>364.3</v>
      </c>
      <c r="I129" s="500"/>
      <c r="J129" s="500"/>
      <c r="K129" s="501"/>
      <c r="L129" s="8"/>
      <c r="M129" s="8"/>
      <c r="N129" s="5">
        <f t="shared" si="4"/>
        <v>10960.999999999995</v>
      </c>
      <c r="O129" s="499"/>
      <c r="P129" s="501"/>
    </row>
    <row r="130" spans="2:26" hidden="1">
      <c r="B130" s="5">
        <f t="shared" si="3"/>
        <v>126</v>
      </c>
      <c r="C130" s="5" t="s">
        <v>1057</v>
      </c>
      <c r="D130" s="5" t="s">
        <v>1058</v>
      </c>
      <c r="E130" s="5"/>
      <c r="F130" s="5"/>
      <c r="G130" s="5">
        <v>160</v>
      </c>
      <c r="H130" s="499">
        <v>431.5</v>
      </c>
      <c r="I130" s="500"/>
      <c r="J130" s="500"/>
      <c r="K130" s="501"/>
      <c r="L130" s="8"/>
      <c r="M130" s="8"/>
      <c r="N130" s="5">
        <f t="shared" si="4"/>
        <v>11392.499999999995</v>
      </c>
      <c r="O130" s="499"/>
      <c r="P130" s="501"/>
    </row>
    <row r="131" spans="2:26" hidden="1">
      <c r="B131" s="5">
        <f t="shared" si="3"/>
        <v>127</v>
      </c>
      <c r="C131" s="5" t="s">
        <v>1058</v>
      </c>
      <c r="D131" s="5" t="s">
        <v>1059</v>
      </c>
      <c r="E131" s="5"/>
      <c r="F131" s="5"/>
      <c r="G131" s="5">
        <v>160</v>
      </c>
      <c r="H131" s="499">
        <v>45.1</v>
      </c>
      <c r="I131" s="500"/>
      <c r="J131" s="500"/>
      <c r="K131" s="501"/>
      <c r="L131" s="8"/>
      <c r="M131" s="8"/>
      <c r="N131" s="5">
        <f t="shared" si="4"/>
        <v>11437.599999999995</v>
      </c>
      <c r="O131" s="499"/>
      <c r="P131" s="501"/>
    </row>
    <row r="132" spans="2:26" hidden="1">
      <c r="B132" s="5">
        <f t="shared" si="3"/>
        <v>128</v>
      </c>
      <c r="C132" s="5" t="s">
        <v>1059</v>
      </c>
      <c r="D132" s="5" t="s">
        <v>1060</v>
      </c>
      <c r="E132" s="5"/>
      <c r="F132" s="5"/>
      <c r="G132" s="5">
        <v>160</v>
      </c>
      <c r="H132" s="499">
        <v>56.3</v>
      </c>
      <c r="I132" s="500"/>
      <c r="J132" s="500"/>
      <c r="K132" s="501"/>
      <c r="L132" s="8"/>
      <c r="M132" s="8"/>
      <c r="N132" s="5">
        <f t="shared" si="4"/>
        <v>11493.899999999994</v>
      </c>
      <c r="O132" s="499"/>
      <c r="P132" s="501"/>
    </row>
    <row r="133" spans="2:26" hidden="1">
      <c r="B133" s="5">
        <f t="shared" si="3"/>
        <v>129</v>
      </c>
      <c r="C133" s="5" t="s">
        <v>1060</v>
      </c>
      <c r="D133" s="5" t="s">
        <v>1061</v>
      </c>
      <c r="E133" s="5"/>
      <c r="F133" s="5"/>
      <c r="G133" s="5">
        <v>160</v>
      </c>
      <c r="H133" s="499">
        <v>90.1</v>
      </c>
      <c r="I133" s="500"/>
      <c r="J133" s="500"/>
      <c r="K133" s="501"/>
      <c r="L133" s="8"/>
      <c r="M133" s="8"/>
      <c r="N133" s="5">
        <f t="shared" si="4"/>
        <v>11583.999999999995</v>
      </c>
      <c r="O133" s="10"/>
      <c r="P133" s="11"/>
    </row>
    <row r="134" spans="2:26" ht="18" hidden="1">
      <c r="B134" s="5">
        <f t="shared" si="3"/>
        <v>130</v>
      </c>
      <c r="C134" s="5" t="s">
        <v>1054</v>
      </c>
      <c r="D134" s="5" t="s">
        <v>999</v>
      </c>
      <c r="E134" s="8"/>
      <c r="F134" s="8"/>
      <c r="G134" s="18">
        <v>160</v>
      </c>
      <c r="H134" s="499">
        <v>97</v>
      </c>
      <c r="I134" s="500"/>
      <c r="J134" s="500"/>
      <c r="K134" s="501"/>
      <c r="L134" s="8"/>
      <c r="M134" s="8"/>
      <c r="N134" s="5">
        <f t="shared" si="4"/>
        <v>11680.999999999995</v>
      </c>
      <c r="O134" s="499"/>
      <c r="P134" s="501"/>
      <c r="R134" s="127"/>
      <c r="S134" s="127"/>
      <c r="T134" s="127"/>
      <c r="U134" s="127"/>
      <c r="V134" s="127"/>
      <c r="W134" s="127"/>
      <c r="X134" s="127"/>
      <c r="Y134" s="127"/>
      <c r="Z134" s="127"/>
    </row>
    <row r="135" spans="2:26" hidden="1">
      <c r="B135" s="5">
        <f t="shared" si="3"/>
        <v>131</v>
      </c>
      <c r="C135" s="5" t="s">
        <v>999</v>
      </c>
      <c r="D135" s="5" t="s">
        <v>1062</v>
      </c>
      <c r="E135" s="8"/>
      <c r="F135" s="8"/>
      <c r="G135" s="5">
        <v>160</v>
      </c>
      <c r="H135" s="499">
        <v>183</v>
      </c>
      <c r="I135" s="500"/>
      <c r="J135" s="500"/>
      <c r="K135" s="501"/>
      <c r="L135" s="8"/>
      <c r="M135" s="8"/>
      <c r="N135" s="5">
        <f t="shared" si="4"/>
        <v>11863.999999999995</v>
      </c>
      <c r="O135" s="499"/>
      <c r="P135" s="501"/>
    </row>
    <row r="136" spans="2:26">
      <c r="B136" s="5"/>
      <c r="C136" s="8"/>
      <c r="D136" s="8"/>
      <c r="E136" s="8"/>
      <c r="F136" s="8"/>
      <c r="G136" s="8"/>
      <c r="H136" s="499"/>
      <c r="I136" s="500"/>
      <c r="J136" s="500"/>
      <c r="K136" s="501"/>
      <c r="L136" s="8"/>
      <c r="M136" s="8"/>
      <c r="N136" s="8"/>
      <c r="O136" s="499"/>
      <c r="P136" s="501"/>
    </row>
    <row r="137" spans="2:26">
      <c r="B137" s="18">
        <v>63</v>
      </c>
      <c r="C137" s="18">
        <v>75</v>
      </c>
      <c r="D137" s="18">
        <v>90</v>
      </c>
      <c r="E137" s="18">
        <v>110</v>
      </c>
      <c r="F137" s="18">
        <v>140</v>
      </c>
      <c r="G137" s="18">
        <v>160</v>
      </c>
      <c r="H137" s="499"/>
      <c r="I137" s="500"/>
      <c r="J137" s="500"/>
      <c r="K137" s="501"/>
      <c r="L137" s="8"/>
      <c r="M137" s="8"/>
      <c r="N137" s="8"/>
      <c r="O137" s="499"/>
      <c r="P137" s="501"/>
    </row>
    <row r="138" spans="2:26">
      <c r="B138" s="5">
        <f t="shared" ref="B138:G138" si="5">+SUMIF($G$5:$G$135,B137,$H$5:$K$135)</f>
        <v>2490.4999999999991</v>
      </c>
      <c r="C138" s="5">
        <f t="shared" si="5"/>
        <v>2687.6</v>
      </c>
      <c r="D138" s="5">
        <f t="shared" si="5"/>
        <v>1022.6000000000001</v>
      </c>
      <c r="E138" s="5">
        <f t="shared" si="5"/>
        <v>2678.4</v>
      </c>
      <c r="F138" s="5">
        <f t="shared" si="5"/>
        <v>707.40000000000009</v>
      </c>
      <c r="G138" s="5">
        <f t="shared" si="5"/>
        <v>2277.5</v>
      </c>
      <c r="H138" s="499">
        <f>+SUM(B138+C138+D138+E138+F138+G138)</f>
        <v>11863.999999999998</v>
      </c>
      <c r="I138" s="500"/>
      <c r="J138" s="500"/>
      <c r="K138" s="501"/>
      <c r="L138" s="8"/>
      <c r="M138" s="8"/>
      <c r="N138" s="8"/>
      <c r="O138" s="499"/>
      <c r="P138" s="501"/>
    </row>
    <row r="139" spans="2:26" ht="18">
      <c r="B139" s="127">
        <v>4008</v>
      </c>
      <c r="C139" s="127">
        <v>3644</v>
      </c>
      <c r="D139" s="127">
        <v>1029</v>
      </c>
      <c r="E139" s="127">
        <v>2846</v>
      </c>
      <c r="F139" s="127">
        <v>713</v>
      </c>
      <c r="G139" s="127">
        <v>2121</v>
      </c>
      <c r="H139" s="499">
        <f>+SUM(B139+C139+D139+E139+F139+G139)</f>
        <v>14361</v>
      </c>
      <c r="I139" s="500"/>
      <c r="J139" s="500"/>
      <c r="K139" s="501"/>
      <c r="L139" s="8"/>
      <c r="M139" s="8"/>
      <c r="N139" s="8"/>
      <c r="O139" s="499"/>
      <c r="P139" s="501"/>
    </row>
    <row r="140" spans="2:26">
      <c r="B140" s="8" t="s">
        <v>366</v>
      </c>
      <c r="C140" s="8"/>
      <c r="D140" s="8"/>
      <c r="E140" s="8"/>
      <c r="F140" s="8"/>
      <c r="G140" s="8"/>
      <c r="H140" s="8"/>
      <c r="I140" s="8" t="s">
        <v>367</v>
      </c>
      <c r="J140" s="8"/>
      <c r="K140" s="8"/>
      <c r="L140" s="8"/>
      <c r="M140" s="78"/>
      <c r="N140" s="78"/>
      <c r="O140" s="499"/>
      <c r="P140" s="501"/>
    </row>
    <row r="141" spans="2:26">
      <c r="B141" s="8" t="s">
        <v>368</v>
      </c>
      <c r="C141" s="8"/>
      <c r="D141" s="499"/>
      <c r="E141" s="500"/>
      <c r="F141" s="500"/>
      <c r="G141" s="500"/>
      <c r="H141" s="501"/>
      <c r="I141" s="8" t="s">
        <v>368</v>
      </c>
      <c r="J141" s="10"/>
      <c r="K141" s="29"/>
      <c r="L141" s="11"/>
      <c r="M141" s="8"/>
      <c r="N141" s="499"/>
      <c r="O141" s="500"/>
      <c r="P141" s="501"/>
    </row>
    <row r="142" spans="2:26">
      <c r="B142" s="8" t="s">
        <v>369</v>
      </c>
      <c r="C142" s="499"/>
      <c r="D142" s="500"/>
      <c r="E142" s="500"/>
      <c r="F142" s="500"/>
      <c r="G142" s="500"/>
      <c r="H142" s="501"/>
      <c r="I142" s="8" t="s">
        <v>369</v>
      </c>
      <c r="J142" s="499"/>
      <c r="K142" s="500"/>
      <c r="L142" s="500"/>
      <c r="M142" s="500"/>
      <c r="N142" s="500"/>
      <c r="O142" s="500"/>
      <c r="P142" s="501"/>
    </row>
    <row r="143" spans="2:26">
      <c r="B143" s="8" t="s">
        <v>370</v>
      </c>
      <c r="C143" s="8"/>
      <c r="D143" s="499"/>
      <c r="E143" s="500"/>
      <c r="F143" s="500"/>
      <c r="G143" s="500"/>
      <c r="H143" s="501"/>
      <c r="I143" s="8" t="s">
        <v>370</v>
      </c>
      <c r="J143" s="10"/>
      <c r="K143" s="29"/>
      <c r="L143" s="11"/>
      <c r="M143" s="8"/>
      <c r="N143" s="499"/>
      <c r="O143" s="500"/>
      <c r="P143" s="501"/>
    </row>
    <row r="144" spans="2:26">
      <c r="H144" s="609"/>
      <c r="I144" s="609"/>
      <c r="J144" s="609"/>
      <c r="K144" s="609"/>
      <c r="O144" s="609"/>
      <c r="P144" s="609"/>
    </row>
    <row r="145" spans="8:16">
      <c r="H145" s="609"/>
      <c r="I145" s="609"/>
      <c r="J145" s="609"/>
      <c r="K145" s="609"/>
      <c r="O145" s="609"/>
      <c r="P145" s="609"/>
    </row>
    <row r="146" spans="8:16">
      <c r="H146" s="609"/>
      <c r="I146" s="609"/>
      <c r="J146" s="609"/>
      <c r="K146" s="609"/>
      <c r="O146" s="609"/>
      <c r="P146" s="609"/>
    </row>
    <row r="147" spans="8:16">
      <c r="H147" s="609"/>
      <c r="I147" s="609"/>
      <c r="J147" s="609"/>
      <c r="K147" s="609"/>
      <c r="O147" s="609"/>
      <c r="P147" s="609"/>
    </row>
    <row r="148" spans="8:16">
      <c r="H148" s="609"/>
      <c r="I148" s="609"/>
      <c r="J148" s="609"/>
      <c r="K148" s="609"/>
      <c r="O148" s="609"/>
      <c r="P148" s="609"/>
    </row>
    <row r="149" spans="8:16">
      <c r="H149" s="609"/>
      <c r="I149" s="609"/>
      <c r="J149" s="609"/>
      <c r="K149" s="609"/>
      <c r="O149" s="609"/>
      <c r="P149" s="609"/>
    </row>
    <row r="150" spans="8:16">
      <c r="H150" s="609"/>
      <c r="I150" s="609"/>
      <c r="J150" s="609"/>
      <c r="K150" s="609"/>
      <c r="O150" s="609"/>
      <c r="P150" s="609"/>
    </row>
  </sheetData>
  <autoFilter ref="B4:Z135">
    <filterColumn colId="3">
      <filters>
        <filter val="CC ROAD"/>
      </filters>
    </filterColumn>
    <filterColumn colId="6" showButton="0"/>
    <filterColumn colId="7" showButton="0"/>
    <filterColumn colId="8" showButton="0"/>
    <filterColumn colId="9" showButton="0"/>
    <filterColumn colId="10" showButton="0"/>
    <filterColumn colId="13" showButton="0"/>
  </autoFilter>
  <mergeCells count="255">
    <mergeCell ref="B3:N3"/>
    <mergeCell ref="H4:M4"/>
    <mergeCell ref="H5:K5"/>
    <mergeCell ref="O5:P5"/>
    <mergeCell ref="H6:K6"/>
    <mergeCell ref="O6:P6"/>
    <mergeCell ref="H7:K7"/>
    <mergeCell ref="O7:P7"/>
    <mergeCell ref="H8:K8"/>
    <mergeCell ref="O8:P8"/>
    <mergeCell ref="H9:K9"/>
    <mergeCell ref="O9:P9"/>
    <mergeCell ref="H10:K10"/>
    <mergeCell ref="O10:P10"/>
    <mergeCell ref="H11:K11"/>
    <mergeCell ref="O11:P11"/>
    <mergeCell ref="H12:K12"/>
    <mergeCell ref="O12:P12"/>
    <mergeCell ref="H13:K13"/>
    <mergeCell ref="O13:P13"/>
    <mergeCell ref="H14:K14"/>
    <mergeCell ref="O14:P14"/>
    <mergeCell ref="H15:K15"/>
    <mergeCell ref="O15:P15"/>
    <mergeCell ref="H16:K16"/>
    <mergeCell ref="O16:P16"/>
    <mergeCell ref="H17:K17"/>
    <mergeCell ref="O17:P17"/>
    <mergeCell ref="H18:K18"/>
    <mergeCell ref="O18:P18"/>
    <mergeCell ref="H19:K19"/>
    <mergeCell ref="O19:P19"/>
    <mergeCell ref="H20:K20"/>
    <mergeCell ref="O20:P20"/>
    <mergeCell ref="H21:K21"/>
    <mergeCell ref="O21:P21"/>
    <mergeCell ref="H22:K22"/>
    <mergeCell ref="O22:P22"/>
    <mergeCell ref="H23:K23"/>
    <mergeCell ref="O23:P23"/>
    <mergeCell ref="H24:K24"/>
    <mergeCell ref="O24:P24"/>
    <mergeCell ref="H25:K25"/>
    <mergeCell ref="O25:P25"/>
    <mergeCell ref="H26:K26"/>
    <mergeCell ref="O26:P26"/>
    <mergeCell ref="H27:K27"/>
    <mergeCell ref="O27:P27"/>
    <mergeCell ref="H28:K28"/>
    <mergeCell ref="O28:P28"/>
    <mergeCell ref="H29:K29"/>
    <mergeCell ref="O29:P29"/>
    <mergeCell ref="H30:K30"/>
    <mergeCell ref="O30:P30"/>
    <mergeCell ref="H31:K31"/>
    <mergeCell ref="O31:P31"/>
    <mergeCell ref="H32:K32"/>
    <mergeCell ref="O32:P32"/>
    <mergeCell ref="H33:K33"/>
    <mergeCell ref="O33:P33"/>
    <mergeCell ref="H34:K34"/>
    <mergeCell ref="O34:P34"/>
    <mergeCell ref="H35:K35"/>
    <mergeCell ref="O35:P35"/>
    <mergeCell ref="H36:K36"/>
    <mergeCell ref="O36:P36"/>
    <mergeCell ref="H37:K37"/>
    <mergeCell ref="O37:P37"/>
    <mergeCell ref="H38:K38"/>
    <mergeCell ref="O38:P38"/>
    <mergeCell ref="H39:K39"/>
    <mergeCell ref="O39:P39"/>
    <mergeCell ref="H40:K40"/>
    <mergeCell ref="O40:P40"/>
    <mergeCell ref="H41:K41"/>
    <mergeCell ref="O41:P41"/>
    <mergeCell ref="H42:K42"/>
    <mergeCell ref="O42:P42"/>
    <mergeCell ref="H43:K43"/>
    <mergeCell ref="O43:P43"/>
    <mergeCell ref="H44:K44"/>
    <mergeCell ref="O44:P44"/>
    <mergeCell ref="H45:K45"/>
    <mergeCell ref="O45:P45"/>
    <mergeCell ref="H46:K46"/>
    <mergeCell ref="O46:P46"/>
    <mergeCell ref="H47:K47"/>
    <mergeCell ref="O47:P47"/>
    <mergeCell ref="H48:K48"/>
    <mergeCell ref="O48:P48"/>
    <mergeCell ref="H49:K49"/>
    <mergeCell ref="O49:P49"/>
    <mergeCell ref="H50:K50"/>
    <mergeCell ref="O50:P50"/>
    <mergeCell ref="H51:K51"/>
    <mergeCell ref="O51:P51"/>
    <mergeCell ref="H52:K52"/>
    <mergeCell ref="O52:P52"/>
    <mergeCell ref="H53:K53"/>
    <mergeCell ref="O53:P53"/>
    <mergeCell ref="H54:K54"/>
    <mergeCell ref="O54:P54"/>
    <mergeCell ref="H55:K55"/>
    <mergeCell ref="O55:P55"/>
    <mergeCell ref="H56:K56"/>
    <mergeCell ref="O56:P56"/>
    <mergeCell ref="H57:K57"/>
    <mergeCell ref="O57:P57"/>
    <mergeCell ref="H58:K58"/>
    <mergeCell ref="O58:P58"/>
    <mergeCell ref="H59:K59"/>
    <mergeCell ref="O59:P59"/>
    <mergeCell ref="H60:K60"/>
    <mergeCell ref="O60:P60"/>
    <mergeCell ref="H61:K61"/>
    <mergeCell ref="O61:P61"/>
    <mergeCell ref="H62:K62"/>
    <mergeCell ref="O62:P62"/>
    <mergeCell ref="H63:K63"/>
    <mergeCell ref="O63:P63"/>
    <mergeCell ref="H64:K64"/>
    <mergeCell ref="O64:P64"/>
    <mergeCell ref="H65:K65"/>
    <mergeCell ref="O65:P65"/>
    <mergeCell ref="H66:K66"/>
    <mergeCell ref="O66:P66"/>
    <mergeCell ref="H67:K67"/>
    <mergeCell ref="O67:P67"/>
    <mergeCell ref="H68:K68"/>
    <mergeCell ref="O68:P68"/>
    <mergeCell ref="H69:K69"/>
    <mergeCell ref="O69:P69"/>
    <mergeCell ref="H70:K70"/>
    <mergeCell ref="O70:P70"/>
    <mergeCell ref="H71:K71"/>
    <mergeCell ref="O71:P71"/>
    <mergeCell ref="H72:K72"/>
    <mergeCell ref="O72:P72"/>
    <mergeCell ref="H73:K73"/>
    <mergeCell ref="O73:P73"/>
    <mergeCell ref="H74:K74"/>
    <mergeCell ref="H75:K75"/>
    <mergeCell ref="H76:K76"/>
    <mergeCell ref="H77:K77"/>
    <mergeCell ref="O77:P77"/>
    <mergeCell ref="H78:K78"/>
    <mergeCell ref="O78:P78"/>
    <mergeCell ref="H79:K79"/>
    <mergeCell ref="O79:P79"/>
    <mergeCell ref="H80:K80"/>
    <mergeCell ref="O80:P80"/>
    <mergeCell ref="H81:K81"/>
    <mergeCell ref="O81:P81"/>
    <mergeCell ref="H82:K82"/>
    <mergeCell ref="H83:K83"/>
    <mergeCell ref="H84:K84"/>
    <mergeCell ref="H85:K85"/>
    <mergeCell ref="H86:K86"/>
    <mergeCell ref="H87:K87"/>
    <mergeCell ref="H88:K88"/>
    <mergeCell ref="H89:K89"/>
    <mergeCell ref="H90:K90"/>
    <mergeCell ref="H91:K91"/>
    <mergeCell ref="H92:K92"/>
    <mergeCell ref="O92:P92"/>
    <mergeCell ref="H93:K93"/>
    <mergeCell ref="O93:P93"/>
    <mergeCell ref="H94:K94"/>
    <mergeCell ref="O94:P94"/>
    <mergeCell ref="H95:K95"/>
    <mergeCell ref="O95:P95"/>
    <mergeCell ref="H96:K96"/>
    <mergeCell ref="O96:P96"/>
    <mergeCell ref="H97:K97"/>
    <mergeCell ref="O97:P97"/>
    <mergeCell ref="H98:K98"/>
    <mergeCell ref="H99:K99"/>
    <mergeCell ref="O99:P99"/>
    <mergeCell ref="H100:K100"/>
    <mergeCell ref="O100:P100"/>
    <mergeCell ref="H101:K101"/>
    <mergeCell ref="O101:P101"/>
    <mergeCell ref="H102:K102"/>
    <mergeCell ref="O102:P102"/>
    <mergeCell ref="H103:K103"/>
    <mergeCell ref="O103:P103"/>
    <mergeCell ref="H104:K104"/>
    <mergeCell ref="H105:K105"/>
    <mergeCell ref="H106:K106"/>
    <mergeCell ref="H107:K107"/>
    <mergeCell ref="H108:K108"/>
    <mergeCell ref="H109:K109"/>
    <mergeCell ref="H110:K110"/>
    <mergeCell ref="H111:K111"/>
    <mergeCell ref="H112:K112"/>
    <mergeCell ref="H113:K113"/>
    <mergeCell ref="H114:K114"/>
    <mergeCell ref="H115:K115"/>
    <mergeCell ref="H116:K116"/>
    <mergeCell ref="H117:K117"/>
    <mergeCell ref="H118:K118"/>
    <mergeCell ref="H119:K119"/>
    <mergeCell ref="H120:K120"/>
    <mergeCell ref="O120:P120"/>
    <mergeCell ref="H121:K121"/>
    <mergeCell ref="H122:K122"/>
    <mergeCell ref="H123:K123"/>
    <mergeCell ref="H124:K124"/>
    <mergeCell ref="H125:K125"/>
    <mergeCell ref="H126:K126"/>
    <mergeCell ref="H127:K127"/>
    <mergeCell ref="H128:K128"/>
    <mergeCell ref="H129:K129"/>
    <mergeCell ref="H136:K136"/>
    <mergeCell ref="O136:P136"/>
    <mergeCell ref="H137:K137"/>
    <mergeCell ref="O137:P137"/>
    <mergeCell ref="H138:K138"/>
    <mergeCell ref="O138:P138"/>
    <mergeCell ref="H139:K139"/>
    <mergeCell ref="O139:P139"/>
    <mergeCell ref="O129:P129"/>
    <mergeCell ref="H130:K130"/>
    <mergeCell ref="O130:P130"/>
    <mergeCell ref="H131:K131"/>
    <mergeCell ref="O131:P131"/>
    <mergeCell ref="H132:K132"/>
    <mergeCell ref="O132:P132"/>
    <mergeCell ref="H133:K133"/>
    <mergeCell ref="H134:K134"/>
    <mergeCell ref="O134:P134"/>
    <mergeCell ref="H150:K150"/>
    <mergeCell ref="O150:P150"/>
    <mergeCell ref="O3:P4"/>
    <mergeCell ref="H145:K145"/>
    <mergeCell ref="O145:P145"/>
    <mergeCell ref="H146:K146"/>
    <mergeCell ref="O146:P146"/>
    <mergeCell ref="H147:K147"/>
    <mergeCell ref="O147:P147"/>
    <mergeCell ref="H148:K148"/>
    <mergeCell ref="O148:P148"/>
    <mergeCell ref="H149:K149"/>
    <mergeCell ref="O149:P149"/>
    <mergeCell ref="O140:P140"/>
    <mergeCell ref="D141:H141"/>
    <mergeCell ref="N141:P141"/>
    <mergeCell ref="C142:H142"/>
    <mergeCell ref="J142:P142"/>
    <mergeCell ref="D143:H143"/>
    <mergeCell ref="N143:P143"/>
    <mergeCell ref="H144:K144"/>
    <mergeCell ref="O144:P144"/>
    <mergeCell ref="H135:K135"/>
    <mergeCell ref="O135:P135"/>
  </mergeCells>
  <printOptions horizontalCentered="1" verticalCentered="1"/>
  <pageMargins left="0.70866141732283505" right="0.70866141732283505" top="0.74803149606299202" bottom="0.74803149606299202" header="0.31496062992126" footer="0.31496062992126"/>
  <pageSetup scale="70" orientation="landscape" horizontalDpi="300" verticalDpi="300"/>
  <rowBreaks count="2" manualBreakCount="2">
    <brk id="50" max="15" man="1"/>
    <brk id="96" max="15" man="1"/>
  </rowBreaks>
  <colBreaks count="1" manualBreakCount="1">
    <brk id="1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A268"/>
  <sheetViews>
    <sheetView topLeftCell="B4" workbookViewId="0">
      <selection activeCell="H99" sqref="H99:I101"/>
    </sheetView>
  </sheetViews>
  <sheetFormatPr defaultColWidth="9" defaultRowHeight="15"/>
  <cols>
    <col min="3" max="3" width="13.7109375" customWidth="1"/>
    <col min="4" max="4" width="12.140625" customWidth="1"/>
    <col min="5" max="5" width="16" customWidth="1"/>
    <col min="6" max="6" width="16.42578125" customWidth="1"/>
    <col min="7" max="7" width="13.5703125" customWidth="1"/>
    <col min="9" max="9" width="10" customWidth="1"/>
    <col min="10" max="12" width="9.140625" hidden="1" customWidth="1"/>
    <col min="13" max="13" width="0.5703125" hidden="1" customWidth="1"/>
    <col min="14" max="14" width="18.42578125" customWidth="1"/>
  </cols>
  <sheetData>
    <row r="4" spans="2:14" ht="18.75">
      <c r="B4" s="502" t="s">
        <v>918</v>
      </c>
      <c r="C4" s="502"/>
      <c r="D4" s="502"/>
      <c r="E4" s="502"/>
      <c r="F4" s="502"/>
      <c r="G4" s="502"/>
      <c r="H4" s="502"/>
      <c r="I4" s="502"/>
      <c r="J4" s="502"/>
      <c r="K4" s="502"/>
      <c r="L4" s="502"/>
      <c r="M4" s="502"/>
      <c r="N4" s="502"/>
    </row>
    <row r="5" spans="2:14" ht="37.5">
      <c r="B5" s="25" t="s">
        <v>448</v>
      </c>
      <c r="C5" s="25" t="s">
        <v>180</v>
      </c>
      <c r="D5" s="25" t="s">
        <v>13</v>
      </c>
      <c r="E5" s="25" t="s">
        <v>181</v>
      </c>
      <c r="F5" s="27" t="s">
        <v>449</v>
      </c>
      <c r="G5" s="25" t="s">
        <v>719</v>
      </c>
      <c r="H5" s="640" t="s">
        <v>184</v>
      </c>
      <c r="I5" s="641"/>
      <c r="J5" s="128"/>
      <c r="K5" s="128"/>
      <c r="L5" s="128"/>
      <c r="M5" s="129"/>
      <c r="N5" s="26" t="s">
        <v>185</v>
      </c>
    </row>
    <row r="6" spans="2:14">
      <c r="B6" s="18">
        <v>1</v>
      </c>
      <c r="C6" s="18" t="s">
        <v>919</v>
      </c>
      <c r="D6" s="18" t="s">
        <v>289</v>
      </c>
      <c r="E6" s="5"/>
      <c r="F6" s="5"/>
      <c r="G6" s="18">
        <v>63</v>
      </c>
      <c r="H6" s="498">
        <v>56.1</v>
      </c>
      <c r="I6" s="498"/>
      <c r="J6" s="5"/>
      <c r="K6" s="5"/>
      <c r="L6" s="5"/>
      <c r="M6" s="5"/>
      <c r="N6" s="18">
        <f>+H6</f>
        <v>56.1</v>
      </c>
    </row>
    <row r="7" spans="2:14">
      <c r="B7" s="18">
        <f>1+B6</f>
        <v>2</v>
      </c>
      <c r="C7" s="18" t="s">
        <v>919</v>
      </c>
      <c r="D7" s="18" t="s">
        <v>289</v>
      </c>
      <c r="E7" s="5" t="s">
        <v>920</v>
      </c>
      <c r="F7" s="5"/>
      <c r="G7" s="18">
        <v>63</v>
      </c>
      <c r="H7" s="498">
        <v>3.5</v>
      </c>
      <c r="I7" s="498"/>
      <c r="J7" s="5"/>
      <c r="K7" s="5"/>
      <c r="L7" s="5"/>
      <c r="M7" s="5"/>
      <c r="N7" s="18">
        <f>+N6+H7</f>
        <v>59.6</v>
      </c>
    </row>
    <row r="8" spans="2:14">
      <c r="B8" s="18">
        <f>1+B7</f>
        <v>3</v>
      </c>
      <c r="C8" s="18" t="s">
        <v>289</v>
      </c>
      <c r="D8" s="18" t="s">
        <v>205</v>
      </c>
      <c r="E8" s="5"/>
      <c r="F8" s="5"/>
      <c r="G8" s="18">
        <v>63</v>
      </c>
      <c r="H8" s="499">
        <v>34.6</v>
      </c>
      <c r="I8" s="501"/>
      <c r="J8" s="5"/>
      <c r="K8" s="5"/>
      <c r="L8" s="5"/>
      <c r="M8" s="5"/>
      <c r="N8" s="18">
        <f t="shared" ref="N8:N71" si="0">+N7+H8</f>
        <v>94.2</v>
      </c>
    </row>
    <row r="9" spans="2:14">
      <c r="B9" s="18">
        <f t="shared" ref="B9:B73" si="1">1+B8</f>
        <v>4</v>
      </c>
      <c r="C9" s="18" t="s">
        <v>289</v>
      </c>
      <c r="D9" s="18" t="s">
        <v>575</v>
      </c>
      <c r="E9" s="5"/>
      <c r="F9" s="5"/>
      <c r="G9" s="18">
        <v>63</v>
      </c>
      <c r="H9" s="499">
        <v>136</v>
      </c>
      <c r="I9" s="501"/>
      <c r="J9" s="5"/>
      <c r="K9" s="5"/>
      <c r="L9" s="5"/>
      <c r="M9" s="5"/>
      <c r="N9" s="18">
        <f t="shared" si="0"/>
        <v>230.2</v>
      </c>
    </row>
    <row r="10" spans="2:14">
      <c r="B10" s="18">
        <f t="shared" si="1"/>
        <v>5</v>
      </c>
      <c r="C10" s="18" t="s">
        <v>575</v>
      </c>
      <c r="D10" s="18" t="s">
        <v>715</v>
      </c>
      <c r="E10" s="5"/>
      <c r="F10" s="5"/>
      <c r="G10" s="18">
        <v>63</v>
      </c>
      <c r="H10" s="499">
        <v>88.6</v>
      </c>
      <c r="I10" s="501"/>
      <c r="J10" s="5"/>
      <c r="K10" s="5"/>
      <c r="L10" s="5"/>
      <c r="M10" s="5"/>
      <c r="N10" s="18">
        <f t="shared" si="0"/>
        <v>318.79999999999995</v>
      </c>
    </row>
    <row r="11" spans="2:14">
      <c r="B11" s="18">
        <f t="shared" si="1"/>
        <v>6</v>
      </c>
      <c r="C11" s="18" t="s">
        <v>715</v>
      </c>
      <c r="D11" s="18" t="s">
        <v>686</v>
      </c>
      <c r="E11" s="5"/>
      <c r="F11" s="5"/>
      <c r="G11" s="18">
        <v>63</v>
      </c>
      <c r="H11" s="499">
        <v>149</v>
      </c>
      <c r="I11" s="501"/>
      <c r="J11" s="5"/>
      <c r="K11" s="5"/>
      <c r="L11" s="5"/>
      <c r="M11" s="5"/>
      <c r="N11" s="18">
        <f t="shared" si="0"/>
        <v>467.79999999999995</v>
      </c>
    </row>
    <row r="12" spans="2:14">
      <c r="B12" s="18">
        <f t="shared" si="1"/>
        <v>7</v>
      </c>
      <c r="C12" s="18" t="s">
        <v>715</v>
      </c>
      <c r="D12" s="18" t="s">
        <v>195</v>
      </c>
      <c r="E12" s="5"/>
      <c r="F12" s="5"/>
      <c r="G12" s="18">
        <v>63</v>
      </c>
      <c r="H12" s="499">
        <v>203.3</v>
      </c>
      <c r="I12" s="501"/>
      <c r="J12" s="5"/>
      <c r="K12" s="5"/>
      <c r="L12" s="5"/>
      <c r="M12" s="5"/>
      <c r="N12" s="18">
        <f t="shared" si="0"/>
        <v>671.09999999999991</v>
      </c>
    </row>
    <row r="13" spans="2:14">
      <c r="B13" s="18">
        <f t="shared" si="1"/>
        <v>8</v>
      </c>
      <c r="C13" s="18" t="s">
        <v>575</v>
      </c>
      <c r="D13" s="18" t="s">
        <v>336</v>
      </c>
      <c r="E13" s="5"/>
      <c r="F13" s="5"/>
      <c r="G13" s="18">
        <v>63</v>
      </c>
      <c r="H13" s="499">
        <v>607</v>
      </c>
      <c r="I13" s="501"/>
      <c r="J13" s="5"/>
      <c r="K13" s="5"/>
      <c r="L13" s="5"/>
      <c r="M13" s="5"/>
      <c r="N13" s="18">
        <f t="shared" si="0"/>
        <v>1278.0999999999999</v>
      </c>
    </row>
    <row r="14" spans="2:14">
      <c r="B14" s="18">
        <f t="shared" si="1"/>
        <v>9</v>
      </c>
      <c r="C14" s="18" t="s">
        <v>919</v>
      </c>
      <c r="D14" s="18" t="s">
        <v>204</v>
      </c>
      <c r="E14" s="5"/>
      <c r="F14" s="5"/>
      <c r="G14" s="18">
        <v>63</v>
      </c>
      <c r="H14" s="499">
        <v>27</v>
      </c>
      <c r="I14" s="501"/>
      <c r="J14" s="5"/>
      <c r="K14" s="5"/>
      <c r="L14" s="5"/>
      <c r="M14" s="5"/>
      <c r="N14" s="18">
        <f t="shared" si="0"/>
        <v>1305.0999999999999</v>
      </c>
    </row>
    <row r="15" spans="2:14">
      <c r="B15" s="18">
        <f t="shared" si="1"/>
        <v>10</v>
      </c>
      <c r="C15" s="18" t="s">
        <v>204</v>
      </c>
      <c r="D15" s="18" t="s">
        <v>206</v>
      </c>
      <c r="E15" s="5"/>
      <c r="F15" s="5"/>
      <c r="G15" s="18">
        <v>63</v>
      </c>
      <c r="H15" s="499">
        <v>28</v>
      </c>
      <c r="I15" s="501"/>
      <c r="J15" s="5"/>
      <c r="K15" s="5"/>
      <c r="L15" s="5"/>
      <c r="M15" s="5"/>
      <c r="N15" s="18">
        <f t="shared" si="0"/>
        <v>1333.1</v>
      </c>
    </row>
    <row r="16" spans="2:14">
      <c r="B16" s="18">
        <f t="shared" si="1"/>
        <v>11</v>
      </c>
      <c r="C16" s="18" t="s">
        <v>206</v>
      </c>
      <c r="D16" s="18" t="s">
        <v>717</v>
      </c>
      <c r="E16" s="5"/>
      <c r="F16" s="5"/>
      <c r="G16" s="18">
        <v>63</v>
      </c>
      <c r="H16" s="499">
        <v>63</v>
      </c>
      <c r="I16" s="501"/>
      <c r="J16" s="5"/>
      <c r="K16" s="5"/>
      <c r="L16" s="5"/>
      <c r="M16" s="5"/>
      <c r="N16" s="18">
        <f t="shared" si="0"/>
        <v>1396.1</v>
      </c>
    </row>
    <row r="17" spans="2:14">
      <c r="B17" s="18">
        <f t="shared" si="1"/>
        <v>12</v>
      </c>
      <c r="C17" s="18" t="s">
        <v>717</v>
      </c>
      <c r="D17" s="18" t="s">
        <v>847</v>
      </c>
      <c r="E17" s="5"/>
      <c r="F17" s="5"/>
      <c r="G17" s="18">
        <v>63</v>
      </c>
      <c r="H17" s="499">
        <v>27</v>
      </c>
      <c r="I17" s="501"/>
      <c r="J17" s="5"/>
      <c r="K17" s="5"/>
      <c r="L17" s="5"/>
      <c r="M17" s="5"/>
      <c r="N17" s="18">
        <f t="shared" si="0"/>
        <v>1423.1</v>
      </c>
    </row>
    <row r="18" spans="2:14">
      <c r="B18" s="18">
        <f t="shared" si="1"/>
        <v>13</v>
      </c>
      <c r="C18" s="18" t="s">
        <v>847</v>
      </c>
      <c r="D18" s="18" t="s">
        <v>461</v>
      </c>
      <c r="E18" s="5"/>
      <c r="F18" s="5"/>
      <c r="G18" s="18">
        <v>63</v>
      </c>
      <c r="H18" s="499">
        <v>28</v>
      </c>
      <c r="I18" s="501"/>
      <c r="J18" s="5"/>
      <c r="K18" s="5"/>
      <c r="L18" s="5"/>
      <c r="M18" s="5"/>
      <c r="N18" s="18">
        <f t="shared" si="0"/>
        <v>1451.1</v>
      </c>
    </row>
    <row r="19" spans="2:14">
      <c r="B19" s="18">
        <f t="shared" si="1"/>
        <v>14</v>
      </c>
      <c r="C19" s="18" t="s">
        <v>461</v>
      </c>
      <c r="D19" s="18" t="s">
        <v>189</v>
      </c>
      <c r="E19" s="5"/>
      <c r="F19" s="5"/>
      <c r="G19" s="18">
        <v>63</v>
      </c>
      <c r="H19" s="499">
        <v>18</v>
      </c>
      <c r="I19" s="501"/>
      <c r="J19" s="5"/>
      <c r="K19" s="5"/>
      <c r="L19" s="5"/>
      <c r="M19" s="5"/>
      <c r="N19" s="18">
        <f t="shared" si="0"/>
        <v>1469.1</v>
      </c>
    </row>
    <row r="20" spans="2:14">
      <c r="B20" s="18">
        <f t="shared" si="1"/>
        <v>15</v>
      </c>
      <c r="C20" s="18" t="s">
        <v>189</v>
      </c>
      <c r="D20" s="18" t="s">
        <v>291</v>
      </c>
      <c r="E20" s="5"/>
      <c r="F20" s="5"/>
      <c r="G20" s="18">
        <v>63</v>
      </c>
      <c r="H20" s="499">
        <v>46.2</v>
      </c>
      <c r="I20" s="501"/>
      <c r="J20" s="5"/>
      <c r="K20" s="5"/>
      <c r="L20" s="5"/>
      <c r="M20" s="5"/>
      <c r="N20" s="18">
        <f t="shared" si="0"/>
        <v>1515.3</v>
      </c>
    </row>
    <row r="21" spans="2:14">
      <c r="B21" s="18">
        <f t="shared" si="1"/>
        <v>16</v>
      </c>
      <c r="C21" s="18" t="s">
        <v>291</v>
      </c>
      <c r="D21" s="18" t="s">
        <v>188</v>
      </c>
      <c r="E21" s="5"/>
      <c r="F21" s="5"/>
      <c r="G21" s="18">
        <v>63</v>
      </c>
      <c r="H21" s="499">
        <v>28</v>
      </c>
      <c r="I21" s="501"/>
      <c r="J21" s="5"/>
      <c r="K21" s="5"/>
      <c r="L21" s="5"/>
      <c r="M21" s="5"/>
      <c r="N21" s="18">
        <f t="shared" si="0"/>
        <v>1543.3</v>
      </c>
    </row>
    <row r="22" spans="2:14">
      <c r="B22" s="18">
        <f t="shared" si="1"/>
        <v>17</v>
      </c>
      <c r="C22" s="18" t="s">
        <v>188</v>
      </c>
      <c r="D22" s="18" t="s">
        <v>323</v>
      </c>
      <c r="E22" s="5"/>
      <c r="F22" s="5"/>
      <c r="G22" s="18">
        <v>63</v>
      </c>
      <c r="H22" s="499">
        <v>53.6</v>
      </c>
      <c r="I22" s="501"/>
      <c r="J22" s="5"/>
      <c r="K22" s="5"/>
      <c r="L22" s="5"/>
      <c r="M22" s="5"/>
      <c r="N22" s="18">
        <f t="shared" si="0"/>
        <v>1596.8999999999999</v>
      </c>
    </row>
    <row r="23" spans="2:14">
      <c r="B23" s="18">
        <f t="shared" si="1"/>
        <v>18</v>
      </c>
      <c r="C23" s="18" t="s">
        <v>323</v>
      </c>
      <c r="D23" s="18" t="s">
        <v>544</v>
      </c>
      <c r="E23" s="5"/>
      <c r="F23" s="5"/>
      <c r="G23" s="18">
        <v>63</v>
      </c>
      <c r="H23" s="498">
        <v>257.3</v>
      </c>
      <c r="I23" s="498"/>
      <c r="J23" s="5"/>
      <c r="K23" s="5"/>
      <c r="L23" s="5"/>
      <c r="M23" s="5"/>
      <c r="N23" s="18">
        <f t="shared" si="0"/>
        <v>1854.1999999999998</v>
      </c>
    </row>
    <row r="24" spans="2:14">
      <c r="B24" s="18">
        <f t="shared" si="1"/>
        <v>19</v>
      </c>
      <c r="C24" s="18" t="s">
        <v>333</v>
      </c>
      <c r="D24" s="18" t="s">
        <v>237</v>
      </c>
      <c r="E24" s="5"/>
      <c r="F24" s="5"/>
      <c r="G24" s="18">
        <v>63</v>
      </c>
      <c r="H24" s="498">
        <v>17.5</v>
      </c>
      <c r="I24" s="498"/>
      <c r="J24" s="5"/>
      <c r="K24" s="5"/>
      <c r="L24" s="5"/>
      <c r="M24" s="5"/>
      <c r="N24" s="18">
        <f t="shared" si="0"/>
        <v>1871.6999999999998</v>
      </c>
    </row>
    <row r="25" spans="2:14">
      <c r="B25" s="18">
        <f t="shared" si="1"/>
        <v>20</v>
      </c>
      <c r="C25" s="18" t="s">
        <v>237</v>
      </c>
      <c r="D25" s="18" t="s">
        <v>342</v>
      </c>
      <c r="E25" s="5"/>
      <c r="F25" s="5"/>
      <c r="G25" s="18">
        <v>63</v>
      </c>
      <c r="H25" s="498">
        <v>48.1</v>
      </c>
      <c r="I25" s="498"/>
      <c r="J25" s="5"/>
      <c r="K25" s="5"/>
      <c r="L25" s="5"/>
      <c r="M25" s="5"/>
      <c r="N25" s="18">
        <f t="shared" si="0"/>
        <v>1919.7999999999997</v>
      </c>
    </row>
    <row r="26" spans="2:14">
      <c r="B26" s="18">
        <f t="shared" si="1"/>
        <v>21</v>
      </c>
      <c r="C26" s="18" t="s">
        <v>342</v>
      </c>
      <c r="D26" s="18" t="s">
        <v>339</v>
      </c>
      <c r="E26" s="5"/>
      <c r="F26" s="5"/>
      <c r="G26" s="18">
        <v>63</v>
      </c>
      <c r="H26" s="498">
        <v>23</v>
      </c>
      <c r="I26" s="498"/>
      <c r="J26" s="5"/>
      <c r="K26" s="5"/>
      <c r="L26" s="5"/>
      <c r="M26" s="5"/>
      <c r="N26" s="18">
        <f t="shared" si="0"/>
        <v>1942.7999999999997</v>
      </c>
    </row>
    <row r="27" spans="2:14">
      <c r="B27" s="18">
        <f t="shared" si="1"/>
        <v>22</v>
      </c>
      <c r="C27" s="18" t="s">
        <v>342</v>
      </c>
      <c r="D27" s="18" t="s">
        <v>344</v>
      </c>
      <c r="E27" s="5"/>
      <c r="F27" s="5"/>
      <c r="G27" s="18">
        <v>63</v>
      </c>
      <c r="H27" s="498">
        <v>15</v>
      </c>
      <c r="I27" s="498"/>
      <c r="J27" s="5"/>
      <c r="K27" s="5"/>
      <c r="L27" s="5"/>
      <c r="M27" s="5"/>
      <c r="N27" s="18">
        <f t="shared" si="0"/>
        <v>1957.7999999999997</v>
      </c>
    </row>
    <row r="28" spans="2:14">
      <c r="B28" s="18">
        <f t="shared" si="1"/>
        <v>23</v>
      </c>
      <c r="C28" s="18" t="s">
        <v>344</v>
      </c>
      <c r="D28" s="18" t="s">
        <v>239</v>
      </c>
      <c r="E28" s="5"/>
      <c r="F28" s="5"/>
      <c r="G28" s="18">
        <v>63</v>
      </c>
      <c r="H28" s="498">
        <v>19.3</v>
      </c>
      <c r="I28" s="498"/>
      <c r="J28" s="5"/>
      <c r="K28" s="5"/>
      <c r="L28" s="5"/>
      <c r="M28" s="5"/>
      <c r="N28" s="18">
        <f t="shared" si="0"/>
        <v>1977.0999999999997</v>
      </c>
    </row>
    <row r="29" spans="2:14">
      <c r="B29" s="18">
        <f t="shared" si="1"/>
        <v>24</v>
      </c>
      <c r="C29" s="18" t="s">
        <v>339</v>
      </c>
      <c r="D29" s="18" t="s">
        <v>190</v>
      </c>
      <c r="E29" s="5"/>
      <c r="F29" s="5"/>
      <c r="G29" s="18">
        <v>63</v>
      </c>
      <c r="H29" s="498">
        <v>33.799999999999997</v>
      </c>
      <c r="I29" s="498"/>
      <c r="J29" s="5"/>
      <c r="K29" s="5"/>
      <c r="L29" s="5"/>
      <c r="M29" s="5"/>
      <c r="N29" s="18">
        <f t="shared" si="0"/>
        <v>2010.8999999999996</v>
      </c>
    </row>
    <row r="30" spans="2:14">
      <c r="B30" s="18">
        <f t="shared" si="1"/>
        <v>25</v>
      </c>
      <c r="C30" s="18" t="s">
        <v>333</v>
      </c>
      <c r="D30" s="18" t="s">
        <v>538</v>
      </c>
      <c r="E30" s="5"/>
      <c r="F30" s="5"/>
      <c r="G30" s="18">
        <v>63</v>
      </c>
      <c r="H30" s="498">
        <v>110.9</v>
      </c>
      <c r="I30" s="498"/>
      <c r="J30" s="5"/>
      <c r="K30" s="5"/>
      <c r="L30" s="5"/>
      <c r="M30" s="5"/>
      <c r="N30" s="18">
        <f t="shared" si="0"/>
        <v>2121.7999999999997</v>
      </c>
    </row>
    <row r="31" spans="2:14">
      <c r="B31" s="18">
        <f t="shared" si="1"/>
        <v>26</v>
      </c>
      <c r="C31" s="18" t="s">
        <v>538</v>
      </c>
      <c r="D31" s="18" t="s">
        <v>213</v>
      </c>
      <c r="E31" s="5"/>
      <c r="F31" s="5"/>
      <c r="G31" s="18">
        <v>63</v>
      </c>
      <c r="H31" s="498">
        <v>74</v>
      </c>
      <c r="I31" s="498"/>
      <c r="J31" s="5"/>
      <c r="K31" s="5"/>
      <c r="L31" s="5"/>
      <c r="M31" s="5"/>
      <c r="N31" s="18">
        <f t="shared" si="0"/>
        <v>2195.7999999999997</v>
      </c>
    </row>
    <row r="32" spans="2:14">
      <c r="B32" s="18">
        <f t="shared" si="1"/>
        <v>27</v>
      </c>
      <c r="C32" s="18" t="s">
        <v>237</v>
      </c>
      <c r="D32" s="18" t="s">
        <v>235</v>
      </c>
      <c r="E32" s="5"/>
      <c r="F32" s="5"/>
      <c r="G32" s="18">
        <v>63</v>
      </c>
      <c r="H32" s="498">
        <v>26.8</v>
      </c>
      <c r="I32" s="498"/>
      <c r="J32" s="5"/>
      <c r="K32" s="5"/>
      <c r="L32" s="5"/>
      <c r="M32" s="5"/>
      <c r="N32" s="18">
        <f t="shared" si="0"/>
        <v>2222.6</v>
      </c>
    </row>
    <row r="33" spans="2:14">
      <c r="B33" s="18">
        <f t="shared" si="1"/>
        <v>28</v>
      </c>
      <c r="C33" s="18" t="s">
        <v>235</v>
      </c>
      <c r="D33" s="18" t="s">
        <v>243</v>
      </c>
      <c r="E33" s="5"/>
      <c r="F33" s="5"/>
      <c r="G33" s="18">
        <v>63</v>
      </c>
      <c r="H33" s="498">
        <v>65.7</v>
      </c>
      <c r="I33" s="498"/>
      <c r="J33" s="5"/>
      <c r="K33" s="5"/>
      <c r="L33" s="5"/>
      <c r="M33" s="5"/>
      <c r="N33" s="18">
        <f t="shared" si="0"/>
        <v>2288.2999999999997</v>
      </c>
    </row>
    <row r="34" spans="2:14">
      <c r="B34" s="18">
        <f t="shared" si="1"/>
        <v>29</v>
      </c>
      <c r="C34" s="18" t="s">
        <v>339</v>
      </c>
      <c r="D34" s="18" t="s">
        <v>347</v>
      </c>
      <c r="E34" s="5"/>
      <c r="F34" s="5"/>
      <c r="G34" s="18">
        <v>63</v>
      </c>
      <c r="H34" s="498">
        <v>40.299999999999997</v>
      </c>
      <c r="I34" s="498"/>
      <c r="J34" s="5"/>
      <c r="K34" s="5"/>
      <c r="L34" s="5"/>
      <c r="M34" s="5"/>
      <c r="N34" s="18">
        <f t="shared" si="0"/>
        <v>2328.6</v>
      </c>
    </row>
    <row r="35" spans="2:14">
      <c r="B35" s="18">
        <f t="shared" si="1"/>
        <v>30</v>
      </c>
      <c r="C35" s="18" t="s">
        <v>347</v>
      </c>
      <c r="D35" s="18" t="s">
        <v>345</v>
      </c>
      <c r="E35" s="5"/>
      <c r="F35" s="5"/>
      <c r="G35" s="18">
        <v>63</v>
      </c>
      <c r="H35" s="498">
        <v>36.4</v>
      </c>
      <c r="I35" s="498"/>
      <c r="J35" s="5"/>
      <c r="K35" s="5"/>
      <c r="L35" s="5"/>
      <c r="M35" s="5"/>
      <c r="N35" s="18">
        <f t="shared" si="0"/>
        <v>2365</v>
      </c>
    </row>
    <row r="36" spans="2:14">
      <c r="B36" s="18">
        <f t="shared" si="1"/>
        <v>31</v>
      </c>
      <c r="C36" s="18" t="s">
        <v>345</v>
      </c>
      <c r="D36" s="18" t="s">
        <v>337</v>
      </c>
      <c r="E36" s="5"/>
      <c r="F36" s="5"/>
      <c r="G36" s="18">
        <v>63</v>
      </c>
      <c r="H36" s="498">
        <v>98.9</v>
      </c>
      <c r="I36" s="498"/>
      <c r="J36" s="5"/>
      <c r="K36" s="5"/>
      <c r="L36" s="5"/>
      <c r="M36" s="5"/>
      <c r="N36" s="18">
        <f t="shared" si="0"/>
        <v>2463.9</v>
      </c>
    </row>
    <row r="37" spans="2:14">
      <c r="B37" s="18">
        <f t="shared" si="1"/>
        <v>32</v>
      </c>
      <c r="C37" s="18" t="s">
        <v>307</v>
      </c>
      <c r="D37" s="18" t="s">
        <v>306</v>
      </c>
      <c r="E37" s="5"/>
      <c r="F37" s="5"/>
      <c r="G37" s="18">
        <v>63</v>
      </c>
      <c r="H37" s="498">
        <v>16</v>
      </c>
      <c r="I37" s="498"/>
      <c r="J37" s="5"/>
      <c r="K37" s="5"/>
      <c r="L37" s="5"/>
      <c r="M37" s="5"/>
      <c r="N37" s="18">
        <f t="shared" si="0"/>
        <v>2479.9</v>
      </c>
    </row>
    <row r="38" spans="2:14">
      <c r="B38" s="18">
        <f t="shared" si="1"/>
        <v>33</v>
      </c>
      <c r="C38" s="18" t="s">
        <v>306</v>
      </c>
      <c r="D38" s="18" t="s">
        <v>308</v>
      </c>
      <c r="E38" s="5"/>
      <c r="F38" s="5"/>
      <c r="G38" s="18">
        <v>63</v>
      </c>
      <c r="H38" s="498">
        <v>12.5</v>
      </c>
      <c r="I38" s="498"/>
      <c r="J38" s="5"/>
      <c r="K38" s="5"/>
      <c r="L38" s="5"/>
      <c r="M38" s="5"/>
      <c r="N38" s="18">
        <f t="shared" si="0"/>
        <v>2492.4</v>
      </c>
    </row>
    <row r="39" spans="2:14">
      <c r="B39" s="18">
        <f t="shared" si="1"/>
        <v>34</v>
      </c>
      <c r="C39" s="18" t="s">
        <v>308</v>
      </c>
      <c r="D39" s="18" t="s">
        <v>243</v>
      </c>
      <c r="E39" s="5"/>
      <c r="F39" s="5"/>
      <c r="G39" s="18">
        <v>63</v>
      </c>
      <c r="H39" s="498">
        <v>67.3</v>
      </c>
      <c r="I39" s="498"/>
      <c r="J39" s="5"/>
      <c r="K39" s="5"/>
      <c r="L39" s="5"/>
      <c r="M39" s="5"/>
      <c r="N39" s="18">
        <f t="shared" si="0"/>
        <v>2559.7000000000003</v>
      </c>
    </row>
    <row r="40" spans="2:14">
      <c r="B40" s="18">
        <f t="shared" si="1"/>
        <v>35</v>
      </c>
      <c r="C40" s="18" t="s">
        <v>243</v>
      </c>
      <c r="D40" s="18" t="s">
        <v>443</v>
      </c>
      <c r="E40" s="5"/>
      <c r="F40" s="5"/>
      <c r="G40" s="18">
        <v>63</v>
      </c>
      <c r="H40" s="498">
        <v>40.1</v>
      </c>
      <c r="I40" s="498"/>
      <c r="J40" s="5"/>
      <c r="K40" s="5"/>
      <c r="L40" s="5"/>
      <c r="M40" s="5"/>
      <c r="N40" s="18">
        <f t="shared" si="0"/>
        <v>2599.8000000000002</v>
      </c>
    </row>
    <row r="41" spans="2:14">
      <c r="B41" s="18">
        <f t="shared" si="1"/>
        <v>36</v>
      </c>
      <c r="C41" s="18" t="s">
        <v>443</v>
      </c>
      <c r="D41" s="18" t="s">
        <v>325</v>
      </c>
      <c r="E41" s="5"/>
      <c r="F41" s="5"/>
      <c r="G41" s="18">
        <v>63</v>
      </c>
      <c r="H41" s="498">
        <v>8.1999999999999993</v>
      </c>
      <c r="I41" s="498"/>
      <c r="J41" s="5"/>
      <c r="K41" s="5"/>
      <c r="L41" s="5"/>
      <c r="M41" s="5"/>
      <c r="N41" s="18">
        <f t="shared" si="0"/>
        <v>2608</v>
      </c>
    </row>
    <row r="42" spans="2:14">
      <c r="B42" s="18">
        <f t="shared" si="1"/>
        <v>37</v>
      </c>
      <c r="C42" s="18" t="s">
        <v>325</v>
      </c>
      <c r="D42" s="18" t="s">
        <v>275</v>
      </c>
      <c r="E42" s="5"/>
      <c r="F42" s="5"/>
      <c r="G42" s="18">
        <v>63</v>
      </c>
      <c r="H42" s="498">
        <v>32.799999999999997</v>
      </c>
      <c r="I42" s="498"/>
      <c r="J42" s="5"/>
      <c r="K42" s="5"/>
      <c r="L42" s="5"/>
      <c r="M42" s="5"/>
      <c r="N42" s="18">
        <f t="shared" si="0"/>
        <v>2640.8</v>
      </c>
    </row>
    <row r="43" spans="2:14">
      <c r="B43" s="18">
        <f t="shared" si="1"/>
        <v>38</v>
      </c>
      <c r="C43" s="18" t="s">
        <v>275</v>
      </c>
      <c r="D43" s="18" t="s">
        <v>314</v>
      </c>
      <c r="E43" s="5"/>
      <c r="F43" s="5"/>
      <c r="G43" s="18">
        <v>63</v>
      </c>
      <c r="H43" s="498">
        <v>27.2</v>
      </c>
      <c r="I43" s="498"/>
      <c r="J43" s="5"/>
      <c r="K43" s="5"/>
      <c r="L43" s="5"/>
      <c r="M43" s="5"/>
      <c r="N43" s="18">
        <f t="shared" si="0"/>
        <v>2668</v>
      </c>
    </row>
    <row r="44" spans="2:14">
      <c r="B44" s="18">
        <f t="shared" si="1"/>
        <v>39</v>
      </c>
      <c r="C44" s="18" t="s">
        <v>314</v>
      </c>
      <c r="D44" s="18" t="s">
        <v>628</v>
      </c>
      <c r="E44" s="5"/>
      <c r="F44" s="5"/>
      <c r="G44" s="18">
        <v>63</v>
      </c>
      <c r="H44" s="499">
        <v>19.5</v>
      </c>
      <c r="I44" s="501"/>
      <c r="J44" s="5"/>
      <c r="K44" s="5"/>
      <c r="L44" s="5"/>
      <c r="M44" s="5"/>
      <c r="N44" s="18">
        <f t="shared" si="0"/>
        <v>2687.5</v>
      </c>
    </row>
    <row r="45" spans="2:14">
      <c r="B45" s="18">
        <f t="shared" si="1"/>
        <v>40</v>
      </c>
      <c r="C45" s="18" t="s">
        <v>314</v>
      </c>
      <c r="D45" s="18" t="s">
        <v>362</v>
      </c>
      <c r="E45" s="5"/>
      <c r="F45" s="5"/>
      <c r="G45" s="18">
        <v>63</v>
      </c>
      <c r="H45" s="499">
        <v>51</v>
      </c>
      <c r="I45" s="501"/>
      <c r="J45" s="5"/>
      <c r="K45" s="5"/>
      <c r="L45" s="5"/>
      <c r="M45" s="5"/>
      <c r="N45" s="18">
        <f t="shared" si="0"/>
        <v>2738.5</v>
      </c>
    </row>
    <row r="46" spans="2:14">
      <c r="B46" s="18">
        <f t="shared" si="1"/>
        <v>41</v>
      </c>
      <c r="C46" s="18" t="s">
        <v>213</v>
      </c>
      <c r="D46" s="18" t="s">
        <v>434</v>
      </c>
      <c r="E46" s="5"/>
      <c r="F46" s="5"/>
      <c r="G46" s="18">
        <v>63</v>
      </c>
      <c r="H46" s="499"/>
      <c r="I46" s="501"/>
      <c r="J46" s="5"/>
      <c r="K46" s="5"/>
      <c r="L46" s="5"/>
      <c r="M46" s="5"/>
      <c r="N46" s="18">
        <f t="shared" si="0"/>
        <v>2738.5</v>
      </c>
    </row>
    <row r="47" spans="2:14">
      <c r="B47" s="18">
        <f t="shared" si="1"/>
        <v>42</v>
      </c>
      <c r="C47" s="18" t="s">
        <v>322</v>
      </c>
      <c r="D47" s="18" t="s">
        <v>537</v>
      </c>
      <c r="E47" s="5"/>
      <c r="F47" s="5"/>
      <c r="G47" s="18">
        <v>63</v>
      </c>
      <c r="H47" s="499">
        <v>126.9</v>
      </c>
      <c r="I47" s="501"/>
      <c r="J47" s="5"/>
      <c r="K47" s="5"/>
      <c r="L47" s="5"/>
      <c r="M47" s="5"/>
      <c r="N47" s="18">
        <f t="shared" si="0"/>
        <v>2865.4</v>
      </c>
    </row>
    <row r="48" spans="2:14">
      <c r="B48" s="18">
        <f t="shared" si="1"/>
        <v>43</v>
      </c>
      <c r="C48" s="18" t="s">
        <v>537</v>
      </c>
      <c r="D48" s="18" t="s">
        <v>253</v>
      </c>
      <c r="E48" s="5"/>
      <c r="F48" s="5"/>
      <c r="G48" s="18">
        <v>63</v>
      </c>
      <c r="H48" s="499">
        <v>214.7</v>
      </c>
      <c r="I48" s="501"/>
      <c r="J48" s="5"/>
      <c r="K48" s="5"/>
      <c r="L48" s="5"/>
      <c r="M48" s="5"/>
      <c r="N48" s="18">
        <f t="shared" si="0"/>
        <v>3080.1</v>
      </c>
    </row>
    <row r="49" spans="2:14">
      <c r="B49" s="18">
        <f t="shared" si="1"/>
        <v>44</v>
      </c>
      <c r="C49" s="18" t="s">
        <v>253</v>
      </c>
      <c r="D49" s="18" t="s">
        <v>260</v>
      </c>
      <c r="E49" s="5"/>
      <c r="F49" s="5"/>
      <c r="G49" s="18">
        <v>63</v>
      </c>
      <c r="H49" s="499">
        <v>76</v>
      </c>
      <c r="I49" s="501"/>
      <c r="J49" s="5"/>
      <c r="K49" s="5"/>
      <c r="L49" s="5"/>
      <c r="M49" s="5"/>
      <c r="N49" s="18">
        <f t="shared" si="0"/>
        <v>3156.1</v>
      </c>
    </row>
    <row r="50" spans="2:14">
      <c r="B50" s="18">
        <f t="shared" si="1"/>
        <v>45</v>
      </c>
      <c r="C50" s="18" t="s">
        <v>260</v>
      </c>
      <c r="D50" s="18" t="s">
        <v>254</v>
      </c>
      <c r="E50" s="5"/>
      <c r="F50" s="5"/>
      <c r="G50" s="18">
        <v>63</v>
      </c>
      <c r="H50" s="499">
        <v>5</v>
      </c>
      <c r="I50" s="501"/>
      <c r="J50" s="5"/>
      <c r="K50" s="5"/>
      <c r="L50" s="5"/>
      <c r="M50" s="5"/>
      <c r="N50" s="18">
        <f t="shared" si="0"/>
        <v>3161.1</v>
      </c>
    </row>
    <row r="51" spans="2:14">
      <c r="B51" s="18">
        <f t="shared" si="1"/>
        <v>46</v>
      </c>
      <c r="C51" s="18" t="s">
        <v>260</v>
      </c>
      <c r="D51" s="18" t="s">
        <v>261</v>
      </c>
      <c r="E51" s="5"/>
      <c r="F51" s="5"/>
      <c r="G51" s="18">
        <v>63</v>
      </c>
      <c r="H51" s="499">
        <v>150.19999999999999</v>
      </c>
      <c r="I51" s="501"/>
      <c r="J51" s="5"/>
      <c r="K51" s="5"/>
      <c r="L51" s="5"/>
      <c r="M51" s="5"/>
      <c r="N51" s="18">
        <f t="shared" si="0"/>
        <v>3311.2999999999997</v>
      </c>
    </row>
    <row r="52" spans="2:14">
      <c r="B52" s="18">
        <f t="shared" si="1"/>
        <v>47</v>
      </c>
      <c r="C52" s="18" t="s">
        <v>254</v>
      </c>
      <c r="D52" s="18" t="s">
        <v>261</v>
      </c>
      <c r="E52" s="5"/>
      <c r="F52" s="5"/>
      <c r="G52" s="18">
        <v>63</v>
      </c>
      <c r="H52" s="499">
        <v>35.200000000000003</v>
      </c>
      <c r="I52" s="501"/>
      <c r="J52" s="5"/>
      <c r="K52" s="5"/>
      <c r="L52" s="5"/>
      <c r="M52" s="5"/>
      <c r="N52" s="18">
        <f t="shared" si="0"/>
        <v>3346.4999999999995</v>
      </c>
    </row>
    <row r="53" spans="2:14">
      <c r="B53" s="18">
        <f t="shared" si="1"/>
        <v>48</v>
      </c>
      <c r="C53" s="18" t="s">
        <v>261</v>
      </c>
      <c r="D53" s="18" t="s">
        <v>319</v>
      </c>
      <c r="E53" s="5"/>
      <c r="F53" s="5"/>
      <c r="G53" s="18">
        <v>63</v>
      </c>
      <c r="H53" s="499">
        <v>192</v>
      </c>
      <c r="I53" s="501"/>
      <c r="J53" s="5"/>
      <c r="K53" s="5"/>
      <c r="L53" s="5"/>
      <c r="M53" s="5"/>
      <c r="N53" s="18">
        <f t="shared" si="0"/>
        <v>3538.4999999999995</v>
      </c>
    </row>
    <row r="54" spans="2:14">
      <c r="B54" s="18">
        <f t="shared" si="1"/>
        <v>49</v>
      </c>
      <c r="C54" s="18" t="s">
        <v>319</v>
      </c>
      <c r="D54" s="18" t="s">
        <v>251</v>
      </c>
      <c r="E54" s="5"/>
      <c r="F54" s="5"/>
      <c r="G54" s="18">
        <v>63</v>
      </c>
      <c r="H54" s="499">
        <v>20</v>
      </c>
      <c r="I54" s="501"/>
      <c r="J54" s="5"/>
      <c r="K54" s="5"/>
      <c r="L54" s="5"/>
      <c r="M54" s="5"/>
      <c r="N54" s="18">
        <f t="shared" si="0"/>
        <v>3558.4999999999995</v>
      </c>
    </row>
    <row r="55" spans="2:14">
      <c r="B55" s="18">
        <f t="shared" si="1"/>
        <v>50</v>
      </c>
      <c r="C55" s="18" t="s">
        <v>251</v>
      </c>
      <c r="D55" s="18" t="s">
        <v>391</v>
      </c>
      <c r="E55" s="5"/>
      <c r="F55" s="5"/>
      <c r="G55" s="18">
        <v>63</v>
      </c>
      <c r="H55" s="499">
        <v>32.6</v>
      </c>
      <c r="I55" s="501"/>
      <c r="J55" s="5"/>
      <c r="K55" s="5"/>
      <c r="L55" s="5"/>
      <c r="M55" s="5"/>
      <c r="N55" s="18">
        <f t="shared" si="0"/>
        <v>3591.0999999999995</v>
      </c>
    </row>
    <row r="56" spans="2:14">
      <c r="B56" s="18">
        <f t="shared" si="1"/>
        <v>51</v>
      </c>
      <c r="C56" s="18" t="s">
        <v>338</v>
      </c>
      <c r="D56" s="18" t="s">
        <v>640</v>
      </c>
      <c r="E56" s="5"/>
      <c r="F56" s="5"/>
      <c r="G56" s="18">
        <v>63</v>
      </c>
      <c r="H56" s="499">
        <v>64</v>
      </c>
      <c r="I56" s="501"/>
      <c r="J56" s="5"/>
      <c r="K56" s="5"/>
      <c r="L56" s="5"/>
      <c r="M56" s="5"/>
      <c r="N56" s="18">
        <f t="shared" si="0"/>
        <v>3655.0999999999995</v>
      </c>
    </row>
    <row r="57" spans="2:14">
      <c r="B57" s="18">
        <f t="shared" si="1"/>
        <v>52</v>
      </c>
      <c r="C57" s="18" t="s">
        <v>640</v>
      </c>
      <c r="D57" s="18" t="s">
        <v>412</v>
      </c>
      <c r="E57" s="5"/>
      <c r="F57" s="5"/>
      <c r="G57" s="18">
        <v>63</v>
      </c>
      <c r="H57" s="499">
        <v>106.9</v>
      </c>
      <c r="I57" s="501"/>
      <c r="J57" s="5"/>
      <c r="K57" s="5"/>
      <c r="L57" s="5"/>
      <c r="M57" s="5"/>
      <c r="N57" s="18">
        <f t="shared" si="0"/>
        <v>3761.9999999999995</v>
      </c>
    </row>
    <row r="58" spans="2:14">
      <c r="B58" s="18">
        <f t="shared" si="1"/>
        <v>53</v>
      </c>
      <c r="C58" s="18" t="s">
        <v>412</v>
      </c>
      <c r="D58" s="18" t="s">
        <v>271</v>
      </c>
      <c r="E58" s="5"/>
      <c r="F58" s="5"/>
      <c r="G58" s="18">
        <v>63</v>
      </c>
      <c r="H58" s="499">
        <v>140</v>
      </c>
      <c r="I58" s="501"/>
      <c r="J58" s="5"/>
      <c r="K58" s="5"/>
      <c r="L58" s="5"/>
      <c r="M58" s="5"/>
      <c r="N58" s="18">
        <f t="shared" si="0"/>
        <v>3901.9999999999995</v>
      </c>
    </row>
    <row r="59" spans="2:14">
      <c r="B59" s="18">
        <f t="shared" si="1"/>
        <v>54</v>
      </c>
      <c r="C59" s="18" t="s">
        <v>271</v>
      </c>
      <c r="D59" s="18" t="s">
        <v>322</v>
      </c>
      <c r="E59" s="5"/>
      <c r="F59" s="5"/>
      <c r="G59" s="18">
        <v>63</v>
      </c>
      <c r="H59" s="499">
        <v>80.7</v>
      </c>
      <c r="I59" s="501"/>
      <c r="J59" s="5"/>
      <c r="K59" s="5"/>
      <c r="L59" s="5"/>
      <c r="M59" s="5"/>
      <c r="N59" s="18">
        <f t="shared" si="0"/>
        <v>3982.6999999999994</v>
      </c>
    </row>
    <row r="60" spans="2:14">
      <c r="B60" s="18">
        <f t="shared" si="1"/>
        <v>55</v>
      </c>
      <c r="C60" s="18" t="s">
        <v>322</v>
      </c>
      <c r="D60" s="18" t="s">
        <v>340</v>
      </c>
      <c r="E60" s="5"/>
      <c r="F60" s="5"/>
      <c r="G60" s="18">
        <v>63</v>
      </c>
      <c r="H60" s="499">
        <v>80</v>
      </c>
      <c r="I60" s="501"/>
      <c r="J60" s="5"/>
      <c r="K60" s="5"/>
      <c r="L60" s="5"/>
      <c r="M60" s="5"/>
      <c r="N60" s="18">
        <f t="shared" si="0"/>
        <v>4062.6999999999994</v>
      </c>
    </row>
    <row r="61" spans="2:14">
      <c r="B61" s="18">
        <f t="shared" si="1"/>
        <v>56</v>
      </c>
      <c r="C61" s="18" t="s">
        <v>340</v>
      </c>
      <c r="D61" s="18" t="s">
        <v>244</v>
      </c>
      <c r="E61" s="5"/>
      <c r="F61" s="5"/>
      <c r="G61" s="18">
        <v>63</v>
      </c>
      <c r="H61" s="499">
        <v>44.9</v>
      </c>
      <c r="I61" s="501"/>
      <c r="J61" s="5"/>
      <c r="K61" s="5"/>
      <c r="L61" s="5"/>
      <c r="M61" s="5"/>
      <c r="N61" s="18">
        <f t="shared" si="0"/>
        <v>4107.5999999999995</v>
      </c>
    </row>
    <row r="62" spans="2:14">
      <c r="B62" s="18">
        <f t="shared" si="1"/>
        <v>57</v>
      </c>
      <c r="C62" s="18" t="s">
        <v>244</v>
      </c>
      <c r="D62" s="18" t="s">
        <v>335</v>
      </c>
      <c r="E62" s="5"/>
      <c r="F62" s="5"/>
      <c r="G62" s="18">
        <v>63</v>
      </c>
      <c r="H62" s="499">
        <v>172.2</v>
      </c>
      <c r="I62" s="501"/>
      <c r="J62" s="5"/>
      <c r="K62" s="5"/>
      <c r="L62" s="5"/>
      <c r="M62" s="5"/>
      <c r="N62" s="18">
        <f t="shared" si="0"/>
        <v>4279.7999999999993</v>
      </c>
    </row>
    <row r="63" spans="2:14">
      <c r="B63" s="18">
        <f t="shared" si="1"/>
        <v>58</v>
      </c>
      <c r="C63" s="18" t="s">
        <v>244</v>
      </c>
      <c r="D63" s="18" t="s">
        <v>282</v>
      </c>
      <c r="E63" s="5"/>
      <c r="F63" s="5"/>
      <c r="G63" s="18">
        <v>63</v>
      </c>
      <c r="H63" s="499">
        <v>52</v>
      </c>
      <c r="I63" s="501"/>
      <c r="J63" s="5"/>
      <c r="K63" s="5"/>
      <c r="L63" s="5"/>
      <c r="M63" s="5"/>
      <c r="N63" s="18">
        <f t="shared" si="0"/>
        <v>4331.7999999999993</v>
      </c>
    </row>
    <row r="64" spans="2:14">
      <c r="B64" s="5">
        <f t="shared" si="1"/>
        <v>59</v>
      </c>
      <c r="C64" s="18" t="s">
        <v>435</v>
      </c>
      <c r="D64" s="18" t="s">
        <v>240</v>
      </c>
      <c r="E64" s="5"/>
      <c r="F64" s="5"/>
      <c r="G64" s="18">
        <v>63</v>
      </c>
      <c r="H64" s="499">
        <v>5.8</v>
      </c>
      <c r="I64" s="501"/>
      <c r="J64" s="5"/>
      <c r="K64" s="5"/>
      <c r="L64" s="5"/>
      <c r="M64" s="5"/>
      <c r="N64" s="18">
        <f t="shared" si="0"/>
        <v>4337.5999999999995</v>
      </c>
    </row>
    <row r="65" spans="2:14">
      <c r="B65" s="5">
        <f t="shared" si="1"/>
        <v>60</v>
      </c>
      <c r="C65" s="18" t="s">
        <v>240</v>
      </c>
      <c r="D65" s="18" t="s">
        <v>294</v>
      </c>
      <c r="E65" s="5"/>
      <c r="F65" s="5"/>
      <c r="G65" s="18">
        <v>63</v>
      </c>
      <c r="H65" s="499">
        <v>27.2</v>
      </c>
      <c r="I65" s="501"/>
      <c r="J65" s="5"/>
      <c r="K65" s="5"/>
      <c r="L65" s="5"/>
      <c r="M65" s="5"/>
      <c r="N65" s="18">
        <f t="shared" si="0"/>
        <v>4364.7999999999993</v>
      </c>
    </row>
    <row r="66" spans="2:14">
      <c r="B66" s="5">
        <f t="shared" si="1"/>
        <v>61</v>
      </c>
      <c r="C66" s="18" t="s">
        <v>294</v>
      </c>
      <c r="D66" s="18" t="s">
        <v>302</v>
      </c>
      <c r="E66" s="5"/>
      <c r="F66" s="5"/>
      <c r="G66" s="18">
        <v>63</v>
      </c>
      <c r="H66" s="499">
        <v>16.399999999999999</v>
      </c>
      <c r="I66" s="501"/>
      <c r="J66" s="5"/>
      <c r="K66" s="5"/>
      <c r="L66" s="5"/>
      <c r="M66" s="5"/>
      <c r="N66" s="18">
        <f t="shared" si="0"/>
        <v>4381.1999999999989</v>
      </c>
    </row>
    <row r="67" spans="2:14">
      <c r="B67" s="5">
        <f t="shared" si="1"/>
        <v>62</v>
      </c>
      <c r="C67" s="18" t="s">
        <v>294</v>
      </c>
      <c r="D67" s="18" t="s">
        <v>436</v>
      </c>
      <c r="E67" s="5"/>
      <c r="F67" s="5"/>
      <c r="G67" s="18">
        <v>63</v>
      </c>
      <c r="H67" s="499">
        <v>25.8</v>
      </c>
      <c r="I67" s="501"/>
      <c r="J67" s="5"/>
      <c r="K67" s="5"/>
      <c r="L67" s="5"/>
      <c r="M67" s="5"/>
      <c r="N67" s="18">
        <f t="shared" si="0"/>
        <v>4406.9999999999991</v>
      </c>
    </row>
    <row r="68" spans="2:14">
      <c r="B68" s="5">
        <f t="shared" si="1"/>
        <v>63</v>
      </c>
      <c r="C68" s="18" t="s">
        <v>436</v>
      </c>
      <c r="D68" s="18" t="s">
        <v>541</v>
      </c>
      <c r="E68" s="5"/>
      <c r="F68" s="5"/>
      <c r="G68" s="18">
        <v>63</v>
      </c>
      <c r="H68" s="499">
        <v>23.7</v>
      </c>
      <c r="I68" s="501"/>
      <c r="J68" s="5"/>
      <c r="K68" s="5"/>
      <c r="L68" s="5"/>
      <c r="M68" s="5"/>
      <c r="N68" s="18">
        <f t="shared" si="0"/>
        <v>4430.6999999999989</v>
      </c>
    </row>
    <row r="69" spans="2:14">
      <c r="B69" s="5">
        <f t="shared" si="1"/>
        <v>64</v>
      </c>
      <c r="C69" s="18" t="s">
        <v>188</v>
      </c>
      <c r="D69" s="18" t="s">
        <v>436</v>
      </c>
      <c r="E69" s="5"/>
      <c r="F69" s="5"/>
      <c r="G69" s="18">
        <v>63</v>
      </c>
      <c r="H69" s="499">
        <v>31.4</v>
      </c>
      <c r="I69" s="501"/>
      <c r="J69" s="5"/>
      <c r="K69" s="5"/>
      <c r="L69" s="5"/>
      <c r="M69" s="5"/>
      <c r="N69" s="18">
        <f t="shared" si="0"/>
        <v>4462.0999999999985</v>
      </c>
    </row>
    <row r="70" spans="2:14">
      <c r="B70" s="5">
        <f t="shared" si="1"/>
        <v>65</v>
      </c>
      <c r="C70" s="18" t="s">
        <v>565</v>
      </c>
      <c r="D70" s="18" t="s">
        <v>432</v>
      </c>
      <c r="E70" s="5"/>
      <c r="F70" s="5"/>
      <c r="G70" s="18">
        <v>63</v>
      </c>
      <c r="H70" s="499">
        <v>31.6</v>
      </c>
      <c r="I70" s="501"/>
      <c r="J70" s="5"/>
      <c r="K70" s="5"/>
      <c r="L70" s="5"/>
      <c r="M70" s="5"/>
      <c r="N70" s="18">
        <f t="shared" si="0"/>
        <v>4493.6999999999989</v>
      </c>
    </row>
    <row r="71" spans="2:14">
      <c r="B71" s="5">
        <f t="shared" si="1"/>
        <v>66</v>
      </c>
      <c r="C71" s="18" t="s">
        <v>432</v>
      </c>
      <c r="D71" s="18" t="s">
        <v>717</v>
      </c>
      <c r="E71" s="5"/>
      <c r="F71" s="5"/>
      <c r="G71" s="18">
        <v>63</v>
      </c>
      <c r="H71" s="499">
        <v>20.399999999999999</v>
      </c>
      <c r="I71" s="501"/>
      <c r="J71" s="5"/>
      <c r="K71" s="5"/>
      <c r="L71" s="5"/>
      <c r="M71" s="5"/>
      <c r="N71" s="18">
        <f t="shared" si="0"/>
        <v>4514.0999999999985</v>
      </c>
    </row>
    <row r="72" spans="2:14">
      <c r="B72" s="5">
        <f t="shared" si="1"/>
        <v>67</v>
      </c>
      <c r="C72" s="18" t="s">
        <v>565</v>
      </c>
      <c r="D72" s="18" t="s">
        <v>191</v>
      </c>
      <c r="E72" s="5"/>
      <c r="F72" s="5"/>
      <c r="G72" s="18">
        <v>63</v>
      </c>
      <c r="H72" s="499">
        <v>68</v>
      </c>
      <c r="I72" s="501"/>
      <c r="J72" s="5"/>
      <c r="K72" s="5"/>
      <c r="L72" s="5"/>
      <c r="M72" s="5"/>
      <c r="N72" s="18">
        <f t="shared" ref="N72:N135" si="2">+N71+H72</f>
        <v>4582.0999999999985</v>
      </c>
    </row>
    <row r="73" spans="2:14">
      <c r="B73" s="5">
        <f t="shared" si="1"/>
        <v>68</v>
      </c>
      <c r="C73" s="18" t="s">
        <v>191</v>
      </c>
      <c r="D73" s="18" t="s">
        <v>576</v>
      </c>
      <c r="E73" s="5"/>
      <c r="F73" s="5"/>
      <c r="G73" s="18">
        <v>63</v>
      </c>
      <c r="H73" s="499">
        <v>8.8000000000000007</v>
      </c>
      <c r="I73" s="501"/>
      <c r="J73" s="5"/>
      <c r="K73" s="5"/>
      <c r="L73" s="5"/>
      <c r="M73" s="5"/>
      <c r="N73" s="18">
        <f t="shared" si="2"/>
        <v>4590.8999999999987</v>
      </c>
    </row>
    <row r="74" spans="2:14">
      <c r="B74" s="5">
        <f t="shared" ref="B74:B137" si="3">1+B73</f>
        <v>69</v>
      </c>
      <c r="C74" s="18" t="s">
        <v>921</v>
      </c>
      <c r="D74" s="18" t="s">
        <v>921</v>
      </c>
      <c r="E74" s="5"/>
      <c r="F74" s="5"/>
      <c r="G74" s="18">
        <v>63</v>
      </c>
      <c r="H74" s="499">
        <v>20.9</v>
      </c>
      <c r="I74" s="501"/>
      <c r="J74" s="5"/>
      <c r="K74" s="5"/>
      <c r="L74" s="5"/>
      <c r="M74" s="5"/>
      <c r="N74" s="18">
        <f t="shared" si="2"/>
        <v>4611.7999999999984</v>
      </c>
    </row>
    <row r="75" spans="2:14">
      <c r="B75" s="5">
        <f t="shared" si="3"/>
        <v>70</v>
      </c>
      <c r="C75" s="18" t="s">
        <v>191</v>
      </c>
      <c r="D75" s="18" t="s">
        <v>215</v>
      </c>
      <c r="E75" s="5"/>
      <c r="F75" s="5"/>
      <c r="G75" s="18">
        <v>63</v>
      </c>
      <c r="H75" s="499">
        <v>18</v>
      </c>
      <c r="I75" s="501"/>
      <c r="J75" s="5"/>
      <c r="K75" s="5"/>
      <c r="L75" s="5"/>
      <c r="M75" s="5"/>
      <c r="N75" s="18">
        <f t="shared" si="2"/>
        <v>4629.7999999999984</v>
      </c>
    </row>
    <row r="76" spans="2:14">
      <c r="B76" s="5">
        <f t="shared" si="3"/>
        <v>71</v>
      </c>
      <c r="C76" s="18" t="s">
        <v>215</v>
      </c>
      <c r="D76" s="18" t="s">
        <v>292</v>
      </c>
      <c r="E76" s="5"/>
      <c r="F76" s="5"/>
      <c r="G76" s="18">
        <v>63</v>
      </c>
      <c r="H76" s="499">
        <v>24</v>
      </c>
      <c r="I76" s="501"/>
      <c r="J76" s="5"/>
      <c r="K76" s="5"/>
      <c r="L76" s="5"/>
      <c r="M76" s="5"/>
      <c r="N76" s="18">
        <f t="shared" si="2"/>
        <v>4653.7999999999984</v>
      </c>
    </row>
    <row r="77" spans="2:14">
      <c r="B77" s="5">
        <f t="shared" si="3"/>
        <v>72</v>
      </c>
      <c r="C77" s="18" t="s">
        <v>568</v>
      </c>
      <c r="D77" s="18" t="s">
        <v>292</v>
      </c>
      <c r="E77" s="5"/>
      <c r="F77" s="5"/>
      <c r="G77" s="18">
        <v>63</v>
      </c>
      <c r="H77" s="499">
        <v>20.8</v>
      </c>
      <c r="I77" s="501"/>
      <c r="J77" s="5"/>
      <c r="K77" s="5"/>
      <c r="L77" s="5"/>
      <c r="M77" s="5"/>
      <c r="N77" s="18">
        <f t="shared" si="2"/>
        <v>4674.5999999999985</v>
      </c>
    </row>
    <row r="78" spans="2:14">
      <c r="B78" s="5">
        <f t="shared" si="3"/>
        <v>73</v>
      </c>
      <c r="C78" s="18" t="s">
        <v>568</v>
      </c>
      <c r="D78" s="18" t="s">
        <v>432</v>
      </c>
      <c r="E78" s="5"/>
      <c r="F78" s="5"/>
      <c r="G78" s="18">
        <v>63</v>
      </c>
      <c r="H78" s="499">
        <v>16.399999999999999</v>
      </c>
      <c r="I78" s="501"/>
      <c r="J78" s="5"/>
      <c r="K78" s="5"/>
      <c r="L78" s="5"/>
      <c r="M78" s="5"/>
      <c r="N78" s="18">
        <f t="shared" si="2"/>
        <v>4690.9999999999982</v>
      </c>
    </row>
    <row r="79" spans="2:14">
      <c r="B79" s="5">
        <f t="shared" si="3"/>
        <v>74</v>
      </c>
      <c r="C79" s="18" t="s">
        <v>568</v>
      </c>
      <c r="D79" s="18" t="s">
        <v>288</v>
      </c>
      <c r="E79" s="5"/>
      <c r="F79" s="5"/>
      <c r="G79" s="18">
        <v>63</v>
      </c>
      <c r="H79" s="499">
        <v>14.8</v>
      </c>
      <c r="I79" s="501"/>
      <c r="J79" s="5"/>
      <c r="K79" s="5"/>
      <c r="L79" s="5"/>
      <c r="M79" s="5"/>
      <c r="N79" s="18">
        <f t="shared" si="2"/>
        <v>4705.7999999999984</v>
      </c>
    </row>
    <row r="80" spans="2:14">
      <c r="B80" s="5">
        <f t="shared" si="3"/>
        <v>75</v>
      </c>
      <c r="C80" s="18" t="s">
        <v>288</v>
      </c>
      <c r="D80" s="18" t="s">
        <v>922</v>
      </c>
      <c r="E80" s="5"/>
      <c r="F80" s="5"/>
      <c r="G80" s="18">
        <v>63</v>
      </c>
      <c r="H80" s="499">
        <v>16.600000000000001</v>
      </c>
      <c r="I80" s="501"/>
      <c r="J80" s="5"/>
      <c r="K80" s="5"/>
      <c r="L80" s="5"/>
      <c r="M80" s="5"/>
      <c r="N80" s="18">
        <f t="shared" si="2"/>
        <v>4722.3999999999987</v>
      </c>
    </row>
    <row r="81" spans="2:14">
      <c r="B81" s="5">
        <f t="shared" si="3"/>
        <v>76</v>
      </c>
      <c r="C81" s="18" t="s">
        <v>288</v>
      </c>
      <c r="D81" s="18" t="s">
        <v>206</v>
      </c>
      <c r="E81" s="5"/>
      <c r="F81" s="5"/>
      <c r="G81" s="18">
        <v>63</v>
      </c>
      <c r="H81" s="499">
        <v>52.5</v>
      </c>
      <c r="I81" s="501"/>
      <c r="J81" s="5"/>
      <c r="K81" s="5"/>
      <c r="L81" s="5"/>
      <c r="M81" s="5"/>
      <c r="N81" s="18">
        <f t="shared" si="2"/>
        <v>4774.8999999999987</v>
      </c>
    </row>
    <row r="82" spans="2:14">
      <c r="B82" s="5">
        <f t="shared" si="3"/>
        <v>77</v>
      </c>
      <c r="C82" s="18" t="s">
        <v>292</v>
      </c>
      <c r="D82" s="18" t="s">
        <v>238</v>
      </c>
      <c r="E82" s="5"/>
      <c r="F82" s="5"/>
      <c r="G82" s="18">
        <v>63</v>
      </c>
      <c r="H82" s="499">
        <v>91.7</v>
      </c>
      <c r="I82" s="501"/>
      <c r="J82" s="5"/>
      <c r="K82" s="5"/>
      <c r="L82" s="5"/>
      <c r="M82" s="5"/>
      <c r="N82" s="18">
        <f t="shared" si="2"/>
        <v>4866.5999999999985</v>
      </c>
    </row>
    <row r="83" spans="2:14">
      <c r="B83" s="5">
        <f t="shared" si="3"/>
        <v>78</v>
      </c>
      <c r="C83" s="18" t="s">
        <v>568</v>
      </c>
      <c r="D83" s="18" t="s">
        <v>238</v>
      </c>
      <c r="E83" s="5"/>
      <c r="F83" s="5"/>
      <c r="G83" s="18">
        <v>63</v>
      </c>
      <c r="H83" s="499">
        <v>87.1</v>
      </c>
      <c r="I83" s="501"/>
      <c r="J83" s="5"/>
      <c r="K83" s="5"/>
      <c r="L83" s="5"/>
      <c r="M83" s="5"/>
      <c r="N83" s="18">
        <f t="shared" si="2"/>
        <v>4953.6999999999989</v>
      </c>
    </row>
    <row r="84" spans="2:14">
      <c r="B84" s="5">
        <f t="shared" si="3"/>
        <v>79</v>
      </c>
      <c r="C84" s="18" t="s">
        <v>238</v>
      </c>
      <c r="D84" s="18" t="s">
        <v>225</v>
      </c>
      <c r="E84" s="5"/>
      <c r="F84" s="5"/>
      <c r="G84" s="18">
        <v>63</v>
      </c>
      <c r="H84" s="499">
        <v>4.2</v>
      </c>
      <c r="I84" s="501"/>
      <c r="J84" s="5"/>
      <c r="K84" s="5"/>
      <c r="L84" s="5"/>
      <c r="M84" s="5"/>
      <c r="N84" s="18">
        <f t="shared" si="2"/>
        <v>4957.8999999999987</v>
      </c>
    </row>
    <row r="85" spans="2:14">
      <c r="B85" s="5">
        <f t="shared" si="3"/>
        <v>80</v>
      </c>
      <c r="C85" s="18" t="s">
        <v>203</v>
      </c>
      <c r="D85" s="18" t="s">
        <v>923</v>
      </c>
      <c r="E85" s="5"/>
      <c r="F85" s="5"/>
      <c r="G85" s="18">
        <v>63</v>
      </c>
      <c r="H85" s="499">
        <v>41.4</v>
      </c>
      <c r="I85" s="501"/>
      <c r="J85" s="5"/>
      <c r="K85" s="5"/>
      <c r="L85" s="5"/>
      <c r="M85" s="5"/>
      <c r="N85" s="18">
        <f t="shared" si="2"/>
        <v>4999.2999999999984</v>
      </c>
    </row>
    <row r="86" spans="2:14">
      <c r="B86" s="5">
        <f t="shared" si="3"/>
        <v>81</v>
      </c>
      <c r="C86" s="18" t="s">
        <v>923</v>
      </c>
      <c r="D86" s="18" t="s">
        <v>923</v>
      </c>
      <c r="E86" s="5"/>
      <c r="F86" s="5"/>
      <c r="G86" s="18">
        <v>63</v>
      </c>
      <c r="H86" s="499">
        <v>9.4</v>
      </c>
      <c r="I86" s="501"/>
      <c r="J86" s="5"/>
      <c r="K86" s="5"/>
      <c r="L86" s="5"/>
      <c r="M86" s="5"/>
      <c r="N86" s="18">
        <f t="shared" si="2"/>
        <v>5008.699999999998</v>
      </c>
    </row>
    <row r="87" spans="2:14">
      <c r="B87" s="5">
        <f t="shared" si="3"/>
        <v>82</v>
      </c>
      <c r="C87" s="18" t="s">
        <v>923</v>
      </c>
      <c r="D87" s="18" t="s">
        <v>241</v>
      </c>
      <c r="E87" s="5"/>
      <c r="F87" s="5"/>
      <c r="G87" s="18">
        <v>63</v>
      </c>
      <c r="H87" s="499">
        <v>70.7</v>
      </c>
      <c r="I87" s="501"/>
      <c r="J87" s="5"/>
      <c r="K87" s="5"/>
      <c r="L87" s="5"/>
      <c r="M87" s="5"/>
      <c r="N87" s="18">
        <f t="shared" si="2"/>
        <v>5079.3999999999978</v>
      </c>
    </row>
    <row r="88" spans="2:14">
      <c r="B88" s="5">
        <f t="shared" si="3"/>
        <v>83</v>
      </c>
      <c r="C88" s="18" t="s">
        <v>225</v>
      </c>
      <c r="D88" s="18" t="s">
        <v>614</v>
      </c>
      <c r="E88" s="5"/>
      <c r="F88" s="5"/>
      <c r="G88" s="18">
        <v>63</v>
      </c>
      <c r="H88" s="499">
        <v>42</v>
      </c>
      <c r="I88" s="501"/>
      <c r="J88" s="5"/>
      <c r="K88" s="5"/>
      <c r="L88" s="5"/>
      <c r="M88" s="5"/>
      <c r="N88" s="18">
        <f t="shared" si="2"/>
        <v>5121.3999999999978</v>
      </c>
    </row>
    <row r="89" spans="2:14">
      <c r="B89" s="5">
        <f t="shared" si="3"/>
        <v>84</v>
      </c>
      <c r="C89" s="18" t="s">
        <v>461</v>
      </c>
      <c r="D89" s="18" t="s">
        <v>297</v>
      </c>
      <c r="E89" s="5"/>
      <c r="F89" s="5"/>
      <c r="G89" s="18">
        <v>63</v>
      </c>
      <c r="H89" s="499"/>
      <c r="I89" s="501"/>
      <c r="J89" s="5"/>
      <c r="K89" s="5"/>
      <c r="L89" s="5"/>
      <c r="M89" s="5"/>
      <c r="N89" s="18">
        <f t="shared" si="2"/>
        <v>5121.3999999999978</v>
      </c>
    </row>
    <row r="90" spans="2:14">
      <c r="B90" s="5">
        <f t="shared" si="3"/>
        <v>85</v>
      </c>
      <c r="C90" s="18" t="s">
        <v>297</v>
      </c>
      <c r="D90" s="18" t="s">
        <v>293</v>
      </c>
      <c r="E90" s="5"/>
      <c r="F90" s="5"/>
      <c r="G90" s="18">
        <v>63</v>
      </c>
      <c r="H90" s="499">
        <v>17</v>
      </c>
      <c r="I90" s="501"/>
      <c r="J90" s="5"/>
      <c r="K90" s="5"/>
      <c r="L90" s="5"/>
      <c r="M90" s="5"/>
      <c r="N90" s="18">
        <f t="shared" si="2"/>
        <v>5138.3999999999978</v>
      </c>
    </row>
    <row r="91" spans="2:14">
      <c r="B91" s="5">
        <f t="shared" si="3"/>
        <v>86</v>
      </c>
      <c r="C91" s="18" t="s">
        <v>297</v>
      </c>
      <c r="D91" s="18" t="s">
        <v>665</v>
      </c>
      <c r="E91" s="5"/>
      <c r="F91" s="5"/>
      <c r="G91" s="18">
        <v>63</v>
      </c>
      <c r="H91" s="499">
        <v>11</v>
      </c>
      <c r="I91" s="501"/>
      <c r="J91" s="5"/>
      <c r="K91" s="5"/>
      <c r="L91" s="5"/>
      <c r="M91" s="5"/>
      <c r="N91" s="18">
        <f t="shared" si="2"/>
        <v>5149.3999999999978</v>
      </c>
    </row>
    <row r="92" spans="2:14">
      <c r="B92" s="5">
        <f t="shared" si="3"/>
        <v>87</v>
      </c>
      <c r="C92" s="18" t="s">
        <v>665</v>
      </c>
      <c r="D92" s="18" t="s">
        <v>460</v>
      </c>
      <c r="E92" s="5"/>
      <c r="F92" s="5"/>
      <c r="G92" s="18">
        <v>63</v>
      </c>
      <c r="H92" s="499">
        <v>49.7</v>
      </c>
      <c r="I92" s="501"/>
      <c r="J92" s="5"/>
      <c r="K92" s="5"/>
      <c r="L92" s="5"/>
      <c r="M92" s="5"/>
      <c r="N92" s="18">
        <f t="shared" si="2"/>
        <v>5199.0999999999976</v>
      </c>
    </row>
    <row r="93" spans="2:14">
      <c r="B93" s="5">
        <f t="shared" si="3"/>
        <v>88</v>
      </c>
      <c r="C93" s="18" t="s">
        <v>293</v>
      </c>
      <c r="D93" s="18" t="s">
        <v>291</v>
      </c>
      <c r="E93" s="5"/>
      <c r="F93" s="5"/>
      <c r="G93" s="18">
        <v>63</v>
      </c>
      <c r="H93" s="499">
        <v>38.4</v>
      </c>
      <c r="I93" s="501"/>
      <c r="J93" s="5"/>
      <c r="K93" s="5"/>
      <c r="L93" s="5"/>
      <c r="M93" s="5"/>
      <c r="N93" s="18">
        <f t="shared" si="2"/>
        <v>5237.4999999999973</v>
      </c>
    </row>
    <row r="94" spans="2:14">
      <c r="B94" s="5">
        <f t="shared" si="3"/>
        <v>89</v>
      </c>
      <c r="C94" s="18" t="s">
        <v>919</v>
      </c>
      <c r="D94" s="18" t="s">
        <v>241</v>
      </c>
      <c r="E94" s="5"/>
      <c r="F94" s="5"/>
      <c r="G94" s="18">
        <v>63</v>
      </c>
      <c r="H94" s="499">
        <v>47.6</v>
      </c>
      <c r="I94" s="501"/>
      <c r="J94" s="5"/>
      <c r="K94" s="5"/>
      <c r="L94" s="5"/>
      <c r="M94" s="5"/>
      <c r="N94" s="18">
        <f t="shared" si="2"/>
        <v>5285.0999999999976</v>
      </c>
    </row>
    <row r="95" spans="2:14">
      <c r="B95" s="5">
        <f t="shared" si="3"/>
        <v>90</v>
      </c>
      <c r="C95" s="18" t="s">
        <v>241</v>
      </c>
      <c r="D95" s="18" t="s">
        <v>456</v>
      </c>
      <c r="E95" s="5"/>
      <c r="F95" s="5"/>
      <c r="G95" s="18">
        <v>63</v>
      </c>
      <c r="H95" s="499">
        <v>14</v>
      </c>
      <c r="I95" s="501"/>
      <c r="J95" s="5"/>
      <c r="K95" s="5"/>
      <c r="L95" s="5"/>
      <c r="M95" s="5"/>
      <c r="N95" s="18">
        <f t="shared" si="2"/>
        <v>5299.0999999999976</v>
      </c>
    </row>
    <row r="96" spans="2:14">
      <c r="B96" s="5">
        <f t="shared" si="3"/>
        <v>91</v>
      </c>
      <c r="C96" s="5" t="s">
        <v>213</v>
      </c>
      <c r="D96" s="5" t="s">
        <v>434</v>
      </c>
      <c r="E96" s="5"/>
      <c r="F96" s="5"/>
      <c r="G96" s="18">
        <v>63</v>
      </c>
      <c r="H96" s="499">
        <v>114.8</v>
      </c>
      <c r="I96" s="501"/>
      <c r="J96" s="5"/>
      <c r="K96" s="5"/>
      <c r="L96" s="5"/>
      <c r="M96" s="5"/>
      <c r="N96" s="18">
        <f t="shared" si="2"/>
        <v>5413.8999999999978</v>
      </c>
    </row>
    <row r="97" spans="2:14">
      <c r="B97" s="5">
        <f t="shared" si="3"/>
        <v>92</v>
      </c>
      <c r="C97" s="5" t="s">
        <v>434</v>
      </c>
      <c r="D97" s="5" t="s">
        <v>242</v>
      </c>
      <c r="E97" s="5"/>
      <c r="F97" s="5"/>
      <c r="G97" s="18">
        <v>63</v>
      </c>
      <c r="H97" s="499">
        <v>63.4</v>
      </c>
      <c r="I97" s="501"/>
      <c r="J97" s="5"/>
      <c r="K97" s="5"/>
      <c r="L97" s="5"/>
      <c r="M97" s="5"/>
      <c r="N97" s="18">
        <f t="shared" si="2"/>
        <v>5477.2999999999975</v>
      </c>
    </row>
    <row r="98" spans="2:14">
      <c r="B98" s="5">
        <f t="shared" si="3"/>
        <v>93</v>
      </c>
      <c r="C98" s="5" t="s">
        <v>242</v>
      </c>
      <c r="D98" s="5" t="s">
        <v>324</v>
      </c>
      <c r="E98" s="5"/>
      <c r="F98" s="5"/>
      <c r="G98" s="18">
        <v>63</v>
      </c>
      <c r="H98" s="499">
        <v>38</v>
      </c>
      <c r="I98" s="501"/>
      <c r="J98" s="5"/>
      <c r="K98" s="5"/>
      <c r="L98" s="5"/>
      <c r="M98" s="5"/>
      <c r="N98" s="18">
        <f t="shared" si="2"/>
        <v>5515.2999999999975</v>
      </c>
    </row>
    <row r="99" spans="2:14">
      <c r="B99" s="406">
        <f t="shared" si="3"/>
        <v>94</v>
      </c>
      <c r="C99" s="5" t="s">
        <v>338</v>
      </c>
      <c r="D99" s="5" t="s">
        <v>270</v>
      </c>
      <c r="E99" s="5" t="s">
        <v>924</v>
      </c>
      <c r="F99" s="18">
        <v>0.39</v>
      </c>
      <c r="G99" s="18">
        <v>63</v>
      </c>
      <c r="H99" s="499">
        <v>427.6</v>
      </c>
      <c r="I99" s="501"/>
      <c r="J99" s="5"/>
      <c r="K99" s="5"/>
      <c r="L99" s="5"/>
      <c r="M99" s="5"/>
      <c r="N99" s="407">
        <f t="shared" si="2"/>
        <v>5942.8999999999978</v>
      </c>
    </row>
    <row r="100" spans="2:14">
      <c r="B100" s="406">
        <f t="shared" si="3"/>
        <v>95</v>
      </c>
      <c r="C100" s="5" t="s">
        <v>270</v>
      </c>
      <c r="D100" s="5" t="s">
        <v>351</v>
      </c>
      <c r="E100" s="5" t="s">
        <v>924</v>
      </c>
      <c r="F100" s="18">
        <v>0.39</v>
      </c>
      <c r="G100" s="18">
        <v>63</v>
      </c>
      <c r="H100" s="499">
        <v>62</v>
      </c>
      <c r="I100" s="501"/>
      <c r="J100" s="5"/>
      <c r="K100" s="5"/>
      <c r="L100" s="5"/>
      <c r="M100" s="5"/>
      <c r="N100" s="407">
        <f t="shared" si="2"/>
        <v>6004.8999999999978</v>
      </c>
    </row>
    <row r="101" spans="2:14">
      <c r="B101" s="406">
        <f t="shared" si="3"/>
        <v>96</v>
      </c>
      <c r="C101" s="5" t="s">
        <v>270</v>
      </c>
      <c r="D101" s="5" t="s">
        <v>399</v>
      </c>
      <c r="E101" s="5" t="s">
        <v>924</v>
      </c>
      <c r="F101" s="18">
        <v>0.39</v>
      </c>
      <c r="G101" s="18">
        <v>63</v>
      </c>
      <c r="H101" s="499">
        <v>123.2</v>
      </c>
      <c r="I101" s="501"/>
      <c r="J101" s="5"/>
      <c r="K101" s="5"/>
      <c r="L101" s="5"/>
      <c r="M101" s="5"/>
      <c r="N101" s="407">
        <f t="shared" si="2"/>
        <v>6128.0999999999976</v>
      </c>
    </row>
    <row r="102" spans="2:14">
      <c r="B102" s="406">
        <f t="shared" si="3"/>
        <v>97</v>
      </c>
      <c r="C102" s="5" t="s">
        <v>117</v>
      </c>
      <c r="D102" s="5" t="s">
        <v>122</v>
      </c>
      <c r="E102" s="5"/>
      <c r="F102" s="5"/>
      <c r="G102" s="5">
        <v>140</v>
      </c>
      <c r="H102" s="499">
        <v>117</v>
      </c>
      <c r="I102" s="501"/>
      <c r="J102" s="5"/>
      <c r="K102" s="5"/>
      <c r="L102" s="5"/>
      <c r="M102" s="5"/>
      <c r="N102" s="407">
        <f t="shared" si="2"/>
        <v>6245.0999999999976</v>
      </c>
    </row>
    <row r="103" spans="2:14">
      <c r="B103" s="406">
        <f t="shared" si="3"/>
        <v>98</v>
      </c>
      <c r="C103" s="5" t="s">
        <v>117</v>
      </c>
      <c r="D103" s="5" t="s">
        <v>925</v>
      </c>
      <c r="E103" s="5"/>
      <c r="F103" s="5"/>
      <c r="G103" s="5">
        <v>125</v>
      </c>
      <c r="H103" s="499">
        <f>264-6</f>
        <v>258</v>
      </c>
      <c r="I103" s="501"/>
      <c r="J103" s="5"/>
      <c r="K103" s="5"/>
      <c r="L103" s="5"/>
      <c r="M103" s="5"/>
      <c r="N103" s="407">
        <f t="shared" si="2"/>
        <v>6503.0999999999976</v>
      </c>
    </row>
    <row r="104" spans="2:14">
      <c r="B104" s="406">
        <f t="shared" si="3"/>
        <v>99</v>
      </c>
      <c r="C104" s="5" t="s">
        <v>925</v>
      </c>
      <c r="D104" s="5" t="s">
        <v>501</v>
      </c>
      <c r="E104" s="5"/>
      <c r="F104" s="5"/>
      <c r="G104" s="5">
        <v>63</v>
      </c>
      <c r="H104" s="499">
        <v>305.2</v>
      </c>
      <c r="I104" s="501"/>
      <c r="J104" s="5"/>
      <c r="K104" s="5"/>
      <c r="L104" s="5"/>
      <c r="M104" s="5"/>
      <c r="N104" s="407">
        <f t="shared" si="2"/>
        <v>6808.2999999999975</v>
      </c>
    </row>
    <row r="105" spans="2:14">
      <c r="B105" s="406">
        <f t="shared" si="3"/>
        <v>100</v>
      </c>
      <c r="C105" s="5" t="s">
        <v>170</v>
      </c>
      <c r="D105" s="5" t="s">
        <v>832</v>
      </c>
      <c r="E105" s="5"/>
      <c r="F105" s="5"/>
      <c r="G105" s="5">
        <v>63</v>
      </c>
      <c r="H105" s="499">
        <v>64.5</v>
      </c>
      <c r="I105" s="501"/>
      <c r="J105" s="5"/>
      <c r="K105" s="5"/>
      <c r="L105" s="5"/>
      <c r="M105" s="5"/>
      <c r="N105" s="407">
        <f t="shared" si="2"/>
        <v>6872.7999999999975</v>
      </c>
    </row>
    <row r="106" spans="2:14">
      <c r="B106" s="406">
        <f t="shared" si="3"/>
        <v>101</v>
      </c>
      <c r="C106" s="5" t="s">
        <v>501</v>
      </c>
      <c r="D106" s="5" t="s">
        <v>31</v>
      </c>
      <c r="E106" s="5"/>
      <c r="F106" s="5"/>
      <c r="G106" s="5">
        <v>63</v>
      </c>
      <c r="H106" s="499">
        <v>111.8</v>
      </c>
      <c r="I106" s="501"/>
      <c r="J106" s="5"/>
      <c r="K106" s="5"/>
      <c r="L106" s="5"/>
      <c r="M106" s="5"/>
      <c r="N106" s="407">
        <f t="shared" si="2"/>
        <v>6984.5999999999976</v>
      </c>
    </row>
    <row r="107" spans="2:14">
      <c r="B107" s="406">
        <f t="shared" si="3"/>
        <v>102</v>
      </c>
      <c r="C107" s="5" t="s">
        <v>501</v>
      </c>
      <c r="D107" s="5" t="s">
        <v>144</v>
      </c>
      <c r="E107" s="5"/>
      <c r="F107" s="5"/>
      <c r="G107" s="5">
        <v>63</v>
      </c>
      <c r="H107" s="499">
        <v>117.8</v>
      </c>
      <c r="I107" s="501"/>
      <c r="J107" s="5"/>
      <c r="K107" s="5"/>
      <c r="L107" s="5"/>
      <c r="M107" s="5"/>
      <c r="N107" s="407">
        <f t="shared" si="2"/>
        <v>7102.3999999999978</v>
      </c>
    </row>
    <row r="108" spans="2:14">
      <c r="B108" s="406">
        <f t="shared" si="3"/>
        <v>103</v>
      </c>
      <c r="C108" s="5" t="s">
        <v>31</v>
      </c>
      <c r="D108" s="5" t="s">
        <v>65</v>
      </c>
      <c r="E108" s="5"/>
      <c r="F108" s="5"/>
      <c r="G108" s="5">
        <v>63</v>
      </c>
      <c r="H108" s="499">
        <v>233</v>
      </c>
      <c r="I108" s="501"/>
      <c r="J108" s="5"/>
      <c r="K108" s="5"/>
      <c r="L108" s="5"/>
      <c r="M108" s="5"/>
      <c r="N108" s="407">
        <f t="shared" si="2"/>
        <v>7335.3999999999978</v>
      </c>
    </row>
    <row r="109" spans="2:14">
      <c r="B109" s="406">
        <f t="shared" si="3"/>
        <v>104</v>
      </c>
      <c r="C109" s="5" t="s">
        <v>925</v>
      </c>
      <c r="D109" s="5" t="s">
        <v>145</v>
      </c>
      <c r="E109" s="5"/>
      <c r="F109" s="5"/>
      <c r="G109" s="5">
        <v>110</v>
      </c>
      <c r="H109" s="499">
        <v>255</v>
      </c>
      <c r="I109" s="501"/>
      <c r="J109" s="5"/>
      <c r="K109" s="5"/>
      <c r="L109" s="5"/>
      <c r="M109" s="5"/>
      <c r="N109" s="407">
        <f t="shared" si="2"/>
        <v>7590.3999999999978</v>
      </c>
    </row>
    <row r="110" spans="2:14">
      <c r="B110" s="406">
        <f t="shared" si="3"/>
        <v>105</v>
      </c>
      <c r="C110" s="5" t="s">
        <v>145</v>
      </c>
      <c r="D110" s="5" t="s">
        <v>503</v>
      </c>
      <c r="E110" s="5"/>
      <c r="F110" s="5"/>
      <c r="G110" s="5">
        <v>63</v>
      </c>
      <c r="H110" s="499">
        <v>27.4</v>
      </c>
      <c r="I110" s="501"/>
      <c r="J110" s="5"/>
      <c r="K110" s="5"/>
      <c r="L110" s="5"/>
      <c r="M110" s="5"/>
      <c r="N110" s="407">
        <f t="shared" si="2"/>
        <v>7617.7999999999975</v>
      </c>
    </row>
    <row r="111" spans="2:14">
      <c r="B111" s="406">
        <f t="shared" si="3"/>
        <v>106</v>
      </c>
      <c r="C111" s="5" t="s">
        <v>145</v>
      </c>
      <c r="D111" s="5" t="s">
        <v>156</v>
      </c>
      <c r="E111" s="5"/>
      <c r="F111" s="5"/>
      <c r="G111" s="5">
        <v>110</v>
      </c>
      <c r="H111" s="499">
        <v>51.6</v>
      </c>
      <c r="I111" s="501"/>
      <c r="J111" s="5"/>
      <c r="K111" s="5"/>
      <c r="L111" s="5"/>
      <c r="M111" s="5"/>
      <c r="N111" s="407">
        <f t="shared" si="2"/>
        <v>7669.3999999999978</v>
      </c>
    </row>
    <row r="112" spans="2:14">
      <c r="B112" s="406">
        <f t="shared" si="3"/>
        <v>107</v>
      </c>
      <c r="C112" s="5" t="s">
        <v>156</v>
      </c>
      <c r="D112" s="5" t="s">
        <v>164</v>
      </c>
      <c r="E112" s="5"/>
      <c r="F112" s="5"/>
      <c r="G112" s="5">
        <v>63</v>
      </c>
      <c r="H112" s="499">
        <v>61.3</v>
      </c>
      <c r="I112" s="501"/>
      <c r="J112" s="5"/>
      <c r="K112" s="5"/>
      <c r="L112" s="5"/>
      <c r="M112" s="5"/>
      <c r="N112" s="407">
        <f t="shared" si="2"/>
        <v>7730.699999999998</v>
      </c>
    </row>
    <row r="113" spans="2:14">
      <c r="B113" s="406">
        <f t="shared" si="3"/>
        <v>108</v>
      </c>
      <c r="C113" s="5" t="s">
        <v>164</v>
      </c>
      <c r="D113" s="5" t="s">
        <v>161</v>
      </c>
      <c r="E113" s="5"/>
      <c r="F113" s="5"/>
      <c r="G113" s="5">
        <v>63</v>
      </c>
      <c r="H113" s="499">
        <v>22.2</v>
      </c>
      <c r="I113" s="501"/>
      <c r="J113" s="5"/>
      <c r="K113" s="5"/>
      <c r="L113" s="5"/>
      <c r="M113" s="5"/>
      <c r="N113" s="407">
        <f t="shared" si="2"/>
        <v>7752.8999999999978</v>
      </c>
    </row>
    <row r="114" spans="2:14">
      <c r="B114" s="406">
        <f t="shared" si="3"/>
        <v>109</v>
      </c>
      <c r="C114" s="5" t="s">
        <v>161</v>
      </c>
      <c r="D114" s="5" t="s">
        <v>826</v>
      </c>
      <c r="E114" s="5"/>
      <c r="F114" s="5"/>
      <c r="G114" s="5">
        <v>63</v>
      </c>
      <c r="H114" s="499">
        <v>13.6</v>
      </c>
      <c r="I114" s="501"/>
      <c r="J114" s="5"/>
      <c r="K114" s="5"/>
      <c r="L114" s="5"/>
      <c r="M114" s="5"/>
      <c r="N114" s="407">
        <f t="shared" si="2"/>
        <v>7766.4999999999982</v>
      </c>
    </row>
    <row r="115" spans="2:14">
      <c r="B115" s="406">
        <f t="shared" si="3"/>
        <v>110</v>
      </c>
      <c r="C115" s="5" t="s">
        <v>835</v>
      </c>
      <c r="D115" s="5" t="s">
        <v>160</v>
      </c>
      <c r="E115" s="5"/>
      <c r="F115" s="5"/>
      <c r="G115" s="5">
        <v>110</v>
      </c>
      <c r="H115" s="499">
        <v>18</v>
      </c>
      <c r="I115" s="501"/>
      <c r="J115" s="5"/>
      <c r="K115" s="5"/>
      <c r="L115" s="5"/>
      <c r="M115" s="5"/>
      <c r="N115" s="407">
        <f t="shared" si="2"/>
        <v>7784.4999999999982</v>
      </c>
    </row>
    <row r="116" spans="2:14">
      <c r="B116" s="406">
        <f t="shared" si="3"/>
        <v>111</v>
      </c>
      <c r="C116" s="5" t="s">
        <v>160</v>
      </c>
      <c r="D116" s="5" t="s">
        <v>170</v>
      </c>
      <c r="E116" s="5"/>
      <c r="F116" s="5"/>
      <c r="G116" s="5">
        <v>110</v>
      </c>
      <c r="H116" s="499">
        <v>59.8</v>
      </c>
      <c r="I116" s="501"/>
      <c r="J116" s="5"/>
      <c r="K116" s="5"/>
      <c r="L116" s="5"/>
      <c r="M116" s="5"/>
      <c r="N116" s="407">
        <f t="shared" si="2"/>
        <v>7844.2999999999984</v>
      </c>
    </row>
    <row r="117" spans="2:14">
      <c r="B117" s="406">
        <f t="shared" si="3"/>
        <v>112</v>
      </c>
      <c r="C117" s="5" t="s">
        <v>170</v>
      </c>
      <c r="D117" s="5" t="s">
        <v>39</v>
      </c>
      <c r="E117" s="5"/>
      <c r="F117" s="5"/>
      <c r="G117" s="5">
        <v>63</v>
      </c>
      <c r="H117" s="499">
        <v>153.9</v>
      </c>
      <c r="I117" s="501"/>
      <c r="J117" s="5"/>
      <c r="K117" s="5"/>
      <c r="L117" s="5"/>
      <c r="M117" s="5"/>
      <c r="N117" s="407">
        <f t="shared" si="2"/>
        <v>7998.199999999998</v>
      </c>
    </row>
    <row r="118" spans="2:14">
      <c r="B118" s="406">
        <f t="shared" si="3"/>
        <v>113</v>
      </c>
      <c r="C118" s="5" t="s">
        <v>39</v>
      </c>
      <c r="D118" s="5" t="s">
        <v>926</v>
      </c>
      <c r="E118" s="5"/>
      <c r="F118" s="5"/>
      <c r="G118" s="5">
        <v>63</v>
      </c>
      <c r="H118" s="499">
        <v>65.400000000000006</v>
      </c>
      <c r="I118" s="501"/>
      <c r="J118" s="5"/>
      <c r="K118" s="5"/>
      <c r="L118" s="5"/>
      <c r="M118" s="5"/>
      <c r="N118" s="407">
        <f t="shared" si="2"/>
        <v>8063.5999999999976</v>
      </c>
    </row>
    <row r="119" spans="2:14">
      <c r="B119" s="406">
        <f t="shared" si="3"/>
        <v>114</v>
      </c>
      <c r="C119" s="5" t="s">
        <v>39</v>
      </c>
      <c r="D119" s="5" t="s">
        <v>722</v>
      </c>
      <c r="E119" s="5"/>
      <c r="F119" s="5"/>
      <c r="G119" s="5">
        <v>63</v>
      </c>
      <c r="H119" s="499">
        <v>33</v>
      </c>
      <c r="I119" s="501"/>
      <c r="J119" s="5"/>
      <c r="K119" s="5"/>
      <c r="L119" s="5"/>
      <c r="M119" s="5"/>
      <c r="N119" s="407">
        <f t="shared" si="2"/>
        <v>8096.5999999999976</v>
      </c>
    </row>
    <row r="120" spans="2:14">
      <c r="B120" s="406">
        <f t="shared" si="3"/>
        <v>115</v>
      </c>
      <c r="C120" s="5" t="s">
        <v>722</v>
      </c>
      <c r="D120" s="5" t="s">
        <v>64</v>
      </c>
      <c r="E120" s="5"/>
      <c r="F120" s="5"/>
      <c r="G120" s="5">
        <v>63</v>
      </c>
      <c r="H120" s="499">
        <v>91</v>
      </c>
      <c r="I120" s="501"/>
      <c r="J120" s="5"/>
      <c r="K120" s="5"/>
      <c r="L120" s="5"/>
      <c r="M120" s="5"/>
      <c r="N120" s="407">
        <f t="shared" si="2"/>
        <v>8187.5999999999976</v>
      </c>
    </row>
    <row r="121" spans="2:14">
      <c r="B121" s="406">
        <f t="shared" si="3"/>
        <v>116</v>
      </c>
      <c r="C121" s="5" t="s">
        <v>722</v>
      </c>
      <c r="D121" s="5" t="s">
        <v>111</v>
      </c>
      <c r="E121" s="5"/>
      <c r="F121" s="5"/>
      <c r="G121" s="5">
        <v>63</v>
      </c>
      <c r="H121" s="499">
        <v>130</v>
      </c>
      <c r="I121" s="501"/>
      <c r="J121" s="5"/>
      <c r="K121" s="5"/>
      <c r="L121" s="5"/>
      <c r="M121" s="5"/>
      <c r="N121" s="407">
        <f t="shared" si="2"/>
        <v>8317.5999999999985</v>
      </c>
    </row>
    <row r="122" spans="2:14">
      <c r="B122" s="406">
        <f t="shared" si="3"/>
        <v>117</v>
      </c>
      <c r="C122" s="5" t="s">
        <v>111</v>
      </c>
      <c r="D122" s="5" t="s">
        <v>166</v>
      </c>
      <c r="E122" s="5"/>
      <c r="F122" s="5"/>
      <c r="G122" s="5">
        <v>63</v>
      </c>
      <c r="H122" s="499">
        <v>25</v>
      </c>
      <c r="I122" s="501"/>
      <c r="J122" s="5"/>
      <c r="K122" s="5"/>
      <c r="L122" s="5"/>
      <c r="M122" s="5"/>
      <c r="N122" s="407">
        <f t="shared" si="2"/>
        <v>8342.5999999999985</v>
      </c>
    </row>
    <row r="123" spans="2:14">
      <c r="B123" s="406">
        <f t="shared" si="3"/>
        <v>118</v>
      </c>
      <c r="C123" s="5" t="s">
        <v>166</v>
      </c>
      <c r="D123" s="5" t="s">
        <v>155</v>
      </c>
      <c r="E123" s="5"/>
      <c r="F123" s="5"/>
      <c r="G123" s="5">
        <v>63</v>
      </c>
      <c r="H123" s="499">
        <v>29.9</v>
      </c>
      <c r="I123" s="501"/>
      <c r="J123" s="5"/>
      <c r="K123" s="5"/>
      <c r="L123" s="5"/>
      <c r="M123" s="5"/>
      <c r="N123" s="407">
        <f t="shared" si="2"/>
        <v>8372.4999999999982</v>
      </c>
    </row>
    <row r="124" spans="2:14">
      <c r="B124" s="406">
        <f t="shared" si="3"/>
        <v>119</v>
      </c>
      <c r="C124" s="5" t="s">
        <v>155</v>
      </c>
      <c r="D124" s="5" t="s">
        <v>146</v>
      </c>
      <c r="E124" s="5"/>
      <c r="F124" s="5"/>
      <c r="G124" s="5">
        <v>63</v>
      </c>
      <c r="H124" s="499">
        <v>21.1</v>
      </c>
      <c r="I124" s="501"/>
      <c r="J124" s="5"/>
      <c r="K124" s="5"/>
      <c r="L124" s="5"/>
      <c r="M124" s="5"/>
      <c r="N124" s="407">
        <f t="shared" si="2"/>
        <v>8393.5999999999985</v>
      </c>
    </row>
    <row r="125" spans="2:14">
      <c r="B125" s="406">
        <f t="shared" si="3"/>
        <v>120</v>
      </c>
      <c r="C125" s="5" t="s">
        <v>122</v>
      </c>
      <c r="D125" s="5" t="s">
        <v>927</v>
      </c>
      <c r="E125" s="5"/>
      <c r="F125" s="5"/>
      <c r="G125" s="5">
        <v>90</v>
      </c>
      <c r="H125" s="499">
        <v>303</v>
      </c>
      <c r="I125" s="501"/>
      <c r="J125" s="5"/>
      <c r="K125" s="5"/>
      <c r="L125" s="5"/>
      <c r="M125" s="5"/>
      <c r="N125" s="407">
        <f t="shared" si="2"/>
        <v>8696.5999999999985</v>
      </c>
    </row>
    <row r="126" spans="2:14">
      <c r="B126" s="406">
        <f t="shared" si="3"/>
        <v>121</v>
      </c>
      <c r="C126" s="5" t="s">
        <v>927</v>
      </c>
      <c r="D126" s="5" t="s">
        <v>112</v>
      </c>
      <c r="E126" s="5"/>
      <c r="F126" s="5"/>
      <c r="G126" s="5">
        <v>63</v>
      </c>
      <c r="H126" s="499">
        <v>144.19999999999999</v>
      </c>
      <c r="I126" s="501"/>
      <c r="J126" s="5"/>
      <c r="K126" s="5"/>
      <c r="L126" s="5"/>
      <c r="M126" s="5"/>
      <c r="N126" s="407">
        <f t="shared" si="2"/>
        <v>8840.7999999999993</v>
      </c>
    </row>
    <row r="127" spans="2:14">
      <c r="B127" s="406">
        <f t="shared" si="3"/>
        <v>122</v>
      </c>
      <c r="C127" s="5" t="s">
        <v>927</v>
      </c>
      <c r="D127" s="5" t="s">
        <v>844</v>
      </c>
      <c r="E127" s="5"/>
      <c r="F127" s="5"/>
      <c r="G127" s="5">
        <v>63</v>
      </c>
      <c r="H127" s="499">
        <v>43</v>
      </c>
      <c r="I127" s="501"/>
      <c r="J127" s="5"/>
      <c r="K127" s="5"/>
      <c r="L127" s="5"/>
      <c r="M127" s="5"/>
      <c r="N127" s="407">
        <f t="shared" si="2"/>
        <v>8883.7999999999993</v>
      </c>
    </row>
    <row r="128" spans="2:14">
      <c r="B128" s="406">
        <f t="shared" si="3"/>
        <v>123</v>
      </c>
      <c r="C128" s="5" t="s">
        <v>928</v>
      </c>
      <c r="D128" s="5" t="s">
        <v>929</v>
      </c>
      <c r="E128" s="5"/>
      <c r="F128" s="5"/>
      <c r="G128" s="5">
        <v>63</v>
      </c>
      <c r="H128" s="499">
        <v>18.7</v>
      </c>
      <c r="I128" s="501"/>
      <c r="J128" s="5"/>
      <c r="K128" s="5"/>
      <c r="L128" s="5"/>
      <c r="M128" s="5"/>
      <c r="N128" s="407">
        <f t="shared" si="2"/>
        <v>8902.5</v>
      </c>
    </row>
    <row r="129" spans="2:14">
      <c r="B129" s="406">
        <f t="shared" si="3"/>
        <v>124</v>
      </c>
      <c r="C129" s="5" t="s">
        <v>927</v>
      </c>
      <c r="D129" s="5" t="s">
        <v>930</v>
      </c>
      <c r="E129" s="5"/>
      <c r="F129" s="5"/>
      <c r="G129" s="5">
        <v>90</v>
      </c>
      <c r="H129" s="499">
        <v>74</v>
      </c>
      <c r="I129" s="501"/>
      <c r="J129" s="5"/>
      <c r="K129" s="5"/>
      <c r="L129" s="5"/>
      <c r="M129" s="5"/>
      <c r="N129" s="407">
        <f t="shared" si="2"/>
        <v>8976.5</v>
      </c>
    </row>
    <row r="130" spans="2:14">
      <c r="B130" s="406">
        <f t="shared" si="3"/>
        <v>125</v>
      </c>
      <c r="C130" s="5" t="s">
        <v>732</v>
      </c>
      <c r="D130" s="5" t="s">
        <v>825</v>
      </c>
      <c r="E130" s="5"/>
      <c r="F130" s="5"/>
      <c r="G130" s="5">
        <v>90</v>
      </c>
      <c r="H130" s="499">
        <v>30.9</v>
      </c>
      <c r="I130" s="501"/>
      <c r="J130" s="5"/>
      <c r="K130" s="5"/>
      <c r="L130" s="5"/>
      <c r="M130" s="5"/>
      <c r="N130" s="407">
        <f t="shared" si="2"/>
        <v>9007.4</v>
      </c>
    </row>
    <row r="131" spans="2:14">
      <c r="B131" s="406">
        <f t="shared" si="3"/>
        <v>126</v>
      </c>
      <c r="C131" s="5" t="s">
        <v>825</v>
      </c>
      <c r="D131" s="5" t="s">
        <v>931</v>
      </c>
      <c r="E131" s="5"/>
      <c r="F131" s="5"/>
      <c r="G131" s="5">
        <v>90</v>
      </c>
      <c r="H131" s="499">
        <v>240.3</v>
      </c>
      <c r="I131" s="501"/>
      <c r="J131" s="5"/>
      <c r="K131" s="5"/>
      <c r="L131" s="5"/>
      <c r="M131" s="5"/>
      <c r="N131" s="407">
        <f t="shared" si="2"/>
        <v>9247.6999999999989</v>
      </c>
    </row>
    <row r="132" spans="2:14">
      <c r="B132" s="406">
        <f t="shared" si="3"/>
        <v>127</v>
      </c>
      <c r="C132" s="18" t="s">
        <v>338</v>
      </c>
      <c r="D132" s="18" t="s">
        <v>270</v>
      </c>
      <c r="E132" s="5"/>
      <c r="F132" s="5"/>
      <c r="G132" s="5">
        <v>63</v>
      </c>
      <c r="H132" s="499">
        <v>435.8</v>
      </c>
      <c r="I132" s="501"/>
      <c r="J132" s="5"/>
      <c r="K132" s="5"/>
      <c r="L132" s="5"/>
      <c r="M132" s="5"/>
      <c r="N132" s="407">
        <f t="shared" si="2"/>
        <v>9683.4999999999982</v>
      </c>
    </row>
    <row r="133" spans="2:14">
      <c r="B133" s="406">
        <f t="shared" si="3"/>
        <v>128</v>
      </c>
      <c r="C133" s="18" t="s">
        <v>270</v>
      </c>
      <c r="D133" s="18" t="s">
        <v>286</v>
      </c>
      <c r="E133" s="5"/>
      <c r="F133" s="5"/>
      <c r="G133" s="5">
        <v>63</v>
      </c>
      <c r="H133" s="499">
        <v>128.4</v>
      </c>
      <c r="I133" s="501"/>
      <c r="J133" s="5"/>
      <c r="K133" s="5"/>
      <c r="L133" s="5"/>
      <c r="M133" s="5"/>
      <c r="N133" s="407">
        <f t="shared" si="2"/>
        <v>9811.8999999999978</v>
      </c>
    </row>
    <row r="134" spans="2:14">
      <c r="B134" s="406">
        <f t="shared" si="3"/>
        <v>129</v>
      </c>
      <c r="C134" s="18" t="s">
        <v>286</v>
      </c>
      <c r="D134" s="18" t="s">
        <v>317</v>
      </c>
      <c r="E134" s="5"/>
      <c r="F134" s="5"/>
      <c r="G134" s="5">
        <v>63</v>
      </c>
      <c r="H134" s="499">
        <v>55.4</v>
      </c>
      <c r="I134" s="501"/>
      <c r="J134" s="5"/>
      <c r="K134" s="5"/>
      <c r="L134" s="5"/>
      <c r="M134" s="5"/>
      <c r="N134" s="407">
        <f t="shared" si="2"/>
        <v>9867.2999999999975</v>
      </c>
    </row>
    <row r="135" spans="2:14">
      <c r="B135" s="406">
        <f t="shared" si="3"/>
        <v>130</v>
      </c>
      <c r="C135" s="18" t="s">
        <v>270</v>
      </c>
      <c r="D135" s="18" t="s">
        <v>351</v>
      </c>
      <c r="E135" s="5"/>
      <c r="F135" s="5"/>
      <c r="G135" s="5">
        <v>63</v>
      </c>
      <c r="H135" s="499">
        <v>68.400000000000006</v>
      </c>
      <c r="I135" s="501"/>
      <c r="J135" s="5"/>
      <c r="K135" s="5"/>
      <c r="L135" s="5"/>
      <c r="M135" s="5"/>
      <c r="N135" s="407">
        <f t="shared" si="2"/>
        <v>9935.6999999999971</v>
      </c>
    </row>
    <row r="136" spans="2:14">
      <c r="B136" s="406">
        <f t="shared" si="3"/>
        <v>131</v>
      </c>
      <c r="C136" s="18" t="s">
        <v>351</v>
      </c>
      <c r="D136" s="18" t="s">
        <v>399</v>
      </c>
      <c r="E136" s="5"/>
      <c r="F136" s="5"/>
      <c r="G136" s="5">
        <v>63</v>
      </c>
      <c r="H136" s="499">
        <v>30</v>
      </c>
      <c r="I136" s="501"/>
      <c r="J136" s="5"/>
      <c r="K136" s="5"/>
      <c r="L136" s="5"/>
      <c r="M136" s="5"/>
      <c r="N136" s="407">
        <f t="shared" ref="N136:N199" si="4">+N135+H136</f>
        <v>9965.6999999999971</v>
      </c>
    </row>
    <row r="137" spans="2:14">
      <c r="B137" s="406">
        <f t="shared" si="3"/>
        <v>132</v>
      </c>
      <c r="C137" s="130" t="s">
        <v>351</v>
      </c>
      <c r="D137" s="130" t="s">
        <v>269</v>
      </c>
      <c r="E137" s="5"/>
      <c r="F137" s="5"/>
      <c r="G137" s="5">
        <v>63</v>
      </c>
      <c r="H137" s="499">
        <v>123.5</v>
      </c>
      <c r="I137" s="501"/>
      <c r="J137" s="5"/>
      <c r="K137" s="5"/>
      <c r="L137" s="5"/>
      <c r="M137" s="5"/>
      <c r="N137" s="407">
        <f t="shared" si="4"/>
        <v>10089.199999999997</v>
      </c>
    </row>
    <row r="138" spans="2:14">
      <c r="B138" s="406">
        <f t="shared" ref="B138:B201" si="5">1+B137</f>
        <v>133</v>
      </c>
      <c r="C138" s="18" t="s">
        <v>399</v>
      </c>
      <c r="D138" s="18" t="s">
        <v>414</v>
      </c>
      <c r="E138" s="5"/>
      <c r="F138" s="5"/>
      <c r="G138" s="5">
        <v>63</v>
      </c>
      <c r="H138" s="499">
        <v>30</v>
      </c>
      <c r="I138" s="501"/>
      <c r="J138" s="5"/>
      <c r="K138" s="5"/>
      <c r="L138" s="5"/>
      <c r="M138" s="5"/>
      <c r="N138" s="407">
        <f t="shared" si="4"/>
        <v>10119.199999999997</v>
      </c>
    </row>
    <row r="139" spans="2:14">
      <c r="B139" s="406">
        <f t="shared" si="5"/>
        <v>134</v>
      </c>
      <c r="C139" s="18" t="s">
        <v>414</v>
      </c>
      <c r="D139" s="18" t="s">
        <v>523</v>
      </c>
      <c r="E139" s="5"/>
      <c r="F139" s="5"/>
      <c r="G139" s="5">
        <v>63</v>
      </c>
      <c r="H139" s="499">
        <v>73.2</v>
      </c>
      <c r="I139" s="501"/>
      <c r="J139" s="5"/>
      <c r="K139" s="5"/>
      <c r="L139" s="5"/>
      <c r="M139" s="5"/>
      <c r="N139" s="407">
        <f t="shared" si="4"/>
        <v>10192.399999999998</v>
      </c>
    </row>
    <row r="140" spans="2:14">
      <c r="B140" s="406">
        <f t="shared" si="5"/>
        <v>135</v>
      </c>
      <c r="C140" s="18" t="s">
        <v>932</v>
      </c>
      <c r="D140" s="18" t="s">
        <v>203</v>
      </c>
      <c r="E140" s="5"/>
      <c r="F140" s="5"/>
      <c r="G140" s="5">
        <v>63</v>
      </c>
      <c r="H140" s="499">
        <v>54.5</v>
      </c>
      <c r="I140" s="501"/>
      <c r="J140" s="5"/>
      <c r="K140" s="5"/>
      <c r="L140" s="5"/>
      <c r="M140" s="5"/>
      <c r="N140" s="407">
        <f t="shared" si="4"/>
        <v>10246.899999999998</v>
      </c>
    </row>
    <row r="141" spans="2:14">
      <c r="B141" s="406">
        <f t="shared" si="5"/>
        <v>136</v>
      </c>
      <c r="C141" s="18" t="s">
        <v>203</v>
      </c>
      <c r="D141" s="18" t="s">
        <v>614</v>
      </c>
      <c r="E141" s="5"/>
      <c r="F141" s="5"/>
      <c r="G141" s="5">
        <v>63</v>
      </c>
      <c r="H141" s="499">
        <v>24.8</v>
      </c>
      <c r="I141" s="501"/>
      <c r="J141" s="5"/>
      <c r="K141" s="5"/>
      <c r="L141" s="5"/>
      <c r="M141" s="5"/>
      <c r="N141" s="407">
        <f t="shared" si="4"/>
        <v>10271.699999999997</v>
      </c>
    </row>
    <row r="142" spans="2:14">
      <c r="B142" s="406">
        <f t="shared" si="5"/>
        <v>137</v>
      </c>
      <c r="C142" s="18" t="s">
        <v>614</v>
      </c>
      <c r="D142" s="18" t="s">
        <v>711</v>
      </c>
      <c r="E142" s="5"/>
      <c r="F142" s="5"/>
      <c r="G142" s="5">
        <v>63</v>
      </c>
      <c r="H142" s="499">
        <v>18.2</v>
      </c>
      <c r="I142" s="501"/>
      <c r="J142" s="5"/>
      <c r="K142" s="5"/>
      <c r="L142" s="5"/>
      <c r="M142" s="5"/>
      <c r="N142" s="407">
        <f t="shared" si="4"/>
        <v>10289.899999999998</v>
      </c>
    </row>
    <row r="143" spans="2:14">
      <c r="B143" s="406">
        <f t="shared" si="5"/>
        <v>138</v>
      </c>
      <c r="C143" s="18" t="s">
        <v>711</v>
      </c>
      <c r="D143" s="18" t="s">
        <v>590</v>
      </c>
      <c r="E143" s="5"/>
      <c r="F143" s="5"/>
      <c r="G143" s="5">
        <v>63</v>
      </c>
      <c r="H143" s="499">
        <v>68</v>
      </c>
      <c r="I143" s="501"/>
      <c r="J143" s="5"/>
      <c r="K143" s="5"/>
      <c r="L143" s="5"/>
      <c r="M143" s="5"/>
      <c r="N143" s="407">
        <f t="shared" si="4"/>
        <v>10357.899999999998</v>
      </c>
    </row>
    <row r="144" spans="2:14">
      <c r="B144" s="406">
        <f t="shared" si="5"/>
        <v>139</v>
      </c>
      <c r="C144" s="18" t="s">
        <v>711</v>
      </c>
      <c r="D144" s="18" t="s">
        <v>463</v>
      </c>
      <c r="E144" s="5"/>
      <c r="F144" s="5"/>
      <c r="G144" s="5">
        <v>63</v>
      </c>
      <c r="H144" s="499">
        <v>337.8</v>
      </c>
      <c r="I144" s="501"/>
      <c r="J144" s="5"/>
      <c r="K144" s="5"/>
      <c r="L144" s="5"/>
      <c r="M144" s="5"/>
      <c r="N144" s="407">
        <f t="shared" si="4"/>
        <v>10695.699999999997</v>
      </c>
    </row>
    <row r="145" spans="2:14">
      <c r="B145" s="406">
        <f t="shared" si="5"/>
        <v>140</v>
      </c>
      <c r="C145" s="18" t="s">
        <v>590</v>
      </c>
      <c r="D145" s="18" t="s">
        <v>570</v>
      </c>
      <c r="E145" s="5"/>
      <c r="F145" s="5"/>
      <c r="G145" s="5">
        <v>63</v>
      </c>
      <c r="H145" s="499">
        <v>43.8</v>
      </c>
      <c r="I145" s="501"/>
      <c r="J145" s="5"/>
      <c r="K145" s="5"/>
      <c r="L145" s="5"/>
      <c r="M145" s="5"/>
      <c r="N145" s="407">
        <f t="shared" si="4"/>
        <v>10739.499999999996</v>
      </c>
    </row>
    <row r="146" spans="2:14">
      <c r="B146" s="406">
        <f t="shared" si="5"/>
        <v>141</v>
      </c>
      <c r="C146" s="18" t="s">
        <v>570</v>
      </c>
      <c r="D146" s="18" t="s">
        <v>214</v>
      </c>
      <c r="E146" s="5"/>
      <c r="F146" s="5"/>
      <c r="G146" s="5">
        <v>63</v>
      </c>
      <c r="H146" s="499">
        <v>47</v>
      </c>
      <c r="I146" s="501"/>
      <c r="J146" s="5"/>
      <c r="K146" s="5"/>
      <c r="L146" s="5"/>
      <c r="M146" s="5"/>
      <c r="N146" s="407">
        <f t="shared" si="4"/>
        <v>10786.499999999996</v>
      </c>
    </row>
    <row r="147" spans="2:14">
      <c r="B147" s="406">
        <f t="shared" si="5"/>
        <v>142</v>
      </c>
      <c r="C147" s="18" t="s">
        <v>214</v>
      </c>
      <c r="D147" s="18" t="s">
        <v>334</v>
      </c>
      <c r="E147" s="5"/>
      <c r="F147" s="5"/>
      <c r="G147" s="5">
        <v>63</v>
      </c>
      <c r="H147" s="499">
        <v>41</v>
      </c>
      <c r="I147" s="501"/>
      <c r="J147" s="5"/>
      <c r="K147" s="5"/>
      <c r="L147" s="5"/>
      <c r="M147" s="5"/>
      <c r="N147" s="407">
        <f t="shared" si="4"/>
        <v>10827.499999999996</v>
      </c>
    </row>
    <row r="148" spans="2:14">
      <c r="B148" s="406">
        <f t="shared" si="5"/>
        <v>143</v>
      </c>
      <c r="C148" s="18" t="s">
        <v>214</v>
      </c>
      <c r="D148" s="18" t="s">
        <v>311</v>
      </c>
      <c r="E148" s="5"/>
      <c r="F148" s="5"/>
      <c r="G148" s="5">
        <v>63</v>
      </c>
      <c r="H148" s="499">
        <v>55</v>
      </c>
      <c r="I148" s="501"/>
      <c r="J148" s="5"/>
      <c r="K148" s="5"/>
      <c r="L148" s="5"/>
      <c r="M148" s="5"/>
      <c r="N148" s="407">
        <f t="shared" si="4"/>
        <v>10882.499999999996</v>
      </c>
    </row>
    <row r="149" spans="2:14">
      <c r="B149" s="406">
        <f t="shared" si="5"/>
        <v>144</v>
      </c>
      <c r="C149" s="18" t="s">
        <v>311</v>
      </c>
      <c r="D149" s="18" t="s">
        <v>862</v>
      </c>
      <c r="E149" s="5"/>
      <c r="F149" s="5"/>
      <c r="G149" s="5">
        <v>63</v>
      </c>
      <c r="H149" s="499">
        <v>8</v>
      </c>
      <c r="I149" s="501"/>
      <c r="J149" s="5"/>
      <c r="K149" s="5"/>
      <c r="L149" s="5"/>
      <c r="M149" s="5"/>
      <c r="N149" s="407">
        <f t="shared" si="4"/>
        <v>10890.499999999996</v>
      </c>
    </row>
    <row r="150" spans="2:14">
      <c r="B150" s="406">
        <f t="shared" si="5"/>
        <v>145</v>
      </c>
      <c r="C150" s="18" t="s">
        <v>862</v>
      </c>
      <c r="D150" s="18" t="s">
        <v>303</v>
      </c>
      <c r="E150" s="5"/>
      <c r="F150" s="5"/>
      <c r="G150" s="5">
        <v>63</v>
      </c>
      <c r="H150" s="499">
        <v>18.3</v>
      </c>
      <c r="I150" s="501"/>
      <c r="J150" s="5"/>
      <c r="K150" s="5"/>
      <c r="L150" s="5"/>
      <c r="M150" s="5"/>
      <c r="N150" s="407">
        <f t="shared" si="4"/>
        <v>10908.799999999996</v>
      </c>
    </row>
    <row r="151" spans="2:14">
      <c r="B151" s="406">
        <f t="shared" si="5"/>
        <v>146</v>
      </c>
      <c r="C151" s="18" t="s">
        <v>862</v>
      </c>
      <c r="D151" s="18" t="s">
        <v>705</v>
      </c>
      <c r="E151" s="5"/>
      <c r="F151" s="5"/>
      <c r="G151" s="5">
        <v>63</v>
      </c>
      <c r="H151" s="499">
        <v>56.6</v>
      </c>
      <c r="I151" s="501"/>
      <c r="J151" s="5"/>
      <c r="K151" s="5"/>
      <c r="L151" s="5"/>
      <c r="M151" s="5"/>
      <c r="N151" s="407">
        <f t="shared" si="4"/>
        <v>10965.399999999996</v>
      </c>
    </row>
    <row r="152" spans="2:14">
      <c r="B152" s="406">
        <f t="shared" si="5"/>
        <v>147</v>
      </c>
      <c r="C152" s="18" t="s">
        <v>570</v>
      </c>
      <c r="D152" s="18" t="s">
        <v>705</v>
      </c>
      <c r="E152" s="5"/>
      <c r="F152" s="5"/>
      <c r="G152" s="5">
        <v>63</v>
      </c>
      <c r="H152" s="499">
        <v>82.9</v>
      </c>
      <c r="I152" s="501"/>
      <c r="J152" s="5"/>
      <c r="K152" s="5"/>
      <c r="L152" s="5"/>
      <c r="M152" s="5"/>
      <c r="N152" s="407">
        <f t="shared" si="4"/>
        <v>11048.299999999996</v>
      </c>
    </row>
    <row r="153" spans="2:14">
      <c r="B153" s="406">
        <f t="shared" si="5"/>
        <v>148</v>
      </c>
      <c r="C153" s="18" t="s">
        <v>705</v>
      </c>
      <c r="D153" s="18" t="s">
        <v>581</v>
      </c>
      <c r="E153" s="5"/>
      <c r="F153" s="5"/>
      <c r="G153" s="5">
        <v>63</v>
      </c>
      <c r="H153" s="499">
        <v>42.6</v>
      </c>
      <c r="I153" s="501"/>
      <c r="J153" s="5"/>
      <c r="K153" s="5"/>
      <c r="L153" s="5"/>
      <c r="M153" s="5"/>
      <c r="N153" s="407">
        <f t="shared" si="4"/>
        <v>11090.899999999996</v>
      </c>
    </row>
    <row r="154" spans="2:14">
      <c r="B154" s="406">
        <f t="shared" si="5"/>
        <v>149</v>
      </c>
      <c r="C154" s="18" t="s">
        <v>705</v>
      </c>
      <c r="D154" s="18" t="s">
        <v>230</v>
      </c>
      <c r="E154" s="5"/>
      <c r="F154" s="5"/>
      <c r="G154" s="5">
        <v>63</v>
      </c>
      <c r="H154" s="499">
        <v>142</v>
      </c>
      <c r="I154" s="501"/>
      <c r="J154" s="5"/>
      <c r="K154" s="5"/>
      <c r="L154" s="5"/>
      <c r="M154" s="5"/>
      <c r="N154" s="407">
        <f t="shared" si="4"/>
        <v>11232.899999999996</v>
      </c>
    </row>
    <row r="155" spans="2:14">
      <c r="B155" s="406">
        <f t="shared" si="5"/>
        <v>150</v>
      </c>
      <c r="C155" s="5" t="s">
        <v>406</v>
      </c>
      <c r="D155" s="5" t="s">
        <v>245</v>
      </c>
      <c r="E155" s="5"/>
      <c r="F155" s="5"/>
      <c r="G155" s="5">
        <v>63</v>
      </c>
      <c r="H155" s="499">
        <v>114</v>
      </c>
      <c r="I155" s="501"/>
      <c r="J155" s="5"/>
      <c r="K155" s="5"/>
      <c r="L155" s="5"/>
      <c r="M155" s="5"/>
      <c r="N155" s="407">
        <f t="shared" si="4"/>
        <v>11346.899999999996</v>
      </c>
    </row>
    <row r="156" spans="2:14">
      <c r="B156" s="406">
        <f t="shared" si="5"/>
        <v>151</v>
      </c>
      <c r="C156" s="5" t="s">
        <v>245</v>
      </c>
      <c r="D156" s="5" t="s">
        <v>197</v>
      </c>
      <c r="E156" s="5"/>
      <c r="F156" s="5"/>
      <c r="G156" s="5">
        <v>63</v>
      </c>
      <c r="H156" s="499">
        <v>33.6</v>
      </c>
      <c r="I156" s="501"/>
      <c r="J156" s="5"/>
      <c r="K156" s="5"/>
      <c r="L156" s="5"/>
      <c r="M156" s="5"/>
      <c r="N156" s="407">
        <f t="shared" si="4"/>
        <v>11380.499999999996</v>
      </c>
    </row>
    <row r="157" spans="2:14">
      <c r="B157" s="406">
        <f t="shared" si="5"/>
        <v>152</v>
      </c>
      <c r="C157" s="5" t="s">
        <v>197</v>
      </c>
      <c r="D157" s="5" t="s">
        <v>257</v>
      </c>
      <c r="E157" s="5"/>
      <c r="F157" s="5"/>
      <c r="G157" s="5">
        <v>63</v>
      </c>
      <c r="H157" s="499">
        <v>14.7</v>
      </c>
      <c r="I157" s="501"/>
      <c r="J157" s="5"/>
      <c r="K157" s="5"/>
      <c r="L157" s="5"/>
      <c r="M157" s="5"/>
      <c r="N157" s="407">
        <f t="shared" si="4"/>
        <v>11395.199999999997</v>
      </c>
    </row>
    <row r="158" spans="2:14">
      <c r="B158" s="406">
        <f t="shared" si="5"/>
        <v>153</v>
      </c>
      <c r="C158" s="5" t="s">
        <v>257</v>
      </c>
      <c r="D158" s="5" t="s">
        <v>417</v>
      </c>
      <c r="E158" s="5"/>
      <c r="F158" s="5"/>
      <c r="G158" s="5">
        <v>63</v>
      </c>
      <c r="H158" s="499">
        <v>44.1</v>
      </c>
      <c r="I158" s="501"/>
      <c r="J158" s="5"/>
      <c r="K158" s="5"/>
      <c r="L158" s="5"/>
      <c r="M158" s="5"/>
      <c r="N158" s="407">
        <f t="shared" si="4"/>
        <v>11439.299999999997</v>
      </c>
    </row>
    <row r="159" spans="2:14">
      <c r="B159" s="406">
        <f t="shared" si="5"/>
        <v>154</v>
      </c>
      <c r="C159" s="5" t="s">
        <v>417</v>
      </c>
      <c r="D159" s="5" t="s">
        <v>271</v>
      </c>
      <c r="E159" s="5"/>
      <c r="F159" s="5"/>
      <c r="G159" s="5">
        <v>63</v>
      </c>
      <c r="H159" s="499">
        <v>200</v>
      </c>
      <c r="I159" s="501"/>
      <c r="J159" s="5"/>
      <c r="K159" s="5"/>
      <c r="L159" s="5"/>
      <c r="M159" s="5"/>
      <c r="N159" s="407">
        <f t="shared" si="4"/>
        <v>11639.299999999997</v>
      </c>
    </row>
    <row r="160" spans="2:14">
      <c r="B160" s="406">
        <f t="shared" si="5"/>
        <v>155</v>
      </c>
      <c r="C160" s="5" t="s">
        <v>271</v>
      </c>
      <c r="D160" s="5" t="s">
        <v>322</v>
      </c>
      <c r="E160" s="5"/>
      <c r="F160" s="5"/>
      <c r="G160" s="5">
        <v>63</v>
      </c>
      <c r="H160" s="499">
        <v>81.599999999999994</v>
      </c>
      <c r="I160" s="501"/>
      <c r="J160" s="5"/>
      <c r="K160" s="5"/>
      <c r="L160" s="5"/>
      <c r="M160" s="5"/>
      <c r="N160" s="407">
        <f t="shared" si="4"/>
        <v>11720.899999999998</v>
      </c>
    </row>
    <row r="161" spans="2:14">
      <c r="B161" s="406">
        <f t="shared" si="5"/>
        <v>156</v>
      </c>
      <c r="C161" s="5" t="s">
        <v>271</v>
      </c>
      <c r="D161" s="5" t="s">
        <v>412</v>
      </c>
      <c r="E161" s="5"/>
      <c r="F161" s="5"/>
      <c r="G161" s="5">
        <v>63</v>
      </c>
      <c r="H161" s="499">
        <v>138.5</v>
      </c>
      <c r="I161" s="501"/>
      <c r="J161" s="5"/>
      <c r="K161" s="5"/>
      <c r="L161" s="5"/>
      <c r="M161" s="5"/>
      <c r="N161" s="407">
        <f t="shared" si="4"/>
        <v>11859.399999999998</v>
      </c>
    </row>
    <row r="162" spans="2:14">
      <c r="B162" s="406">
        <f t="shared" si="5"/>
        <v>157</v>
      </c>
      <c r="C162" s="5" t="s">
        <v>412</v>
      </c>
      <c r="D162" s="5" t="s">
        <v>361</v>
      </c>
      <c r="E162" s="5"/>
      <c r="F162" s="5"/>
      <c r="G162" s="5">
        <v>63</v>
      </c>
      <c r="H162" s="499">
        <v>52</v>
      </c>
      <c r="I162" s="501"/>
      <c r="J162" s="5"/>
      <c r="K162" s="5"/>
      <c r="L162" s="5"/>
      <c r="M162" s="5"/>
      <c r="N162" s="407">
        <f t="shared" si="4"/>
        <v>11911.399999999998</v>
      </c>
    </row>
    <row r="163" spans="2:14">
      <c r="B163" s="406">
        <f t="shared" si="5"/>
        <v>158</v>
      </c>
      <c r="C163" s="5" t="s">
        <v>361</v>
      </c>
      <c r="D163" s="5" t="s">
        <v>640</v>
      </c>
      <c r="E163" s="5"/>
      <c r="F163" s="5"/>
      <c r="G163" s="5">
        <v>63</v>
      </c>
      <c r="H163" s="499">
        <v>56</v>
      </c>
      <c r="I163" s="501"/>
      <c r="J163" s="5"/>
      <c r="K163" s="5"/>
      <c r="L163" s="5"/>
      <c r="M163" s="5"/>
      <c r="N163" s="407">
        <f t="shared" si="4"/>
        <v>11967.399999999998</v>
      </c>
    </row>
    <row r="164" spans="2:14">
      <c r="B164" s="406">
        <f t="shared" si="5"/>
        <v>159</v>
      </c>
      <c r="C164" s="5" t="s">
        <v>640</v>
      </c>
      <c r="D164" s="5" t="s">
        <v>338</v>
      </c>
      <c r="E164" s="5"/>
      <c r="F164" s="5"/>
      <c r="G164" s="5">
        <v>63</v>
      </c>
      <c r="H164" s="499">
        <v>112</v>
      </c>
      <c r="I164" s="501"/>
      <c r="J164" s="5"/>
      <c r="K164" s="5"/>
      <c r="L164" s="5"/>
      <c r="M164" s="5"/>
      <c r="N164" s="407">
        <f t="shared" si="4"/>
        <v>12079.399999999998</v>
      </c>
    </row>
    <row r="165" spans="2:14">
      <c r="B165" s="406">
        <f t="shared" si="5"/>
        <v>160</v>
      </c>
      <c r="C165" s="5" t="s">
        <v>322</v>
      </c>
      <c r="D165" s="5" t="s">
        <v>340</v>
      </c>
      <c r="E165" s="5"/>
      <c r="F165" s="5"/>
      <c r="G165" s="5">
        <v>63</v>
      </c>
      <c r="H165" s="499">
        <v>74.7</v>
      </c>
      <c r="I165" s="501"/>
      <c r="J165" s="5"/>
      <c r="K165" s="5"/>
      <c r="L165" s="5"/>
      <c r="M165" s="5"/>
      <c r="N165" s="407">
        <f t="shared" si="4"/>
        <v>12154.099999999999</v>
      </c>
    </row>
    <row r="166" spans="2:14">
      <c r="B166" s="406">
        <f t="shared" si="5"/>
        <v>161</v>
      </c>
      <c r="C166" s="5" t="s">
        <v>340</v>
      </c>
      <c r="D166" s="5" t="s">
        <v>244</v>
      </c>
      <c r="E166" s="5"/>
      <c r="F166" s="5"/>
      <c r="G166" s="5">
        <v>63</v>
      </c>
      <c r="H166" s="499">
        <v>50.9</v>
      </c>
      <c r="I166" s="501"/>
      <c r="J166" s="5"/>
      <c r="K166" s="5"/>
      <c r="L166" s="5"/>
      <c r="M166" s="5"/>
      <c r="N166" s="407">
        <f t="shared" si="4"/>
        <v>12204.999999999998</v>
      </c>
    </row>
    <row r="167" spans="2:14">
      <c r="B167" s="406">
        <f t="shared" si="5"/>
        <v>162</v>
      </c>
      <c r="C167" s="5" t="s">
        <v>244</v>
      </c>
      <c r="D167" s="5" t="s">
        <v>335</v>
      </c>
      <c r="E167" s="5"/>
      <c r="F167" s="5"/>
      <c r="G167" s="5">
        <v>63</v>
      </c>
      <c r="H167" s="499">
        <v>175</v>
      </c>
      <c r="I167" s="501"/>
      <c r="J167" s="5"/>
      <c r="K167" s="5"/>
      <c r="L167" s="5"/>
      <c r="M167" s="5"/>
      <c r="N167" s="407">
        <f t="shared" si="4"/>
        <v>12379.999999999998</v>
      </c>
    </row>
    <row r="168" spans="2:14">
      <c r="B168" s="406">
        <f t="shared" si="5"/>
        <v>163</v>
      </c>
      <c r="C168" s="5" t="s">
        <v>335</v>
      </c>
      <c r="D168" s="5" t="s">
        <v>282</v>
      </c>
      <c r="E168" s="5"/>
      <c r="F168" s="5"/>
      <c r="G168" s="5">
        <v>63</v>
      </c>
      <c r="H168" s="499">
        <v>60.5</v>
      </c>
      <c r="I168" s="501"/>
      <c r="J168" s="5"/>
      <c r="K168" s="5"/>
      <c r="L168" s="5"/>
      <c r="M168" s="5"/>
      <c r="N168" s="407">
        <f t="shared" si="4"/>
        <v>12440.499999999998</v>
      </c>
    </row>
    <row r="169" spans="2:14">
      <c r="B169" s="406">
        <f t="shared" si="5"/>
        <v>164</v>
      </c>
      <c r="C169" s="5" t="s">
        <v>335</v>
      </c>
      <c r="D169" s="5" t="s">
        <v>386</v>
      </c>
      <c r="E169" s="5"/>
      <c r="F169" s="5"/>
      <c r="G169" s="5">
        <v>63</v>
      </c>
      <c r="H169" s="499">
        <v>233.4</v>
      </c>
      <c r="I169" s="501"/>
      <c r="J169" s="5"/>
      <c r="K169" s="5"/>
      <c r="L169" s="5"/>
      <c r="M169" s="5"/>
      <c r="N169" s="407">
        <f t="shared" si="4"/>
        <v>12673.899999999998</v>
      </c>
    </row>
    <row r="170" spans="2:14">
      <c r="B170" s="406">
        <f t="shared" si="5"/>
        <v>165</v>
      </c>
      <c r="C170" s="5" t="s">
        <v>244</v>
      </c>
      <c r="D170" s="5" t="s">
        <v>662</v>
      </c>
      <c r="E170" s="5"/>
      <c r="F170" s="5"/>
      <c r="G170" s="5">
        <v>63</v>
      </c>
      <c r="H170" s="499">
        <v>82.6</v>
      </c>
      <c r="I170" s="501"/>
      <c r="J170" s="5"/>
      <c r="K170" s="5"/>
      <c r="L170" s="5"/>
      <c r="M170" s="5"/>
      <c r="N170" s="407">
        <f t="shared" si="4"/>
        <v>12756.499999999998</v>
      </c>
    </row>
    <row r="171" spans="2:14">
      <c r="B171" s="406">
        <f t="shared" si="5"/>
        <v>166</v>
      </c>
      <c r="C171" s="5" t="s">
        <v>662</v>
      </c>
      <c r="D171" s="5" t="s">
        <v>266</v>
      </c>
      <c r="E171" s="5"/>
      <c r="F171" s="5"/>
      <c r="G171" s="5">
        <v>63</v>
      </c>
      <c r="H171" s="499">
        <v>394.2</v>
      </c>
      <c r="I171" s="501"/>
      <c r="J171" s="5"/>
      <c r="K171" s="5"/>
      <c r="L171" s="5"/>
      <c r="M171" s="5"/>
      <c r="N171" s="407">
        <f t="shared" si="4"/>
        <v>13150.699999999999</v>
      </c>
    </row>
    <row r="172" spans="2:14">
      <c r="B172" s="406">
        <f t="shared" si="5"/>
        <v>167</v>
      </c>
      <c r="C172" s="5" t="s">
        <v>260</v>
      </c>
      <c r="D172" s="5" t="s">
        <v>507</v>
      </c>
      <c r="E172" s="5"/>
      <c r="F172" s="5"/>
      <c r="G172" s="5">
        <v>63</v>
      </c>
      <c r="H172" s="499">
        <v>63.9</v>
      </c>
      <c r="I172" s="501"/>
      <c r="J172" s="5"/>
      <c r="K172" s="5"/>
      <c r="L172" s="5"/>
      <c r="M172" s="5"/>
      <c r="N172" s="407">
        <f t="shared" si="4"/>
        <v>13214.599999999999</v>
      </c>
    </row>
    <row r="173" spans="2:14">
      <c r="B173" s="406">
        <f t="shared" si="5"/>
        <v>168</v>
      </c>
      <c r="C173" s="5" t="s">
        <v>507</v>
      </c>
      <c r="D173" s="5" t="s">
        <v>419</v>
      </c>
      <c r="E173" s="5" t="s">
        <v>149</v>
      </c>
      <c r="F173" s="5">
        <v>0.46</v>
      </c>
      <c r="G173" s="5">
        <v>63</v>
      </c>
      <c r="H173" s="499">
        <v>144.4</v>
      </c>
      <c r="I173" s="501"/>
      <c r="J173" s="5"/>
      <c r="K173" s="5"/>
      <c r="L173" s="5"/>
      <c r="M173" s="5"/>
      <c r="N173" s="407">
        <f t="shared" si="4"/>
        <v>13358.999999999998</v>
      </c>
    </row>
    <row r="174" spans="2:14">
      <c r="B174" s="406">
        <f t="shared" si="5"/>
        <v>169</v>
      </c>
      <c r="C174" s="5" t="s">
        <v>419</v>
      </c>
      <c r="D174" s="5" t="s">
        <v>198</v>
      </c>
      <c r="E174" s="5"/>
      <c r="F174" s="5"/>
      <c r="G174" s="5">
        <v>63</v>
      </c>
      <c r="H174" s="499">
        <v>58.7</v>
      </c>
      <c r="I174" s="501"/>
      <c r="J174" s="5"/>
      <c r="K174" s="5"/>
      <c r="L174" s="5"/>
      <c r="M174" s="5"/>
      <c r="N174" s="407">
        <f t="shared" si="4"/>
        <v>13417.699999999999</v>
      </c>
    </row>
    <row r="175" spans="2:14">
      <c r="B175" s="406">
        <f t="shared" si="5"/>
        <v>170</v>
      </c>
      <c r="C175" s="5" t="s">
        <v>419</v>
      </c>
      <c r="D175" s="5" t="s">
        <v>283</v>
      </c>
      <c r="E175" s="5"/>
      <c r="F175" s="5"/>
      <c r="G175" s="5">
        <v>63</v>
      </c>
      <c r="H175" s="499">
        <v>35.200000000000003</v>
      </c>
      <c r="I175" s="501"/>
      <c r="J175" s="5"/>
      <c r="K175" s="5"/>
      <c r="L175" s="5"/>
      <c r="M175" s="5"/>
      <c r="N175" s="407">
        <f t="shared" si="4"/>
        <v>13452.9</v>
      </c>
    </row>
    <row r="176" spans="2:14">
      <c r="B176" s="406">
        <f t="shared" si="5"/>
        <v>171</v>
      </c>
      <c r="C176" s="5" t="s">
        <v>283</v>
      </c>
      <c r="D176" s="5">
        <v>12</v>
      </c>
      <c r="E176" s="5"/>
      <c r="F176" s="5"/>
      <c r="G176" s="5">
        <v>63</v>
      </c>
      <c r="H176" s="499">
        <v>9.1999999999999993</v>
      </c>
      <c r="I176" s="501"/>
      <c r="J176" s="5"/>
      <c r="K176" s="5"/>
      <c r="L176" s="5"/>
      <c r="M176" s="5"/>
      <c r="N176" s="407">
        <f t="shared" si="4"/>
        <v>13462.1</v>
      </c>
    </row>
    <row r="177" spans="2:14">
      <c r="B177" s="406">
        <f t="shared" si="5"/>
        <v>172</v>
      </c>
      <c r="C177" s="5" t="s">
        <v>283</v>
      </c>
      <c r="D177" s="5" t="s">
        <v>400</v>
      </c>
      <c r="E177" s="5"/>
      <c r="F177" s="5"/>
      <c r="G177" s="5">
        <v>63</v>
      </c>
      <c r="H177" s="499">
        <v>7.9</v>
      </c>
      <c r="I177" s="501"/>
      <c r="J177" s="5"/>
      <c r="K177" s="5"/>
      <c r="L177" s="5"/>
      <c r="M177" s="5"/>
      <c r="N177" s="407">
        <f t="shared" si="4"/>
        <v>13470</v>
      </c>
    </row>
    <row r="178" spans="2:14">
      <c r="B178" s="406">
        <f t="shared" si="5"/>
        <v>173</v>
      </c>
      <c r="C178" s="5" t="s">
        <v>507</v>
      </c>
      <c r="D178" s="5" t="s">
        <v>255</v>
      </c>
      <c r="E178" s="5"/>
      <c r="F178" s="5"/>
      <c r="G178" s="5">
        <v>63</v>
      </c>
      <c r="H178" s="499">
        <v>193.4</v>
      </c>
      <c r="I178" s="501"/>
      <c r="J178" s="5"/>
      <c r="K178" s="5"/>
      <c r="L178" s="5"/>
      <c r="M178" s="5"/>
      <c r="N178" s="407">
        <f t="shared" si="4"/>
        <v>13663.4</v>
      </c>
    </row>
    <row r="179" spans="2:14">
      <c r="B179" s="406">
        <f t="shared" si="5"/>
        <v>174</v>
      </c>
      <c r="C179" s="5" t="s">
        <v>255</v>
      </c>
      <c r="D179" s="5" t="s">
        <v>509</v>
      </c>
      <c r="E179" s="5"/>
      <c r="F179" s="5"/>
      <c r="G179" s="5">
        <v>63</v>
      </c>
      <c r="H179" s="499">
        <v>183.9</v>
      </c>
      <c r="I179" s="501"/>
      <c r="J179" s="5"/>
      <c r="K179" s="5"/>
      <c r="L179" s="5"/>
      <c r="M179" s="5"/>
      <c r="N179" s="407">
        <f t="shared" si="4"/>
        <v>13847.3</v>
      </c>
    </row>
    <row r="180" spans="2:14">
      <c r="B180" s="406">
        <f t="shared" si="5"/>
        <v>175</v>
      </c>
      <c r="C180" s="5" t="s">
        <v>509</v>
      </c>
      <c r="D180" s="5" t="s">
        <v>273</v>
      </c>
      <c r="E180" s="5"/>
      <c r="F180" s="5"/>
      <c r="G180" s="5">
        <v>63</v>
      </c>
      <c r="H180" s="499">
        <v>55</v>
      </c>
      <c r="I180" s="501"/>
      <c r="J180" s="5"/>
      <c r="K180" s="5"/>
      <c r="L180" s="5"/>
      <c r="M180" s="5"/>
      <c r="N180" s="407">
        <f t="shared" si="4"/>
        <v>13902.3</v>
      </c>
    </row>
    <row r="181" spans="2:14">
      <c r="B181" s="406">
        <f t="shared" si="5"/>
        <v>176</v>
      </c>
      <c r="C181" s="5" t="s">
        <v>273</v>
      </c>
      <c r="D181" s="5" t="s">
        <v>418</v>
      </c>
      <c r="E181" s="5"/>
      <c r="F181" s="5"/>
      <c r="G181" s="5">
        <v>63</v>
      </c>
      <c r="H181" s="499">
        <v>63.5</v>
      </c>
      <c r="I181" s="501"/>
      <c r="J181" s="5"/>
      <c r="K181" s="5"/>
      <c r="L181" s="5"/>
      <c r="M181" s="5"/>
      <c r="N181" s="407">
        <f t="shared" si="4"/>
        <v>13965.8</v>
      </c>
    </row>
    <row r="182" spans="2:14">
      <c r="B182" s="406">
        <f t="shared" si="5"/>
        <v>177</v>
      </c>
      <c r="C182" s="5" t="s">
        <v>360</v>
      </c>
      <c r="D182" s="5" t="s">
        <v>246</v>
      </c>
      <c r="E182" s="5"/>
      <c r="F182" s="5"/>
      <c r="G182" s="5">
        <v>63</v>
      </c>
      <c r="H182" s="498">
        <v>82.2</v>
      </c>
      <c r="I182" s="498"/>
      <c r="J182" s="5"/>
      <c r="K182" s="5"/>
      <c r="L182" s="5"/>
      <c r="M182" s="5"/>
      <c r="N182" s="407">
        <f t="shared" si="4"/>
        <v>14048</v>
      </c>
    </row>
    <row r="183" spans="2:14">
      <c r="B183" s="406">
        <f t="shared" si="5"/>
        <v>178</v>
      </c>
      <c r="C183" s="5" t="s">
        <v>246</v>
      </c>
      <c r="D183" s="5" t="s">
        <v>359</v>
      </c>
      <c r="E183" s="5"/>
      <c r="F183" s="5"/>
      <c r="G183" s="5">
        <v>63</v>
      </c>
      <c r="H183" s="498">
        <v>117.7</v>
      </c>
      <c r="I183" s="498"/>
      <c r="J183" s="5"/>
      <c r="K183" s="5"/>
      <c r="L183" s="5"/>
      <c r="M183" s="5"/>
      <c r="N183" s="407">
        <f t="shared" si="4"/>
        <v>14165.7</v>
      </c>
    </row>
    <row r="184" spans="2:14">
      <c r="B184" s="406">
        <f t="shared" si="5"/>
        <v>179</v>
      </c>
      <c r="C184" s="5" t="s">
        <v>359</v>
      </c>
      <c r="D184" s="5" t="s">
        <v>446</v>
      </c>
      <c r="E184" s="5"/>
      <c r="F184" s="5"/>
      <c r="G184" s="5">
        <v>63</v>
      </c>
      <c r="H184" s="498">
        <v>42</v>
      </c>
      <c r="I184" s="498"/>
      <c r="J184" s="5"/>
      <c r="K184" s="5"/>
      <c r="L184" s="5"/>
      <c r="M184" s="5"/>
      <c r="N184" s="407">
        <f t="shared" si="4"/>
        <v>14207.7</v>
      </c>
    </row>
    <row r="185" spans="2:14">
      <c r="B185" s="406">
        <f t="shared" si="5"/>
        <v>180</v>
      </c>
      <c r="C185" s="5" t="s">
        <v>255</v>
      </c>
      <c r="D185" s="5" t="s">
        <v>521</v>
      </c>
      <c r="E185" s="5"/>
      <c r="F185" s="5"/>
      <c r="G185" s="5">
        <v>63</v>
      </c>
      <c r="H185" s="498">
        <v>118</v>
      </c>
      <c r="I185" s="498"/>
      <c r="J185" s="5"/>
      <c r="K185" s="5"/>
      <c r="L185" s="5"/>
      <c r="M185" s="5"/>
      <c r="N185" s="407">
        <f t="shared" si="4"/>
        <v>14325.7</v>
      </c>
    </row>
    <row r="186" spans="2:14">
      <c r="B186" s="406">
        <f t="shared" si="5"/>
        <v>181</v>
      </c>
      <c r="C186" s="5" t="s">
        <v>260</v>
      </c>
      <c r="D186" s="5" t="s">
        <v>253</v>
      </c>
      <c r="E186" s="5"/>
      <c r="F186" s="5"/>
      <c r="G186" s="5">
        <v>63</v>
      </c>
      <c r="H186" s="498">
        <v>73.2</v>
      </c>
      <c r="I186" s="498"/>
      <c r="J186" s="5"/>
      <c r="K186" s="5"/>
      <c r="L186" s="5"/>
      <c r="M186" s="5"/>
      <c r="N186" s="407">
        <f t="shared" si="4"/>
        <v>14398.900000000001</v>
      </c>
    </row>
    <row r="187" spans="2:14">
      <c r="B187" s="406">
        <f t="shared" si="5"/>
        <v>182</v>
      </c>
      <c r="C187" s="5" t="s">
        <v>253</v>
      </c>
      <c r="D187" s="5" t="s">
        <v>395</v>
      </c>
      <c r="E187" s="5"/>
      <c r="F187" s="5"/>
      <c r="G187" s="5">
        <v>63</v>
      </c>
      <c r="H187" s="498">
        <v>124.5</v>
      </c>
      <c r="I187" s="498"/>
      <c r="J187" s="5"/>
      <c r="K187" s="5"/>
      <c r="L187" s="5"/>
      <c r="M187" s="5"/>
      <c r="N187" s="407">
        <f t="shared" si="4"/>
        <v>14523.400000000001</v>
      </c>
    </row>
    <row r="188" spans="2:14">
      <c r="B188" s="406">
        <f t="shared" si="5"/>
        <v>183</v>
      </c>
      <c r="C188" s="5" t="s">
        <v>395</v>
      </c>
      <c r="D188" s="5" t="s">
        <v>537</v>
      </c>
      <c r="E188" s="5"/>
      <c r="F188" s="5"/>
      <c r="G188" s="5">
        <v>63</v>
      </c>
      <c r="H188" s="498">
        <v>97.6</v>
      </c>
      <c r="I188" s="498"/>
      <c r="J188" s="5"/>
      <c r="K188" s="5"/>
      <c r="L188" s="5"/>
      <c r="M188" s="5"/>
      <c r="N188" s="407">
        <f t="shared" si="4"/>
        <v>14621.000000000002</v>
      </c>
    </row>
    <row r="189" spans="2:14">
      <c r="B189" s="406">
        <f t="shared" si="5"/>
        <v>184</v>
      </c>
      <c r="C189" s="5" t="s">
        <v>537</v>
      </c>
      <c r="D189" s="5" t="s">
        <v>322</v>
      </c>
      <c r="E189" s="5"/>
      <c r="F189" s="5"/>
      <c r="G189" s="5">
        <v>63</v>
      </c>
      <c r="H189" s="498">
        <v>130</v>
      </c>
      <c r="I189" s="498"/>
      <c r="J189" s="5"/>
      <c r="K189" s="5"/>
      <c r="L189" s="5"/>
      <c r="M189" s="5"/>
      <c r="N189" s="407">
        <f t="shared" si="4"/>
        <v>14751.000000000002</v>
      </c>
    </row>
    <row r="190" spans="2:14">
      <c r="B190" s="406">
        <f t="shared" si="5"/>
        <v>185</v>
      </c>
      <c r="C190" s="5" t="s">
        <v>349</v>
      </c>
      <c r="D190" s="5" t="s">
        <v>821</v>
      </c>
      <c r="E190" s="5"/>
      <c r="F190" s="5"/>
      <c r="G190" s="5">
        <v>140</v>
      </c>
      <c r="H190" s="499">
        <f>24-3</f>
        <v>21</v>
      </c>
      <c r="I190" s="501"/>
      <c r="J190" s="8"/>
      <c r="K190" s="8"/>
      <c r="L190" s="8"/>
      <c r="M190" s="8"/>
      <c r="N190" s="407">
        <f t="shared" si="4"/>
        <v>14772.000000000002</v>
      </c>
    </row>
    <row r="191" spans="2:14">
      <c r="B191" s="406">
        <f t="shared" si="5"/>
        <v>186</v>
      </c>
      <c r="C191" s="406" t="s">
        <v>253</v>
      </c>
      <c r="D191" s="406" t="s">
        <v>521</v>
      </c>
      <c r="E191" s="406"/>
      <c r="F191" s="406"/>
      <c r="G191" s="406">
        <v>63</v>
      </c>
      <c r="H191" s="498">
        <v>299.3</v>
      </c>
      <c r="I191" s="498"/>
      <c r="J191" s="77"/>
      <c r="K191" s="77"/>
      <c r="L191" s="77"/>
      <c r="M191" s="77"/>
      <c r="N191" s="407">
        <f t="shared" si="4"/>
        <v>15071.300000000001</v>
      </c>
    </row>
    <row r="192" spans="2:14">
      <c r="B192" s="406">
        <f t="shared" si="5"/>
        <v>187</v>
      </c>
      <c r="C192" s="406" t="s">
        <v>521</v>
      </c>
      <c r="D192" s="406" t="s">
        <v>274</v>
      </c>
      <c r="E192" s="406"/>
      <c r="F192" s="406"/>
      <c r="G192" s="406">
        <v>63</v>
      </c>
      <c r="H192" s="499">
        <v>31</v>
      </c>
      <c r="I192" s="501"/>
      <c r="J192" s="77"/>
      <c r="K192" s="77"/>
      <c r="L192" s="77"/>
      <c r="M192" s="77"/>
      <c r="N192" s="407">
        <f t="shared" si="4"/>
        <v>15102.300000000001</v>
      </c>
    </row>
    <row r="193" spans="2:27">
      <c r="B193" s="406">
        <f t="shared" si="5"/>
        <v>188</v>
      </c>
      <c r="C193" s="406" t="s">
        <v>934</v>
      </c>
      <c r="D193" s="406" t="s">
        <v>382</v>
      </c>
      <c r="E193" s="406"/>
      <c r="F193" s="406"/>
      <c r="G193" s="406">
        <v>63</v>
      </c>
      <c r="H193" s="499">
        <v>124.9</v>
      </c>
      <c r="I193" s="501"/>
      <c r="J193" s="77"/>
      <c r="K193" s="77"/>
      <c r="L193" s="77"/>
      <c r="M193" s="77"/>
      <c r="N193" s="407">
        <f t="shared" si="4"/>
        <v>15227.2</v>
      </c>
    </row>
    <row r="194" spans="2:27">
      <c r="B194" s="406">
        <f t="shared" si="5"/>
        <v>189</v>
      </c>
      <c r="C194" s="406" t="s">
        <v>382</v>
      </c>
      <c r="D194" s="406" t="s">
        <v>278</v>
      </c>
      <c r="E194" s="406"/>
      <c r="F194" s="406"/>
      <c r="G194" s="406">
        <v>63</v>
      </c>
      <c r="H194" s="499">
        <v>40</v>
      </c>
      <c r="I194" s="501"/>
      <c r="J194" s="77"/>
      <c r="K194" s="77"/>
      <c r="L194" s="77"/>
      <c r="M194" s="77"/>
      <c r="N194" s="407">
        <f t="shared" si="4"/>
        <v>15267.2</v>
      </c>
    </row>
    <row r="195" spans="2:27">
      <c r="B195" s="406">
        <f t="shared" si="5"/>
        <v>190</v>
      </c>
      <c r="C195" s="406" t="s">
        <v>382</v>
      </c>
      <c r="D195" s="406" t="s">
        <v>525</v>
      </c>
      <c r="E195" s="406"/>
      <c r="F195" s="406"/>
      <c r="G195" s="406">
        <v>63</v>
      </c>
      <c r="H195" s="499">
        <v>53.2</v>
      </c>
      <c r="I195" s="501"/>
      <c r="J195" s="77"/>
      <c r="K195" s="77"/>
      <c r="L195" s="77"/>
      <c r="M195" s="77"/>
      <c r="N195" s="407">
        <f t="shared" si="4"/>
        <v>15320.400000000001</v>
      </c>
    </row>
    <row r="196" spans="2:27">
      <c r="B196" s="406">
        <f t="shared" si="5"/>
        <v>191</v>
      </c>
      <c r="C196" s="406" t="s">
        <v>537</v>
      </c>
      <c r="D196" s="406" t="s">
        <v>252</v>
      </c>
      <c r="E196" s="406"/>
      <c r="F196" s="406"/>
      <c r="G196" s="406">
        <v>63</v>
      </c>
      <c r="H196" s="499">
        <v>83.8</v>
      </c>
      <c r="I196" s="501"/>
      <c r="J196" s="77"/>
      <c r="K196" s="77"/>
      <c r="L196" s="77"/>
      <c r="M196" s="77"/>
      <c r="N196" s="407">
        <f t="shared" si="4"/>
        <v>15404.2</v>
      </c>
    </row>
    <row r="197" spans="2:27">
      <c r="B197" s="406">
        <f t="shared" si="5"/>
        <v>192</v>
      </c>
      <c r="C197" s="406" t="s">
        <v>252</v>
      </c>
      <c r="D197" s="406" t="s">
        <v>525</v>
      </c>
      <c r="E197" s="406"/>
      <c r="F197" s="406"/>
      <c r="G197" s="406">
        <v>63</v>
      </c>
      <c r="H197" s="499">
        <v>187.6</v>
      </c>
      <c r="I197" s="501"/>
      <c r="J197" s="77"/>
      <c r="K197" s="77"/>
      <c r="L197" s="77"/>
      <c r="M197" s="77"/>
      <c r="N197" s="407">
        <f t="shared" si="4"/>
        <v>15591.800000000001</v>
      </c>
    </row>
    <row r="198" spans="2:27">
      <c r="B198" s="406">
        <f t="shared" si="5"/>
        <v>193</v>
      </c>
      <c r="C198" s="406" t="s">
        <v>252</v>
      </c>
      <c r="D198" s="406" t="s">
        <v>360</v>
      </c>
      <c r="E198" s="406"/>
      <c r="F198" s="406"/>
      <c r="G198" s="406">
        <v>63</v>
      </c>
      <c r="H198" s="499">
        <v>54.6</v>
      </c>
      <c r="I198" s="501"/>
      <c r="J198" s="77"/>
      <c r="K198" s="77"/>
      <c r="L198" s="77"/>
      <c r="M198" s="77"/>
      <c r="N198" s="407">
        <f t="shared" si="4"/>
        <v>15646.400000000001</v>
      </c>
    </row>
    <row r="199" spans="2:27">
      <c r="B199" s="406">
        <f t="shared" si="5"/>
        <v>194</v>
      </c>
      <c r="C199" s="406" t="s">
        <v>525</v>
      </c>
      <c r="D199" s="406" t="s">
        <v>360</v>
      </c>
      <c r="E199" s="406"/>
      <c r="F199" s="406"/>
      <c r="G199" s="406">
        <v>63</v>
      </c>
      <c r="H199" s="499">
        <v>259.89999999999998</v>
      </c>
      <c r="I199" s="501"/>
      <c r="J199" s="77"/>
      <c r="K199" s="77"/>
      <c r="L199" s="77"/>
      <c r="M199" s="77"/>
      <c r="N199" s="407">
        <f t="shared" si="4"/>
        <v>15906.300000000001</v>
      </c>
    </row>
    <row r="200" spans="2:27">
      <c r="B200" s="406">
        <f t="shared" si="5"/>
        <v>195</v>
      </c>
      <c r="C200" s="406" t="s">
        <v>360</v>
      </c>
      <c r="D200" s="406" t="s">
        <v>662</v>
      </c>
      <c r="E200" s="406"/>
      <c r="F200" s="406"/>
      <c r="G200" s="406">
        <v>63</v>
      </c>
      <c r="H200" s="499">
        <v>151.1</v>
      </c>
      <c r="I200" s="501"/>
      <c r="J200" s="77"/>
      <c r="K200" s="77"/>
      <c r="L200" s="77"/>
      <c r="M200" s="77"/>
      <c r="N200" s="407">
        <f t="shared" ref="N200:N201" si="6">+N199+H200</f>
        <v>16057.400000000001</v>
      </c>
    </row>
    <row r="201" spans="2:27">
      <c r="B201" s="406">
        <f t="shared" si="5"/>
        <v>196</v>
      </c>
      <c r="C201" s="406" t="s">
        <v>521</v>
      </c>
      <c r="D201" s="406" t="s">
        <v>382</v>
      </c>
      <c r="E201" s="406"/>
      <c r="F201" s="406"/>
      <c r="G201" s="406">
        <v>63</v>
      </c>
      <c r="H201" s="499">
        <v>259.89999999999998</v>
      </c>
      <c r="I201" s="501"/>
      <c r="J201" s="77"/>
      <c r="K201" s="77"/>
      <c r="L201" s="77"/>
      <c r="M201" s="77"/>
      <c r="N201" s="407">
        <f t="shared" si="6"/>
        <v>16317.300000000001</v>
      </c>
    </row>
    <row r="202" spans="2:27">
      <c r="B202" s="8"/>
      <c r="C202" s="77"/>
      <c r="D202" s="77"/>
      <c r="E202" s="77"/>
      <c r="F202" s="77"/>
      <c r="G202" s="77"/>
      <c r="H202" s="656"/>
      <c r="I202" s="658"/>
      <c r="J202" s="77"/>
      <c r="K202" s="77"/>
      <c r="L202" s="77"/>
      <c r="M202" s="77"/>
      <c r="N202" s="77"/>
    </row>
    <row r="203" spans="2:27">
      <c r="C203" s="131">
        <v>63</v>
      </c>
      <c r="D203" s="131">
        <v>75</v>
      </c>
      <c r="E203" s="131">
        <v>90</v>
      </c>
      <c r="F203" s="131">
        <v>110</v>
      </c>
      <c r="G203" s="131">
        <v>125</v>
      </c>
      <c r="H203" s="604">
        <v>140</v>
      </c>
      <c r="I203" s="604"/>
      <c r="J203" s="144"/>
      <c r="K203" s="144"/>
      <c r="L203" s="144"/>
      <c r="M203" s="144"/>
      <c r="N203" s="145"/>
    </row>
    <row r="204" spans="2:27">
      <c r="C204" s="5">
        <f>+SUMIF($G$6:$G$201,C203,$H$6:$I$201)</f>
        <v>14888.699999999999</v>
      </c>
      <c r="D204" s="406">
        <f>+SUMIF($G$6:$G$201,D203,$H$6:$I$201)</f>
        <v>0</v>
      </c>
      <c r="E204" s="406">
        <f>+SUMIF($G$6:$G$201,E203,$H$6:$I$201)</f>
        <v>648.20000000000005</v>
      </c>
      <c r="F204" s="5">
        <f>+SUMIF($G$6:$G$190,F203,$H$6:$I$190)</f>
        <v>384.40000000000003</v>
      </c>
      <c r="G204" s="5">
        <f>+SUMIF($G$6:$G$190,G203,$H$6:$I$190)</f>
        <v>258</v>
      </c>
      <c r="H204" s="499">
        <f>+SUMIF($G$6:$G$190,H203,$H$6:$I$190)</f>
        <v>138</v>
      </c>
      <c r="I204" s="501"/>
      <c r="J204" s="8"/>
      <c r="K204" s="8"/>
      <c r="L204" s="8"/>
      <c r="M204" s="8"/>
      <c r="N204" s="120">
        <f>+SUM(C204:I204)</f>
        <v>16317.3</v>
      </c>
    </row>
    <row r="205" spans="2:27" ht="18.75">
      <c r="C205" s="132">
        <v>16542</v>
      </c>
      <c r="D205" s="132">
        <v>72</v>
      </c>
      <c r="E205" s="132">
        <v>716</v>
      </c>
      <c r="F205" s="132">
        <v>781</v>
      </c>
      <c r="G205" s="132">
        <v>258</v>
      </c>
      <c r="H205" s="664">
        <v>139</v>
      </c>
      <c r="I205" s="664"/>
      <c r="J205" s="146">
        <v>139</v>
      </c>
      <c r="K205" s="147"/>
      <c r="L205" s="147"/>
      <c r="M205" s="147"/>
      <c r="N205" s="121">
        <f>+SUM(C205:I205)</f>
        <v>18508</v>
      </c>
    </row>
    <row r="206" spans="2:27">
      <c r="U206" s="5" t="s">
        <v>253</v>
      </c>
      <c r="V206" s="5" t="s">
        <v>521</v>
      </c>
      <c r="W206" s="5"/>
      <c r="X206" s="5"/>
      <c r="Y206" s="5">
        <v>63</v>
      </c>
      <c r="Z206" s="498">
        <v>299.3</v>
      </c>
      <c r="AA206" s="498"/>
    </row>
    <row r="207" spans="2:27">
      <c r="U207" s="5" t="s">
        <v>521</v>
      </c>
      <c r="V207" s="5" t="s">
        <v>274</v>
      </c>
      <c r="W207" s="5"/>
      <c r="X207" s="5"/>
      <c r="Y207" s="5">
        <v>63</v>
      </c>
      <c r="Z207" s="499">
        <v>31</v>
      </c>
      <c r="AA207" s="501"/>
    </row>
    <row r="208" spans="2:27" ht="15.75">
      <c r="C208" s="665" t="s">
        <v>6</v>
      </c>
      <c r="D208" s="665"/>
      <c r="E208" s="133" t="s">
        <v>933</v>
      </c>
      <c r="F208" s="134"/>
      <c r="G208" s="134"/>
      <c r="H208" s="135"/>
      <c r="S208">
        <f>259.9+94</f>
        <v>353.9</v>
      </c>
      <c r="U208" s="5" t="s">
        <v>934</v>
      </c>
      <c r="V208" s="5" t="s">
        <v>382</v>
      </c>
      <c r="W208" s="5"/>
      <c r="X208" s="5"/>
      <c r="Y208" s="5">
        <v>63</v>
      </c>
      <c r="Z208" s="499">
        <v>124.9</v>
      </c>
      <c r="AA208" s="501"/>
    </row>
    <row r="209" spans="3:27" ht="15.75">
      <c r="C209" s="665" t="s">
        <v>935</v>
      </c>
      <c r="D209" s="665"/>
      <c r="E209" s="133" t="s">
        <v>936</v>
      </c>
      <c r="F209" s="134"/>
      <c r="G209" s="134"/>
      <c r="H209" s="135"/>
      <c r="U209" s="5" t="s">
        <v>382</v>
      </c>
      <c r="V209" s="5" t="s">
        <v>278</v>
      </c>
      <c r="W209" s="5"/>
      <c r="X209" s="5"/>
      <c r="Y209" s="5">
        <v>63</v>
      </c>
      <c r="Z209" s="499">
        <v>40</v>
      </c>
      <c r="AA209" s="501"/>
    </row>
    <row r="210" spans="3:27" ht="15.75">
      <c r="C210" s="663" t="s">
        <v>937</v>
      </c>
      <c r="D210" s="663"/>
      <c r="E210" s="136" t="s">
        <v>938</v>
      </c>
      <c r="F210" s="137"/>
      <c r="G210" s="137"/>
      <c r="H210" s="138"/>
      <c r="U210" s="5" t="s">
        <v>382</v>
      </c>
      <c r="V210" s="5" t="s">
        <v>525</v>
      </c>
      <c r="W210" s="5"/>
      <c r="X210" s="5"/>
      <c r="Y210" s="5">
        <v>63</v>
      </c>
      <c r="Z210" s="499">
        <v>53.2</v>
      </c>
      <c r="AA210" s="501"/>
    </row>
    <row r="211" spans="3:27" ht="18.75">
      <c r="C211" s="660" t="s">
        <v>939</v>
      </c>
      <c r="D211" s="661"/>
      <c r="E211" s="661"/>
      <c r="F211" s="661"/>
      <c r="G211" s="661"/>
      <c r="H211" s="662"/>
      <c r="U211" s="5" t="s">
        <v>537</v>
      </c>
      <c r="V211" s="5" t="s">
        <v>252</v>
      </c>
      <c r="W211" s="5"/>
      <c r="X211" s="5"/>
      <c r="Y211" s="5">
        <v>63</v>
      </c>
      <c r="Z211" s="499">
        <v>83.8</v>
      </c>
      <c r="AA211" s="501"/>
    </row>
    <row r="212" spans="3:27" ht="45">
      <c r="C212" s="109" t="s">
        <v>448</v>
      </c>
      <c r="D212" s="109" t="s">
        <v>743</v>
      </c>
      <c r="E212" s="109" t="s">
        <v>737</v>
      </c>
      <c r="F212" s="110" t="s">
        <v>738</v>
      </c>
      <c r="G212" s="110" t="s">
        <v>739</v>
      </c>
      <c r="H212" s="109" t="s">
        <v>809</v>
      </c>
      <c r="S212">
        <f>559+259</f>
        <v>818</v>
      </c>
      <c r="U212" s="5" t="s">
        <v>252</v>
      </c>
      <c r="V212" s="5" t="s">
        <v>525</v>
      </c>
      <c r="W212" s="5"/>
      <c r="X212" s="5"/>
      <c r="Y212" s="5">
        <v>63</v>
      </c>
      <c r="Z212" s="499">
        <v>187.6</v>
      </c>
      <c r="AA212" s="501"/>
    </row>
    <row r="213" spans="3:27">
      <c r="C213" s="70">
        <v>1</v>
      </c>
      <c r="D213" s="139">
        <v>44949</v>
      </c>
      <c r="E213" s="70">
        <v>4200</v>
      </c>
      <c r="F213" s="70"/>
      <c r="G213" s="70"/>
      <c r="H213" s="70">
        <v>2972</v>
      </c>
      <c r="P213">
        <f>187.6+54.6</f>
        <v>242.2</v>
      </c>
      <c r="S213">
        <v>242.2</v>
      </c>
      <c r="U213" s="5" t="s">
        <v>252</v>
      </c>
      <c r="V213" s="5" t="s">
        <v>360</v>
      </c>
      <c r="W213" s="5"/>
      <c r="X213" s="5"/>
      <c r="Y213" s="5">
        <v>63</v>
      </c>
      <c r="Z213" s="499">
        <v>54.6</v>
      </c>
      <c r="AA213" s="501"/>
    </row>
    <row r="214" spans="3:27">
      <c r="C214" s="70">
        <v>2</v>
      </c>
      <c r="D214" s="139">
        <v>44964</v>
      </c>
      <c r="E214" s="70">
        <v>900</v>
      </c>
      <c r="F214" s="70"/>
      <c r="G214" s="70"/>
      <c r="H214" s="70">
        <v>2975</v>
      </c>
      <c r="U214" s="5" t="s">
        <v>525</v>
      </c>
      <c r="V214" s="5" t="s">
        <v>360</v>
      </c>
      <c r="W214" s="5"/>
      <c r="X214" s="5"/>
      <c r="Y214" s="5">
        <v>63</v>
      </c>
      <c r="Z214" s="499">
        <v>259.89999999999998</v>
      </c>
      <c r="AA214" s="501"/>
    </row>
    <row r="215" spans="3:27">
      <c r="C215" s="70">
        <f>+C214+1</f>
        <v>3</v>
      </c>
      <c r="D215" s="139">
        <v>44969</v>
      </c>
      <c r="E215" s="70">
        <v>4200</v>
      </c>
      <c r="F215" s="70"/>
      <c r="G215" s="70"/>
      <c r="H215" s="70">
        <v>2978</v>
      </c>
      <c r="U215" s="5" t="s">
        <v>360</v>
      </c>
      <c r="V215" s="5" t="s">
        <v>662</v>
      </c>
      <c r="W215" s="5"/>
      <c r="X215" s="5"/>
      <c r="Y215" s="5">
        <v>63</v>
      </c>
      <c r="Z215" s="499">
        <v>151.1</v>
      </c>
      <c r="AA215" s="501"/>
    </row>
    <row r="216" spans="3:27">
      <c r="C216" s="70">
        <f>+C215+1</f>
        <v>4</v>
      </c>
      <c r="D216" s="139">
        <v>44999</v>
      </c>
      <c r="E216" s="70">
        <v>300</v>
      </c>
      <c r="F216" s="70"/>
      <c r="G216" s="70"/>
      <c r="H216" s="70">
        <v>2982</v>
      </c>
      <c r="U216" s="5" t="s">
        <v>521</v>
      </c>
      <c r="V216" s="5" t="s">
        <v>382</v>
      </c>
      <c r="W216" s="5"/>
      <c r="X216" s="5"/>
      <c r="Y216" s="5">
        <v>63</v>
      </c>
      <c r="Z216" s="499">
        <v>259.89999999999998</v>
      </c>
      <c r="AA216" s="501"/>
    </row>
    <row r="217" spans="3:27">
      <c r="C217" s="70">
        <f>+C216+1</f>
        <v>5</v>
      </c>
      <c r="D217" s="139">
        <v>45000</v>
      </c>
      <c r="E217" s="70">
        <v>1200</v>
      </c>
      <c r="F217" s="70"/>
      <c r="G217" s="70"/>
      <c r="H217" s="70">
        <v>2983</v>
      </c>
    </row>
    <row r="218" spans="3:27">
      <c r="C218" s="70">
        <f>+C217+1</f>
        <v>6</v>
      </c>
      <c r="D218" s="139">
        <v>45008</v>
      </c>
      <c r="E218" s="70">
        <v>600</v>
      </c>
      <c r="F218" s="70"/>
      <c r="G218" s="70"/>
      <c r="H218" s="70">
        <v>2987</v>
      </c>
    </row>
    <row r="219" spans="3:27">
      <c r="C219" s="70">
        <v>7</v>
      </c>
      <c r="D219" s="139">
        <v>45014</v>
      </c>
      <c r="E219" s="70">
        <v>600</v>
      </c>
      <c r="F219" s="70"/>
      <c r="G219" s="70"/>
      <c r="H219" s="140">
        <v>2992</v>
      </c>
    </row>
    <row r="220" spans="3:27">
      <c r="C220" s="70">
        <v>8</v>
      </c>
      <c r="D220" s="139">
        <v>45019</v>
      </c>
      <c r="E220" s="70">
        <v>600</v>
      </c>
      <c r="F220" s="70"/>
      <c r="G220" s="70"/>
      <c r="H220" s="8"/>
    </row>
    <row r="221" spans="3:27">
      <c r="C221" s="70">
        <v>9</v>
      </c>
      <c r="D221" s="139">
        <v>45025</v>
      </c>
      <c r="E221" s="70">
        <v>600</v>
      </c>
      <c r="F221" s="70"/>
      <c r="G221" s="70"/>
      <c r="H221" s="140">
        <v>2997</v>
      </c>
    </row>
    <row r="222" spans="3:27">
      <c r="C222" s="70"/>
      <c r="D222" s="139"/>
      <c r="E222" s="70"/>
      <c r="F222" s="70"/>
      <c r="G222" s="70"/>
      <c r="H222" s="140"/>
    </row>
    <row r="223" spans="3:27">
      <c r="C223" s="70"/>
      <c r="D223" s="139" t="s">
        <v>940</v>
      </c>
      <c r="E223" s="70">
        <f>SUM(E213:E222)</f>
        <v>13200</v>
      </c>
      <c r="F223" s="70"/>
      <c r="G223" s="70"/>
      <c r="H223" s="140"/>
    </row>
    <row r="224" spans="3:27" ht="18.75">
      <c r="C224" s="660" t="s">
        <v>941</v>
      </c>
      <c r="D224" s="661"/>
      <c r="E224" s="661"/>
      <c r="F224" s="661"/>
      <c r="G224" s="661"/>
      <c r="H224" s="662"/>
    </row>
    <row r="225" spans="3:8" ht="45">
      <c r="C225" s="109" t="s">
        <v>448</v>
      </c>
      <c r="D225" s="109" t="s">
        <v>743</v>
      </c>
      <c r="E225" s="109" t="s">
        <v>737</v>
      </c>
      <c r="F225" s="110" t="s">
        <v>738</v>
      </c>
      <c r="G225" s="110" t="s">
        <v>739</v>
      </c>
      <c r="H225" s="109" t="s">
        <v>809</v>
      </c>
    </row>
    <row r="226" spans="3:8">
      <c r="C226" s="70">
        <v>1</v>
      </c>
      <c r="D226" s="139">
        <v>44964</v>
      </c>
      <c r="E226" s="70">
        <v>300</v>
      </c>
      <c r="F226" s="70"/>
      <c r="G226" s="70"/>
      <c r="H226" s="70">
        <v>2975</v>
      </c>
    </row>
    <row r="227" spans="3:8">
      <c r="C227" s="141">
        <v>2</v>
      </c>
      <c r="D227" s="142">
        <v>45006</v>
      </c>
      <c r="E227" s="141">
        <v>200</v>
      </c>
      <c r="F227" s="141"/>
      <c r="G227" s="141"/>
      <c r="H227" s="70">
        <v>2986</v>
      </c>
    </row>
    <row r="228" spans="3:8">
      <c r="C228" s="141">
        <v>3</v>
      </c>
      <c r="D228" s="142">
        <v>45009</v>
      </c>
      <c r="E228" s="70">
        <v>200</v>
      </c>
      <c r="F228" s="70"/>
      <c r="G228" s="70"/>
      <c r="H228" s="70">
        <v>2989</v>
      </c>
    </row>
    <row r="229" spans="3:8">
      <c r="C229" s="141"/>
      <c r="D229" s="139"/>
      <c r="E229" s="70"/>
      <c r="F229" s="70"/>
      <c r="G229" s="70"/>
      <c r="H229" s="70"/>
    </row>
    <row r="230" spans="3:8">
      <c r="C230" s="70"/>
      <c r="D230" s="139"/>
      <c r="E230" s="70"/>
      <c r="F230" s="70"/>
      <c r="G230" s="70"/>
      <c r="H230" s="70"/>
    </row>
    <row r="231" spans="3:8">
      <c r="C231" s="141"/>
      <c r="D231" s="142"/>
      <c r="E231" s="141"/>
      <c r="F231" s="141"/>
      <c r="G231" s="141"/>
      <c r="H231" s="70"/>
    </row>
    <row r="232" spans="3:8">
      <c r="C232" s="141"/>
      <c r="D232" s="142"/>
      <c r="E232" s="143"/>
      <c r="F232" s="141"/>
      <c r="G232" s="141"/>
      <c r="H232" s="70"/>
    </row>
    <row r="233" spans="3:8">
      <c r="C233" s="141"/>
      <c r="D233" s="142"/>
      <c r="E233" s="143"/>
      <c r="F233" s="141"/>
      <c r="G233" s="141"/>
      <c r="H233" s="70"/>
    </row>
    <row r="234" spans="3:8">
      <c r="C234" s="141"/>
      <c r="D234" s="142"/>
      <c r="E234" s="143"/>
      <c r="F234" s="141"/>
      <c r="G234" s="141"/>
      <c r="H234" s="140"/>
    </row>
    <row r="235" spans="3:8">
      <c r="C235" s="141"/>
      <c r="D235" s="142"/>
      <c r="E235" s="143"/>
      <c r="F235" s="141"/>
      <c r="G235" s="141"/>
      <c r="H235" s="140"/>
    </row>
    <row r="236" spans="3:8">
      <c r="C236" s="141"/>
      <c r="D236" s="139" t="s">
        <v>940</v>
      </c>
      <c r="E236" s="70">
        <f>SUM(E226:E235)</f>
        <v>700</v>
      </c>
      <c r="F236" s="141"/>
      <c r="G236" s="141"/>
      <c r="H236" s="140"/>
    </row>
    <row r="237" spans="3:8" ht="18.75">
      <c r="C237" s="660" t="s">
        <v>942</v>
      </c>
      <c r="D237" s="661"/>
      <c r="E237" s="661"/>
      <c r="F237" s="661"/>
      <c r="G237" s="661"/>
      <c r="H237" s="662"/>
    </row>
    <row r="238" spans="3:8" ht="45">
      <c r="C238" s="109" t="s">
        <v>448</v>
      </c>
      <c r="D238" s="109" t="s">
        <v>743</v>
      </c>
      <c r="E238" s="109" t="s">
        <v>737</v>
      </c>
      <c r="F238" s="110" t="s">
        <v>738</v>
      </c>
      <c r="G238" s="110" t="s">
        <v>739</v>
      </c>
      <c r="H238" s="109" t="s">
        <v>809</v>
      </c>
    </row>
    <row r="239" spans="3:8">
      <c r="C239" s="70">
        <v>1</v>
      </c>
      <c r="D239" s="139">
        <v>44964</v>
      </c>
      <c r="E239" s="70">
        <v>600</v>
      </c>
      <c r="F239" s="70"/>
      <c r="G239" s="70"/>
      <c r="H239" s="70">
        <v>2975</v>
      </c>
    </row>
    <row r="240" spans="3:8">
      <c r="C240" s="70">
        <v>2</v>
      </c>
      <c r="D240" s="139">
        <v>44969</v>
      </c>
      <c r="E240" s="70">
        <v>100</v>
      </c>
      <c r="F240" s="70"/>
      <c r="G240" s="70"/>
      <c r="H240" s="70">
        <v>2978</v>
      </c>
    </row>
    <row r="241" spans="3:8">
      <c r="C241" s="70">
        <v>3</v>
      </c>
      <c r="D241" s="139">
        <v>45022</v>
      </c>
      <c r="E241" s="70">
        <v>100</v>
      </c>
      <c r="F241" s="70"/>
      <c r="G241" s="70"/>
      <c r="H241" s="70">
        <v>2996</v>
      </c>
    </row>
    <row r="242" spans="3:8">
      <c r="C242" s="70">
        <v>4</v>
      </c>
      <c r="D242" s="139"/>
      <c r="E242" s="70"/>
      <c r="F242" s="70"/>
      <c r="G242" s="70"/>
      <c r="H242" s="70"/>
    </row>
    <row r="243" spans="3:8">
      <c r="C243" s="70">
        <v>5</v>
      </c>
      <c r="D243" s="139"/>
      <c r="E243" s="70"/>
      <c r="F243" s="70"/>
      <c r="G243" s="70"/>
      <c r="H243" s="70"/>
    </row>
    <row r="244" spans="3:8">
      <c r="C244" s="70">
        <v>6</v>
      </c>
      <c r="D244" s="139"/>
      <c r="E244" s="70"/>
      <c r="F244" s="70"/>
      <c r="G244" s="70"/>
      <c r="H244" s="70"/>
    </row>
    <row r="245" spans="3:8">
      <c r="C245" s="70">
        <v>7</v>
      </c>
      <c r="D245" s="139"/>
      <c r="E245" s="70"/>
      <c r="F245" s="70"/>
      <c r="G245" s="70"/>
      <c r="H245" s="70"/>
    </row>
    <row r="246" spans="3:8">
      <c r="C246" s="70">
        <f>+C245+1</f>
        <v>8</v>
      </c>
      <c r="D246" s="139"/>
      <c r="E246" s="70"/>
      <c r="F246" s="70"/>
      <c r="G246" s="70"/>
      <c r="H246" s="140"/>
    </row>
    <row r="247" spans="3:8">
      <c r="C247" s="70"/>
      <c r="D247" s="139"/>
      <c r="E247" s="70"/>
      <c r="F247" s="70"/>
      <c r="G247" s="70"/>
      <c r="H247" s="140"/>
    </row>
    <row r="248" spans="3:8">
      <c r="C248" s="70"/>
      <c r="D248" s="139" t="s">
        <v>940</v>
      </c>
      <c r="E248" s="70">
        <f>SUM(E238:E247)</f>
        <v>800</v>
      </c>
      <c r="F248" s="70"/>
      <c r="G248" s="70"/>
      <c r="H248" s="140"/>
    </row>
    <row r="249" spans="3:8" ht="18.75">
      <c r="C249" s="660" t="s">
        <v>943</v>
      </c>
      <c r="D249" s="661"/>
      <c r="E249" s="661"/>
      <c r="F249" s="661"/>
      <c r="G249" s="661"/>
      <c r="H249" s="662"/>
    </row>
    <row r="250" spans="3:8" ht="45">
      <c r="C250" s="109" t="s">
        <v>448</v>
      </c>
      <c r="D250" s="109" t="s">
        <v>743</v>
      </c>
      <c r="E250" s="109" t="s">
        <v>737</v>
      </c>
      <c r="F250" s="110" t="s">
        <v>738</v>
      </c>
      <c r="G250" s="110" t="s">
        <v>739</v>
      </c>
      <c r="H250" s="109" t="s">
        <v>809</v>
      </c>
    </row>
    <row r="251" spans="3:8">
      <c r="C251" s="8">
        <v>1</v>
      </c>
      <c r="D251" s="139">
        <v>45000</v>
      </c>
      <c r="E251" s="70">
        <v>264</v>
      </c>
      <c r="F251" s="70"/>
      <c r="G251" s="70"/>
      <c r="H251" s="70">
        <v>2983</v>
      </c>
    </row>
    <row r="252" spans="3:8">
      <c r="C252" s="70"/>
      <c r="D252" s="139"/>
      <c r="E252" s="70"/>
      <c r="F252" s="70"/>
      <c r="G252" s="70"/>
      <c r="H252" s="70"/>
    </row>
    <row r="253" spans="3:8">
      <c r="C253" s="70"/>
      <c r="D253" s="139"/>
      <c r="E253" s="70"/>
      <c r="F253" s="70"/>
      <c r="G253" s="70"/>
      <c r="H253" s="70"/>
    </row>
    <row r="254" spans="3:8">
      <c r="C254" s="70"/>
      <c r="D254" s="139"/>
      <c r="E254" s="70"/>
      <c r="F254" s="70"/>
      <c r="G254" s="70"/>
      <c r="H254" s="70"/>
    </row>
    <row r="255" spans="3:8">
      <c r="C255" s="70"/>
      <c r="D255" s="139"/>
      <c r="E255" s="70"/>
      <c r="F255" s="70"/>
      <c r="G255" s="70"/>
      <c r="H255" s="70"/>
    </row>
    <row r="256" spans="3:8">
      <c r="C256" s="70"/>
      <c r="D256" s="139"/>
      <c r="E256" s="70"/>
      <c r="F256" s="70"/>
      <c r="G256" s="70"/>
      <c r="H256" s="70"/>
    </row>
    <row r="257" spans="3:8">
      <c r="C257" s="70"/>
      <c r="D257" s="139"/>
      <c r="E257" s="70"/>
      <c r="F257" s="70"/>
      <c r="G257" s="70"/>
      <c r="H257" s="70"/>
    </row>
    <row r="258" spans="3:8">
      <c r="C258" s="70"/>
      <c r="D258" s="139" t="s">
        <v>940</v>
      </c>
      <c r="E258" s="70">
        <f>+SUM(E251:E257)</f>
        <v>264</v>
      </c>
      <c r="F258" s="70"/>
      <c r="G258" s="70"/>
      <c r="H258" s="70"/>
    </row>
    <row r="259" spans="3:8" ht="18.75">
      <c r="C259" s="660" t="s">
        <v>944</v>
      </c>
      <c r="D259" s="661"/>
      <c r="E259" s="661"/>
      <c r="F259" s="661"/>
      <c r="G259" s="661"/>
      <c r="H259" s="662"/>
    </row>
    <row r="260" spans="3:8" ht="45">
      <c r="C260" s="109" t="s">
        <v>448</v>
      </c>
      <c r="D260" s="109" t="s">
        <v>743</v>
      </c>
      <c r="E260" s="109" t="s">
        <v>737</v>
      </c>
      <c r="F260" s="110" t="s">
        <v>738</v>
      </c>
      <c r="G260" s="110" t="s">
        <v>739</v>
      </c>
      <c r="H260" s="109" t="s">
        <v>809</v>
      </c>
    </row>
    <row r="261" spans="3:8">
      <c r="C261" s="8">
        <v>1</v>
      </c>
      <c r="D261" s="139">
        <v>45000</v>
      </c>
      <c r="E261" s="70">
        <v>132</v>
      </c>
      <c r="F261" s="70"/>
      <c r="G261" s="70"/>
      <c r="H261" s="70">
        <v>2983</v>
      </c>
    </row>
    <row r="262" spans="3:8">
      <c r="C262" s="70"/>
      <c r="D262" s="139"/>
      <c r="E262" s="70"/>
      <c r="F262" s="70"/>
      <c r="G262" s="70"/>
      <c r="H262" s="70"/>
    </row>
    <row r="263" spans="3:8">
      <c r="C263" s="70"/>
      <c r="D263" s="139"/>
      <c r="E263" s="70"/>
      <c r="F263" s="70"/>
      <c r="G263" s="70"/>
      <c r="H263" s="70"/>
    </row>
    <row r="264" spans="3:8">
      <c r="C264" s="70"/>
      <c r="D264" s="139"/>
      <c r="E264" s="70"/>
      <c r="F264" s="70"/>
      <c r="G264" s="70"/>
      <c r="H264" s="70"/>
    </row>
    <row r="265" spans="3:8">
      <c r="C265" s="70"/>
      <c r="D265" s="139"/>
      <c r="E265" s="70"/>
      <c r="F265" s="70"/>
      <c r="G265" s="70"/>
      <c r="H265" s="70"/>
    </row>
    <row r="266" spans="3:8">
      <c r="C266" s="70"/>
      <c r="D266" s="139"/>
      <c r="E266" s="70"/>
      <c r="F266" s="70"/>
      <c r="G266" s="70"/>
      <c r="H266" s="70"/>
    </row>
    <row r="267" spans="3:8">
      <c r="C267" s="70"/>
      <c r="D267" s="139"/>
      <c r="E267" s="70"/>
      <c r="F267" s="70"/>
      <c r="G267" s="70"/>
      <c r="H267" s="70"/>
    </row>
    <row r="268" spans="3:8">
      <c r="C268" s="70"/>
      <c r="D268" s="139" t="s">
        <v>940</v>
      </c>
      <c r="E268" s="5">
        <f>+SUM(E261:E267)</f>
        <v>132</v>
      </c>
      <c r="F268" s="70"/>
      <c r="G268" s="70"/>
      <c r="H268" s="70"/>
    </row>
  </sheetData>
  <autoFilter ref="B5:AA201">
    <filterColumn colId="6" showButton="0"/>
  </autoFilter>
  <mergeCells count="221">
    <mergeCell ref="B4:N4"/>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202:I202"/>
    <mergeCell ref="H191:I191"/>
    <mergeCell ref="H192:I192"/>
    <mergeCell ref="H193:I193"/>
    <mergeCell ref="H194:I194"/>
    <mergeCell ref="H195:I195"/>
    <mergeCell ref="H196:I196"/>
    <mergeCell ref="H197:I197"/>
    <mergeCell ref="H198:I198"/>
    <mergeCell ref="H199:I199"/>
    <mergeCell ref="H200:I200"/>
    <mergeCell ref="H201:I201"/>
    <mergeCell ref="H203:I203"/>
    <mergeCell ref="H204:I204"/>
    <mergeCell ref="H205:I205"/>
    <mergeCell ref="Z206:AA206"/>
    <mergeCell ref="Z207:AA207"/>
    <mergeCell ref="C208:D208"/>
    <mergeCell ref="Z208:AA208"/>
    <mergeCell ref="C209:D209"/>
    <mergeCell ref="Z209:AA209"/>
    <mergeCell ref="C224:H224"/>
    <mergeCell ref="C237:H237"/>
    <mergeCell ref="C249:H249"/>
    <mergeCell ref="C259:H259"/>
    <mergeCell ref="C210:D210"/>
    <mergeCell ref="Z210:AA210"/>
    <mergeCell ref="C211:H211"/>
    <mergeCell ref="Z211:AA211"/>
    <mergeCell ref="Z212:AA212"/>
    <mergeCell ref="Z213:AA213"/>
    <mergeCell ref="Z214:AA214"/>
    <mergeCell ref="Z215:AA215"/>
    <mergeCell ref="Z216:AA21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B2:S143"/>
  <sheetViews>
    <sheetView workbookViewId="0">
      <selection activeCell="H4" sqref="H4:J4"/>
    </sheetView>
  </sheetViews>
  <sheetFormatPr defaultColWidth="9" defaultRowHeight="15"/>
  <cols>
    <col min="3" max="3" width="13.7109375" customWidth="1"/>
    <col min="4" max="4" width="12.140625" customWidth="1"/>
    <col min="5" max="5" width="16" customWidth="1"/>
    <col min="6" max="6" width="12.7109375" customWidth="1"/>
    <col min="7" max="7" width="12.28515625" customWidth="1"/>
    <col min="9" max="9" width="13" customWidth="1"/>
  </cols>
  <sheetData>
    <row r="2" spans="2:16" ht="18.75">
      <c r="B2" s="676" t="s">
        <v>1236</v>
      </c>
      <c r="C2" s="677"/>
      <c r="D2" s="677"/>
      <c r="E2" s="677"/>
      <c r="F2" s="677"/>
      <c r="G2" s="677"/>
      <c r="H2" s="677"/>
      <c r="I2" s="677"/>
      <c r="J2" s="677"/>
      <c r="K2" s="677"/>
      <c r="L2" s="666" t="s">
        <v>679</v>
      </c>
      <c r="M2" s="667"/>
    </row>
    <row r="3" spans="2:16" ht="56.25">
      <c r="B3" s="50" t="s">
        <v>448</v>
      </c>
      <c r="C3" s="25" t="s">
        <v>180</v>
      </c>
      <c r="D3" s="25" t="s">
        <v>13</v>
      </c>
      <c r="E3" s="25" t="s">
        <v>181</v>
      </c>
      <c r="F3" s="27" t="s">
        <v>449</v>
      </c>
      <c r="G3" s="25" t="s">
        <v>719</v>
      </c>
      <c r="H3" s="640" t="s">
        <v>184</v>
      </c>
      <c r="I3" s="641"/>
      <c r="J3" s="641"/>
      <c r="K3" s="26" t="s">
        <v>185</v>
      </c>
      <c r="L3" s="668"/>
      <c r="M3" s="669"/>
    </row>
    <row r="4" spans="2:16">
      <c r="B4" s="112">
        <v>1</v>
      </c>
      <c r="C4" s="5" t="s">
        <v>827</v>
      </c>
      <c r="D4" s="5" t="s">
        <v>122</v>
      </c>
      <c r="E4" s="5"/>
      <c r="F4" s="5"/>
      <c r="G4" s="5">
        <v>63</v>
      </c>
      <c r="H4" s="499">
        <v>660.6</v>
      </c>
      <c r="I4" s="500"/>
      <c r="J4" s="500"/>
      <c r="K4" s="18">
        <f>+H4</f>
        <v>660.6</v>
      </c>
      <c r="L4" s="499"/>
      <c r="M4" s="556"/>
    </row>
    <row r="5" spans="2:16">
      <c r="B5" s="112">
        <f>1+B4</f>
        <v>2</v>
      </c>
      <c r="C5" s="5" t="s">
        <v>153</v>
      </c>
      <c r="D5" s="5" t="s">
        <v>826</v>
      </c>
      <c r="E5" s="5"/>
      <c r="F5" s="5"/>
      <c r="G5" s="5">
        <v>63</v>
      </c>
      <c r="H5" s="499">
        <v>201.4</v>
      </c>
      <c r="I5" s="500"/>
      <c r="J5" s="500"/>
      <c r="K5" s="18">
        <f t="shared" ref="K5:K48" si="0">+K4+H5</f>
        <v>862</v>
      </c>
      <c r="L5" s="499"/>
      <c r="M5" s="556"/>
      <c r="O5" s="18">
        <v>63</v>
      </c>
      <c r="P5" s="5">
        <f t="shared" ref="P5:P10" si="1">+SUMIF($G$4:$G$38,O5,$H$4:$J$38)</f>
        <v>2232.1999999999998</v>
      </c>
    </row>
    <row r="6" spans="2:16">
      <c r="B6" s="112">
        <f t="shared" ref="B6:B48" si="2">1+B5</f>
        <v>3</v>
      </c>
      <c r="C6" s="18" t="s">
        <v>164</v>
      </c>
      <c r="D6" s="18" t="s">
        <v>155</v>
      </c>
      <c r="E6" s="8"/>
      <c r="F6" s="8"/>
      <c r="G6" s="5">
        <v>63</v>
      </c>
      <c r="H6" s="499">
        <v>49</v>
      </c>
      <c r="I6" s="500"/>
      <c r="J6" s="500"/>
      <c r="K6" s="18">
        <f t="shared" si="0"/>
        <v>911</v>
      </c>
      <c r="L6" s="499"/>
      <c r="M6" s="556"/>
      <c r="O6" s="18">
        <v>75</v>
      </c>
      <c r="P6" s="5">
        <f t="shared" si="1"/>
        <v>1928.3</v>
      </c>
    </row>
    <row r="7" spans="2:16">
      <c r="B7" s="112">
        <f t="shared" si="2"/>
        <v>4</v>
      </c>
      <c r="C7" s="18" t="s">
        <v>835</v>
      </c>
      <c r="D7" s="18" t="s">
        <v>503</v>
      </c>
      <c r="E7" s="8"/>
      <c r="F7" s="8"/>
      <c r="G7" s="5">
        <v>63</v>
      </c>
      <c r="H7" s="499">
        <v>40</v>
      </c>
      <c r="I7" s="500"/>
      <c r="J7" s="500"/>
      <c r="K7" s="18">
        <f t="shared" si="0"/>
        <v>951</v>
      </c>
      <c r="L7" s="499"/>
      <c r="M7" s="556"/>
      <c r="O7" s="18">
        <v>90</v>
      </c>
      <c r="P7" s="5">
        <f t="shared" si="1"/>
        <v>483.59999999999997</v>
      </c>
    </row>
    <row r="8" spans="2:16">
      <c r="B8" s="112">
        <f t="shared" si="2"/>
        <v>5</v>
      </c>
      <c r="C8" s="18" t="s">
        <v>140</v>
      </c>
      <c r="D8" s="18" t="s">
        <v>139</v>
      </c>
      <c r="E8" s="8"/>
      <c r="F8" s="8"/>
      <c r="G8" s="5">
        <v>63</v>
      </c>
      <c r="H8" s="499">
        <v>61</v>
      </c>
      <c r="I8" s="500"/>
      <c r="J8" s="500"/>
      <c r="K8" s="18">
        <f t="shared" si="0"/>
        <v>1012</v>
      </c>
      <c r="L8" s="499"/>
      <c r="M8" s="556"/>
      <c r="O8" s="18">
        <v>110</v>
      </c>
      <c r="P8" s="5">
        <f t="shared" si="1"/>
        <v>1263.8999999999999</v>
      </c>
    </row>
    <row r="9" spans="2:16">
      <c r="B9" s="112">
        <f t="shared" si="2"/>
        <v>6</v>
      </c>
      <c r="C9" s="18" t="s">
        <v>134</v>
      </c>
      <c r="D9" s="18" t="s">
        <v>1237</v>
      </c>
      <c r="E9" s="8"/>
      <c r="F9" s="8"/>
      <c r="G9" s="5">
        <v>63</v>
      </c>
      <c r="H9" s="499">
        <v>184.3</v>
      </c>
      <c r="I9" s="500"/>
      <c r="J9" s="500"/>
      <c r="K9" s="18">
        <f t="shared" si="0"/>
        <v>1196.3</v>
      </c>
      <c r="L9" s="499"/>
      <c r="M9" s="556"/>
      <c r="O9" s="18">
        <v>140</v>
      </c>
      <c r="P9" s="5">
        <f t="shared" si="1"/>
        <v>0</v>
      </c>
    </row>
    <row r="10" spans="2:16">
      <c r="B10" s="112">
        <f t="shared" si="2"/>
        <v>7</v>
      </c>
      <c r="C10" s="18" t="s">
        <v>134</v>
      </c>
      <c r="D10" s="18" t="s">
        <v>130</v>
      </c>
      <c r="E10" s="8"/>
      <c r="F10" s="8"/>
      <c r="G10" s="18">
        <v>63</v>
      </c>
      <c r="H10" s="499">
        <v>78.5</v>
      </c>
      <c r="I10" s="500"/>
      <c r="J10" s="500"/>
      <c r="K10" s="18">
        <f t="shared" si="0"/>
        <v>1274.8</v>
      </c>
      <c r="L10" s="499"/>
      <c r="M10" s="556"/>
      <c r="O10" s="18">
        <v>160</v>
      </c>
      <c r="P10" s="5">
        <f t="shared" si="1"/>
        <v>0</v>
      </c>
    </row>
    <row r="11" spans="2:16">
      <c r="B11" s="112">
        <f t="shared" si="2"/>
        <v>8</v>
      </c>
      <c r="C11" s="18" t="s">
        <v>130</v>
      </c>
      <c r="D11" s="18" t="s">
        <v>833</v>
      </c>
      <c r="E11" s="8"/>
      <c r="F11" s="8"/>
      <c r="G11" s="18">
        <v>63</v>
      </c>
      <c r="H11" s="499">
        <v>142</v>
      </c>
      <c r="I11" s="500"/>
      <c r="J11" s="500"/>
      <c r="K11" s="18">
        <f t="shared" si="0"/>
        <v>1416.8</v>
      </c>
      <c r="L11" s="499"/>
      <c r="M11" s="556"/>
    </row>
    <row r="12" spans="2:16">
      <c r="B12" s="112">
        <f t="shared" si="2"/>
        <v>9</v>
      </c>
      <c r="C12" s="18" t="s">
        <v>169</v>
      </c>
      <c r="D12" s="18" t="s">
        <v>1133</v>
      </c>
      <c r="E12" s="8"/>
      <c r="F12" s="8"/>
      <c r="G12" s="18">
        <v>63</v>
      </c>
      <c r="H12" s="499">
        <v>235.3</v>
      </c>
      <c r="I12" s="500"/>
      <c r="J12" s="500"/>
      <c r="K12" s="18">
        <f t="shared" si="0"/>
        <v>1652.1</v>
      </c>
      <c r="L12" s="499"/>
      <c r="M12" s="556"/>
    </row>
    <row r="13" spans="2:16">
      <c r="B13" s="112">
        <f t="shared" si="2"/>
        <v>10</v>
      </c>
      <c r="C13" s="5" t="s">
        <v>1238</v>
      </c>
      <c r="D13" s="5" t="s">
        <v>1239</v>
      </c>
      <c r="E13" s="8"/>
      <c r="F13" s="8"/>
      <c r="G13" s="18">
        <v>63</v>
      </c>
      <c r="H13" s="499">
        <v>358.2</v>
      </c>
      <c r="I13" s="500"/>
      <c r="J13" s="500"/>
      <c r="K13" s="18">
        <f t="shared" si="0"/>
        <v>2010.3</v>
      </c>
      <c r="L13" s="499"/>
      <c r="M13" s="556"/>
    </row>
    <row r="14" spans="2:16">
      <c r="B14" s="112">
        <f t="shared" si="2"/>
        <v>11</v>
      </c>
      <c r="C14" s="5" t="s">
        <v>700</v>
      </c>
      <c r="D14" s="5" t="s">
        <v>1240</v>
      </c>
      <c r="E14" s="8"/>
      <c r="F14" s="8"/>
      <c r="G14" s="18">
        <v>63</v>
      </c>
      <c r="H14" s="499">
        <v>221.9</v>
      </c>
      <c r="I14" s="500"/>
      <c r="J14" s="500"/>
      <c r="K14" s="18">
        <f t="shared" si="0"/>
        <v>2232.1999999999998</v>
      </c>
      <c r="L14" s="499"/>
      <c r="M14" s="556"/>
    </row>
    <row r="15" spans="2:16">
      <c r="B15" s="112">
        <f t="shared" si="2"/>
        <v>12</v>
      </c>
      <c r="C15" s="5" t="s">
        <v>523</v>
      </c>
      <c r="D15" s="5" t="s">
        <v>362</v>
      </c>
      <c r="E15" s="8"/>
      <c r="F15" s="8"/>
      <c r="G15" s="18">
        <v>75</v>
      </c>
      <c r="H15" s="499">
        <f>209-3.5</f>
        <v>205.5</v>
      </c>
      <c r="I15" s="500"/>
      <c r="J15" s="500"/>
      <c r="K15" s="18">
        <f t="shared" si="0"/>
        <v>2437.6999999999998</v>
      </c>
      <c r="L15" s="499"/>
      <c r="M15" s="556"/>
    </row>
    <row r="16" spans="2:16" hidden="1">
      <c r="B16" s="112">
        <f t="shared" si="2"/>
        <v>13</v>
      </c>
      <c r="C16" s="5" t="s">
        <v>523</v>
      </c>
      <c r="D16" s="5" t="s">
        <v>362</v>
      </c>
      <c r="E16" s="18" t="s">
        <v>457</v>
      </c>
      <c r="F16" s="18">
        <v>0.39</v>
      </c>
      <c r="G16" s="18">
        <v>75</v>
      </c>
      <c r="H16" s="499">
        <v>3.5</v>
      </c>
      <c r="I16" s="500"/>
      <c r="J16" s="501"/>
      <c r="K16" s="18">
        <f t="shared" si="0"/>
        <v>2441.1999999999998</v>
      </c>
      <c r="L16" s="499"/>
      <c r="M16" s="556"/>
    </row>
    <row r="17" spans="2:13">
      <c r="B17" s="112">
        <f t="shared" si="2"/>
        <v>14</v>
      </c>
      <c r="C17" s="5" t="s">
        <v>417</v>
      </c>
      <c r="D17" s="5" t="s">
        <v>406</v>
      </c>
      <c r="E17" s="8"/>
      <c r="F17" s="8"/>
      <c r="G17" s="5">
        <v>75</v>
      </c>
      <c r="H17" s="499">
        <v>177.9</v>
      </c>
      <c r="I17" s="500"/>
      <c r="J17" s="500"/>
      <c r="K17" s="18">
        <f t="shared" si="0"/>
        <v>2619.1</v>
      </c>
      <c r="L17" s="499"/>
      <c r="M17" s="556"/>
    </row>
    <row r="18" spans="2:13">
      <c r="B18" s="112">
        <f t="shared" si="2"/>
        <v>15</v>
      </c>
      <c r="C18" s="5" t="s">
        <v>406</v>
      </c>
      <c r="D18" s="5" t="s">
        <v>403</v>
      </c>
      <c r="E18" s="8"/>
      <c r="F18" s="8"/>
      <c r="G18" s="5">
        <v>75</v>
      </c>
      <c r="H18" s="499">
        <v>89.8</v>
      </c>
      <c r="I18" s="500"/>
      <c r="J18" s="500"/>
      <c r="K18" s="18">
        <f t="shared" si="0"/>
        <v>2708.9</v>
      </c>
      <c r="L18" s="499"/>
      <c r="M18" s="556"/>
    </row>
    <row r="19" spans="2:13">
      <c r="B19" s="112">
        <f t="shared" si="2"/>
        <v>16</v>
      </c>
      <c r="C19" s="5" t="s">
        <v>386</v>
      </c>
      <c r="D19" s="5" t="s">
        <v>417</v>
      </c>
      <c r="E19" s="8"/>
      <c r="F19" s="8"/>
      <c r="G19" s="5">
        <v>75</v>
      </c>
      <c r="H19" s="499">
        <v>220.3</v>
      </c>
      <c r="I19" s="500"/>
      <c r="J19" s="500"/>
      <c r="K19" s="18">
        <f t="shared" si="0"/>
        <v>2929.2000000000003</v>
      </c>
      <c r="L19" s="499"/>
      <c r="M19" s="556"/>
    </row>
    <row r="20" spans="2:13">
      <c r="B20" s="112">
        <f t="shared" si="2"/>
        <v>17</v>
      </c>
      <c r="C20" s="5" t="s">
        <v>50</v>
      </c>
      <c r="D20" s="5" t="s">
        <v>840</v>
      </c>
      <c r="E20" s="8"/>
      <c r="F20" s="8"/>
      <c r="G20" s="5">
        <v>75</v>
      </c>
      <c r="H20" s="499">
        <v>134</v>
      </c>
      <c r="I20" s="500"/>
      <c r="J20" s="500"/>
      <c r="K20" s="18">
        <f t="shared" si="0"/>
        <v>3063.2000000000003</v>
      </c>
      <c r="L20" s="499"/>
      <c r="M20" s="556"/>
    </row>
    <row r="21" spans="2:13">
      <c r="B21" s="112">
        <f t="shared" si="2"/>
        <v>18</v>
      </c>
      <c r="C21" s="5" t="s">
        <v>840</v>
      </c>
      <c r="D21" s="5" t="s">
        <v>55</v>
      </c>
      <c r="E21" s="8"/>
      <c r="F21" s="8"/>
      <c r="G21" s="5">
        <v>75</v>
      </c>
      <c r="H21" s="499">
        <v>270</v>
      </c>
      <c r="I21" s="500"/>
      <c r="J21" s="500"/>
      <c r="K21" s="18">
        <f t="shared" si="0"/>
        <v>3333.2000000000003</v>
      </c>
      <c r="L21" s="499"/>
      <c r="M21" s="556"/>
    </row>
    <row r="22" spans="2:13">
      <c r="B22" s="112">
        <f t="shared" si="2"/>
        <v>19</v>
      </c>
      <c r="C22" s="5" t="s">
        <v>164</v>
      </c>
      <c r="D22" s="5" t="s">
        <v>55</v>
      </c>
      <c r="E22" s="8"/>
      <c r="F22" s="8"/>
      <c r="G22" s="5">
        <v>75</v>
      </c>
      <c r="H22" s="499">
        <v>123</v>
      </c>
      <c r="I22" s="500"/>
      <c r="J22" s="500"/>
      <c r="K22" s="18">
        <f t="shared" si="0"/>
        <v>3456.2000000000003</v>
      </c>
      <c r="L22" s="499"/>
      <c r="M22" s="556"/>
    </row>
    <row r="23" spans="2:13">
      <c r="B23" s="112">
        <f t="shared" si="2"/>
        <v>20</v>
      </c>
      <c r="C23" s="5" t="s">
        <v>164</v>
      </c>
      <c r="D23" s="5" t="s">
        <v>835</v>
      </c>
      <c r="E23" s="8"/>
      <c r="F23" s="8"/>
      <c r="G23" s="5">
        <v>75</v>
      </c>
      <c r="H23" s="499">
        <v>190</v>
      </c>
      <c r="I23" s="500"/>
      <c r="J23" s="500"/>
      <c r="K23" s="18">
        <f t="shared" si="0"/>
        <v>3646.2000000000003</v>
      </c>
      <c r="L23" s="499"/>
      <c r="M23" s="556"/>
    </row>
    <row r="24" spans="2:13">
      <c r="B24" s="112">
        <f t="shared" si="2"/>
        <v>21</v>
      </c>
      <c r="C24" s="5" t="s">
        <v>113</v>
      </c>
      <c r="D24" s="5" t="s">
        <v>151</v>
      </c>
      <c r="E24" s="8"/>
      <c r="F24" s="8"/>
      <c r="G24" s="5">
        <v>75</v>
      </c>
      <c r="H24" s="499">
        <v>105.6</v>
      </c>
      <c r="I24" s="500"/>
      <c r="J24" s="500"/>
      <c r="K24" s="18">
        <f t="shared" si="0"/>
        <v>3751.8</v>
      </c>
      <c r="L24" s="499" t="s">
        <v>1093</v>
      </c>
      <c r="M24" s="556"/>
    </row>
    <row r="25" spans="2:13">
      <c r="B25" s="112">
        <f t="shared" si="2"/>
        <v>22</v>
      </c>
      <c r="C25" s="5" t="s">
        <v>729</v>
      </c>
      <c r="D25" s="5" t="s">
        <v>723</v>
      </c>
      <c r="E25" s="8"/>
      <c r="F25" s="8"/>
      <c r="G25" s="5">
        <v>75</v>
      </c>
      <c r="H25" s="499">
        <v>117</v>
      </c>
      <c r="I25" s="500"/>
      <c r="J25" s="500"/>
      <c r="K25" s="18">
        <f t="shared" si="0"/>
        <v>3868.8</v>
      </c>
      <c r="L25" s="499"/>
      <c r="M25" s="556"/>
    </row>
    <row r="26" spans="2:13">
      <c r="B26" s="112">
        <f t="shared" si="2"/>
        <v>23</v>
      </c>
      <c r="C26" s="5" t="s">
        <v>728</v>
      </c>
      <c r="D26" s="5" t="s">
        <v>169</v>
      </c>
      <c r="E26" s="8"/>
      <c r="F26" s="8"/>
      <c r="G26" s="5">
        <v>75</v>
      </c>
      <c r="H26" s="499">
        <v>291.7</v>
      </c>
      <c r="I26" s="500"/>
      <c r="J26" s="500"/>
      <c r="K26" s="18">
        <f t="shared" si="0"/>
        <v>4160.5</v>
      </c>
      <c r="L26" s="499"/>
      <c r="M26" s="556"/>
    </row>
    <row r="27" spans="2:13">
      <c r="B27" s="112">
        <f t="shared" si="2"/>
        <v>24</v>
      </c>
      <c r="C27" s="5" t="s">
        <v>827</v>
      </c>
      <c r="D27" s="5" t="s">
        <v>153</v>
      </c>
      <c r="E27" s="8"/>
      <c r="F27" s="8"/>
      <c r="G27" s="18">
        <v>90</v>
      </c>
      <c r="H27" s="499">
        <v>71.099999999999994</v>
      </c>
      <c r="I27" s="500"/>
      <c r="J27" s="500"/>
      <c r="K27" s="18">
        <f t="shared" si="0"/>
        <v>4231.6000000000004</v>
      </c>
      <c r="L27" s="499"/>
      <c r="M27" s="556"/>
    </row>
    <row r="28" spans="2:13">
      <c r="B28" s="112">
        <f t="shared" si="2"/>
        <v>25</v>
      </c>
      <c r="C28" s="5" t="s">
        <v>50</v>
      </c>
      <c r="D28" s="5" t="s">
        <v>1241</v>
      </c>
      <c r="E28" s="8"/>
      <c r="F28" s="8"/>
      <c r="G28" s="18">
        <v>90</v>
      </c>
      <c r="H28" s="499">
        <v>257.2</v>
      </c>
      <c r="I28" s="500"/>
      <c r="J28" s="500"/>
      <c r="K28" s="18">
        <f t="shared" si="0"/>
        <v>4488.8</v>
      </c>
      <c r="L28" s="499"/>
      <c r="M28" s="556"/>
    </row>
    <row r="29" spans="2:13">
      <c r="B29" s="112">
        <f t="shared" si="2"/>
        <v>26</v>
      </c>
      <c r="C29" s="5" t="s">
        <v>727</v>
      </c>
      <c r="D29" s="5" t="s">
        <v>113</v>
      </c>
      <c r="E29" s="8"/>
      <c r="F29" s="8"/>
      <c r="G29" s="18">
        <v>90</v>
      </c>
      <c r="H29" s="499">
        <v>93.2</v>
      </c>
      <c r="I29" s="500"/>
      <c r="J29" s="500"/>
      <c r="K29" s="18">
        <f t="shared" si="0"/>
        <v>4582</v>
      </c>
      <c r="L29" s="499"/>
      <c r="M29" s="556"/>
    </row>
    <row r="30" spans="2:13">
      <c r="B30" s="112">
        <f t="shared" si="2"/>
        <v>27</v>
      </c>
      <c r="C30" s="5" t="s">
        <v>417</v>
      </c>
      <c r="D30" s="5" t="s">
        <v>403</v>
      </c>
      <c r="E30" s="8"/>
      <c r="F30" s="8"/>
      <c r="G30" s="18">
        <v>90</v>
      </c>
      <c r="H30" s="499">
        <v>62.1</v>
      </c>
      <c r="I30" s="500"/>
      <c r="J30" s="500"/>
      <c r="K30" s="18">
        <f t="shared" si="0"/>
        <v>4644.1000000000004</v>
      </c>
      <c r="L30" s="499"/>
      <c r="M30" s="556"/>
    </row>
    <row r="31" spans="2:13">
      <c r="B31" s="112">
        <f t="shared" si="2"/>
        <v>28</v>
      </c>
      <c r="C31" s="18" t="s">
        <v>153</v>
      </c>
      <c r="D31" s="18" t="s">
        <v>925</v>
      </c>
      <c r="E31" s="18"/>
      <c r="F31" s="18"/>
      <c r="G31" s="18">
        <v>110</v>
      </c>
      <c r="H31" s="499">
        <f>382.4-4.5</f>
        <v>377.9</v>
      </c>
      <c r="I31" s="500"/>
      <c r="J31" s="500"/>
      <c r="K31" s="18">
        <f t="shared" si="0"/>
        <v>5022</v>
      </c>
      <c r="L31" s="499"/>
      <c r="M31" s="556"/>
    </row>
    <row r="32" spans="2:13" hidden="1">
      <c r="B32" s="112">
        <f t="shared" si="2"/>
        <v>29</v>
      </c>
      <c r="C32" s="18" t="s">
        <v>153</v>
      </c>
      <c r="D32" s="18" t="s">
        <v>925</v>
      </c>
      <c r="E32" s="18" t="s">
        <v>199</v>
      </c>
      <c r="F32" s="18">
        <v>0.44</v>
      </c>
      <c r="G32" s="18">
        <v>110</v>
      </c>
      <c r="H32" s="499">
        <v>4.5</v>
      </c>
      <c r="I32" s="500"/>
      <c r="J32" s="501"/>
      <c r="K32" s="18">
        <f t="shared" si="0"/>
        <v>5026.5</v>
      </c>
      <c r="L32" s="10"/>
      <c r="M32" s="118"/>
    </row>
    <row r="33" spans="2:17">
      <c r="B33" s="112">
        <f t="shared" si="2"/>
        <v>30</v>
      </c>
      <c r="C33" s="18" t="s">
        <v>925</v>
      </c>
      <c r="D33" s="18" t="s">
        <v>123</v>
      </c>
      <c r="E33" s="18"/>
      <c r="F33" s="18"/>
      <c r="G33" s="18">
        <v>110</v>
      </c>
      <c r="H33" s="499">
        <v>43</v>
      </c>
      <c r="I33" s="500"/>
      <c r="J33" s="500"/>
      <c r="K33" s="18">
        <f t="shared" si="0"/>
        <v>5069.5</v>
      </c>
      <c r="L33" s="499"/>
      <c r="M33" s="556"/>
    </row>
    <row r="34" spans="2:17" hidden="1">
      <c r="B34" s="112">
        <f t="shared" si="2"/>
        <v>31</v>
      </c>
      <c r="C34" s="18" t="s">
        <v>925</v>
      </c>
      <c r="D34" s="18" t="s">
        <v>123</v>
      </c>
      <c r="E34" s="18" t="s">
        <v>457</v>
      </c>
      <c r="F34" s="18">
        <v>0.44</v>
      </c>
      <c r="G34" s="18">
        <v>110</v>
      </c>
      <c r="H34" s="499">
        <v>5</v>
      </c>
      <c r="I34" s="500"/>
      <c r="J34" s="501"/>
      <c r="K34" s="18">
        <f t="shared" si="0"/>
        <v>5074.5</v>
      </c>
      <c r="L34" s="10"/>
      <c r="M34" s="118"/>
    </row>
    <row r="35" spans="2:17">
      <c r="B35" s="112">
        <f t="shared" si="2"/>
        <v>32</v>
      </c>
      <c r="C35" s="18" t="s">
        <v>123</v>
      </c>
      <c r="D35" s="18" t="s">
        <v>50</v>
      </c>
      <c r="E35" s="18"/>
      <c r="F35" s="18"/>
      <c r="G35" s="18">
        <v>110</v>
      </c>
      <c r="H35" s="499">
        <f>467.2-H36</f>
        <v>463.7</v>
      </c>
      <c r="I35" s="500"/>
      <c r="J35" s="500"/>
      <c r="K35" s="18">
        <f t="shared" si="0"/>
        <v>5538.2</v>
      </c>
      <c r="L35" s="499"/>
      <c r="M35" s="556"/>
    </row>
    <row r="36" spans="2:17" hidden="1">
      <c r="B36" s="112">
        <f t="shared" si="2"/>
        <v>33</v>
      </c>
      <c r="C36" s="18" t="s">
        <v>123</v>
      </c>
      <c r="D36" s="18" t="s">
        <v>50</v>
      </c>
      <c r="E36" s="18" t="s">
        <v>457</v>
      </c>
      <c r="F36" s="18">
        <v>0.44</v>
      </c>
      <c r="G36" s="18">
        <v>110</v>
      </c>
      <c r="H36" s="499">
        <v>3.5</v>
      </c>
      <c r="I36" s="500"/>
      <c r="J36" s="501"/>
      <c r="K36" s="18">
        <f t="shared" si="0"/>
        <v>5541.7</v>
      </c>
      <c r="L36" s="10"/>
      <c r="M36" s="118"/>
    </row>
    <row r="37" spans="2:17">
      <c r="B37" s="112">
        <f t="shared" si="2"/>
        <v>34</v>
      </c>
      <c r="C37" s="5" t="s">
        <v>140</v>
      </c>
      <c r="D37" s="5" t="s">
        <v>123</v>
      </c>
      <c r="E37" s="5"/>
      <c r="F37" s="5"/>
      <c r="G37" s="5">
        <v>110</v>
      </c>
      <c r="H37" s="499">
        <v>315</v>
      </c>
      <c r="I37" s="500"/>
      <c r="J37" s="500"/>
      <c r="K37" s="18">
        <f t="shared" si="0"/>
        <v>5856.7</v>
      </c>
      <c r="L37" s="499"/>
      <c r="M37" s="556"/>
    </row>
    <row r="38" spans="2:17">
      <c r="B38" s="112">
        <f t="shared" si="2"/>
        <v>35</v>
      </c>
      <c r="C38" s="5" t="s">
        <v>925</v>
      </c>
      <c r="D38" s="5" t="s">
        <v>836</v>
      </c>
      <c r="E38" s="5"/>
      <c r="F38" s="5"/>
      <c r="G38" s="5">
        <v>110</v>
      </c>
      <c r="H38" s="499">
        <v>51.3</v>
      </c>
      <c r="I38" s="500"/>
      <c r="J38" s="500"/>
      <c r="K38" s="18">
        <f t="shared" si="0"/>
        <v>5908</v>
      </c>
      <c r="L38" s="499"/>
      <c r="M38" s="556"/>
    </row>
    <row r="39" spans="2:17">
      <c r="B39" s="112">
        <f t="shared" si="2"/>
        <v>36</v>
      </c>
      <c r="C39" s="5" t="s">
        <v>403</v>
      </c>
      <c r="D39" s="5" t="s">
        <v>282</v>
      </c>
      <c r="E39" s="5"/>
      <c r="F39" s="5"/>
      <c r="G39" s="5">
        <v>110</v>
      </c>
      <c r="H39" s="499">
        <v>226.2</v>
      </c>
      <c r="I39" s="500"/>
      <c r="J39" s="500"/>
      <c r="K39" s="18">
        <f t="shared" si="0"/>
        <v>6134.2</v>
      </c>
      <c r="L39" s="499"/>
      <c r="M39" s="556"/>
    </row>
    <row r="40" spans="2:17">
      <c r="B40" s="112">
        <f t="shared" si="2"/>
        <v>37</v>
      </c>
      <c r="C40" s="18" t="s">
        <v>143</v>
      </c>
      <c r="D40" s="18" t="s">
        <v>1242</v>
      </c>
      <c r="E40" s="18"/>
      <c r="F40" s="18"/>
      <c r="G40" s="18">
        <v>140</v>
      </c>
      <c r="H40" s="670">
        <v>117.8</v>
      </c>
      <c r="I40" s="612"/>
      <c r="J40" s="612"/>
      <c r="K40" s="18">
        <f t="shared" si="0"/>
        <v>6252</v>
      </c>
      <c r="L40" s="499"/>
      <c r="M40" s="556"/>
    </row>
    <row r="41" spans="2:17">
      <c r="B41" s="112">
        <f t="shared" si="2"/>
        <v>38</v>
      </c>
      <c r="C41" s="18" t="s">
        <v>1242</v>
      </c>
      <c r="D41" s="18" t="s">
        <v>727</v>
      </c>
      <c r="E41" s="18"/>
      <c r="F41" s="18"/>
      <c r="G41" s="18">
        <v>140</v>
      </c>
      <c r="H41" s="670">
        <v>26.3</v>
      </c>
      <c r="I41" s="612"/>
      <c r="J41" s="612"/>
      <c r="K41" s="18">
        <f t="shared" si="0"/>
        <v>6278.3</v>
      </c>
      <c r="L41" s="499"/>
      <c r="M41" s="556"/>
    </row>
    <row r="42" spans="2:17">
      <c r="B42" s="112">
        <f t="shared" si="2"/>
        <v>39</v>
      </c>
      <c r="C42" s="5" t="s">
        <v>63</v>
      </c>
      <c r="D42" s="5" t="s">
        <v>728</v>
      </c>
      <c r="E42" s="5"/>
      <c r="F42" s="5"/>
      <c r="G42" s="5">
        <v>140</v>
      </c>
      <c r="H42" s="499">
        <v>580.20000000000005</v>
      </c>
      <c r="I42" s="500"/>
      <c r="J42" s="500"/>
      <c r="K42" s="18">
        <f t="shared" si="0"/>
        <v>6858.5</v>
      </c>
      <c r="L42" s="499"/>
      <c r="M42" s="556"/>
    </row>
    <row r="43" spans="2:17">
      <c r="B43" s="112">
        <f t="shared" si="2"/>
        <v>40</v>
      </c>
      <c r="C43" s="5" t="s">
        <v>722</v>
      </c>
      <c r="D43" s="5" t="s">
        <v>1238</v>
      </c>
      <c r="E43" s="5"/>
      <c r="F43" s="5"/>
      <c r="G43" s="5">
        <v>140</v>
      </c>
      <c r="H43" s="499">
        <v>582.9</v>
      </c>
      <c r="I43" s="500"/>
      <c r="J43" s="500"/>
      <c r="K43" s="18">
        <f t="shared" si="0"/>
        <v>7441.4</v>
      </c>
      <c r="L43" s="499"/>
      <c r="M43" s="556"/>
    </row>
    <row r="44" spans="2:17">
      <c r="B44" s="112">
        <f t="shared" si="2"/>
        <v>41</v>
      </c>
      <c r="C44" s="5" t="s">
        <v>1238</v>
      </c>
      <c r="D44" s="5" t="s">
        <v>115</v>
      </c>
      <c r="E44" s="5"/>
      <c r="F44" s="5"/>
      <c r="G44" s="5">
        <v>140</v>
      </c>
      <c r="H44" s="499">
        <f>225.6+155</f>
        <v>380.6</v>
      </c>
      <c r="I44" s="500"/>
      <c r="J44" s="500"/>
      <c r="K44" s="18">
        <f t="shared" si="0"/>
        <v>7822</v>
      </c>
      <c r="L44" s="499"/>
      <c r="M44" s="556"/>
    </row>
    <row r="45" spans="2:17">
      <c r="B45" s="112">
        <f t="shared" si="2"/>
        <v>42</v>
      </c>
      <c r="C45" s="5" t="s">
        <v>364</v>
      </c>
      <c r="D45" s="5" t="s">
        <v>116</v>
      </c>
      <c r="E45" s="5"/>
      <c r="F45" s="5"/>
      <c r="G45" s="5">
        <v>140</v>
      </c>
      <c r="H45" s="499">
        <v>106.9</v>
      </c>
      <c r="I45" s="500"/>
      <c r="J45" s="500"/>
      <c r="K45" s="18">
        <f t="shared" si="0"/>
        <v>7928.9</v>
      </c>
      <c r="L45" s="499"/>
      <c r="M45" s="556"/>
    </row>
    <row r="46" spans="2:17">
      <c r="B46" s="112">
        <f t="shared" si="2"/>
        <v>43</v>
      </c>
      <c r="C46" s="5" t="s">
        <v>727</v>
      </c>
      <c r="D46" s="5" t="s">
        <v>122</v>
      </c>
      <c r="E46" s="8"/>
      <c r="F46" s="8"/>
      <c r="G46" s="5">
        <v>160</v>
      </c>
      <c r="H46" s="499">
        <v>141.30000000000001</v>
      </c>
      <c r="I46" s="500"/>
      <c r="J46" s="500"/>
      <c r="K46" s="18">
        <f t="shared" si="0"/>
        <v>8070.2</v>
      </c>
      <c r="L46" s="499"/>
      <c r="M46" s="556"/>
      <c r="Q46">
        <f>11858+8404.6</f>
        <v>20262.599999999999</v>
      </c>
    </row>
    <row r="47" spans="2:17">
      <c r="B47" s="112">
        <f t="shared" si="2"/>
        <v>44</v>
      </c>
      <c r="C47" s="5" t="s">
        <v>122</v>
      </c>
      <c r="D47" s="5" t="s">
        <v>63</v>
      </c>
      <c r="E47" s="8"/>
      <c r="F47" s="8"/>
      <c r="G47" s="5">
        <v>160</v>
      </c>
      <c r="H47" s="499">
        <v>322.39999999999998</v>
      </c>
      <c r="I47" s="500"/>
      <c r="J47" s="500"/>
      <c r="K47" s="18">
        <f t="shared" si="0"/>
        <v>8392.6</v>
      </c>
      <c r="L47" s="499"/>
      <c r="M47" s="556"/>
    </row>
    <row r="48" spans="2:17">
      <c r="B48" s="112">
        <f t="shared" si="2"/>
        <v>45</v>
      </c>
      <c r="C48" s="76" t="s">
        <v>43</v>
      </c>
      <c r="D48" s="76" t="s">
        <v>44</v>
      </c>
      <c r="E48" s="77"/>
      <c r="F48" s="77"/>
      <c r="G48" s="76">
        <v>160</v>
      </c>
      <c r="H48" s="499">
        <v>12</v>
      </c>
      <c r="I48" s="500"/>
      <c r="J48" s="500"/>
      <c r="K48" s="18">
        <f t="shared" si="0"/>
        <v>8404.6</v>
      </c>
      <c r="L48" s="656"/>
      <c r="M48" s="678"/>
    </row>
    <row r="49" spans="2:19">
      <c r="B49" s="113"/>
      <c r="C49" s="76"/>
      <c r="D49" s="76"/>
      <c r="E49" s="77"/>
      <c r="F49" s="77"/>
      <c r="G49" s="76"/>
      <c r="H49" s="656"/>
      <c r="I49" s="657"/>
      <c r="J49" s="658"/>
      <c r="K49" s="18"/>
      <c r="L49" s="498"/>
      <c r="M49" s="498"/>
    </row>
    <row r="50" spans="2:19">
      <c r="B50" s="114">
        <v>63</v>
      </c>
      <c r="C50" s="115">
        <v>75</v>
      </c>
      <c r="D50" s="115">
        <v>90</v>
      </c>
      <c r="E50" s="115">
        <v>110</v>
      </c>
      <c r="F50" s="115">
        <v>140</v>
      </c>
      <c r="G50" s="115">
        <v>160</v>
      </c>
      <c r="H50" s="671"/>
      <c r="I50" s="671"/>
      <c r="J50" s="672"/>
      <c r="K50" s="8"/>
      <c r="L50" s="498"/>
      <c r="M50" s="498"/>
    </row>
    <row r="51" spans="2:19">
      <c r="B51" s="112">
        <f t="shared" ref="B51:G51" si="3">+SUMIF($G$4:$G$48,B50,$H$4:$J$48)</f>
        <v>2232.1999999999998</v>
      </c>
      <c r="C51" s="112">
        <f t="shared" si="3"/>
        <v>1928.3</v>
      </c>
      <c r="D51" s="112">
        <f t="shared" si="3"/>
        <v>483.59999999999997</v>
      </c>
      <c r="E51" s="112">
        <f t="shared" si="3"/>
        <v>1490.1</v>
      </c>
      <c r="F51" s="112">
        <f t="shared" si="3"/>
        <v>1794.7000000000003</v>
      </c>
      <c r="G51" s="112">
        <f t="shared" si="3"/>
        <v>475.7</v>
      </c>
      <c r="H51" s="498">
        <f>+SUM(B51+C51+D51+E51+F51+G51)</f>
        <v>8404.6000000000022</v>
      </c>
      <c r="I51" s="498"/>
      <c r="J51" s="673"/>
      <c r="K51" s="8"/>
      <c r="L51" s="498"/>
      <c r="M51" s="498"/>
    </row>
    <row r="52" spans="2:19" ht="18.75">
      <c r="B52" s="116">
        <v>2595</v>
      </c>
      <c r="C52" s="117">
        <v>2479</v>
      </c>
      <c r="D52" s="117">
        <v>905</v>
      </c>
      <c r="E52" s="117">
        <v>1570</v>
      </c>
      <c r="F52" s="117">
        <v>1944</v>
      </c>
      <c r="G52" s="117">
        <v>1122</v>
      </c>
      <c r="H52" s="674">
        <f>+SUM(B52+C52+D52+E52+F52+G52)</f>
        <v>10615</v>
      </c>
      <c r="I52" s="674"/>
      <c r="J52" s="675"/>
      <c r="K52" s="8"/>
      <c r="L52" s="499"/>
      <c r="M52" s="501"/>
    </row>
    <row r="54" spans="2:19">
      <c r="S54">
        <f>4396+8054.4+12231.5+15117.65+8404.6</f>
        <v>48204.15</v>
      </c>
    </row>
    <row r="58" spans="2:19" ht="18.75">
      <c r="D58" s="676" t="s">
        <v>1236</v>
      </c>
      <c r="E58" s="677"/>
      <c r="F58" s="677"/>
      <c r="G58" s="677"/>
      <c r="H58" s="677"/>
      <c r="I58" s="677"/>
      <c r="J58" s="677"/>
      <c r="K58" s="677"/>
      <c r="L58" s="677"/>
      <c r="M58" s="677"/>
      <c r="N58" s="666" t="s">
        <v>679</v>
      </c>
      <c r="O58" s="667"/>
    </row>
    <row r="59" spans="2:19" ht="63">
      <c r="D59" s="50" t="s">
        <v>448</v>
      </c>
      <c r="E59" s="25" t="s">
        <v>180</v>
      </c>
      <c r="F59" s="25" t="s">
        <v>13</v>
      </c>
      <c r="G59" s="25" t="s">
        <v>181</v>
      </c>
      <c r="H59" s="27" t="s">
        <v>449</v>
      </c>
      <c r="I59" s="25" t="s">
        <v>719</v>
      </c>
      <c r="J59" s="640" t="s">
        <v>184</v>
      </c>
      <c r="K59" s="641"/>
      <c r="L59" s="641"/>
      <c r="M59" s="26" t="s">
        <v>185</v>
      </c>
      <c r="N59" s="668"/>
      <c r="O59" s="669"/>
    </row>
    <row r="60" spans="2:19">
      <c r="D60" s="112">
        <v>1</v>
      </c>
      <c r="E60" s="5" t="s">
        <v>827</v>
      </c>
      <c r="F60" s="5" t="s">
        <v>122</v>
      </c>
      <c r="G60" s="5"/>
      <c r="H60" s="5"/>
      <c r="I60" s="5">
        <v>63</v>
      </c>
      <c r="J60" s="499">
        <v>660.6</v>
      </c>
      <c r="K60" s="500"/>
      <c r="L60" s="500"/>
      <c r="M60" s="18">
        <f>+J60</f>
        <v>660.6</v>
      </c>
    </row>
    <row r="61" spans="2:19">
      <c r="D61" s="112">
        <f>1+D60</f>
        <v>2</v>
      </c>
      <c r="E61" s="5" t="s">
        <v>153</v>
      </c>
      <c r="F61" s="5" t="s">
        <v>826</v>
      </c>
      <c r="G61" s="5"/>
      <c r="H61" s="5"/>
      <c r="I61" s="5">
        <v>63</v>
      </c>
      <c r="J61" s="499">
        <v>201.4</v>
      </c>
      <c r="K61" s="500"/>
      <c r="L61" s="500"/>
      <c r="M61" s="18">
        <f t="shared" ref="M61:M123" si="4">+M60+J61</f>
        <v>862</v>
      </c>
    </row>
    <row r="62" spans="2:19">
      <c r="D62" s="112">
        <f t="shared" ref="D62:D123" si="5">1+D61</f>
        <v>3</v>
      </c>
      <c r="E62" s="18" t="s">
        <v>164</v>
      </c>
      <c r="F62" s="18" t="s">
        <v>155</v>
      </c>
      <c r="G62" s="8"/>
      <c r="H62" s="8"/>
      <c r="I62" s="5">
        <v>63</v>
      </c>
      <c r="J62" s="499">
        <v>49</v>
      </c>
      <c r="K62" s="500"/>
      <c r="L62" s="500"/>
      <c r="M62" s="18">
        <f t="shared" si="4"/>
        <v>911</v>
      </c>
    </row>
    <row r="63" spans="2:19">
      <c r="D63" s="112">
        <f t="shared" si="5"/>
        <v>4</v>
      </c>
      <c r="E63" s="18" t="s">
        <v>835</v>
      </c>
      <c r="F63" s="18" t="s">
        <v>503</v>
      </c>
      <c r="G63" s="8"/>
      <c r="H63" s="8"/>
      <c r="I63" s="5">
        <v>63</v>
      </c>
      <c r="J63" s="499">
        <v>40</v>
      </c>
      <c r="K63" s="500"/>
      <c r="L63" s="500"/>
      <c r="M63" s="18">
        <f t="shared" si="4"/>
        <v>951</v>
      </c>
    </row>
    <row r="64" spans="2:19">
      <c r="D64" s="112">
        <f t="shared" si="5"/>
        <v>5</v>
      </c>
      <c r="E64" s="18" t="s">
        <v>140</v>
      </c>
      <c r="F64" s="18" t="s">
        <v>139</v>
      </c>
      <c r="G64" s="8"/>
      <c r="H64" s="8"/>
      <c r="I64" s="5">
        <v>63</v>
      </c>
      <c r="J64" s="499">
        <v>61</v>
      </c>
      <c r="K64" s="500"/>
      <c r="L64" s="500"/>
      <c r="M64" s="18">
        <f t="shared" si="4"/>
        <v>1012</v>
      </c>
    </row>
    <row r="65" spans="4:13">
      <c r="D65" s="112">
        <f t="shared" si="5"/>
        <v>6</v>
      </c>
      <c r="E65" s="18" t="s">
        <v>134</v>
      </c>
      <c r="F65" s="18" t="s">
        <v>1237</v>
      </c>
      <c r="G65" s="8"/>
      <c r="H65" s="8"/>
      <c r="I65" s="5">
        <v>63</v>
      </c>
      <c r="J65" s="499">
        <v>184.3</v>
      </c>
      <c r="K65" s="500"/>
      <c r="L65" s="500"/>
      <c r="M65" s="18">
        <f t="shared" si="4"/>
        <v>1196.3</v>
      </c>
    </row>
    <row r="66" spans="4:13">
      <c r="D66" s="112">
        <f t="shared" si="5"/>
        <v>7</v>
      </c>
      <c r="E66" s="18" t="s">
        <v>134</v>
      </c>
      <c r="F66" s="18" t="s">
        <v>130</v>
      </c>
      <c r="G66" s="8"/>
      <c r="H66" s="8"/>
      <c r="I66" s="18">
        <v>63</v>
      </c>
      <c r="J66" s="499">
        <v>78.5</v>
      </c>
      <c r="K66" s="500"/>
      <c r="L66" s="500"/>
      <c r="M66" s="18">
        <f t="shared" si="4"/>
        <v>1274.8</v>
      </c>
    </row>
    <row r="67" spans="4:13">
      <c r="D67" s="112">
        <f t="shared" si="5"/>
        <v>8</v>
      </c>
      <c r="E67" s="18" t="s">
        <v>130</v>
      </c>
      <c r="F67" s="18" t="s">
        <v>833</v>
      </c>
      <c r="G67" s="8"/>
      <c r="H67" s="8"/>
      <c r="I67" s="18">
        <v>63</v>
      </c>
      <c r="J67" s="499">
        <v>142</v>
      </c>
      <c r="K67" s="500"/>
      <c r="L67" s="500"/>
      <c r="M67" s="18">
        <f t="shared" si="4"/>
        <v>1416.8</v>
      </c>
    </row>
    <row r="68" spans="4:13">
      <c r="D68" s="112">
        <f t="shared" si="5"/>
        <v>9</v>
      </c>
      <c r="E68" s="18" t="s">
        <v>169</v>
      </c>
      <c r="F68" s="18" t="s">
        <v>1133</v>
      </c>
      <c r="G68" s="8"/>
      <c r="H68" s="8"/>
      <c r="I68" s="18">
        <v>63</v>
      </c>
      <c r="J68" s="499">
        <v>235.3</v>
      </c>
      <c r="K68" s="500"/>
      <c r="L68" s="500"/>
      <c r="M68" s="18">
        <f t="shared" si="4"/>
        <v>1652.1</v>
      </c>
    </row>
    <row r="69" spans="4:13">
      <c r="D69" s="112">
        <f t="shared" si="5"/>
        <v>10</v>
      </c>
      <c r="E69" s="5" t="s">
        <v>1238</v>
      </c>
      <c r="F69" s="5" t="s">
        <v>1239</v>
      </c>
      <c r="G69" s="8"/>
      <c r="H69" s="8"/>
      <c r="I69" s="18">
        <v>63</v>
      </c>
      <c r="J69" s="499">
        <v>358.2</v>
      </c>
      <c r="K69" s="500"/>
      <c r="L69" s="500"/>
      <c r="M69" s="18">
        <f t="shared" si="4"/>
        <v>2010.3</v>
      </c>
    </row>
    <row r="70" spans="4:13">
      <c r="D70" s="112">
        <f t="shared" si="5"/>
        <v>11</v>
      </c>
      <c r="E70" s="5" t="s">
        <v>700</v>
      </c>
      <c r="F70" s="5" t="s">
        <v>1240</v>
      </c>
      <c r="G70" s="8"/>
      <c r="H70" s="8"/>
      <c r="I70" s="18">
        <v>63</v>
      </c>
      <c r="J70" s="499">
        <v>221.9</v>
      </c>
      <c r="K70" s="500"/>
      <c r="L70" s="500"/>
      <c r="M70" s="18">
        <f t="shared" si="4"/>
        <v>2232.1999999999998</v>
      </c>
    </row>
    <row r="71" spans="4:13">
      <c r="D71" s="112">
        <f t="shared" si="5"/>
        <v>12</v>
      </c>
      <c r="E71" s="5" t="s">
        <v>1243</v>
      </c>
      <c r="F71" s="5" t="s">
        <v>1022</v>
      </c>
      <c r="G71" s="8"/>
      <c r="H71" s="8"/>
      <c r="I71" s="18">
        <v>63</v>
      </c>
      <c r="J71" s="499">
        <v>48</v>
      </c>
      <c r="K71" s="500"/>
      <c r="L71" s="501"/>
      <c r="M71" s="18">
        <f t="shared" si="4"/>
        <v>2280.1999999999998</v>
      </c>
    </row>
    <row r="72" spans="4:13">
      <c r="D72" s="112">
        <f t="shared" si="5"/>
        <v>13</v>
      </c>
      <c r="E72" s="5" t="s">
        <v>1244</v>
      </c>
      <c r="F72" s="5" t="s">
        <v>702</v>
      </c>
      <c r="G72" s="8"/>
      <c r="H72" s="8"/>
      <c r="I72" s="18">
        <v>63</v>
      </c>
      <c r="J72" s="499">
        <v>91</v>
      </c>
      <c r="K72" s="500"/>
      <c r="L72" s="501"/>
      <c r="M72" s="18">
        <f t="shared" si="4"/>
        <v>2371.1999999999998</v>
      </c>
    </row>
    <row r="73" spans="4:13">
      <c r="D73" s="112">
        <f t="shared" si="5"/>
        <v>14</v>
      </c>
      <c r="E73" s="5" t="s">
        <v>394</v>
      </c>
      <c r="F73" s="5" t="s">
        <v>256</v>
      </c>
      <c r="G73" s="8"/>
      <c r="H73" s="8"/>
      <c r="I73" s="18">
        <v>63</v>
      </c>
      <c r="J73" s="499">
        <v>200</v>
      </c>
      <c r="K73" s="500"/>
      <c r="L73" s="501"/>
      <c r="M73" s="18">
        <f t="shared" si="4"/>
        <v>2571.1999999999998</v>
      </c>
    </row>
    <row r="74" spans="4:13">
      <c r="D74" s="112">
        <f t="shared" si="5"/>
        <v>15</v>
      </c>
      <c r="E74" s="5" t="s">
        <v>256</v>
      </c>
      <c r="F74" s="5" t="s">
        <v>306</v>
      </c>
      <c r="G74" s="8"/>
      <c r="H74" s="8"/>
      <c r="I74" s="18">
        <v>63</v>
      </c>
      <c r="J74" s="499">
        <v>40</v>
      </c>
      <c r="K74" s="500"/>
      <c r="L74" s="501"/>
      <c r="M74" s="18">
        <f t="shared" si="4"/>
        <v>2611.1999999999998</v>
      </c>
    </row>
    <row r="75" spans="4:13">
      <c r="D75" s="112">
        <f t="shared" si="5"/>
        <v>16</v>
      </c>
      <c r="E75" s="5" t="s">
        <v>256</v>
      </c>
      <c r="F75" s="5" t="s">
        <v>275</v>
      </c>
      <c r="G75" s="8"/>
      <c r="H75" s="8"/>
      <c r="I75" s="18">
        <v>63</v>
      </c>
      <c r="J75" s="499">
        <f>126+41</f>
        <v>167</v>
      </c>
      <c r="K75" s="500"/>
      <c r="L75" s="501"/>
      <c r="M75" s="18">
        <f t="shared" si="4"/>
        <v>2778.2</v>
      </c>
    </row>
    <row r="76" spans="4:13">
      <c r="D76" s="112">
        <f t="shared" si="5"/>
        <v>17</v>
      </c>
      <c r="E76" s="5" t="s">
        <v>361</v>
      </c>
      <c r="F76" s="5" t="s">
        <v>323</v>
      </c>
      <c r="G76" s="8"/>
      <c r="H76" s="8"/>
      <c r="I76" s="18">
        <v>63</v>
      </c>
      <c r="J76" s="499">
        <v>230</v>
      </c>
      <c r="K76" s="500"/>
      <c r="L76" s="501"/>
      <c r="M76" s="18">
        <f t="shared" si="4"/>
        <v>3008.2</v>
      </c>
    </row>
    <row r="77" spans="4:13">
      <c r="D77" s="112">
        <f t="shared" si="5"/>
        <v>18</v>
      </c>
      <c r="E77" s="5" t="s">
        <v>523</v>
      </c>
      <c r="F77" s="5" t="s">
        <v>362</v>
      </c>
      <c r="G77" s="8"/>
      <c r="H77" s="8"/>
      <c r="I77" s="18">
        <v>75</v>
      </c>
      <c r="J77" s="499">
        <f>209-3.5</f>
        <v>205.5</v>
      </c>
      <c r="K77" s="500"/>
      <c r="L77" s="500"/>
      <c r="M77" s="18">
        <f t="shared" si="4"/>
        <v>3213.7</v>
      </c>
    </row>
    <row r="78" spans="4:13">
      <c r="D78" s="112">
        <f t="shared" si="5"/>
        <v>19</v>
      </c>
      <c r="E78" s="5" t="s">
        <v>523</v>
      </c>
      <c r="F78" s="5" t="s">
        <v>362</v>
      </c>
      <c r="G78" s="18" t="s">
        <v>457</v>
      </c>
      <c r="H78" s="18">
        <v>0.39</v>
      </c>
      <c r="I78" s="18">
        <v>75</v>
      </c>
      <c r="J78" s="499">
        <v>3.5</v>
      </c>
      <c r="K78" s="500"/>
      <c r="L78" s="501"/>
      <c r="M78" s="18">
        <f t="shared" si="4"/>
        <v>3217.2</v>
      </c>
    </row>
    <row r="79" spans="4:13">
      <c r="D79" s="112">
        <f t="shared" si="5"/>
        <v>20</v>
      </c>
      <c r="E79" s="5" t="s">
        <v>417</v>
      </c>
      <c r="F79" s="5" t="s">
        <v>406</v>
      </c>
      <c r="G79" s="8"/>
      <c r="H79" s="8"/>
      <c r="I79" s="5">
        <v>75</v>
      </c>
      <c r="J79" s="499">
        <v>177.9</v>
      </c>
      <c r="K79" s="500"/>
      <c r="L79" s="500"/>
      <c r="M79" s="18">
        <f t="shared" si="4"/>
        <v>3395.1</v>
      </c>
    </row>
    <row r="80" spans="4:13">
      <c r="D80" s="112">
        <f t="shared" si="5"/>
        <v>21</v>
      </c>
      <c r="E80" s="5" t="s">
        <v>406</v>
      </c>
      <c r="F80" s="5" t="s">
        <v>403</v>
      </c>
      <c r="G80" s="8"/>
      <c r="H80" s="8"/>
      <c r="I80" s="5">
        <v>75</v>
      </c>
      <c r="J80" s="499">
        <v>89.8</v>
      </c>
      <c r="K80" s="500"/>
      <c r="L80" s="500"/>
      <c r="M80" s="18">
        <f t="shared" si="4"/>
        <v>3484.9</v>
      </c>
    </row>
    <row r="81" spans="4:13">
      <c r="D81" s="112">
        <f t="shared" si="5"/>
        <v>22</v>
      </c>
      <c r="E81" s="5" t="s">
        <v>386</v>
      </c>
      <c r="F81" s="5" t="s">
        <v>417</v>
      </c>
      <c r="G81" s="8"/>
      <c r="H81" s="8"/>
      <c r="I81" s="5">
        <v>75</v>
      </c>
      <c r="J81" s="499">
        <v>220.3</v>
      </c>
      <c r="K81" s="500"/>
      <c r="L81" s="500"/>
      <c r="M81" s="18">
        <f t="shared" si="4"/>
        <v>3705.2000000000003</v>
      </c>
    </row>
    <row r="82" spans="4:13">
      <c r="D82" s="112">
        <f t="shared" si="5"/>
        <v>23</v>
      </c>
      <c r="E82" s="5" t="s">
        <v>50</v>
      </c>
      <c r="F82" s="5" t="s">
        <v>840</v>
      </c>
      <c r="G82" s="8"/>
      <c r="H82" s="8"/>
      <c r="I82" s="5">
        <v>75</v>
      </c>
      <c r="J82" s="499">
        <v>134</v>
      </c>
      <c r="K82" s="500"/>
      <c r="L82" s="500"/>
      <c r="M82" s="18">
        <f t="shared" si="4"/>
        <v>3839.2000000000003</v>
      </c>
    </row>
    <row r="83" spans="4:13">
      <c r="D83" s="112">
        <f t="shared" si="5"/>
        <v>24</v>
      </c>
      <c r="E83" s="5" t="s">
        <v>840</v>
      </c>
      <c r="F83" s="5" t="s">
        <v>55</v>
      </c>
      <c r="G83" s="8"/>
      <c r="H83" s="8"/>
      <c r="I83" s="5">
        <v>75</v>
      </c>
      <c r="J83" s="499">
        <v>270</v>
      </c>
      <c r="K83" s="500"/>
      <c r="L83" s="500"/>
      <c r="M83" s="18">
        <f t="shared" si="4"/>
        <v>4109.2000000000007</v>
      </c>
    </row>
    <row r="84" spans="4:13">
      <c r="D84" s="112">
        <f t="shared" si="5"/>
        <v>25</v>
      </c>
      <c r="E84" s="5" t="s">
        <v>164</v>
      </c>
      <c r="F84" s="5" t="s">
        <v>55</v>
      </c>
      <c r="G84" s="8"/>
      <c r="H84" s="8"/>
      <c r="I84" s="5">
        <v>75</v>
      </c>
      <c r="J84" s="499">
        <v>123</v>
      </c>
      <c r="K84" s="500"/>
      <c r="L84" s="500"/>
      <c r="M84" s="18">
        <f t="shared" si="4"/>
        <v>4232.2000000000007</v>
      </c>
    </row>
    <row r="85" spans="4:13">
      <c r="D85" s="112">
        <f t="shared" si="5"/>
        <v>26</v>
      </c>
      <c r="E85" s="5" t="s">
        <v>164</v>
      </c>
      <c r="F85" s="5" t="s">
        <v>835</v>
      </c>
      <c r="G85" s="8"/>
      <c r="H85" s="8"/>
      <c r="I85" s="5">
        <v>75</v>
      </c>
      <c r="J85" s="499">
        <v>190</v>
      </c>
      <c r="K85" s="500"/>
      <c r="L85" s="500"/>
      <c r="M85" s="18">
        <f t="shared" si="4"/>
        <v>4422.2000000000007</v>
      </c>
    </row>
    <row r="86" spans="4:13">
      <c r="D86" s="112">
        <f t="shared" si="5"/>
        <v>27</v>
      </c>
      <c r="E86" s="5" t="s">
        <v>113</v>
      </c>
      <c r="F86" s="5" t="s">
        <v>151</v>
      </c>
      <c r="G86" s="8"/>
      <c r="H86" s="8"/>
      <c r="I86" s="5">
        <v>75</v>
      </c>
      <c r="J86" s="499">
        <v>105.6</v>
      </c>
      <c r="K86" s="500"/>
      <c r="L86" s="500"/>
      <c r="M86" s="18">
        <f t="shared" si="4"/>
        <v>4527.8000000000011</v>
      </c>
    </row>
    <row r="87" spans="4:13">
      <c r="D87" s="112">
        <f t="shared" si="5"/>
        <v>28</v>
      </c>
      <c r="E87" s="5" t="s">
        <v>729</v>
      </c>
      <c r="F87" s="5" t="s">
        <v>723</v>
      </c>
      <c r="G87" s="8"/>
      <c r="H87" s="8"/>
      <c r="I87" s="5">
        <v>75</v>
      </c>
      <c r="J87" s="499">
        <v>117</v>
      </c>
      <c r="K87" s="500"/>
      <c r="L87" s="500"/>
      <c r="M87" s="18">
        <f t="shared" si="4"/>
        <v>4644.8000000000011</v>
      </c>
    </row>
    <row r="88" spans="4:13">
      <c r="D88" s="112">
        <f t="shared" si="5"/>
        <v>29</v>
      </c>
      <c r="E88" s="5" t="s">
        <v>728</v>
      </c>
      <c r="F88" s="5" t="s">
        <v>169</v>
      </c>
      <c r="G88" s="8"/>
      <c r="H88" s="8"/>
      <c r="I88" s="5">
        <v>75</v>
      </c>
      <c r="J88" s="499">
        <v>291.7</v>
      </c>
      <c r="K88" s="500"/>
      <c r="L88" s="500"/>
      <c r="M88" s="18">
        <f t="shared" si="4"/>
        <v>4936.5000000000009</v>
      </c>
    </row>
    <row r="89" spans="4:13">
      <c r="D89" s="112">
        <f t="shared" si="5"/>
        <v>30</v>
      </c>
      <c r="E89" s="5" t="s">
        <v>827</v>
      </c>
      <c r="F89" s="5" t="s">
        <v>153</v>
      </c>
      <c r="G89" s="8"/>
      <c r="H89" s="8"/>
      <c r="I89" s="18">
        <v>90</v>
      </c>
      <c r="J89" s="499">
        <v>71.099999999999994</v>
      </c>
      <c r="K89" s="500"/>
      <c r="L89" s="500"/>
      <c r="M89" s="18">
        <f t="shared" si="4"/>
        <v>5007.6000000000013</v>
      </c>
    </row>
    <row r="90" spans="4:13">
      <c r="D90" s="112">
        <f t="shared" si="5"/>
        <v>31</v>
      </c>
      <c r="E90" s="5" t="s">
        <v>50</v>
      </c>
      <c r="F90" s="5" t="s">
        <v>1241</v>
      </c>
      <c r="G90" s="8"/>
      <c r="H90" s="8"/>
      <c r="I90" s="18">
        <v>90</v>
      </c>
      <c r="J90" s="499">
        <v>257.2</v>
      </c>
      <c r="K90" s="500"/>
      <c r="L90" s="500"/>
      <c r="M90" s="18">
        <f t="shared" si="4"/>
        <v>5264.8000000000011</v>
      </c>
    </row>
    <row r="91" spans="4:13">
      <c r="D91" s="112">
        <f t="shared" si="5"/>
        <v>32</v>
      </c>
      <c r="E91" s="5" t="s">
        <v>727</v>
      </c>
      <c r="F91" s="5" t="s">
        <v>113</v>
      </c>
      <c r="G91" s="8"/>
      <c r="H91" s="8"/>
      <c r="I91" s="18">
        <v>90</v>
      </c>
      <c r="J91" s="499">
        <v>93.2</v>
      </c>
      <c r="K91" s="500"/>
      <c r="L91" s="500"/>
      <c r="M91" s="18">
        <f t="shared" si="4"/>
        <v>5358.0000000000009</v>
      </c>
    </row>
    <row r="92" spans="4:13">
      <c r="D92" s="112">
        <f t="shared" si="5"/>
        <v>33</v>
      </c>
      <c r="E92" s="5" t="s">
        <v>417</v>
      </c>
      <c r="F92" s="5" t="s">
        <v>403</v>
      </c>
      <c r="G92" s="8"/>
      <c r="H92" s="8"/>
      <c r="I92" s="18">
        <v>90</v>
      </c>
      <c r="J92" s="499">
        <v>62.1</v>
      </c>
      <c r="K92" s="500"/>
      <c r="L92" s="500"/>
      <c r="M92" s="18">
        <f t="shared" si="4"/>
        <v>5420.1000000000013</v>
      </c>
    </row>
    <row r="93" spans="4:13">
      <c r="D93" s="112">
        <f t="shared" si="5"/>
        <v>34</v>
      </c>
      <c r="E93" s="18" t="s">
        <v>153</v>
      </c>
      <c r="F93" s="18" t="s">
        <v>925</v>
      </c>
      <c r="G93" s="18"/>
      <c r="H93" s="18"/>
      <c r="I93" s="18">
        <v>110</v>
      </c>
      <c r="J93" s="499">
        <f>382.4-4.5</f>
        <v>377.9</v>
      </c>
      <c r="K93" s="500"/>
      <c r="L93" s="500"/>
      <c r="M93" s="18">
        <f t="shared" si="4"/>
        <v>5798.0000000000009</v>
      </c>
    </row>
    <row r="94" spans="4:13">
      <c r="D94" s="112">
        <f t="shared" si="5"/>
        <v>35</v>
      </c>
      <c r="E94" s="18" t="s">
        <v>153</v>
      </c>
      <c r="F94" s="18" t="s">
        <v>925</v>
      </c>
      <c r="G94" s="18" t="s">
        <v>199</v>
      </c>
      <c r="H94" s="18">
        <v>0.44</v>
      </c>
      <c r="I94" s="18">
        <v>110</v>
      </c>
      <c r="J94" s="499">
        <v>4.5</v>
      </c>
      <c r="K94" s="500"/>
      <c r="L94" s="501"/>
      <c r="M94" s="18">
        <f t="shared" si="4"/>
        <v>5802.5000000000009</v>
      </c>
    </row>
    <row r="95" spans="4:13">
      <c r="D95" s="112">
        <f t="shared" si="5"/>
        <v>36</v>
      </c>
      <c r="E95" s="18" t="s">
        <v>925</v>
      </c>
      <c r="F95" s="18" t="s">
        <v>123</v>
      </c>
      <c r="G95" s="18"/>
      <c r="H95" s="18"/>
      <c r="I95" s="18">
        <v>110</v>
      </c>
      <c r="J95" s="499">
        <v>43</v>
      </c>
      <c r="K95" s="500"/>
      <c r="L95" s="500"/>
      <c r="M95" s="18">
        <f t="shared" si="4"/>
        <v>5845.5000000000009</v>
      </c>
    </row>
    <row r="96" spans="4:13">
      <c r="D96" s="112">
        <f t="shared" si="5"/>
        <v>37</v>
      </c>
      <c r="E96" s="18" t="s">
        <v>925</v>
      </c>
      <c r="F96" s="18" t="s">
        <v>123</v>
      </c>
      <c r="G96" s="18" t="s">
        <v>457</v>
      </c>
      <c r="H96" s="18">
        <v>0.44</v>
      </c>
      <c r="I96" s="18">
        <v>110</v>
      </c>
      <c r="J96" s="499">
        <v>5</v>
      </c>
      <c r="K96" s="500"/>
      <c r="L96" s="501"/>
      <c r="M96" s="18">
        <f t="shared" si="4"/>
        <v>5850.5000000000009</v>
      </c>
    </row>
    <row r="97" spans="4:13">
      <c r="D97" s="112">
        <f t="shared" si="5"/>
        <v>38</v>
      </c>
      <c r="E97" s="18" t="s">
        <v>123</v>
      </c>
      <c r="F97" s="18" t="s">
        <v>50</v>
      </c>
      <c r="G97" s="18"/>
      <c r="H97" s="18"/>
      <c r="I97" s="18">
        <v>110</v>
      </c>
      <c r="J97" s="499">
        <f>467.2-J98</f>
        <v>463.7</v>
      </c>
      <c r="K97" s="500"/>
      <c r="L97" s="500"/>
      <c r="M97" s="18">
        <f t="shared" si="4"/>
        <v>6314.2000000000007</v>
      </c>
    </row>
    <row r="98" spans="4:13">
      <c r="D98" s="112">
        <f t="shared" si="5"/>
        <v>39</v>
      </c>
      <c r="E98" s="18" t="s">
        <v>123</v>
      </c>
      <c r="F98" s="18" t="s">
        <v>50</v>
      </c>
      <c r="G98" s="18" t="s">
        <v>457</v>
      </c>
      <c r="H98" s="18">
        <v>0.44</v>
      </c>
      <c r="I98" s="18">
        <v>110</v>
      </c>
      <c r="J98" s="499">
        <v>3.5</v>
      </c>
      <c r="K98" s="500"/>
      <c r="L98" s="501"/>
      <c r="M98" s="18">
        <f t="shared" si="4"/>
        <v>6317.7000000000007</v>
      </c>
    </row>
    <row r="99" spans="4:13">
      <c r="D99" s="112">
        <f t="shared" si="5"/>
        <v>40</v>
      </c>
      <c r="E99" s="5" t="s">
        <v>140</v>
      </c>
      <c r="F99" s="5" t="s">
        <v>123</v>
      </c>
      <c r="G99" s="5"/>
      <c r="H99" s="5"/>
      <c r="I99" s="5">
        <v>110</v>
      </c>
      <c r="J99" s="499">
        <v>315</v>
      </c>
      <c r="K99" s="500"/>
      <c r="L99" s="500"/>
      <c r="M99" s="18">
        <f t="shared" si="4"/>
        <v>6632.7000000000007</v>
      </c>
    </row>
    <row r="100" spans="4:13">
      <c r="D100" s="112">
        <f t="shared" si="5"/>
        <v>41</v>
      </c>
      <c r="E100" s="5" t="s">
        <v>925</v>
      </c>
      <c r="F100" s="5" t="s">
        <v>836</v>
      </c>
      <c r="G100" s="5"/>
      <c r="H100" s="5"/>
      <c r="I100" s="5">
        <v>110</v>
      </c>
      <c r="J100" s="499">
        <v>51.3</v>
      </c>
      <c r="K100" s="500"/>
      <c r="L100" s="500"/>
      <c r="M100" s="18">
        <f t="shared" si="4"/>
        <v>6684.0000000000009</v>
      </c>
    </row>
    <row r="101" spans="4:13">
      <c r="D101" s="112">
        <f t="shared" si="5"/>
        <v>42</v>
      </c>
      <c r="E101" s="5" t="s">
        <v>403</v>
      </c>
      <c r="F101" s="5" t="s">
        <v>282</v>
      </c>
      <c r="G101" s="5"/>
      <c r="H101" s="5"/>
      <c r="I101" s="5">
        <v>110</v>
      </c>
      <c r="J101" s="499">
        <v>226.2</v>
      </c>
      <c r="K101" s="500"/>
      <c r="L101" s="500"/>
      <c r="M101" s="18">
        <f t="shared" si="4"/>
        <v>6910.2000000000007</v>
      </c>
    </row>
    <row r="102" spans="4:13">
      <c r="D102" s="112">
        <f t="shared" si="5"/>
        <v>43</v>
      </c>
      <c r="E102" s="5" t="s">
        <v>316</v>
      </c>
      <c r="F102" s="5" t="s">
        <v>248</v>
      </c>
      <c r="G102" s="5"/>
      <c r="H102" s="5"/>
      <c r="I102" s="5">
        <v>110</v>
      </c>
      <c r="J102" s="499">
        <v>100</v>
      </c>
      <c r="K102" s="500"/>
      <c r="L102" s="501"/>
      <c r="M102" s="18">
        <f t="shared" si="4"/>
        <v>7010.2000000000007</v>
      </c>
    </row>
    <row r="103" spans="4:13">
      <c r="D103" s="112">
        <f t="shared" si="5"/>
        <v>44</v>
      </c>
      <c r="E103" s="5" t="s">
        <v>248</v>
      </c>
      <c r="F103" s="5" t="s">
        <v>255</v>
      </c>
      <c r="G103" s="5"/>
      <c r="H103" s="5"/>
      <c r="I103" s="5">
        <v>110</v>
      </c>
      <c r="J103" s="499">
        <v>150</v>
      </c>
      <c r="K103" s="500"/>
      <c r="L103" s="501"/>
      <c r="M103" s="18">
        <f t="shared" si="4"/>
        <v>7160.2000000000007</v>
      </c>
    </row>
    <row r="104" spans="4:13">
      <c r="D104" s="112">
        <f t="shared" si="5"/>
        <v>45</v>
      </c>
      <c r="E104" s="18" t="s">
        <v>143</v>
      </c>
      <c r="F104" s="18" t="s">
        <v>1242</v>
      </c>
      <c r="G104" s="18"/>
      <c r="H104" s="18"/>
      <c r="I104" s="18">
        <v>140</v>
      </c>
      <c r="J104" s="670">
        <v>117.8</v>
      </c>
      <c r="K104" s="612"/>
      <c r="L104" s="612"/>
      <c r="M104" s="18">
        <f t="shared" si="4"/>
        <v>7278.0000000000009</v>
      </c>
    </row>
    <row r="105" spans="4:13">
      <c r="D105" s="112">
        <f t="shared" si="5"/>
        <v>46</v>
      </c>
      <c r="E105" s="18" t="s">
        <v>1242</v>
      </c>
      <c r="F105" s="18" t="s">
        <v>727</v>
      </c>
      <c r="G105" s="18"/>
      <c r="H105" s="18"/>
      <c r="I105" s="18">
        <v>140</v>
      </c>
      <c r="J105" s="670">
        <v>26.3</v>
      </c>
      <c r="K105" s="612"/>
      <c r="L105" s="612"/>
      <c r="M105" s="18">
        <f t="shared" si="4"/>
        <v>7304.3000000000011</v>
      </c>
    </row>
    <row r="106" spans="4:13">
      <c r="D106" s="112">
        <f t="shared" si="5"/>
        <v>47</v>
      </c>
      <c r="E106" s="5" t="s">
        <v>63</v>
      </c>
      <c r="F106" s="5" t="s">
        <v>728</v>
      </c>
      <c r="G106" s="5"/>
      <c r="H106" s="5"/>
      <c r="I106" s="5">
        <v>140</v>
      </c>
      <c r="J106" s="499">
        <v>580.20000000000005</v>
      </c>
      <c r="K106" s="500"/>
      <c r="L106" s="500"/>
      <c r="M106" s="18">
        <f t="shared" si="4"/>
        <v>7884.5000000000009</v>
      </c>
    </row>
    <row r="107" spans="4:13">
      <c r="D107" s="112">
        <f t="shared" si="5"/>
        <v>48</v>
      </c>
      <c r="E107" s="5" t="s">
        <v>722</v>
      </c>
      <c r="F107" s="5" t="s">
        <v>1238</v>
      </c>
      <c r="G107" s="5"/>
      <c r="H107" s="5"/>
      <c r="I107" s="5">
        <v>140</v>
      </c>
      <c r="J107" s="499">
        <v>582.9</v>
      </c>
      <c r="K107" s="500"/>
      <c r="L107" s="500"/>
      <c r="M107" s="18">
        <f t="shared" si="4"/>
        <v>8467.4000000000015</v>
      </c>
    </row>
    <row r="108" spans="4:13">
      <c r="D108" s="112">
        <f t="shared" si="5"/>
        <v>49</v>
      </c>
      <c r="E108" s="5" t="s">
        <v>1238</v>
      </c>
      <c r="F108" s="5" t="s">
        <v>115</v>
      </c>
      <c r="G108" s="5"/>
      <c r="H108" s="5"/>
      <c r="I108" s="5">
        <v>140</v>
      </c>
      <c r="J108" s="499">
        <f>225.6+155</f>
        <v>380.6</v>
      </c>
      <c r="K108" s="500"/>
      <c r="L108" s="500"/>
      <c r="M108" s="18">
        <f t="shared" si="4"/>
        <v>8848.0000000000018</v>
      </c>
    </row>
    <row r="109" spans="4:13">
      <c r="D109" s="112">
        <f t="shared" si="5"/>
        <v>50</v>
      </c>
      <c r="E109" s="5" t="s">
        <v>364</v>
      </c>
      <c r="F109" s="5" t="s">
        <v>116</v>
      </c>
      <c r="G109" s="5"/>
      <c r="H109" s="5"/>
      <c r="I109" s="5">
        <v>140</v>
      </c>
      <c r="J109" s="499">
        <v>106.9</v>
      </c>
      <c r="K109" s="500"/>
      <c r="L109" s="500"/>
      <c r="M109" s="18">
        <f t="shared" si="4"/>
        <v>8954.9000000000015</v>
      </c>
    </row>
    <row r="110" spans="4:13">
      <c r="D110" s="112">
        <f t="shared" si="5"/>
        <v>51</v>
      </c>
      <c r="E110" s="5" t="s">
        <v>1245</v>
      </c>
      <c r="F110" s="5" t="s">
        <v>556</v>
      </c>
      <c r="G110" s="5"/>
      <c r="H110" s="5"/>
      <c r="I110" s="5">
        <v>140</v>
      </c>
      <c r="J110" s="499">
        <v>180</v>
      </c>
      <c r="K110" s="500"/>
      <c r="L110" s="501"/>
      <c r="M110" s="18">
        <f t="shared" si="4"/>
        <v>9134.9000000000015</v>
      </c>
    </row>
    <row r="111" spans="4:13">
      <c r="D111" s="112">
        <f t="shared" si="5"/>
        <v>52</v>
      </c>
      <c r="E111" s="5" t="s">
        <v>1245</v>
      </c>
      <c r="F111" s="5" t="s">
        <v>700</v>
      </c>
      <c r="G111" s="5"/>
      <c r="H111" s="5"/>
      <c r="I111" s="5">
        <v>140</v>
      </c>
      <c r="J111" s="499">
        <v>15</v>
      </c>
      <c r="K111" s="500"/>
      <c r="L111" s="501"/>
      <c r="M111" s="18">
        <f t="shared" si="4"/>
        <v>9149.9000000000015</v>
      </c>
    </row>
    <row r="112" spans="4:13">
      <c r="D112" s="112">
        <f t="shared" si="5"/>
        <v>53</v>
      </c>
      <c r="E112" s="5" t="s">
        <v>568</v>
      </c>
      <c r="F112" s="5" t="s">
        <v>612</v>
      </c>
      <c r="G112" s="5"/>
      <c r="H112" s="5"/>
      <c r="I112" s="5">
        <v>140</v>
      </c>
      <c r="J112" s="499">
        <v>156</v>
      </c>
      <c r="K112" s="500"/>
      <c r="L112" s="501"/>
      <c r="M112" s="18">
        <f t="shared" si="4"/>
        <v>9305.9000000000015</v>
      </c>
    </row>
    <row r="113" spans="4:13">
      <c r="D113" s="112">
        <f t="shared" si="5"/>
        <v>54</v>
      </c>
      <c r="E113" s="5" t="s">
        <v>544</v>
      </c>
      <c r="F113" s="5" t="s">
        <v>612</v>
      </c>
      <c r="G113" s="5"/>
      <c r="H113" s="5"/>
      <c r="I113" s="5">
        <v>140</v>
      </c>
      <c r="J113" s="499">
        <v>120</v>
      </c>
      <c r="K113" s="500"/>
      <c r="L113" s="501"/>
      <c r="M113" s="18">
        <f t="shared" si="4"/>
        <v>9425.9000000000015</v>
      </c>
    </row>
    <row r="114" spans="4:13">
      <c r="D114" s="112">
        <f t="shared" si="5"/>
        <v>55</v>
      </c>
      <c r="E114" s="5" t="s">
        <v>262</v>
      </c>
      <c r="F114" s="5" t="s">
        <v>412</v>
      </c>
      <c r="G114" s="5"/>
      <c r="H114" s="5"/>
      <c r="I114" s="5">
        <v>140</v>
      </c>
      <c r="J114" s="499">
        <v>200</v>
      </c>
      <c r="K114" s="500"/>
      <c r="L114" s="501"/>
      <c r="M114" s="18">
        <f t="shared" si="4"/>
        <v>9625.9000000000015</v>
      </c>
    </row>
    <row r="115" spans="4:13">
      <c r="D115" s="112">
        <f t="shared" si="5"/>
        <v>56</v>
      </c>
      <c r="E115" s="5" t="s">
        <v>727</v>
      </c>
      <c r="F115" s="5" t="s">
        <v>122</v>
      </c>
      <c r="G115" s="8"/>
      <c r="H115" s="8"/>
      <c r="I115" s="5">
        <v>160</v>
      </c>
      <c r="J115" s="499">
        <v>141.30000000000001</v>
      </c>
      <c r="K115" s="500"/>
      <c r="L115" s="500"/>
      <c r="M115" s="18">
        <f t="shared" si="4"/>
        <v>9767.2000000000007</v>
      </c>
    </row>
    <row r="116" spans="4:13">
      <c r="D116" s="112">
        <f t="shared" si="5"/>
        <v>57</v>
      </c>
      <c r="E116" s="5" t="s">
        <v>122</v>
      </c>
      <c r="F116" s="5" t="s">
        <v>63</v>
      </c>
      <c r="G116" s="8"/>
      <c r="H116" s="8"/>
      <c r="I116" s="5">
        <v>160</v>
      </c>
      <c r="J116" s="499">
        <v>322.39999999999998</v>
      </c>
      <c r="K116" s="500"/>
      <c r="L116" s="500"/>
      <c r="M116" s="18">
        <f t="shared" si="4"/>
        <v>10089.6</v>
      </c>
    </row>
    <row r="117" spans="4:13">
      <c r="D117" s="112">
        <f t="shared" si="5"/>
        <v>58</v>
      </c>
      <c r="E117" s="5" t="s">
        <v>43</v>
      </c>
      <c r="F117" s="5" t="s">
        <v>44</v>
      </c>
      <c r="G117" s="8"/>
      <c r="H117" s="8"/>
      <c r="I117" s="76">
        <v>160</v>
      </c>
      <c r="J117" s="499">
        <v>12</v>
      </c>
      <c r="K117" s="500"/>
      <c r="L117" s="500"/>
      <c r="M117" s="18">
        <f t="shared" si="4"/>
        <v>10101.6</v>
      </c>
    </row>
    <row r="118" spans="4:13">
      <c r="D118" s="112">
        <f t="shared" si="5"/>
        <v>59</v>
      </c>
      <c r="E118" s="5" t="s">
        <v>225</v>
      </c>
      <c r="F118" s="5" t="s">
        <v>701</v>
      </c>
      <c r="G118" s="8"/>
      <c r="H118" s="8"/>
      <c r="I118" s="76">
        <v>160</v>
      </c>
      <c r="J118" s="656">
        <v>62</v>
      </c>
      <c r="K118" s="657"/>
      <c r="L118" s="657"/>
      <c r="M118" s="18">
        <f t="shared" si="4"/>
        <v>10163.6</v>
      </c>
    </row>
    <row r="119" spans="4:13">
      <c r="D119" s="112">
        <f t="shared" si="5"/>
        <v>60</v>
      </c>
      <c r="E119" s="5" t="s">
        <v>701</v>
      </c>
      <c r="F119" s="5" t="s">
        <v>698</v>
      </c>
      <c r="G119" s="8"/>
      <c r="H119" s="8"/>
      <c r="I119" s="76">
        <v>160</v>
      </c>
      <c r="J119" s="656">
        <v>18</v>
      </c>
      <c r="K119" s="657"/>
      <c r="L119" s="657"/>
      <c r="M119" s="18">
        <f t="shared" si="4"/>
        <v>10181.6</v>
      </c>
    </row>
    <row r="120" spans="4:13">
      <c r="D120" s="112">
        <f t="shared" si="5"/>
        <v>61</v>
      </c>
      <c r="E120" s="5" t="s">
        <v>698</v>
      </c>
      <c r="F120" s="5" t="s">
        <v>554</v>
      </c>
      <c r="G120" s="8"/>
      <c r="H120" s="8"/>
      <c r="I120" s="76">
        <v>160</v>
      </c>
      <c r="J120" s="656">
        <v>202</v>
      </c>
      <c r="K120" s="657"/>
      <c r="L120" s="657"/>
      <c r="M120" s="18">
        <f t="shared" si="4"/>
        <v>10383.6</v>
      </c>
    </row>
    <row r="121" spans="4:13">
      <c r="D121" s="112">
        <f t="shared" si="5"/>
        <v>62</v>
      </c>
      <c r="E121" s="5" t="s">
        <v>554</v>
      </c>
      <c r="F121" s="5" t="s">
        <v>1246</v>
      </c>
      <c r="G121" s="8"/>
      <c r="H121" s="8"/>
      <c r="I121" s="76">
        <v>160</v>
      </c>
      <c r="J121" s="656">
        <v>44</v>
      </c>
      <c r="K121" s="657"/>
      <c r="L121" s="657"/>
      <c r="M121" s="18">
        <f t="shared" si="4"/>
        <v>10427.6</v>
      </c>
    </row>
    <row r="122" spans="4:13">
      <c r="D122" s="112">
        <f t="shared" si="5"/>
        <v>63</v>
      </c>
      <c r="E122" s="5" t="s">
        <v>1246</v>
      </c>
      <c r="F122" s="5" t="s">
        <v>1244</v>
      </c>
      <c r="G122" s="8"/>
      <c r="H122" s="8"/>
      <c r="I122" s="5">
        <v>160</v>
      </c>
      <c r="J122" s="498">
        <v>38</v>
      </c>
      <c r="K122" s="498"/>
      <c r="L122" s="498"/>
      <c r="M122" s="18">
        <f t="shared" si="4"/>
        <v>10465.6</v>
      </c>
    </row>
    <row r="123" spans="4:13">
      <c r="D123" s="18">
        <f t="shared" si="5"/>
        <v>64</v>
      </c>
      <c r="E123" s="5" t="s">
        <v>554</v>
      </c>
      <c r="F123" s="5" t="s">
        <v>1245</v>
      </c>
      <c r="G123" s="8"/>
      <c r="H123" s="8"/>
      <c r="I123" s="5">
        <v>160</v>
      </c>
      <c r="J123" s="498">
        <v>47</v>
      </c>
      <c r="K123" s="498"/>
      <c r="L123" s="498"/>
      <c r="M123" s="18">
        <f t="shared" si="4"/>
        <v>10512.6</v>
      </c>
    </row>
    <row r="124" spans="4:13">
      <c r="D124" s="96"/>
    </row>
    <row r="125" spans="4:13">
      <c r="D125" s="96"/>
    </row>
    <row r="126" spans="4:13">
      <c r="D126" s="96"/>
    </row>
    <row r="127" spans="4:13">
      <c r="D127" s="96"/>
      <c r="F127" s="8">
        <v>63</v>
      </c>
      <c r="G127" s="8">
        <v>75</v>
      </c>
      <c r="H127" s="8">
        <v>90</v>
      </c>
      <c r="I127" s="8">
        <v>110</v>
      </c>
      <c r="J127" s="8">
        <v>140</v>
      </c>
      <c r="K127" s="8">
        <v>160</v>
      </c>
      <c r="L127" s="8"/>
      <c r="M127" s="8"/>
    </row>
    <row r="128" spans="4:13">
      <c r="D128" s="96"/>
      <c r="F128" s="8">
        <f>+SUMIF($I$60:$I$123,F127,$J$60:$L$123)</f>
        <v>3008.2</v>
      </c>
      <c r="G128" s="8">
        <f t="shared" ref="G128:K128" si="6">+SUMIF($I$60:$I$123,G127,$J$60:$L$123)</f>
        <v>1928.3</v>
      </c>
      <c r="H128" s="8">
        <f t="shared" si="6"/>
        <v>483.59999999999997</v>
      </c>
      <c r="I128" s="8">
        <f t="shared" si="6"/>
        <v>1740.1</v>
      </c>
      <c r="J128" s="8">
        <f t="shared" si="6"/>
        <v>2465.7000000000003</v>
      </c>
      <c r="K128" s="8">
        <f t="shared" si="6"/>
        <v>886.7</v>
      </c>
      <c r="L128" s="8"/>
      <c r="M128" s="8">
        <f>+F128+G128+H128+I128+J128+K128</f>
        <v>10512.600000000002</v>
      </c>
    </row>
    <row r="129" spans="4:13" ht="21">
      <c r="D129" s="96"/>
      <c r="F129" s="122">
        <f>2595+2059</f>
        <v>4654</v>
      </c>
      <c r="G129" s="122">
        <f>2479+755</f>
        <v>3234</v>
      </c>
      <c r="H129" s="122">
        <f>905+962</f>
        <v>1867</v>
      </c>
      <c r="I129" s="122">
        <f>1570+627</f>
        <v>2197</v>
      </c>
      <c r="J129" s="122">
        <f>1944+1269</f>
        <v>3213</v>
      </c>
      <c r="K129" s="122">
        <f>522+350</f>
        <v>872</v>
      </c>
      <c r="L129" s="8"/>
      <c r="M129" s="122">
        <f>+SUM(F129:K129)</f>
        <v>16037</v>
      </c>
    </row>
    <row r="130" spans="4:13">
      <c r="D130" s="96"/>
    </row>
    <row r="131" spans="4:13">
      <c r="D131" s="96"/>
    </row>
    <row r="132" spans="4:13">
      <c r="D132" s="96"/>
    </row>
    <row r="133" spans="4:13">
      <c r="D133" s="96"/>
    </row>
    <row r="134" spans="4:13">
      <c r="D134" s="96"/>
    </row>
    <row r="135" spans="4:13">
      <c r="D135" s="96"/>
    </row>
    <row r="136" spans="4:13">
      <c r="D136" s="96"/>
    </row>
    <row r="137" spans="4:13">
      <c r="D137" s="96"/>
    </row>
    <row r="138" spans="4:13">
      <c r="D138" s="96"/>
    </row>
    <row r="139" spans="4:13">
      <c r="D139" s="96"/>
    </row>
    <row r="140" spans="4:13">
      <c r="D140" s="96"/>
    </row>
    <row r="141" spans="4:13">
      <c r="D141" s="96"/>
    </row>
    <row r="142" spans="4:13">
      <c r="D142" s="96"/>
    </row>
    <row r="143" spans="4:13">
      <c r="D143" s="96"/>
    </row>
  </sheetData>
  <autoFilter ref="B3:S48">
    <filterColumn colId="3">
      <filters blank="1"/>
    </filterColumn>
    <filterColumn colId="6" showButton="0"/>
    <filterColumn colId="7" showButton="0"/>
    <filterColumn colId="10" showButton="0"/>
  </autoFilter>
  <mergeCells count="165">
    <mergeCell ref="B2:K2"/>
    <mergeCell ref="H3:J3"/>
    <mergeCell ref="H4:J4"/>
    <mergeCell ref="L4:M4"/>
    <mergeCell ref="H5:J5"/>
    <mergeCell ref="L5:M5"/>
    <mergeCell ref="H6:J6"/>
    <mergeCell ref="L6:M6"/>
    <mergeCell ref="H7:J7"/>
    <mergeCell ref="L7:M7"/>
    <mergeCell ref="H8:J8"/>
    <mergeCell ref="L8:M8"/>
    <mergeCell ref="H9:J9"/>
    <mergeCell ref="L9:M9"/>
    <mergeCell ref="H10:J10"/>
    <mergeCell ref="L10:M10"/>
    <mergeCell ref="H11:J11"/>
    <mergeCell ref="L11:M11"/>
    <mergeCell ref="H12:J12"/>
    <mergeCell ref="L12:M12"/>
    <mergeCell ref="H13:J13"/>
    <mergeCell ref="L13:M13"/>
    <mergeCell ref="H14:J14"/>
    <mergeCell ref="L14:M14"/>
    <mergeCell ref="H15:J15"/>
    <mergeCell ref="L15:M15"/>
    <mergeCell ref="H16:J16"/>
    <mergeCell ref="L16:M16"/>
    <mergeCell ref="H17:J17"/>
    <mergeCell ref="L17:M17"/>
    <mergeCell ref="H18:J18"/>
    <mergeCell ref="L18:M18"/>
    <mergeCell ref="H19:J19"/>
    <mergeCell ref="L19:M19"/>
    <mergeCell ref="H20:J20"/>
    <mergeCell ref="L20:M20"/>
    <mergeCell ref="H21:J21"/>
    <mergeCell ref="L21:M21"/>
    <mergeCell ref="H22:J22"/>
    <mergeCell ref="L22:M22"/>
    <mergeCell ref="H23:J23"/>
    <mergeCell ref="L23:M23"/>
    <mergeCell ref="H24:J24"/>
    <mergeCell ref="L24:M24"/>
    <mergeCell ref="H25:J25"/>
    <mergeCell ref="L25:M25"/>
    <mergeCell ref="H26:J26"/>
    <mergeCell ref="L26:M26"/>
    <mergeCell ref="H27:J27"/>
    <mergeCell ref="L27:M27"/>
    <mergeCell ref="H28:J28"/>
    <mergeCell ref="L28:M28"/>
    <mergeCell ref="H29:J29"/>
    <mergeCell ref="L29:M29"/>
    <mergeCell ref="H30:J30"/>
    <mergeCell ref="L30:M30"/>
    <mergeCell ref="H31:J31"/>
    <mergeCell ref="L31:M31"/>
    <mergeCell ref="H32:J32"/>
    <mergeCell ref="H33:J33"/>
    <mergeCell ref="L33:M33"/>
    <mergeCell ref="H34:J34"/>
    <mergeCell ref="H35:J35"/>
    <mergeCell ref="L35:M35"/>
    <mergeCell ref="H36:J36"/>
    <mergeCell ref="H37:J37"/>
    <mergeCell ref="L37:M37"/>
    <mergeCell ref="H38:J38"/>
    <mergeCell ref="L38:M38"/>
    <mergeCell ref="H39:J39"/>
    <mergeCell ref="L39:M39"/>
    <mergeCell ref="H40:J40"/>
    <mergeCell ref="L40:M40"/>
    <mergeCell ref="H41:J41"/>
    <mergeCell ref="L41:M41"/>
    <mergeCell ref="H42:J42"/>
    <mergeCell ref="L42:M42"/>
    <mergeCell ref="H43:J43"/>
    <mergeCell ref="L43:M43"/>
    <mergeCell ref="H44:J44"/>
    <mergeCell ref="L44:M44"/>
    <mergeCell ref="H45:J45"/>
    <mergeCell ref="L45:M45"/>
    <mergeCell ref="H46:J46"/>
    <mergeCell ref="L46:M46"/>
    <mergeCell ref="H47:J47"/>
    <mergeCell ref="L47:M47"/>
    <mergeCell ref="H48:J48"/>
    <mergeCell ref="L48:M48"/>
    <mergeCell ref="H49:J49"/>
    <mergeCell ref="L49:M49"/>
    <mergeCell ref="H50:J50"/>
    <mergeCell ref="L50:M50"/>
    <mergeCell ref="H51:J51"/>
    <mergeCell ref="L51:M51"/>
    <mergeCell ref="H52:J52"/>
    <mergeCell ref="L52:M52"/>
    <mergeCell ref="D58:M58"/>
    <mergeCell ref="J59:L59"/>
    <mergeCell ref="J60:L60"/>
    <mergeCell ref="J61:L61"/>
    <mergeCell ref="J62:L62"/>
    <mergeCell ref="J63:L63"/>
    <mergeCell ref="J64:L64"/>
    <mergeCell ref="J65:L65"/>
    <mergeCell ref="J66:L66"/>
    <mergeCell ref="J67:L67"/>
    <mergeCell ref="J68:L68"/>
    <mergeCell ref="J69:L69"/>
    <mergeCell ref="J70:L70"/>
    <mergeCell ref="J71:L71"/>
    <mergeCell ref="J72:L72"/>
    <mergeCell ref="J73:L73"/>
    <mergeCell ref="J74:L74"/>
    <mergeCell ref="J75:L75"/>
    <mergeCell ref="J76:L76"/>
    <mergeCell ref="J77:L77"/>
    <mergeCell ref="J78:L78"/>
    <mergeCell ref="J79:L79"/>
    <mergeCell ref="J80:L80"/>
    <mergeCell ref="J81:L81"/>
    <mergeCell ref="J82:L82"/>
    <mergeCell ref="J83:L83"/>
    <mergeCell ref="J84:L84"/>
    <mergeCell ref="J85:L85"/>
    <mergeCell ref="J97:L97"/>
    <mergeCell ref="J98:L98"/>
    <mergeCell ref="J99:L99"/>
    <mergeCell ref="J100:L100"/>
    <mergeCell ref="J101:L101"/>
    <mergeCell ref="J102:L102"/>
    <mergeCell ref="J103:L103"/>
    <mergeCell ref="J86:L86"/>
    <mergeCell ref="J87:L87"/>
    <mergeCell ref="J88:L88"/>
    <mergeCell ref="J89:L89"/>
    <mergeCell ref="J90:L90"/>
    <mergeCell ref="J91:L91"/>
    <mergeCell ref="J92:L92"/>
    <mergeCell ref="J93:L93"/>
    <mergeCell ref="J94:L94"/>
    <mergeCell ref="J122:L122"/>
    <mergeCell ref="J123:L123"/>
    <mergeCell ref="L2:M3"/>
    <mergeCell ref="N58:O59"/>
    <mergeCell ref="J113:L113"/>
    <mergeCell ref="J114:L114"/>
    <mergeCell ref="J115:L115"/>
    <mergeCell ref="J116:L116"/>
    <mergeCell ref="J117:L117"/>
    <mergeCell ref="J118:L118"/>
    <mergeCell ref="J119:L119"/>
    <mergeCell ref="J120:L120"/>
    <mergeCell ref="J121:L121"/>
    <mergeCell ref="J104:L104"/>
    <mergeCell ref="J105:L105"/>
    <mergeCell ref="J106:L106"/>
    <mergeCell ref="J107:L107"/>
    <mergeCell ref="J108:L108"/>
    <mergeCell ref="J109:L109"/>
    <mergeCell ref="J110:L110"/>
    <mergeCell ref="J111:L111"/>
    <mergeCell ref="J112:L112"/>
    <mergeCell ref="J95:L95"/>
    <mergeCell ref="J96:L96"/>
  </mergeCells>
  <printOptions horizontalCentered="1"/>
  <pageMargins left="0" right="0" top="0.74803149606299202" bottom="0.74803149606299202" header="0.31496062992126" footer="0.31496062992126"/>
  <pageSetup paperSize="9" fitToHeight="0" orientation="landscape" horizontalDpi="300" verticalDpi="300"/>
  <colBreaks count="1" manualBreakCount="1">
    <brk id="13"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V349"/>
  <sheetViews>
    <sheetView topLeftCell="A25" zoomScale="85" zoomScaleNormal="85" workbookViewId="0">
      <selection activeCell="K47" sqref="K47"/>
    </sheetView>
  </sheetViews>
  <sheetFormatPr defaultColWidth="9" defaultRowHeight="15"/>
  <cols>
    <col min="3" max="3" width="13.7109375" customWidth="1"/>
    <col min="4" max="4" width="12.140625" customWidth="1"/>
    <col min="5" max="5" width="16" customWidth="1"/>
    <col min="6" max="6" width="12.5703125" customWidth="1"/>
    <col min="7" max="7" width="13.5703125" customWidth="1"/>
    <col min="8" max="8" width="13.140625" customWidth="1"/>
    <col min="9" max="9" width="11.85546875" customWidth="1"/>
    <col min="10" max="10" width="18.42578125" customWidth="1"/>
    <col min="11" max="11" width="23.7109375" customWidth="1"/>
    <col min="12" max="12" width="4.7109375" customWidth="1"/>
    <col min="13" max="14" width="17.7109375" customWidth="1"/>
    <col min="15" max="15" width="31.140625" customWidth="1"/>
    <col min="16" max="16" width="11.28515625" customWidth="1"/>
  </cols>
  <sheetData>
    <row r="3" spans="2:17" ht="18.75">
      <c r="B3" s="502" t="s">
        <v>1247</v>
      </c>
      <c r="C3" s="646"/>
      <c r="D3" s="646"/>
      <c r="E3" s="646"/>
      <c r="F3" s="646"/>
      <c r="G3" s="646"/>
      <c r="H3" s="646"/>
      <c r="I3" s="646"/>
      <c r="J3" s="610" t="s">
        <v>679</v>
      </c>
    </row>
    <row r="4" spans="2:17" ht="72.75" customHeight="1">
      <c r="B4" s="25" t="s">
        <v>448</v>
      </c>
      <c r="C4" s="25" t="s">
        <v>180</v>
      </c>
      <c r="D4" s="25" t="s">
        <v>13</v>
      </c>
      <c r="E4" s="25" t="s">
        <v>181</v>
      </c>
      <c r="F4" s="27" t="s">
        <v>449</v>
      </c>
      <c r="G4" s="25" t="s">
        <v>719</v>
      </c>
      <c r="H4" s="26" t="s">
        <v>1248</v>
      </c>
      <c r="I4" s="26" t="s">
        <v>185</v>
      </c>
      <c r="J4" s="610"/>
    </row>
    <row r="5" spans="2:17">
      <c r="B5" s="5">
        <v>1</v>
      </c>
      <c r="C5" s="5" t="s">
        <v>254</v>
      </c>
      <c r="D5" s="5" t="s">
        <v>285</v>
      </c>
      <c r="E5" s="5"/>
      <c r="F5" s="8"/>
      <c r="G5" s="5">
        <v>63</v>
      </c>
      <c r="H5" s="5">
        <v>117.5</v>
      </c>
      <c r="I5" s="18">
        <f>+H5</f>
        <v>117.5</v>
      </c>
      <c r="J5" s="79"/>
    </row>
    <row r="6" spans="2:17">
      <c r="B6" s="5">
        <f>1+B5</f>
        <v>2</v>
      </c>
      <c r="C6" s="5" t="s">
        <v>283</v>
      </c>
      <c r="D6" s="5" t="s">
        <v>254</v>
      </c>
      <c r="E6" s="5"/>
      <c r="F6" s="8"/>
      <c r="G6" s="5">
        <v>63</v>
      </c>
      <c r="H6" s="5">
        <v>178.5</v>
      </c>
      <c r="I6" s="18">
        <f t="shared" ref="I6:I69" si="0">+I5+H6</f>
        <v>296</v>
      </c>
      <c r="J6" s="79"/>
    </row>
    <row r="7" spans="2:17">
      <c r="B7" s="5">
        <f t="shared" ref="B7:B55" si="1">1+B6</f>
        <v>3</v>
      </c>
      <c r="C7" s="5" t="s">
        <v>285</v>
      </c>
      <c r="D7" s="5" t="s">
        <v>319</v>
      </c>
      <c r="E7" s="5"/>
      <c r="F7" s="8"/>
      <c r="G7" s="5">
        <v>63</v>
      </c>
      <c r="H7" s="5">
        <v>188.3</v>
      </c>
      <c r="I7" s="18">
        <f t="shared" si="0"/>
        <v>484.3</v>
      </c>
      <c r="J7" s="79"/>
    </row>
    <row r="8" spans="2:17">
      <c r="B8" s="5">
        <f t="shared" si="1"/>
        <v>4</v>
      </c>
      <c r="C8" s="5" t="s">
        <v>319</v>
      </c>
      <c r="D8" s="5" t="s">
        <v>319</v>
      </c>
      <c r="E8" s="5"/>
      <c r="F8" s="8"/>
      <c r="G8" s="5">
        <v>63</v>
      </c>
      <c r="H8" s="5">
        <v>8</v>
      </c>
      <c r="I8" s="18">
        <f t="shared" si="0"/>
        <v>492.3</v>
      </c>
      <c r="J8" s="79"/>
    </row>
    <row r="9" spans="2:17" ht="18.75">
      <c r="B9" s="5">
        <f t="shared" si="1"/>
        <v>5</v>
      </c>
      <c r="C9" s="5" t="s">
        <v>254</v>
      </c>
      <c r="D9" s="5" t="s">
        <v>260</v>
      </c>
      <c r="E9" s="5"/>
      <c r="F9" s="8"/>
      <c r="G9" s="5">
        <v>63</v>
      </c>
      <c r="H9" s="5">
        <v>2.1</v>
      </c>
      <c r="I9" s="18">
        <f t="shared" si="0"/>
        <v>494.40000000000003</v>
      </c>
      <c r="J9" s="79"/>
      <c r="N9" s="24" t="s">
        <v>740</v>
      </c>
      <c r="O9" s="24"/>
      <c r="P9" s="24"/>
      <c r="Q9" s="5"/>
    </row>
    <row r="10" spans="2:17">
      <c r="B10" s="5">
        <f t="shared" si="1"/>
        <v>6</v>
      </c>
      <c r="C10" s="5" t="s">
        <v>260</v>
      </c>
      <c r="D10" s="5" t="s">
        <v>649</v>
      </c>
      <c r="E10" s="5"/>
      <c r="F10" s="8"/>
      <c r="G10" s="5">
        <v>63</v>
      </c>
      <c r="H10" s="5">
        <v>120</v>
      </c>
      <c r="I10" s="18">
        <f t="shared" si="0"/>
        <v>614.40000000000009</v>
      </c>
      <c r="J10" s="79"/>
    </row>
    <row r="11" spans="2:17">
      <c r="B11" s="5">
        <f t="shared" si="1"/>
        <v>7</v>
      </c>
      <c r="C11" s="5" t="s">
        <v>649</v>
      </c>
      <c r="D11" s="5" t="s">
        <v>259</v>
      </c>
      <c r="E11" s="5"/>
      <c r="F11" s="8"/>
      <c r="G11" s="5">
        <v>63</v>
      </c>
      <c r="H11" s="5">
        <v>125.9</v>
      </c>
      <c r="I11" s="18">
        <f t="shared" si="0"/>
        <v>740.30000000000007</v>
      </c>
      <c r="J11" s="79"/>
      <c r="M11" s="8"/>
      <c r="N11" s="5" t="s">
        <v>199</v>
      </c>
      <c r="O11" s="5" t="s">
        <v>1249</v>
      </c>
      <c r="P11" s="8" t="s">
        <v>193</v>
      </c>
    </row>
    <row r="12" spans="2:17">
      <c r="B12" s="5">
        <f t="shared" si="1"/>
        <v>8</v>
      </c>
      <c r="C12" s="5" t="s">
        <v>259</v>
      </c>
      <c r="D12" s="5" t="s">
        <v>363</v>
      </c>
      <c r="E12" s="5"/>
      <c r="F12" s="8"/>
      <c r="G12" s="5">
        <v>63</v>
      </c>
      <c r="H12" s="5">
        <v>120.5</v>
      </c>
      <c r="I12" s="18">
        <f t="shared" si="0"/>
        <v>860.80000000000007</v>
      </c>
      <c r="J12" s="79"/>
      <c r="M12" s="8"/>
      <c r="N12" s="5">
        <v>93</v>
      </c>
      <c r="O12" s="5">
        <v>39.799999999999997</v>
      </c>
      <c r="P12" s="5">
        <v>6</v>
      </c>
    </row>
    <row r="13" spans="2:17">
      <c r="B13" s="5">
        <f t="shared" si="1"/>
        <v>9</v>
      </c>
      <c r="C13" s="5" t="s">
        <v>260</v>
      </c>
      <c r="D13" s="5" t="s">
        <v>253</v>
      </c>
      <c r="E13" s="5" t="s">
        <v>199</v>
      </c>
      <c r="F13" s="5">
        <v>0.36</v>
      </c>
      <c r="G13" s="5">
        <v>63</v>
      </c>
      <c r="H13" s="5">
        <v>93</v>
      </c>
      <c r="I13" s="18">
        <f t="shared" si="0"/>
        <v>953.80000000000007</v>
      </c>
      <c r="J13" s="79"/>
      <c r="M13" s="8"/>
      <c r="N13" s="5">
        <v>53.4</v>
      </c>
      <c r="O13" s="5">
        <v>33.200000000000003</v>
      </c>
      <c r="P13" s="5">
        <v>4</v>
      </c>
    </row>
    <row r="14" spans="2:17">
      <c r="B14" s="5">
        <f t="shared" si="1"/>
        <v>10</v>
      </c>
      <c r="C14" s="5" t="s">
        <v>253</v>
      </c>
      <c r="D14" s="5" t="s">
        <v>399</v>
      </c>
      <c r="E14" s="5"/>
      <c r="F14" s="8"/>
      <c r="G14" s="5">
        <v>63</v>
      </c>
      <c r="H14" s="5">
        <v>49.9</v>
      </c>
      <c r="I14" s="18">
        <f t="shared" si="0"/>
        <v>1003.7</v>
      </c>
      <c r="J14" s="79"/>
      <c r="M14" s="8"/>
      <c r="N14" s="5">
        <v>64.8</v>
      </c>
      <c r="O14" s="5">
        <v>33.200000000000003</v>
      </c>
      <c r="P14" s="5">
        <v>5</v>
      </c>
    </row>
    <row r="15" spans="2:17">
      <c r="B15" s="5">
        <f t="shared" si="1"/>
        <v>11</v>
      </c>
      <c r="C15" s="5" t="s">
        <v>399</v>
      </c>
      <c r="D15" s="5" t="s">
        <v>625</v>
      </c>
      <c r="E15" s="5"/>
      <c r="F15" s="8"/>
      <c r="G15" s="5">
        <v>63</v>
      </c>
      <c r="H15" s="5">
        <v>37.4</v>
      </c>
      <c r="I15" s="18">
        <f t="shared" si="0"/>
        <v>1041.1000000000001</v>
      </c>
      <c r="J15" s="79"/>
      <c r="M15" s="8"/>
      <c r="N15" s="5">
        <v>287.5</v>
      </c>
      <c r="O15" s="5">
        <v>120.4</v>
      </c>
      <c r="P15" s="5">
        <v>7</v>
      </c>
    </row>
    <row r="16" spans="2:17">
      <c r="B16" s="5">
        <f t="shared" si="1"/>
        <v>12</v>
      </c>
      <c r="C16" s="5" t="s">
        <v>399</v>
      </c>
      <c r="D16" s="5" t="s">
        <v>257</v>
      </c>
      <c r="E16" s="5"/>
      <c r="F16" s="8"/>
      <c r="G16" s="5">
        <v>63</v>
      </c>
      <c r="H16" s="5">
        <v>53</v>
      </c>
      <c r="I16" s="18">
        <f t="shared" si="0"/>
        <v>1094.1000000000001</v>
      </c>
      <c r="J16" s="79"/>
      <c r="M16" s="8"/>
      <c r="N16" s="5">
        <v>88.9</v>
      </c>
      <c r="O16" s="5">
        <v>117.1</v>
      </c>
      <c r="P16" s="5">
        <v>6.2</v>
      </c>
    </row>
    <row r="17" spans="2:16">
      <c r="B17" s="5">
        <f t="shared" si="1"/>
        <v>13</v>
      </c>
      <c r="C17" s="5" t="s">
        <v>257</v>
      </c>
      <c r="D17" s="5" t="s">
        <v>252</v>
      </c>
      <c r="E17" s="5"/>
      <c r="F17" s="8"/>
      <c r="G17" s="5">
        <v>63</v>
      </c>
      <c r="H17" s="5">
        <v>23.8</v>
      </c>
      <c r="I17" s="18">
        <f t="shared" si="0"/>
        <v>1117.9000000000001</v>
      </c>
      <c r="J17" s="79"/>
      <c r="M17" s="8"/>
      <c r="N17" s="5">
        <v>203</v>
      </c>
      <c r="O17" s="5">
        <v>17.399999999999999</v>
      </c>
      <c r="P17" s="5">
        <v>6.4</v>
      </c>
    </row>
    <row r="18" spans="2:16">
      <c r="B18" s="5">
        <f t="shared" si="1"/>
        <v>14</v>
      </c>
      <c r="C18" s="5" t="s">
        <v>252</v>
      </c>
      <c r="D18" s="5" t="s">
        <v>625</v>
      </c>
      <c r="E18" s="5"/>
      <c r="F18" s="8"/>
      <c r="G18" s="5">
        <v>63</v>
      </c>
      <c r="H18" s="5">
        <v>59.9</v>
      </c>
      <c r="I18" s="18">
        <f t="shared" si="0"/>
        <v>1177.8000000000002</v>
      </c>
      <c r="J18" s="79"/>
      <c r="M18" s="8"/>
      <c r="N18" s="5">
        <v>29.9</v>
      </c>
      <c r="O18" s="5">
        <v>44.9</v>
      </c>
      <c r="P18" s="8"/>
    </row>
    <row r="19" spans="2:16">
      <c r="B19" s="5">
        <f t="shared" si="1"/>
        <v>15</v>
      </c>
      <c r="C19" s="5" t="s">
        <v>625</v>
      </c>
      <c r="D19" s="5" t="s">
        <v>248</v>
      </c>
      <c r="E19" s="5"/>
      <c r="F19" s="8"/>
      <c r="G19" s="5">
        <v>63</v>
      </c>
      <c r="H19" s="5">
        <v>36.700000000000003</v>
      </c>
      <c r="I19" s="18">
        <f t="shared" si="0"/>
        <v>1214.5000000000002</v>
      </c>
      <c r="J19" s="79"/>
      <c r="M19" s="8"/>
      <c r="N19" s="5">
        <v>100.3</v>
      </c>
      <c r="O19" s="5">
        <v>40</v>
      </c>
      <c r="P19" s="8"/>
    </row>
    <row r="20" spans="2:16">
      <c r="B20" s="5">
        <f t="shared" si="1"/>
        <v>16</v>
      </c>
      <c r="C20" s="5" t="s">
        <v>248</v>
      </c>
      <c r="D20" s="5" t="s">
        <v>249</v>
      </c>
      <c r="E20" s="5"/>
      <c r="F20" s="8"/>
      <c r="G20" s="5">
        <v>63</v>
      </c>
      <c r="H20" s="5">
        <v>55.9</v>
      </c>
      <c r="I20" s="18">
        <f t="shared" si="0"/>
        <v>1270.4000000000003</v>
      </c>
      <c r="J20" s="79"/>
      <c r="M20" s="8"/>
      <c r="N20" s="5">
        <v>27</v>
      </c>
      <c r="O20" s="5">
        <v>34</v>
      </c>
      <c r="P20" s="8"/>
    </row>
    <row r="21" spans="2:16">
      <c r="B21" s="5">
        <f t="shared" si="1"/>
        <v>17</v>
      </c>
      <c r="C21" s="5" t="s">
        <v>978</v>
      </c>
      <c r="D21" s="5" t="s">
        <v>1250</v>
      </c>
      <c r="E21" s="5"/>
      <c r="F21" s="8"/>
      <c r="G21" s="5">
        <v>63</v>
      </c>
      <c r="H21" s="5">
        <v>41.9</v>
      </c>
      <c r="I21" s="18">
        <f t="shared" si="0"/>
        <v>1312.3000000000004</v>
      </c>
      <c r="J21" s="79"/>
      <c r="M21" s="8"/>
      <c r="N21" s="5">
        <v>77.099999999999994</v>
      </c>
      <c r="O21" s="5">
        <v>21.3</v>
      </c>
      <c r="P21" s="8"/>
    </row>
    <row r="22" spans="2:16">
      <c r="B22" s="5">
        <f t="shared" si="1"/>
        <v>18</v>
      </c>
      <c r="C22" s="5" t="s">
        <v>695</v>
      </c>
      <c r="D22" s="5" t="s">
        <v>578</v>
      </c>
      <c r="E22" s="5"/>
      <c r="F22" s="8"/>
      <c r="G22" s="5">
        <v>63</v>
      </c>
      <c r="H22" s="10">
        <v>11</v>
      </c>
      <c r="I22" s="18">
        <f t="shared" si="0"/>
        <v>1323.3000000000004</v>
      </c>
      <c r="J22" s="79"/>
      <c r="M22" s="8"/>
      <c r="N22" s="5">
        <v>82</v>
      </c>
      <c r="O22" s="8"/>
      <c r="P22" s="8"/>
    </row>
    <row r="23" spans="2:16">
      <c r="B23" s="5">
        <f t="shared" si="1"/>
        <v>19</v>
      </c>
      <c r="C23" s="5" t="s">
        <v>551</v>
      </c>
      <c r="D23" s="5" t="s">
        <v>701</v>
      </c>
      <c r="E23" s="5"/>
      <c r="F23" s="8"/>
      <c r="G23" s="5">
        <v>63</v>
      </c>
      <c r="H23" s="10">
        <v>44.1</v>
      </c>
      <c r="I23" s="18">
        <f t="shared" si="0"/>
        <v>1367.4000000000003</v>
      </c>
      <c r="J23" s="79"/>
      <c r="L23" s="63"/>
      <c r="M23" s="8"/>
      <c r="N23" s="5">
        <v>66.400000000000006</v>
      </c>
      <c r="O23" s="8"/>
      <c r="P23" s="8"/>
    </row>
    <row r="24" spans="2:16">
      <c r="B24" s="5">
        <f t="shared" si="1"/>
        <v>20</v>
      </c>
      <c r="C24" s="5" t="s">
        <v>701</v>
      </c>
      <c r="D24" s="5" t="s">
        <v>1251</v>
      </c>
      <c r="E24" s="5"/>
      <c r="F24" s="8"/>
      <c r="G24" s="5">
        <v>63</v>
      </c>
      <c r="H24" s="10">
        <v>33.4</v>
      </c>
      <c r="I24" s="18">
        <f t="shared" si="0"/>
        <v>1400.8000000000004</v>
      </c>
      <c r="J24" s="79"/>
      <c r="L24" s="63"/>
      <c r="M24" s="8"/>
      <c r="N24" s="5">
        <v>24.2</v>
      </c>
      <c r="O24" s="8"/>
      <c r="P24" s="8"/>
    </row>
    <row r="25" spans="2:16">
      <c r="B25" s="5">
        <f t="shared" si="1"/>
        <v>21</v>
      </c>
      <c r="C25" s="5" t="s">
        <v>551</v>
      </c>
      <c r="D25" s="5" t="s">
        <v>1086</v>
      </c>
      <c r="E25" s="5"/>
      <c r="F25" s="8"/>
      <c r="G25" s="5">
        <v>63</v>
      </c>
      <c r="H25" s="10">
        <v>52.2</v>
      </c>
      <c r="I25" s="18">
        <f t="shared" si="0"/>
        <v>1453.0000000000005</v>
      </c>
      <c r="J25" s="79"/>
      <c r="L25" s="63"/>
      <c r="M25" s="8"/>
      <c r="N25" s="5">
        <v>122.6</v>
      </c>
      <c r="O25" s="8"/>
      <c r="P25" s="8"/>
    </row>
    <row r="26" spans="2:16">
      <c r="B26" s="5">
        <f t="shared" si="1"/>
        <v>22</v>
      </c>
      <c r="C26" s="5" t="s">
        <v>1086</v>
      </c>
      <c r="D26" s="5" t="s">
        <v>701</v>
      </c>
      <c r="E26" s="5"/>
      <c r="F26" s="8"/>
      <c r="G26" s="5">
        <v>63</v>
      </c>
      <c r="H26" s="10">
        <v>63.1</v>
      </c>
      <c r="I26" s="18">
        <f t="shared" si="0"/>
        <v>1516.1000000000004</v>
      </c>
      <c r="J26" s="79"/>
      <c r="L26" s="63"/>
      <c r="M26" s="8"/>
      <c r="N26" s="5">
        <v>81</v>
      </c>
      <c r="O26" s="8"/>
      <c r="P26" s="8"/>
    </row>
    <row r="27" spans="2:16">
      <c r="B27" s="5">
        <f t="shared" si="1"/>
        <v>23</v>
      </c>
      <c r="C27" s="5" t="s">
        <v>1051</v>
      </c>
      <c r="D27" s="5" t="s">
        <v>1110</v>
      </c>
      <c r="E27" s="5"/>
      <c r="F27" s="8"/>
      <c r="G27" s="5">
        <v>63</v>
      </c>
      <c r="H27" s="10">
        <v>69.400000000000006</v>
      </c>
      <c r="I27" s="18">
        <f t="shared" si="0"/>
        <v>1585.5000000000005</v>
      </c>
      <c r="J27" s="79"/>
      <c r="L27" s="63"/>
      <c r="M27" s="8"/>
      <c r="N27" s="5">
        <v>33.799999999999997</v>
      </c>
      <c r="O27" s="8"/>
      <c r="P27" s="8"/>
    </row>
    <row r="28" spans="2:16">
      <c r="B28" s="5">
        <f t="shared" si="1"/>
        <v>24</v>
      </c>
      <c r="C28" s="5" t="s">
        <v>680</v>
      </c>
      <c r="D28" s="5" t="s">
        <v>550</v>
      </c>
      <c r="E28" s="5"/>
      <c r="F28" s="8"/>
      <c r="G28" s="5">
        <v>63</v>
      </c>
      <c r="H28" s="10">
        <v>122.3</v>
      </c>
      <c r="I28" s="18">
        <f t="shared" si="0"/>
        <v>1707.8000000000004</v>
      </c>
      <c r="J28" s="79"/>
      <c r="L28" s="63"/>
      <c r="M28" s="8"/>
      <c r="N28" s="5">
        <v>29.8</v>
      </c>
      <c r="O28" s="8"/>
      <c r="P28" s="8"/>
    </row>
    <row r="29" spans="2:16">
      <c r="B29" s="5">
        <f t="shared" si="1"/>
        <v>25</v>
      </c>
      <c r="C29" s="5" t="s">
        <v>550</v>
      </c>
      <c r="D29" s="5" t="s">
        <v>559</v>
      </c>
      <c r="E29" s="5" t="s">
        <v>1252</v>
      </c>
      <c r="F29" s="5"/>
      <c r="G29" s="5">
        <v>63</v>
      </c>
      <c r="H29" s="10">
        <v>107.1</v>
      </c>
      <c r="I29" s="18">
        <f t="shared" si="0"/>
        <v>1814.9000000000003</v>
      </c>
      <c r="J29" s="79"/>
      <c r="L29" s="63"/>
      <c r="M29" s="8"/>
      <c r="N29" s="18">
        <v>89.3</v>
      </c>
      <c r="O29" s="8"/>
      <c r="P29" s="8"/>
    </row>
    <row r="30" spans="2:16">
      <c r="B30" s="5">
        <f t="shared" si="1"/>
        <v>26</v>
      </c>
      <c r="C30" s="5" t="s">
        <v>559</v>
      </c>
      <c r="D30" s="5" t="s">
        <v>289</v>
      </c>
      <c r="E30" s="5" t="s">
        <v>199</v>
      </c>
      <c r="F30" s="5">
        <v>0.36</v>
      </c>
      <c r="G30" s="5">
        <v>63</v>
      </c>
      <c r="H30" s="10">
        <v>53.4</v>
      </c>
      <c r="I30" s="18">
        <f t="shared" si="0"/>
        <v>1868.3000000000004</v>
      </c>
      <c r="J30" s="79"/>
      <c r="L30" s="63"/>
      <c r="M30" s="8"/>
      <c r="N30" s="18">
        <v>18</v>
      </c>
      <c r="O30" s="8"/>
      <c r="P30" s="8"/>
    </row>
    <row r="31" spans="2:16">
      <c r="B31" s="5">
        <f t="shared" si="1"/>
        <v>27</v>
      </c>
      <c r="C31" s="5" t="s">
        <v>289</v>
      </c>
      <c r="D31" s="5" t="s">
        <v>662</v>
      </c>
      <c r="E31" s="5"/>
      <c r="F31" s="5"/>
      <c r="G31" s="5">
        <v>63</v>
      </c>
      <c r="H31" s="10">
        <v>63.4</v>
      </c>
      <c r="I31" s="18">
        <f t="shared" si="0"/>
        <v>1931.7000000000005</v>
      </c>
      <c r="J31" s="79"/>
      <c r="L31" s="63"/>
      <c r="M31" s="8"/>
      <c r="N31" s="18">
        <v>31</v>
      </c>
      <c r="O31" s="8"/>
      <c r="P31" s="8"/>
    </row>
    <row r="32" spans="2:16">
      <c r="B32" s="5">
        <f t="shared" si="1"/>
        <v>28</v>
      </c>
      <c r="C32" s="5" t="s">
        <v>559</v>
      </c>
      <c r="D32" s="5" t="s">
        <v>298</v>
      </c>
      <c r="E32" s="5" t="s">
        <v>199</v>
      </c>
      <c r="F32" s="5">
        <v>0.36</v>
      </c>
      <c r="G32" s="5">
        <v>63</v>
      </c>
      <c r="H32" s="10">
        <v>64.8</v>
      </c>
      <c r="I32" s="18">
        <f t="shared" si="0"/>
        <v>1996.5000000000005</v>
      </c>
      <c r="J32" s="79"/>
      <c r="L32" s="63"/>
      <c r="M32" s="8"/>
      <c r="N32" s="18">
        <v>82.4</v>
      </c>
      <c r="O32" s="8"/>
      <c r="P32" s="8"/>
    </row>
    <row r="33" spans="2:16">
      <c r="B33" s="5">
        <f t="shared" si="1"/>
        <v>29</v>
      </c>
      <c r="C33" s="5" t="s">
        <v>298</v>
      </c>
      <c r="D33" s="5" t="s">
        <v>612</v>
      </c>
      <c r="E33" s="5"/>
      <c r="F33" s="5"/>
      <c r="G33" s="5">
        <v>63</v>
      </c>
      <c r="H33" s="10">
        <v>21</v>
      </c>
      <c r="I33" s="18">
        <f t="shared" si="0"/>
        <v>2017.5000000000005</v>
      </c>
      <c r="J33" s="79"/>
      <c r="L33" s="63"/>
      <c r="M33" s="8"/>
      <c r="N33" s="5">
        <v>4.3</v>
      </c>
      <c r="O33" s="8"/>
      <c r="P33" s="8"/>
    </row>
    <row r="34" spans="2:16">
      <c r="B34" s="5">
        <f t="shared" si="1"/>
        <v>30</v>
      </c>
      <c r="C34" s="5" t="s">
        <v>612</v>
      </c>
      <c r="D34" s="5" t="s">
        <v>553</v>
      </c>
      <c r="E34" s="5"/>
      <c r="F34" s="5"/>
      <c r="G34" s="5">
        <v>63</v>
      </c>
      <c r="H34" s="10">
        <v>15.7</v>
      </c>
      <c r="I34" s="18">
        <f t="shared" si="0"/>
        <v>2033.2000000000005</v>
      </c>
      <c r="J34" s="79"/>
      <c r="L34" s="63"/>
      <c r="M34" s="5" t="s">
        <v>940</v>
      </c>
      <c r="N34" s="5">
        <f>+SUM(N12:N33)</f>
        <v>1689.6999999999998</v>
      </c>
      <c r="O34" s="5">
        <f>+SUM(O12:O33)</f>
        <v>501.3</v>
      </c>
      <c r="P34" s="5">
        <f>+SUM(P12:P33)</f>
        <v>34.6</v>
      </c>
    </row>
    <row r="35" spans="2:16">
      <c r="B35" s="5">
        <f t="shared" si="1"/>
        <v>31</v>
      </c>
      <c r="C35" s="5" t="s">
        <v>612</v>
      </c>
      <c r="D35" s="5" t="s">
        <v>569</v>
      </c>
      <c r="E35" s="5"/>
      <c r="F35" s="5"/>
      <c r="G35" s="5">
        <v>63</v>
      </c>
      <c r="H35" s="10">
        <v>12</v>
      </c>
      <c r="I35" s="18">
        <f t="shared" si="0"/>
        <v>2045.2000000000005</v>
      </c>
      <c r="J35" s="79"/>
      <c r="L35" s="63"/>
    </row>
    <row r="36" spans="2:16">
      <c r="B36" s="5">
        <f t="shared" si="1"/>
        <v>32</v>
      </c>
      <c r="C36" s="5" t="s">
        <v>572</v>
      </c>
      <c r="D36" s="5" t="s">
        <v>695</v>
      </c>
      <c r="E36" s="5" t="s">
        <v>301</v>
      </c>
      <c r="F36" s="5">
        <v>0.36</v>
      </c>
      <c r="G36" s="5">
        <v>63</v>
      </c>
      <c r="H36" s="10" t="s">
        <v>1253</v>
      </c>
      <c r="I36" s="464" t="e">
        <f t="shared" si="0"/>
        <v>#VALUE!</v>
      </c>
      <c r="J36" s="79"/>
      <c r="L36" s="63"/>
    </row>
    <row r="37" spans="2:16">
      <c r="B37" s="5">
        <f t="shared" si="1"/>
        <v>33</v>
      </c>
      <c r="C37" s="5" t="s">
        <v>298</v>
      </c>
      <c r="D37" s="5" t="s">
        <v>292</v>
      </c>
      <c r="E37" s="5"/>
      <c r="F37" s="5"/>
      <c r="G37" s="5">
        <v>63</v>
      </c>
      <c r="H37" s="10">
        <v>89.2</v>
      </c>
      <c r="I37" s="464" t="e">
        <f t="shared" si="0"/>
        <v>#VALUE!</v>
      </c>
      <c r="J37" s="79"/>
    </row>
    <row r="38" spans="2:16">
      <c r="B38" s="5">
        <f t="shared" si="1"/>
        <v>34</v>
      </c>
      <c r="C38" s="5" t="s">
        <v>292</v>
      </c>
      <c r="D38" s="5" t="s">
        <v>311</v>
      </c>
      <c r="E38" s="5"/>
      <c r="F38" s="5"/>
      <c r="G38" s="5">
        <v>63</v>
      </c>
      <c r="H38" s="5">
        <v>40.4</v>
      </c>
      <c r="I38" s="464" t="e">
        <f t="shared" si="0"/>
        <v>#VALUE!</v>
      </c>
      <c r="J38" s="79"/>
    </row>
    <row r="39" spans="2:16">
      <c r="B39" s="5">
        <f t="shared" si="1"/>
        <v>35</v>
      </c>
      <c r="C39" s="5" t="s">
        <v>292</v>
      </c>
      <c r="D39" s="5" t="s">
        <v>210</v>
      </c>
      <c r="E39" s="5"/>
      <c r="F39" s="5"/>
      <c r="G39" s="5">
        <v>63</v>
      </c>
      <c r="H39" s="5">
        <v>45.7</v>
      </c>
      <c r="I39" s="464" t="e">
        <f t="shared" si="0"/>
        <v>#VALUE!</v>
      </c>
      <c r="J39" s="79"/>
    </row>
    <row r="40" spans="2:16">
      <c r="B40" s="5">
        <f t="shared" si="1"/>
        <v>36</v>
      </c>
      <c r="C40" s="5" t="s">
        <v>1254</v>
      </c>
      <c r="D40" s="5" t="s">
        <v>558</v>
      </c>
      <c r="E40" s="5"/>
      <c r="F40" s="5"/>
      <c r="G40" s="5">
        <v>63</v>
      </c>
      <c r="H40" s="5">
        <v>158.9</v>
      </c>
      <c r="I40" s="464" t="e">
        <f t="shared" si="0"/>
        <v>#VALUE!</v>
      </c>
      <c r="J40" s="79"/>
    </row>
    <row r="41" spans="2:16">
      <c r="B41" s="5">
        <f t="shared" si="1"/>
        <v>37</v>
      </c>
      <c r="C41" s="5" t="s">
        <v>460</v>
      </c>
      <c r="D41" s="5" t="s">
        <v>203</v>
      </c>
      <c r="E41" s="5" t="s">
        <v>301</v>
      </c>
      <c r="F41" s="5">
        <v>0.36</v>
      </c>
      <c r="G41" s="5">
        <v>63</v>
      </c>
      <c r="H41" s="5">
        <v>33.200000000000003</v>
      </c>
      <c r="I41" s="464" t="e">
        <f t="shared" si="0"/>
        <v>#VALUE!</v>
      </c>
      <c r="J41" s="79"/>
    </row>
    <row r="42" spans="2:16">
      <c r="B42" s="5">
        <f t="shared" si="1"/>
        <v>38</v>
      </c>
      <c r="C42" s="5" t="s">
        <v>558</v>
      </c>
      <c r="D42" s="5" t="s">
        <v>1255</v>
      </c>
      <c r="E42" s="5"/>
      <c r="F42" s="5"/>
      <c r="G42" s="5">
        <v>63</v>
      </c>
      <c r="H42" s="5">
        <v>115.4</v>
      </c>
      <c r="I42" s="464" t="e">
        <f t="shared" si="0"/>
        <v>#VALUE!</v>
      </c>
      <c r="J42" s="79"/>
    </row>
    <row r="43" spans="2:16">
      <c r="B43" s="5">
        <f t="shared" si="1"/>
        <v>39</v>
      </c>
      <c r="C43" s="5" t="s">
        <v>558</v>
      </c>
      <c r="D43" s="5" t="s">
        <v>547</v>
      </c>
      <c r="E43" s="5"/>
      <c r="F43" s="5"/>
      <c r="G43" s="5">
        <v>63</v>
      </c>
      <c r="H43" s="5">
        <v>100.5</v>
      </c>
      <c r="I43" s="464" t="e">
        <f t="shared" si="0"/>
        <v>#VALUE!</v>
      </c>
      <c r="J43" s="79"/>
    </row>
    <row r="44" spans="2:16">
      <c r="B44" s="5">
        <f t="shared" si="1"/>
        <v>40</v>
      </c>
      <c r="C44" s="5" t="s">
        <v>995</v>
      </c>
      <c r="D44" s="5" t="s">
        <v>1256</v>
      </c>
      <c r="E44" s="5"/>
      <c r="F44" s="5"/>
      <c r="G44" s="5">
        <v>63</v>
      </c>
      <c r="H44" s="5">
        <v>143.4</v>
      </c>
      <c r="I44" s="464" t="e">
        <f t="shared" si="0"/>
        <v>#VALUE!</v>
      </c>
      <c r="J44" s="79"/>
    </row>
    <row r="45" spans="2:16">
      <c r="B45" s="5">
        <f t="shared" si="1"/>
        <v>41</v>
      </c>
      <c r="C45" s="5" t="s">
        <v>1256</v>
      </c>
      <c r="D45" s="5" t="s">
        <v>1257</v>
      </c>
      <c r="E45" s="5"/>
      <c r="F45" s="5"/>
      <c r="G45" s="5">
        <v>63</v>
      </c>
      <c r="H45" s="5">
        <v>156.9</v>
      </c>
      <c r="I45" s="464" t="e">
        <f t="shared" si="0"/>
        <v>#VALUE!</v>
      </c>
      <c r="J45" s="79"/>
    </row>
    <row r="46" spans="2:16">
      <c r="B46" s="5">
        <f t="shared" si="1"/>
        <v>42</v>
      </c>
      <c r="C46" s="5" t="s">
        <v>1254</v>
      </c>
      <c r="D46" s="5" t="s">
        <v>995</v>
      </c>
      <c r="E46" s="5"/>
      <c r="F46" s="5"/>
      <c r="G46" s="5">
        <v>63</v>
      </c>
      <c r="H46" s="5">
        <v>55.2</v>
      </c>
      <c r="I46" s="464" t="e">
        <f t="shared" si="0"/>
        <v>#VALUE!</v>
      </c>
      <c r="J46" s="79"/>
    </row>
    <row r="47" spans="2:16">
      <c r="B47" s="5">
        <f t="shared" si="1"/>
        <v>43</v>
      </c>
      <c r="C47" s="5" t="s">
        <v>203</v>
      </c>
      <c r="D47" s="5" t="s">
        <v>572</v>
      </c>
      <c r="E47" s="5" t="s">
        <v>301</v>
      </c>
      <c r="F47" s="5">
        <v>0.36</v>
      </c>
      <c r="G47" s="5">
        <v>63</v>
      </c>
      <c r="H47" s="5">
        <v>33.200000000000003</v>
      </c>
      <c r="I47" s="464" t="e">
        <f t="shared" si="0"/>
        <v>#VALUE!</v>
      </c>
      <c r="J47" s="79"/>
    </row>
    <row r="48" spans="2:16">
      <c r="B48" s="5">
        <f t="shared" si="1"/>
        <v>44</v>
      </c>
      <c r="C48" s="5" t="s">
        <v>1258</v>
      </c>
      <c r="D48" s="5" t="s">
        <v>1259</v>
      </c>
      <c r="E48" s="5"/>
      <c r="F48" s="5"/>
      <c r="G48" s="5">
        <v>63</v>
      </c>
      <c r="H48" s="5">
        <v>41.3</v>
      </c>
      <c r="I48" s="464" t="e">
        <f t="shared" si="0"/>
        <v>#VALUE!</v>
      </c>
      <c r="J48" s="79"/>
    </row>
    <row r="49" spans="2:13">
      <c r="B49" s="5">
        <f t="shared" si="1"/>
        <v>45</v>
      </c>
      <c r="C49" s="5" t="s">
        <v>1259</v>
      </c>
      <c r="D49" s="5" t="s">
        <v>1260</v>
      </c>
      <c r="E49" s="5"/>
      <c r="F49" s="5"/>
      <c r="G49" s="5">
        <v>63</v>
      </c>
      <c r="H49" s="5">
        <v>7.8</v>
      </c>
      <c r="I49" s="464" t="e">
        <f t="shared" si="0"/>
        <v>#VALUE!</v>
      </c>
      <c r="J49" s="79"/>
    </row>
    <row r="50" spans="2:13">
      <c r="B50" s="5">
        <f t="shared" si="1"/>
        <v>46</v>
      </c>
      <c r="C50" s="5" t="s">
        <v>239</v>
      </c>
      <c r="D50" s="5" t="s">
        <v>1261</v>
      </c>
      <c r="E50" s="5"/>
      <c r="F50" s="5"/>
      <c r="G50" s="5">
        <v>63</v>
      </c>
      <c r="H50" s="5">
        <v>229.8</v>
      </c>
      <c r="I50" s="464" t="e">
        <f t="shared" si="0"/>
        <v>#VALUE!</v>
      </c>
      <c r="J50" s="79"/>
    </row>
    <row r="51" spans="2:13">
      <c r="B51" s="5">
        <f t="shared" si="1"/>
        <v>47</v>
      </c>
      <c r="C51" s="5" t="s">
        <v>1262</v>
      </c>
      <c r="D51" s="5" t="s">
        <v>1263</v>
      </c>
      <c r="E51" s="5" t="s">
        <v>199</v>
      </c>
      <c r="F51" s="18">
        <v>0.36</v>
      </c>
      <c r="G51" s="5">
        <v>63</v>
      </c>
      <c r="H51" s="5">
        <v>287.5</v>
      </c>
      <c r="I51" s="464" t="e">
        <f t="shared" si="0"/>
        <v>#VALUE!</v>
      </c>
      <c r="J51" s="79"/>
    </row>
    <row r="52" spans="2:13">
      <c r="B52" s="5">
        <f t="shared" si="1"/>
        <v>48</v>
      </c>
      <c r="C52" s="5" t="s">
        <v>1262</v>
      </c>
      <c r="D52" s="5" t="s">
        <v>1264</v>
      </c>
      <c r="E52" s="5"/>
      <c r="F52" s="18"/>
      <c r="G52" s="5">
        <v>63</v>
      </c>
      <c r="H52" s="5">
        <v>561.1</v>
      </c>
      <c r="I52" s="464" t="e">
        <f t="shared" si="0"/>
        <v>#VALUE!</v>
      </c>
      <c r="J52" s="79"/>
    </row>
    <row r="53" spans="2:13">
      <c r="B53" s="5">
        <f t="shared" si="1"/>
        <v>49</v>
      </c>
      <c r="C53" s="5" t="s">
        <v>1264</v>
      </c>
      <c r="D53" s="5" t="s">
        <v>1265</v>
      </c>
      <c r="E53" s="5" t="s">
        <v>199</v>
      </c>
      <c r="F53" s="18">
        <v>0.36</v>
      </c>
      <c r="G53" s="5">
        <v>63</v>
      </c>
      <c r="H53" s="5">
        <v>88.9</v>
      </c>
      <c r="I53" s="464" t="e">
        <f t="shared" si="0"/>
        <v>#VALUE!</v>
      </c>
      <c r="J53" s="79"/>
      <c r="L53" s="63"/>
      <c r="M53" s="63"/>
    </row>
    <row r="54" spans="2:13">
      <c r="B54" s="5">
        <f t="shared" si="1"/>
        <v>50</v>
      </c>
      <c r="C54" s="5" t="s">
        <v>1264</v>
      </c>
      <c r="D54" s="5" t="s">
        <v>1128</v>
      </c>
      <c r="E54" s="5" t="s">
        <v>199</v>
      </c>
      <c r="F54" s="18">
        <v>0.36</v>
      </c>
      <c r="G54" s="5">
        <v>63</v>
      </c>
      <c r="H54" s="5">
        <v>203</v>
      </c>
      <c r="I54" s="464" t="e">
        <f t="shared" si="0"/>
        <v>#VALUE!</v>
      </c>
      <c r="J54" s="79"/>
    </row>
    <row r="55" spans="2:13">
      <c r="B55" s="5">
        <f t="shared" si="1"/>
        <v>51</v>
      </c>
      <c r="C55" s="5" t="s">
        <v>1263</v>
      </c>
      <c r="D55" s="5" t="s">
        <v>1266</v>
      </c>
      <c r="E55" s="5"/>
      <c r="F55" s="5"/>
      <c r="G55" s="5">
        <v>63</v>
      </c>
      <c r="H55" s="5">
        <v>60</v>
      </c>
      <c r="I55" s="464" t="e">
        <f t="shared" si="0"/>
        <v>#VALUE!</v>
      </c>
      <c r="J55" s="79"/>
    </row>
    <row r="56" spans="2:13">
      <c r="B56" s="5">
        <f t="shared" ref="B56:B119" si="2">1+B55</f>
        <v>52</v>
      </c>
      <c r="C56" s="5" t="s">
        <v>1263</v>
      </c>
      <c r="D56" s="5" t="s">
        <v>1267</v>
      </c>
      <c r="E56" s="5"/>
      <c r="F56" s="5"/>
      <c r="G56" s="5">
        <v>63</v>
      </c>
      <c r="H56" s="5">
        <v>130.30000000000001</v>
      </c>
      <c r="I56" s="464" t="e">
        <f t="shared" si="0"/>
        <v>#VALUE!</v>
      </c>
      <c r="J56" s="79"/>
    </row>
    <row r="57" spans="2:13">
      <c r="B57" s="5">
        <f t="shared" si="2"/>
        <v>53</v>
      </c>
      <c r="C57" s="5" t="s">
        <v>1267</v>
      </c>
      <c r="D57" s="5" t="s">
        <v>1268</v>
      </c>
      <c r="E57" s="5"/>
      <c r="F57" s="5"/>
      <c r="G57" s="5">
        <v>63</v>
      </c>
      <c r="H57" s="5">
        <v>87.6</v>
      </c>
      <c r="I57" s="464" t="e">
        <f t="shared" si="0"/>
        <v>#VALUE!</v>
      </c>
      <c r="J57" s="79"/>
    </row>
    <row r="58" spans="2:13">
      <c r="B58" s="5">
        <f t="shared" si="2"/>
        <v>54</v>
      </c>
      <c r="C58" s="5" t="s">
        <v>1267</v>
      </c>
      <c r="D58" s="5" t="s">
        <v>1269</v>
      </c>
      <c r="E58" s="5"/>
      <c r="F58" s="5"/>
      <c r="G58" s="5">
        <v>63</v>
      </c>
      <c r="H58" s="10">
        <v>26.8</v>
      </c>
      <c r="I58" s="464" t="e">
        <f t="shared" si="0"/>
        <v>#VALUE!</v>
      </c>
      <c r="J58" s="79"/>
    </row>
    <row r="59" spans="2:13">
      <c r="B59" s="5">
        <f t="shared" si="2"/>
        <v>55</v>
      </c>
      <c r="C59" s="5" t="s">
        <v>1269</v>
      </c>
      <c r="D59" s="5" t="s">
        <v>1270</v>
      </c>
      <c r="E59" s="5"/>
      <c r="F59" s="5"/>
      <c r="G59" s="5">
        <v>63</v>
      </c>
      <c r="H59" s="5">
        <v>25</v>
      </c>
      <c r="I59" s="464" t="e">
        <f t="shared" si="0"/>
        <v>#VALUE!</v>
      </c>
      <c r="J59" s="79"/>
    </row>
    <row r="60" spans="2:13">
      <c r="B60" s="5">
        <f t="shared" si="2"/>
        <v>56</v>
      </c>
      <c r="C60" s="5" t="s">
        <v>1269</v>
      </c>
      <c r="D60" s="5" t="s">
        <v>1000</v>
      </c>
      <c r="E60" s="5"/>
      <c r="F60" s="5"/>
      <c r="G60" s="5">
        <v>63</v>
      </c>
      <c r="H60" s="5">
        <v>149</v>
      </c>
      <c r="I60" s="464" t="e">
        <f t="shared" si="0"/>
        <v>#VALUE!</v>
      </c>
      <c r="J60" s="79"/>
    </row>
    <row r="61" spans="2:13">
      <c r="B61" s="5">
        <f t="shared" si="2"/>
        <v>57</v>
      </c>
      <c r="C61" s="5" t="s">
        <v>1000</v>
      </c>
      <c r="D61" s="5" t="s">
        <v>1271</v>
      </c>
      <c r="E61" s="5"/>
      <c r="F61" s="5"/>
      <c r="G61" s="5">
        <v>63</v>
      </c>
      <c r="H61" s="5">
        <v>38.5</v>
      </c>
      <c r="I61" s="464" t="e">
        <f t="shared" si="0"/>
        <v>#VALUE!</v>
      </c>
      <c r="J61" s="79"/>
    </row>
    <row r="62" spans="2:13" ht="16.5" customHeight="1">
      <c r="B62" s="5">
        <f t="shared" si="2"/>
        <v>58</v>
      </c>
      <c r="C62" s="5" t="s">
        <v>1272</v>
      </c>
      <c r="D62" s="5" t="s">
        <v>1017</v>
      </c>
      <c r="E62" s="5"/>
      <c r="F62" s="5"/>
      <c r="G62" s="5">
        <v>63</v>
      </c>
      <c r="H62" s="5">
        <v>91</v>
      </c>
      <c r="I62" s="464" t="e">
        <f t="shared" si="0"/>
        <v>#VALUE!</v>
      </c>
      <c r="J62" s="8"/>
    </row>
    <row r="63" spans="2:13">
      <c r="B63" s="5">
        <f t="shared" si="2"/>
        <v>59</v>
      </c>
      <c r="C63" s="5" t="s">
        <v>977</v>
      </c>
      <c r="D63" s="5" t="s">
        <v>1273</v>
      </c>
      <c r="E63" s="5"/>
      <c r="F63" s="5"/>
      <c r="G63" s="5">
        <v>63</v>
      </c>
      <c r="H63" s="5">
        <v>41</v>
      </c>
      <c r="I63" s="464" t="e">
        <f t="shared" si="0"/>
        <v>#VALUE!</v>
      </c>
      <c r="J63" s="8"/>
    </row>
    <row r="64" spans="2:13">
      <c r="B64" s="5">
        <f t="shared" si="2"/>
        <v>60</v>
      </c>
      <c r="C64" s="5" t="s">
        <v>1273</v>
      </c>
      <c r="D64" s="5" t="s">
        <v>1137</v>
      </c>
      <c r="E64" s="5"/>
      <c r="F64" s="5"/>
      <c r="G64" s="5">
        <v>63</v>
      </c>
      <c r="H64" s="5">
        <v>43.6</v>
      </c>
      <c r="I64" s="464" t="e">
        <f t="shared" si="0"/>
        <v>#VALUE!</v>
      </c>
      <c r="J64" s="8"/>
    </row>
    <row r="65" spans="2:10">
      <c r="B65" s="5">
        <f t="shared" si="2"/>
        <v>61</v>
      </c>
      <c r="C65" s="5" t="s">
        <v>977</v>
      </c>
      <c r="D65" s="5" t="s">
        <v>1017</v>
      </c>
      <c r="E65" s="5"/>
      <c r="F65" s="5"/>
      <c r="G65" s="5">
        <v>63</v>
      </c>
      <c r="H65" s="5">
        <v>48.3</v>
      </c>
      <c r="I65" s="464" t="e">
        <f t="shared" si="0"/>
        <v>#VALUE!</v>
      </c>
      <c r="J65" s="8"/>
    </row>
    <row r="66" spans="2:10">
      <c r="B66" s="5">
        <f t="shared" si="2"/>
        <v>62</v>
      </c>
      <c r="C66" s="5" t="s">
        <v>1017</v>
      </c>
      <c r="D66" s="5" t="s">
        <v>1077</v>
      </c>
      <c r="E66" s="5"/>
      <c r="F66" s="5"/>
      <c r="G66" s="5">
        <v>63</v>
      </c>
      <c r="H66" s="5">
        <v>87</v>
      </c>
      <c r="I66" s="464" t="e">
        <f t="shared" si="0"/>
        <v>#VALUE!</v>
      </c>
      <c r="J66" s="8"/>
    </row>
    <row r="67" spans="2:10">
      <c r="B67" s="5">
        <f t="shared" si="2"/>
        <v>63</v>
      </c>
      <c r="C67" s="5" t="s">
        <v>1274</v>
      </c>
      <c r="D67" s="5" t="s">
        <v>1275</v>
      </c>
      <c r="E67" s="5"/>
      <c r="F67" s="5"/>
      <c r="G67" s="5">
        <v>63</v>
      </c>
      <c r="H67" s="5">
        <v>105</v>
      </c>
      <c r="I67" s="464" t="e">
        <f t="shared" si="0"/>
        <v>#VALUE!</v>
      </c>
      <c r="J67" s="8"/>
    </row>
    <row r="68" spans="2:10">
      <c r="B68" s="5">
        <f t="shared" si="2"/>
        <v>64</v>
      </c>
      <c r="C68" s="5" t="s">
        <v>1275</v>
      </c>
      <c r="D68" s="5" t="s">
        <v>1276</v>
      </c>
      <c r="E68" s="5"/>
      <c r="F68" s="5"/>
      <c r="G68" s="5">
        <v>63</v>
      </c>
      <c r="H68" s="5">
        <v>22</v>
      </c>
      <c r="I68" s="464" t="e">
        <f t="shared" si="0"/>
        <v>#VALUE!</v>
      </c>
      <c r="J68" s="8"/>
    </row>
    <row r="69" spans="2:10">
      <c r="B69" s="5">
        <f t="shared" si="2"/>
        <v>65</v>
      </c>
      <c r="C69" s="5" t="s">
        <v>1275</v>
      </c>
      <c r="D69" s="5" t="s">
        <v>1277</v>
      </c>
      <c r="E69" s="5"/>
      <c r="F69" s="5"/>
      <c r="G69" s="5">
        <v>63</v>
      </c>
      <c r="H69" s="5">
        <v>41.5</v>
      </c>
      <c r="I69" s="464" t="e">
        <f t="shared" si="0"/>
        <v>#VALUE!</v>
      </c>
      <c r="J69" s="8"/>
    </row>
    <row r="70" spans="2:10">
      <c r="B70" s="5">
        <f t="shared" si="2"/>
        <v>66</v>
      </c>
      <c r="C70" s="5" t="s">
        <v>1274</v>
      </c>
      <c r="D70" s="5" t="s">
        <v>1278</v>
      </c>
      <c r="E70" s="5"/>
      <c r="F70" s="5"/>
      <c r="G70" s="5">
        <v>63</v>
      </c>
      <c r="H70" s="5">
        <v>34.799999999999997</v>
      </c>
      <c r="I70" s="464" t="e">
        <f t="shared" ref="I70:I133" si="3">+I69+H70</f>
        <v>#VALUE!</v>
      </c>
      <c r="J70" s="8"/>
    </row>
    <row r="71" spans="2:10">
      <c r="B71" s="5">
        <f t="shared" si="2"/>
        <v>67</v>
      </c>
      <c r="C71" s="5" t="s">
        <v>1274</v>
      </c>
      <c r="D71" s="5" t="s">
        <v>1278</v>
      </c>
      <c r="E71" s="5"/>
      <c r="F71" s="5"/>
      <c r="G71" s="5">
        <v>63</v>
      </c>
      <c r="H71" s="5">
        <v>212.3</v>
      </c>
      <c r="I71" s="464" t="e">
        <f t="shared" si="3"/>
        <v>#VALUE!</v>
      </c>
      <c r="J71" s="8"/>
    </row>
    <row r="72" spans="2:10">
      <c r="B72" s="5">
        <f t="shared" si="2"/>
        <v>68</v>
      </c>
      <c r="C72" s="5" t="s">
        <v>1274</v>
      </c>
      <c r="D72" s="5" t="s">
        <v>1279</v>
      </c>
      <c r="E72" s="5"/>
      <c r="F72" s="5"/>
      <c r="G72" s="5">
        <v>63</v>
      </c>
      <c r="H72" s="5">
        <v>20.8</v>
      </c>
      <c r="I72" s="464" t="e">
        <f t="shared" si="3"/>
        <v>#VALUE!</v>
      </c>
      <c r="J72" s="8"/>
    </row>
    <row r="73" spans="2:10">
      <c r="B73" s="5">
        <f t="shared" si="2"/>
        <v>69</v>
      </c>
      <c r="C73" s="5" t="s">
        <v>1279</v>
      </c>
      <c r="D73" s="5" t="s">
        <v>1280</v>
      </c>
      <c r="E73" s="5"/>
      <c r="F73" s="5"/>
      <c r="G73" s="5">
        <v>63</v>
      </c>
      <c r="H73" s="5">
        <v>119.9</v>
      </c>
      <c r="I73" s="464" t="e">
        <f t="shared" si="3"/>
        <v>#VALUE!</v>
      </c>
      <c r="J73" s="8"/>
    </row>
    <row r="74" spans="2:10">
      <c r="B74" s="5">
        <f t="shared" si="2"/>
        <v>70</v>
      </c>
      <c r="C74" s="5" t="s">
        <v>1280</v>
      </c>
      <c r="D74" s="5" t="s">
        <v>1281</v>
      </c>
      <c r="E74" s="5"/>
      <c r="F74" s="5"/>
      <c r="G74" s="5">
        <v>63</v>
      </c>
      <c r="H74" s="5">
        <v>44.9</v>
      </c>
      <c r="I74" s="464" t="e">
        <f t="shared" si="3"/>
        <v>#VALUE!</v>
      </c>
      <c r="J74" s="8"/>
    </row>
    <row r="75" spans="2:10">
      <c r="B75" s="5">
        <f t="shared" si="2"/>
        <v>71</v>
      </c>
      <c r="C75" s="5" t="s">
        <v>1281</v>
      </c>
      <c r="D75" s="5" t="s">
        <v>1282</v>
      </c>
      <c r="E75" s="5"/>
      <c r="F75" s="5"/>
      <c r="G75" s="5">
        <v>63</v>
      </c>
      <c r="H75" s="5">
        <v>96.3</v>
      </c>
      <c r="I75" s="464" t="e">
        <f t="shared" si="3"/>
        <v>#VALUE!</v>
      </c>
      <c r="J75" s="8"/>
    </row>
    <row r="76" spans="2:10">
      <c r="B76" s="5">
        <f t="shared" si="2"/>
        <v>72</v>
      </c>
      <c r="C76" s="5" t="s">
        <v>1283</v>
      </c>
      <c r="D76" s="5" t="s">
        <v>1284</v>
      </c>
      <c r="E76" s="5"/>
      <c r="F76" s="5"/>
      <c r="G76" s="5">
        <v>63</v>
      </c>
      <c r="H76" s="5">
        <v>224.8</v>
      </c>
      <c r="I76" s="464" t="e">
        <f t="shared" si="3"/>
        <v>#VALUE!</v>
      </c>
      <c r="J76" s="8"/>
    </row>
    <row r="77" spans="2:10">
      <c r="B77" s="5">
        <f t="shared" si="2"/>
        <v>73</v>
      </c>
      <c r="C77" s="5" t="s">
        <v>1284</v>
      </c>
      <c r="D77" s="5" t="s">
        <v>1285</v>
      </c>
      <c r="E77" s="5"/>
      <c r="F77" s="5"/>
      <c r="G77" s="5">
        <v>63</v>
      </c>
      <c r="H77" s="5">
        <v>11</v>
      </c>
      <c r="I77" s="464" t="e">
        <f t="shared" si="3"/>
        <v>#VALUE!</v>
      </c>
      <c r="J77" s="8"/>
    </row>
    <row r="78" spans="2:10">
      <c r="B78" s="5">
        <f t="shared" si="2"/>
        <v>74</v>
      </c>
      <c r="C78" s="5" t="s">
        <v>1281</v>
      </c>
      <c r="D78" s="5" t="s">
        <v>1286</v>
      </c>
      <c r="E78" s="5"/>
      <c r="F78" s="5"/>
      <c r="G78" s="5">
        <v>63</v>
      </c>
      <c r="H78" s="5">
        <v>89.3</v>
      </c>
      <c r="I78" s="464" t="e">
        <f t="shared" si="3"/>
        <v>#VALUE!</v>
      </c>
      <c r="J78" s="8"/>
    </row>
    <row r="79" spans="2:10">
      <c r="B79" s="5">
        <f t="shared" si="2"/>
        <v>75</v>
      </c>
      <c r="C79" s="5" t="s">
        <v>1286</v>
      </c>
      <c r="D79" s="5" t="s">
        <v>1287</v>
      </c>
      <c r="E79" s="5" t="s">
        <v>199</v>
      </c>
      <c r="F79" s="5">
        <v>0.36</v>
      </c>
      <c r="G79" s="5">
        <v>63</v>
      </c>
      <c r="H79" s="5">
        <v>29.9</v>
      </c>
      <c r="I79" s="464" t="e">
        <f t="shared" si="3"/>
        <v>#VALUE!</v>
      </c>
      <c r="J79" s="8"/>
    </row>
    <row r="80" spans="2:10">
      <c r="B80" s="5">
        <f t="shared" si="2"/>
        <v>76</v>
      </c>
      <c r="C80" s="5" t="s">
        <v>1287</v>
      </c>
      <c r="D80" s="5" t="s">
        <v>1288</v>
      </c>
      <c r="E80" s="5" t="s">
        <v>199</v>
      </c>
      <c r="F80" s="5">
        <v>0.36</v>
      </c>
      <c r="G80" s="5">
        <v>63</v>
      </c>
      <c r="H80" s="5">
        <v>100.3</v>
      </c>
      <c r="I80" s="464" t="e">
        <f t="shared" si="3"/>
        <v>#VALUE!</v>
      </c>
      <c r="J80" s="8"/>
    </row>
    <row r="81" spans="2:10">
      <c r="B81" s="5">
        <f t="shared" si="2"/>
        <v>77</v>
      </c>
      <c r="C81" s="5" t="s">
        <v>256</v>
      </c>
      <c r="D81" s="5" t="s">
        <v>360</v>
      </c>
      <c r="E81" s="5"/>
      <c r="F81" s="5"/>
      <c r="G81" s="5">
        <v>63</v>
      </c>
      <c r="H81" s="5">
        <v>78.3</v>
      </c>
      <c r="I81" s="464" t="e">
        <f t="shared" si="3"/>
        <v>#VALUE!</v>
      </c>
      <c r="J81" s="8"/>
    </row>
    <row r="82" spans="2:10">
      <c r="B82" s="5">
        <f t="shared" si="2"/>
        <v>78</v>
      </c>
      <c r="C82" s="5" t="s">
        <v>345</v>
      </c>
      <c r="D82" s="5" t="s">
        <v>239</v>
      </c>
      <c r="E82" s="5"/>
      <c r="F82" s="5"/>
      <c r="G82" s="5">
        <v>63</v>
      </c>
      <c r="H82" s="5">
        <v>85.9</v>
      </c>
      <c r="I82" s="464" t="e">
        <f t="shared" si="3"/>
        <v>#VALUE!</v>
      </c>
      <c r="J82" s="8"/>
    </row>
    <row r="83" spans="2:10">
      <c r="B83" s="5">
        <f t="shared" si="2"/>
        <v>79</v>
      </c>
      <c r="C83" s="5" t="s">
        <v>847</v>
      </c>
      <c r="D83" s="5" t="s">
        <v>243</v>
      </c>
      <c r="E83" s="5"/>
      <c r="F83" s="5"/>
      <c r="G83" s="5">
        <v>63</v>
      </c>
      <c r="H83" s="5">
        <v>29</v>
      </c>
      <c r="I83" s="464" t="e">
        <f t="shared" si="3"/>
        <v>#VALUE!</v>
      </c>
      <c r="J83" s="8"/>
    </row>
    <row r="84" spans="2:10">
      <c r="B84" s="5">
        <f t="shared" si="2"/>
        <v>80</v>
      </c>
      <c r="C84" s="5" t="s">
        <v>243</v>
      </c>
      <c r="D84" s="5" t="s">
        <v>336</v>
      </c>
      <c r="E84" s="5"/>
      <c r="F84" s="5"/>
      <c r="G84" s="5">
        <v>63</v>
      </c>
      <c r="H84" s="5">
        <v>35.700000000000003</v>
      </c>
      <c r="I84" s="464" t="e">
        <f t="shared" si="3"/>
        <v>#VALUE!</v>
      </c>
      <c r="J84" s="8"/>
    </row>
    <row r="85" spans="2:10">
      <c r="B85" s="5">
        <f t="shared" si="2"/>
        <v>81</v>
      </c>
      <c r="C85" s="5" t="s">
        <v>239</v>
      </c>
      <c r="D85" s="5" t="s">
        <v>188</v>
      </c>
      <c r="E85" s="5"/>
      <c r="F85" s="5"/>
      <c r="G85" s="5">
        <v>63</v>
      </c>
      <c r="H85" s="5">
        <v>41.5</v>
      </c>
      <c r="I85" s="464" t="e">
        <f t="shared" si="3"/>
        <v>#VALUE!</v>
      </c>
      <c r="J85" s="8"/>
    </row>
    <row r="86" spans="2:10">
      <c r="B86" s="5">
        <f t="shared" si="2"/>
        <v>82</v>
      </c>
      <c r="C86" s="5" t="s">
        <v>188</v>
      </c>
      <c r="D86" s="5" t="s">
        <v>341</v>
      </c>
      <c r="E86" s="5"/>
      <c r="F86" s="5"/>
      <c r="G86" s="5">
        <v>63</v>
      </c>
      <c r="H86" s="5">
        <v>40.5</v>
      </c>
      <c r="I86" s="464" t="e">
        <f t="shared" si="3"/>
        <v>#VALUE!</v>
      </c>
      <c r="J86" s="8"/>
    </row>
    <row r="87" spans="2:10">
      <c r="B87" s="5">
        <f t="shared" si="2"/>
        <v>83</v>
      </c>
      <c r="C87" s="5" t="s">
        <v>248</v>
      </c>
      <c r="D87" s="5" t="s">
        <v>418</v>
      </c>
      <c r="E87" s="5"/>
      <c r="F87" s="5"/>
      <c r="G87" s="5">
        <v>63</v>
      </c>
      <c r="H87" s="18">
        <v>20</v>
      </c>
      <c r="I87" s="464" t="e">
        <f t="shared" si="3"/>
        <v>#VALUE!</v>
      </c>
      <c r="J87" s="8"/>
    </row>
    <row r="88" spans="2:10">
      <c r="B88" s="5">
        <f t="shared" si="2"/>
        <v>84</v>
      </c>
      <c r="C88" s="5" t="s">
        <v>418</v>
      </c>
      <c r="D88" s="5" t="s">
        <v>362</v>
      </c>
      <c r="E88" s="5"/>
      <c r="F88" s="5"/>
      <c r="G88" s="5">
        <v>63</v>
      </c>
      <c r="H88" s="18">
        <v>106</v>
      </c>
      <c r="I88" s="464" t="e">
        <f t="shared" si="3"/>
        <v>#VALUE!</v>
      </c>
      <c r="J88" s="8"/>
    </row>
    <row r="89" spans="2:10">
      <c r="B89" s="5">
        <f t="shared" si="2"/>
        <v>85</v>
      </c>
      <c r="C89" s="5" t="s">
        <v>418</v>
      </c>
      <c r="D89" s="5" t="s">
        <v>403</v>
      </c>
      <c r="E89" s="5"/>
      <c r="F89" s="5"/>
      <c r="G89" s="5">
        <v>63</v>
      </c>
      <c r="H89" s="18">
        <v>144.30000000000001</v>
      </c>
      <c r="I89" s="464" t="e">
        <f t="shared" si="3"/>
        <v>#VALUE!</v>
      </c>
      <c r="J89" s="8"/>
    </row>
    <row r="90" spans="2:10">
      <c r="B90" s="5">
        <f t="shared" si="2"/>
        <v>86</v>
      </c>
      <c r="C90" s="5" t="s">
        <v>403</v>
      </c>
      <c r="D90" s="5" t="s">
        <v>402</v>
      </c>
      <c r="E90" s="5"/>
      <c r="F90" s="5"/>
      <c r="G90" s="5">
        <v>63</v>
      </c>
      <c r="H90" s="18">
        <v>52.8</v>
      </c>
      <c r="I90" s="464" t="e">
        <f t="shared" si="3"/>
        <v>#VALUE!</v>
      </c>
      <c r="J90" s="8"/>
    </row>
    <row r="91" spans="2:10">
      <c r="B91" s="5">
        <f t="shared" si="2"/>
        <v>87</v>
      </c>
      <c r="C91" s="5" t="s">
        <v>403</v>
      </c>
      <c r="D91" s="5" t="s">
        <v>507</v>
      </c>
      <c r="E91" s="5"/>
      <c r="F91" s="5"/>
      <c r="G91" s="5">
        <v>63</v>
      </c>
      <c r="H91" s="18">
        <v>12.5</v>
      </c>
      <c r="I91" s="464" t="e">
        <f t="shared" si="3"/>
        <v>#VALUE!</v>
      </c>
      <c r="J91" s="8"/>
    </row>
    <row r="92" spans="2:10">
      <c r="B92" s="5">
        <f t="shared" si="2"/>
        <v>88</v>
      </c>
      <c r="C92" s="5" t="s">
        <v>507</v>
      </c>
      <c r="D92" s="5" t="s">
        <v>356</v>
      </c>
      <c r="E92" s="5"/>
      <c r="F92" s="5"/>
      <c r="G92" s="5">
        <v>63</v>
      </c>
      <c r="H92" s="18">
        <v>116.8</v>
      </c>
      <c r="I92" s="464" t="e">
        <f t="shared" si="3"/>
        <v>#VALUE!</v>
      </c>
      <c r="J92" s="8"/>
    </row>
    <row r="93" spans="2:10">
      <c r="B93" s="5">
        <f t="shared" si="2"/>
        <v>89</v>
      </c>
      <c r="C93" s="5" t="s">
        <v>403</v>
      </c>
      <c r="D93" s="5" t="s">
        <v>395</v>
      </c>
      <c r="E93" s="5"/>
      <c r="F93" s="5"/>
      <c r="G93" s="5">
        <v>63</v>
      </c>
      <c r="H93" s="18">
        <v>11.5</v>
      </c>
      <c r="I93" s="464" t="e">
        <f t="shared" si="3"/>
        <v>#VALUE!</v>
      </c>
      <c r="J93" s="8"/>
    </row>
    <row r="94" spans="2:10">
      <c r="B94" s="5">
        <f t="shared" si="2"/>
        <v>90</v>
      </c>
      <c r="C94" s="5" t="s">
        <v>395</v>
      </c>
      <c r="D94" s="5" t="s">
        <v>524</v>
      </c>
      <c r="E94" s="5"/>
      <c r="F94" s="5"/>
      <c r="G94" s="5">
        <v>63</v>
      </c>
      <c r="H94" s="18">
        <v>41.5</v>
      </c>
      <c r="I94" s="464" t="e">
        <f t="shared" si="3"/>
        <v>#VALUE!</v>
      </c>
      <c r="J94" s="8"/>
    </row>
    <row r="95" spans="2:10">
      <c r="B95" s="5">
        <f t="shared" si="2"/>
        <v>91</v>
      </c>
      <c r="C95" s="5" t="s">
        <v>524</v>
      </c>
      <c r="D95" s="5" t="s">
        <v>268</v>
      </c>
      <c r="E95" s="5"/>
      <c r="F95" s="5"/>
      <c r="G95" s="5">
        <v>63</v>
      </c>
      <c r="H95" s="18">
        <v>23.4</v>
      </c>
      <c r="I95" s="464" t="e">
        <f t="shared" si="3"/>
        <v>#VALUE!</v>
      </c>
      <c r="J95" s="8"/>
    </row>
    <row r="96" spans="2:10">
      <c r="B96" s="5">
        <f t="shared" si="2"/>
        <v>92</v>
      </c>
      <c r="C96" s="5" t="s">
        <v>524</v>
      </c>
      <c r="D96" s="5" t="s">
        <v>417</v>
      </c>
      <c r="E96" s="5"/>
      <c r="F96" s="5"/>
      <c r="G96" s="5">
        <v>63</v>
      </c>
      <c r="H96" s="18">
        <v>37</v>
      </c>
      <c r="I96" s="464" t="e">
        <f t="shared" si="3"/>
        <v>#VALUE!</v>
      </c>
      <c r="J96" s="8"/>
    </row>
    <row r="97" spans="2:10">
      <c r="B97" s="5">
        <f t="shared" si="2"/>
        <v>93</v>
      </c>
      <c r="C97" s="5" t="s">
        <v>417</v>
      </c>
      <c r="D97" s="5" t="s">
        <v>315</v>
      </c>
      <c r="E97" s="5"/>
      <c r="F97" s="5"/>
      <c r="G97" s="5">
        <v>63</v>
      </c>
      <c r="H97" s="18">
        <v>22</v>
      </c>
      <c r="I97" s="464" t="e">
        <f t="shared" si="3"/>
        <v>#VALUE!</v>
      </c>
      <c r="J97" s="8"/>
    </row>
    <row r="98" spans="2:10">
      <c r="B98" s="5">
        <f t="shared" si="2"/>
        <v>94</v>
      </c>
      <c r="C98" s="5" t="s">
        <v>417</v>
      </c>
      <c r="D98" s="5" t="s">
        <v>540</v>
      </c>
      <c r="E98" s="5"/>
      <c r="F98" s="5"/>
      <c r="G98" s="5">
        <v>63</v>
      </c>
      <c r="H98" s="18">
        <v>24</v>
      </c>
      <c r="I98" s="464" t="e">
        <f t="shared" si="3"/>
        <v>#VALUE!</v>
      </c>
      <c r="J98" s="8"/>
    </row>
    <row r="99" spans="2:10">
      <c r="B99" s="5">
        <f t="shared" si="2"/>
        <v>95</v>
      </c>
      <c r="C99" s="5" t="s">
        <v>540</v>
      </c>
      <c r="D99" s="5" t="s">
        <v>267</v>
      </c>
      <c r="E99" s="5"/>
      <c r="F99" s="5"/>
      <c r="G99" s="5">
        <v>63</v>
      </c>
      <c r="H99" s="18">
        <v>30.4</v>
      </c>
      <c r="I99" s="464" t="e">
        <f t="shared" si="3"/>
        <v>#VALUE!</v>
      </c>
      <c r="J99" s="8"/>
    </row>
    <row r="100" spans="2:10">
      <c r="B100" s="5">
        <f t="shared" si="2"/>
        <v>96</v>
      </c>
      <c r="C100" s="5" t="s">
        <v>267</v>
      </c>
      <c r="D100" s="5" t="s">
        <v>414</v>
      </c>
      <c r="E100" s="5"/>
      <c r="F100" s="5"/>
      <c r="G100" s="5">
        <v>63</v>
      </c>
      <c r="H100" s="18">
        <v>67.400000000000006</v>
      </c>
      <c r="I100" s="464" t="e">
        <f t="shared" si="3"/>
        <v>#VALUE!</v>
      </c>
      <c r="J100" s="8"/>
    </row>
    <row r="101" spans="2:10">
      <c r="B101" s="5">
        <f t="shared" si="2"/>
        <v>97</v>
      </c>
      <c r="C101" s="5" t="s">
        <v>414</v>
      </c>
      <c r="D101" s="5" t="s">
        <v>521</v>
      </c>
      <c r="E101" s="5"/>
      <c r="F101" s="5"/>
      <c r="G101" s="5">
        <v>63</v>
      </c>
      <c r="H101" s="18">
        <v>34.1</v>
      </c>
      <c r="I101" s="464" t="e">
        <f t="shared" si="3"/>
        <v>#VALUE!</v>
      </c>
      <c r="J101" s="8"/>
    </row>
    <row r="102" spans="2:10">
      <c r="B102" s="5">
        <f t="shared" si="2"/>
        <v>98</v>
      </c>
      <c r="C102" s="5" t="s">
        <v>315</v>
      </c>
      <c r="D102" s="5" t="s">
        <v>414</v>
      </c>
      <c r="E102" s="5"/>
      <c r="F102" s="5"/>
      <c r="G102" s="5">
        <v>63</v>
      </c>
      <c r="H102" s="18">
        <v>137.1</v>
      </c>
      <c r="I102" s="464" t="e">
        <f t="shared" si="3"/>
        <v>#VALUE!</v>
      </c>
      <c r="J102" s="8"/>
    </row>
    <row r="103" spans="2:10">
      <c r="B103" s="5">
        <f t="shared" si="2"/>
        <v>99</v>
      </c>
      <c r="C103" s="5" t="s">
        <v>267</v>
      </c>
      <c r="D103" s="5" t="s">
        <v>318</v>
      </c>
      <c r="E103" s="5"/>
      <c r="F103" s="5"/>
      <c r="G103" s="5">
        <v>63</v>
      </c>
      <c r="H103" s="18">
        <v>77</v>
      </c>
      <c r="I103" s="464" t="e">
        <f t="shared" si="3"/>
        <v>#VALUE!</v>
      </c>
      <c r="J103" s="8"/>
    </row>
    <row r="104" spans="2:10">
      <c r="B104" s="5">
        <f t="shared" si="2"/>
        <v>100</v>
      </c>
      <c r="C104" s="5" t="s">
        <v>551</v>
      </c>
      <c r="D104" s="5" t="s">
        <v>281</v>
      </c>
      <c r="E104" s="5"/>
      <c r="F104" s="5"/>
      <c r="G104" s="5">
        <v>63</v>
      </c>
      <c r="H104" s="18">
        <v>12</v>
      </c>
      <c r="I104" s="464" t="e">
        <f t="shared" si="3"/>
        <v>#VALUE!</v>
      </c>
      <c r="J104" s="8"/>
    </row>
    <row r="105" spans="2:10">
      <c r="B105" s="5">
        <f t="shared" si="2"/>
        <v>101</v>
      </c>
      <c r="C105" s="5" t="s">
        <v>281</v>
      </c>
      <c r="D105" s="5" t="s">
        <v>416</v>
      </c>
      <c r="E105" s="5"/>
      <c r="F105" s="5"/>
      <c r="G105" s="5">
        <v>63</v>
      </c>
      <c r="H105" s="18">
        <v>21</v>
      </c>
      <c r="I105" s="464" t="e">
        <f t="shared" si="3"/>
        <v>#VALUE!</v>
      </c>
      <c r="J105" s="8"/>
    </row>
    <row r="106" spans="2:10">
      <c r="B106" s="5">
        <f t="shared" si="2"/>
        <v>102</v>
      </c>
      <c r="C106" s="5" t="s">
        <v>506</v>
      </c>
      <c r="D106" s="5" t="s">
        <v>375</v>
      </c>
      <c r="E106" s="5"/>
      <c r="F106" s="5"/>
      <c r="G106" s="5">
        <v>63</v>
      </c>
      <c r="H106" s="18">
        <v>37</v>
      </c>
      <c r="I106" s="464" t="e">
        <f t="shared" si="3"/>
        <v>#VALUE!</v>
      </c>
      <c r="J106" s="8"/>
    </row>
    <row r="107" spans="2:10">
      <c r="B107" s="5">
        <f t="shared" si="2"/>
        <v>103</v>
      </c>
      <c r="C107" s="5" t="s">
        <v>375</v>
      </c>
      <c r="D107" s="5" t="s">
        <v>350</v>
      </c>
      <c r="E107" s="5"/>
      <c r="F107" s="5"/>
      <c r="G107" s="5">
        <v>63</v>
      </c>
      <c r="H107" s="18">
        <v>59.8</v>
      </c>
      <c r="I107" s="464" t="e">
        <f t="shared" si="3"/>
        <v>#VALUE!</v>
      </c>
      <c r="J107" s="8"/>
    </row>
    <row r="108" spans="2:10">
      <c r="B108" s="5">
        <f t="shared" si="2"/>
        <v>104</v>
      </c>
      <c r="C108" s="5" t="s">
        <v>350</v>
      </c>
      <c r="D108" s="5" t="s">
        <v>398</v>
      </c>
      <c r="E108" s="5"/>
      <c r="F108" s="5"/>
      <c r="G108" s="5">
        <v>63</v>
      </c>
      <c r="H108" s="18">
        <v>105</v>
      </c>
      <c r="I108" s="464" t="e">
        <f t="shared" si="3"/>
        <v>#VALUE!</v>
      </c>
      <c r="J108" s="8"/>
    </row>
    <row r="109" spans="2:10">
      <c r="B109" s="5">
        <f t="shared" si="2"/>
        <v>105</v>
      </c>
      <c r="C109" s="5" t="s">
        <v>391</v>
      </c>
      <c r="D109" s="5" t="s">
        <v>282</v>
      </c>
      <c r="E109" s="5"/>
      <c r="F109" s="5"/>
      <c r="G109" s="5">
        <v>63</v>
      </c>
      <c r="H109" s="18">
        <v>32</v>
      </c>
      <c r="I109" s="464" t="e">
        <f t="shared" si="3"/>
        <v>#VALUE!</v>
      </c>
      <c r="J109" s="8"/>
    </row>
    <row r="110" spans="2:10">
      <c r="B110" s="5">
        <f t="shared" si="2"/>
        <v>106</v>
      </c>
      <c r="C110" s="5" t="s">
        <v>391</v>
      </c>
      <c r="D110" s="5" t="s">
        <v>317</v>
      </c>
      <c r="E110" s="5"/>
      <c r="F110" s="5"/>
      <c r="G110" s="5">
        <v>63</v>
      </c>
      <c r="H110" s="18">
        <v>55</v>
      </c>
      <c r="I110" s="464" t="e">
        <f t="shared" si="3"/>
        <v>#VALUE!</v>
      </c>
      <c r="J110" s="8"/>
    </row>
    <row r="111" spans="2:10">
      <c r="B111" s="5">
        <f t="shared" si="2"/>
        <v>107</v>
      </c>
      <c r="C111" s="5" t="s">
        <v>416</v>
      </c>
      <c r="D111" s="5" t="s">
        <v>265</v>
      </c>
      <c r="E111" s="5"/>
      <c r="F111" s="5"/>
      <c r="G111" s="5">
        <v>63</v>
      </c>
      <c r="H111" s="18">
        <v>60.2</v>
      </c>
      <c r="I111" s="464" t="e">
        <f t="shared" si="3"/>
        <v>#VALUE!</v>
      </c>
      <c r="J111" s="8"/>
    </row>
    <row r="112" spans="2:10">
      <c r="B112" s="5">
        <f t="shared" si="2"/>
        <v>108</v>
      </c>
      <c r="C112" s="5" t="s">
        <v>265</v>
      </c>
      <c r="D112" s="5" t="s">
        <v>247</v>
      </c>
      <c r="E112" s="5"/>
      <c r="F112" s="5"/>
      <c r="G112" s="5">
        <v>63</v>
      </c>
      <c r="H112" s="18">
        <v>31.4</v>
      </c>
      <c r="I112" s="464" t="e">
        <f t="shared" si="3"/>
        <v>#VALUE!</v>
      </c>
      <c r="J112" s="8"/>
    </row>
    <row r="113" spans="2:14">
      <c r="B113" s="5">
        <f t="shared" si="2"/>
        <v>109</v>
      </c>
      <c r="C113" s="5" t="s">
        <v>247</v>
      </c>
      <c r="D113" s="5" t="s">
        <v>412</v>
      </c>
      <c r="E113" s="5"/>
      <c r="F113" s="5"/>
      <c r="G113" s="5">
        <v>63</v>
      </c>
      <c r="H113" s="18">
        <v>25</v>
      </c>
      <c r="I113" s="464" t="e">
        <f t="shared" si="3"/>
        <v>#VALUE!</v>
      </c>
      <c r="J113" s="8"/>
    </row>
    <row r="114" spans="2:14">
      <c r="B114" s="5">
        <f t="shared" si="2"/>
        <v>110</v>
      </c>
      <c r="C114" s="5" t="s">
        <v>317</v>
      </c>
      <c r="D114" s="5" t="s">
        <v>264</v>
      </c>
      <c r="E114" s="5"/>
      <c r="F114" s="5"/>
      <c r="G114" s="5">
        <v>63</v>
      </c>
      <c r="H114" s="18">
        <v>67</v>
      </c>
      <c r="I114" s="464" t="e">
        <f t="shared" si="3"/>
        <v>#VALUE!</v>
      </c>
      <c r="J114" s="8"/>
    </row>
    <row r="115" spans="2:14">
      <c r="B115" s="5">
        <f t="shared" si="2"/>
        <v>111</v>
      </c>
      <c r="C115" s="5" t="s">
        <v>264</v>
      </c>
      <c r="D115" s="5" t="s">
        <v>628</v>
      </c>
      <c r="E115" s="5"/>
      <c r="F115" s="5"/>
      <c r="G115" s="5">
        <v>63</v>
      </c>
      <c r="H115" s="18">
        <v>17</v>
      </c>
      <c r="I115" s="464" t="e">
        <f t="shared" si="3"/>
        <v>#VALUE!</v>
      </c>
      <c r="J115" s="8"/>
    </row>
    <row r="116" spans="2:14">
      <c r="B116" s="5">
        <f t="shared" si="2"/>
        <v>112</v>
      </c>
      <c r="C116" s="5" t="s">
        <v>264</v>
      </c>
      <c r="D116" s="5" t="s">
        <v>261</v>
      </c>
      <c r="E116" s="5"/>
      <c r="F116" s="5"/>
      <c r="G116" s="5">
        <v>63</v>
      </c>
      <c r="H116" s="18">
        <v>45</v>
      </c>
      <c r="I116" s="464" t="e">
        <f t="shared" si="3"/>
        <v>#VALUE!</v>
      </c>
      <c r="J116" s="8"/>
    </row>
    <row r="117" spans="2:14">
      <c r="B117" s="5">
        <f t="shared" si="2"/>
        <v>113</v>
      </c>
      <c r="C117" s="5" t="s">
        <v>261</v>
      </c>
      <c r="D117" s="5" t="s">
        <v>316</v>
      </c>
      <c r="E117" s="5"/>
      <c r="F117" s="5"/>
      <c r="G117" s="5">
        <v>63</v>
      </c>
      <c r="H117" s="18">
        <v>194.2</v>
      </c>
      <c r="I117" s="464" t="e">
        <f t="shared" si="3"/>
        <v>#VALUE!</v>
      </c>
      <c r="J117" s="8"/>
    </row>
    <row r="118" spans="2:14">
      <c r="B118" s="5">
        <f t="shared" si="2"/>
        <v>114</v>
      </c>
      <c r="C118" s="5" t="s">
        <v>247</v>
      </c>
      <c r="D118" s="5" t="s">
        <v>317</v>
      </c>
      <c r="E118" s="5"/>
      <c r="F118" s="5"/>
      <c r="G118" s="5">
        <v>63</v>
      </c>
      <c r="H118" s="18">
        <v>9.6</v>
      </c>
      <c r="I118" s="464" t="e">
        <f t="shared" si="3"/>
        <v>#VALUE!</v>
      </c>
      <c r="J118" s="8"/>
    </row>
    <row r="119" spans="2:14">
      <c r="B119" s="5">
        <f t="shared" si="2"/>
        <v>115</v>
      </c>
      <c r="C119" s="5" t="s">
        <v>316</v>
      </c>
      <c r="D119" s="5" t="s">
        <v>382</v>
      </c>
      <c r="E119" s="5"/>
      <c r="F119" s="5"/>
      <c r="G119" s="5">
        <v>63</v>
      </c>
      <c r="H119" s="5">
        <v>62.4</v>
      </c>
      <c r="I119" s="464" t="e">
        <f t="shared" si="3"/>
        <v>#VALUE!</v>
      </c>
      <c r="J119" s="8"/>
    </row>
    <row r="120" spans="2:14">
      <c r="B120" s="5">
        <f t="shared" ref="B120:B183" si="4">1+B119</f>
        <v>116</v>
      </c>
      <c r="C120" s="5" t="s">
        <v>550</v>
      </c>
      <c r="D120" s="5" t="s">
        <v>615</v>
      </c>
      <c r="E120" s="5"/>
      <c r="F120" s="5"/>
      <c r="G120" s="5">
        <v>63</v>
      </c>
      <c r="H120" s="5">
        <v>37.5</v>
      </c>
      <c r="I120" s="464" t="e">
        <f t="shared" si="3"/>
        <v>#VALUE!</v>
      </c>
      <c r="J120" s="8"/>
    </row>
    <row r="121" spans="2:14">
      <c r="B121" s="5">
        <f t="shared" si="4"/>
        <v>117</v>
      </c>
      <c r="C121" s="5" t="s">
        <v>615</v>
      </c>
      <c r="D121" s="5" t="s">
        <v>561</v>
      </c>
      <c r="E121" s="5"/>
      <c r="F121" s="5"/>
      <c r="G121" s="5">
        <v>63</v>
      </c>
      <c r="H121" s="5">
        <v>11.3</v>
      </c>
      <c r="I121" s="464" t="e">
        <f t="shared" si="3"/>
        <v>#VALUE!</v>
      </c>
      <c r="J121" s="8"/>
    </row>
    <row r="122" spans="2:14">
      <c r="B122" s="5">
        <f t="shared" si="4"/>
        <v>118</v>
      </c>
      <c r="C122" s="5" t="s">
        <v>615</v>
      </c>
      <c r="D122" s="5" t="s">
        <v>1289</v>
      </c>
      <c r="E122" s="5"/>
      <c r="F122" s="5"/>
      <c r="G122" s="5">
        <v>63</v>
      </c>
      <c r="H122" s="5">
        <v>27.8</v>
      </c>
      <c r="I122" s="464" t="e">
        <f t="shared" si="3"/>
        <v>#VALUE!</v>
      </c>
      <c r="J122" s="8"/>
    </row>
    <row r="123" spans="2:14">
      <c r="B123" s="5">
        <f t="shared" si="4"/>
        <v>119</v>
      </c>
      <c r="C123" s="5" t="s">
        <v>1289</v>
      </c>
      <c r="D123" s="5" t="s">
        <v>554</v>
      </c>
      <c r="E123" s="5"/>
      <c r="F123" s="5"/>
      <c r="G123" s="5">
        <v>63</v>
      </c>
      <c r="H123" s="5">
        <v>26</v>
      </c>
      <c r="I123" s="464" t="e">
        <f t="shared" si="3"/>
        <v>#VALUE!</v>
      </c>
      <c r="J123" s="8"/>
    </row>
    <row r="124" spans="2:14">
      <c r="B124" s="5">
        <f t="shared" si="4"/>
        <v>120</v>
      </c>
      <c r="C124" s="5" t="s">
        <v>554</v>
      </c>
      <c r="D124" s="5" t="s">
        <v>571</v>
      </c>
      <c r="E124" s="5"/>
      <c r="F124" s="5"/>
      <c r="G124" s="5">
        <v>63</v>
      </c>
      <c r="H124" s="5">
        <v>64.7</v>
      </c>
      <c r="I124" s="464" t="e">
        <f t="shared" si="3"/>
        <v>#VALUE!</v>
      </c>
      <c r="J124" s="8"/>
    </row>
    <row r="125" spans="2:14">
      <c r="B125" s="5">
        <f t="shared" si="4"/>
        <v>121</v>
      </c>
      <c r="C125" s="5" t="s">
        <v>571</v>
      </c>
      <c r="D125" s="5" t="s">
        <v>1257</v>
      </c>
      <c r="E125" s="5"/>
      <c r="F125" s="5"/>
      <c r="G125" s="5">
        <v>63</v>
      </c>
      <c r="H125" s="5">
        <v>66</v>
      </c>
      <c r="I125" s="464" t="e">
        <f t="shared" si="3"/>
        <v>#VALUE!</v>
      </c>
      <c r="J125" s="8"/>
    </row>
    <row r="126" spans="2:14">
      <c r="B126" s="5">
        <f t="shared" si="4"/>
        <v>122</v>
      </c>
      <c r="C126" s="5" t="s">
        <v>1290</v>
      </c>
      <c r="D126" s="5" t="s">
        <v>1240</v>
      </c>
      <c r="E126" s="5"/>
      <c r="F126" s="5"/>
      <c r="G126" s="5">
        <v>63</v>
      </c>
      <c r="H126" s="5">
        <v>80.900000000000006</v>
      </c>
      <c r="I126" s="464" t="e">
        <f t="shared" si="3"/>
        <v>#VALUE!</v>
      </c>
      <c r="J126" s="8"/>
    </row>
    <row r="127" spans="2:14">
      <c r="B127" s="5">
        <f t="shared" si="4"/>
        <v>123</v>
      </c>
      <c r="C127" s="5" t="s">
        <v>1240</v>
      </c>
      <c r="D127" s="5" t="s">
        <v>1108</v>
      </c>
      <c r="E127" s="5"/>
      <c r="F127" s="5"/>
      <c r="G127" s="5">
        <v>63</v>
      </c>
      <c r="H127" s="5">
        <v>36</v>
      </c>
      <c r="I127" s="464" t="e">
        <f t="shared" si="3"/>
        <v>#VALUE!</v>
      </c>
      <c r="J127" s="8"/>
    </row>
    <row r="128" spans="2:14">
      <c r="B128" s="5">
        <f t="shared" si="4"/>
        <v>124</v>
      </c>
      <c r="C128" s="5" t="s">
        <v>1108</v>
      </c>
      <c r="D128" s="5" t="s">
        <v>1124</v>
      </c>
      <c r="E128" s="5" t="s">
        <v>199</v>
      </c>
      <c r="F128" s="18">
        <v>0.36</v>
      </c>
      <c r="G128" s="5">
        <v>63</v>
      </c>
      <c r="H128" s="5">
        <v>27</v>
      </c>
      <c r="I128" s="464" t="e">
        <f t="shared" si="3"/>
        <v>#VALUE!</v>
      </c>
      <c r="J128" s="8"/>
      <c r="N128">
        <f>1689.7*0.362</f>
        <v>611.67139999999995</v>
      </c>
    </row>
    <row r="129" spans="2:13">
      <c r="B129" s="5">
        <f t="shared" si="4"/>
        <v>125</v>
      </c>
      <c r="C129" s="5" t="s">
        <v>1124</v>
      </c>
      <c r="D129" s="5" t="s">
        <v>571</v>
      </c>
      <c r="E129" s="5" t="s">
        <v>199</v>
      </c>
      <c r="F129" s="18">
        <v>0.36</v>
      </c>
      <c r="G129" s="5">
        <v>63</v>
      </c>
      <c r="H129" s="5">
        <v>77.099999999999994</v>
      </c>
      <c r="I129" s="464" t="e">
        <f t="shared" si="3"/>
        <v>#VALUE!</v>
      </c>
      <c r="J129" s="8"/>
    </row>
    <row r="130" spans="2:13">
      <c r="B130" s="5">
        <f t="shared" si="4"/>
        <v>126</v>
      </c>
      <c r="C130" s="5" t="s">
        <v>530</v>
      </c>
      <c r="D130" s="5" t="s">
        <v>1124</v>
      </c>
      <c r="E130" s="5" t="s">
        <v>199</v>
      </c>
      <c r="F130" s="18">
        <v>0.36</v>
      </c>
      <c r="G130" s="5">
        <v>63</v>
      </c>
      <c r="H130" s="5">
        <v>82</v>
      </c>
      <c r="I130" s="464" t="e">
        <f t="shared" si="3"/>
        <v>#VALUE!</v>
      </c>
      <c r="J130" s="8"/>
    </row>
    <row r="131" spans="2:13">
      <c r="B131" s="5">
        <f t="shared" si="4"/>
        <v>127</v>
      </c>
      <c r="C131" s="6" t="s">
        <v>210</v>
      </c>
      <c r="D131" s="6" t="s">
        <v>1291</v>
      </c>
      <c r="E131" s="5" t="s">
        <v>301</v>
      </c>
      <c r="F131" s="18">
        <v>0.36</v>
      </c>
      <c r="G131" s="5">
        <v>63</v>
      </c>
      <c r="H131" s="5">
        <v>120.4</v>
      </c>
      <c r="I131" s="464" t="e">
        <f t="shared" si="3"/>
        <v>#VALUE!</v>
      </c>
      <c r="J131" s="8"/>
    </row>
    <row r="132" spans="2:13">
      <c r="B132" s="5">
        <f t="shared" si="4"/>
        <v>128</v>
      </c>
      <c r="C132" s="6" t="s">
        <v>1291</v>
      </c>
      <c r="D132" s="6" t="s">
        <v>1292</v>
      </c>
      <c r="E132" s="5"/>
      <c r="F132" s="5"/>
      <c r="G132" s="5">
        <v>63</v>
      </c>
      <c r="H132" s="5">
        <v>114.1</v>
      </c>
      <c r="I132" s="464" t="e">
        <f t="shared" si="3"/>
        <v>#VALUE!</v>
      </c>
      <c r="J132" s="8"/>
    </row>
    <row r="133" spans="2:13">
      <c r="B133" s="5">
        <f t="shared" si="4"/>
        <v>129</v>
      </c>
      <c r="C133" s="6" t="s">
        <v>1291</v>
      </c>
      <c r="D133" s="6" t="s">
        <v>1290</v>
      </c>
      <c r="E133" s="5" t="s">
        <v>301</v>
      </c>
      <c r="F133" s="18">
        <v>0.36</v>
      </c>
      <c r="G133" s="5">
        <v>63</v>
      </c>
      <c r="H133" s="5">
        <v>117.1</v>
      </c>
      <c r="I133" s="464" t="e">
        <f t="shared" si="3"/>
        <v>#VALUE!</v>
      </c>
      <c r="J133" s="8"/>
    </row>
    <row r="134" spans="2:13">
      <c r="B134" s="5">
        <f t="shared" si="4"/>
        <v>130</v>
      </c>
      <c r="C134" s="6" t="s">
        <v>1024</v>
      </c>
      <c r="D134" s="6" t="s">
        <v>530</v>
      </c>
      <c r="E134" s="5" t="s">
        <v>301</v>
      </c>
      <c r="F134" s="18">
        <v>0.36</v>
      </c>
      <c r="G134" s="5">
        <v>63</v>
      </c>
      <c r="H134" s="5">
        <v>17.399999999999999</v>
      </c>
      <c r="I134" s="464" t="e">
        <f t="shared" ref="I134:I197" si="5">+I133+H134</f>
        <v>#VALUE!</v>
      </c>
      <c r="J134" s="8"/>
      <c r="M134">
        <f>461.5*0.36</f>
        <v>166.14</v>
      </c>
    </row>
    <row r="135" spans="2:13">
      <c r="B135" s="5">
        <f t="shared" si="4"/>
        <v>131</v>
      </c>
      <c r="C135" s="6" t="s">
        <v>1024</v>
      </c>
      <c r="D135" s="6" t="s">
        <v>1293</v>
      </c>
      <c r="E135" s="5"/>
      <c r="F135" s="5"/>
      <c r="G135" s="5">
        <v>63</v>
      </c>
      <c r="H135" s="5">
        <v>84.4</v>
      </c>
      <c r="I135" s="464" t="e">
        <f t="shared" si="5"/>
        <v>#VALUE!</v>
      </c>
      <c r="J135" s="8"/>
    </row>
    <row r="136" spans="2:13">
      <c r="B136" s="5">
        <f t="shared" si="4"/>
        <v>132</v>
      </c>
      <c r="C136" s="6" t="s">
        <v>530</v>
      </c>
      <c r="D136" s="6" t="s">
        <v>1256</v>
      </c>
      <c r="E136" s="5" t="s">
        <v>301</v>
      </c>
      <c r="F136" s="18">
        <v>0.36</v>
      </c>
      <c r="G136" s="5">
        <v>63</v>
      </c>
      <c r="H136" s="5">
        <v>44.9</v>
      </c>
      <c r="I136" s="464" t="e">
        <f t="shared" si="5"/>
        <v>#VALUE!</v>
      </c>
      <c r="J136" s="8"/>
    </row>
    <row r="137" spans="2:13">
      <c r="B137" s="5">
        <f t="shared" si="4"/>
        <v>133</v>
      </c>
      <c r="C137" s="5" t="s">
        <v>1293</v>
      </c>
      <c r="D137" s="5" t="s">
        <v>1294</v>
      </c>
      <c r="E137" s="5"/>
      <c r="F137" s="5"/>
      <c r="G137" s="5">
        <v>63</v>
      </c>
      <c r="H137" s="5">
        <v>43.2</v>
      </c>
      <c r="I137" s="464" t="e">
        <f t="shared" si="5"/>
        <v>#VALUE!</v>
      </c>
      <c r="J137" s="8"/>
    </row>
    <row r="138" spans="2:13">
      <c r="B138" s="5">
        <f t="shared" si="4"/>
        <v>134</v>
      </c>
      <c r="C138" s="5" t="s">
        <v>1294</v>
      </c>
      <c r="D138" s="5" t="s">
        <v>562</v>
      </c>
      <c r="E138" s="5"/>
      <c r="F138" s="5"/>
      <c r="G138" s="5">
        <v>63</v>
      </c>
      <c r="H138" s="5">
        <v>62.9</v>
      </c>
      <c r="I138" s="464" t="e">
        <f t="shared" si="5"/>
        <v>#VALUE!</v>
      </c>
      <c r="J138" s="8"/>
    </row>
    <row r="139" spans="2:13">
      <c r="B139" s="5">
        <f t="shared" si="4"/>
        <v>135</v>
      </c>
      <c r="C139" s="5" t="s">
        <v>562</v>
      </c>
      <c r="D139" s="5" t="s">
        <v>555</v>
      </c>
      <c r="E139" s="5"/>
      <c r="F139" s="5"/>
      <c r="G139" s="5">
        <v>63</v>
      </c>
      <c r="H139" s="5">
        <v>23</v>
      </c>
      <c r="I139" s="464" t="e">
        <f t="shared" si="5"/>
        <v>#VALUE!</v>
      </c>
      <c r="J139" s="8"/>
    </row>
    <row r="140" spans="2:13">
      <c r="B140" s="5">
        <f t="shared" si="4"/>
        <v>136</v>
      </c>
      <c r="C140" s="5" t="s">
        <v>562</v>
      </c>
      <c r="D140" s="5" t="s">
        <v>1258</v>
      </c>
      <c r="E140" s="5"/>
      <c r="F140" s="5"/>
      <c r="G140" s="5">
        <v>63</v>
      </c>
      <c r="H140" s="5">
        <v>167.6</v>
      </c>
      <c r="I140" s="464" t="e">
        <f t="shared" si="5"/>
        <v>#VALUE!</v>
      </c>
      <c r="J140" s="8"/>
    </row>
    <row r="141" spans="2:13">
      <c r="B141" s="5">
        <f t="shared" si="4"/>
        <v>137</v>
      </c>
      <c r="C141" s="5" t="s">
        <v>562</v>
      </c>
      <c r="D141" s="5" t="s">
        <v>1022</v>
      </c>
      <c r="E141" s="5"/>
      <c r="F141" s="5"/>
      <c r="G141" s="5">
        <v>63</v>
      </c>
      <c r="H141" s="5">
        <v>135.69999999999999</v>
      </c>
      <c r="I141" s="464" t="e">
        <f t="shared" si="5"/>
        <v>#VALUE!</v>
      </c>
      <c r="J141" s="8"/>
    </row>
    <row r="142" spans="2:13">
      <c r="B142" s="5">
        <f t="shared" si="4"/>
        <v>138</v>
      </c>
      <c r="C142" s="5" t="s">
        <v>1254</v>
      </c>
      <c r="D142" s="5" t="s">
        <v>558</v>
      </c>
      <c r="E142" s="5"/>
      <c r="F142" s="5"/>
      <c r="G142" s="5">
        <v>63</v>
      </c>
      <c r="H142" s="5">
        <v>158.9</v>
      </c>
      <c r="I142" s="464" t="e">
        <f t="shared" si="5"/>
        <v>#VALUE!</v>
      </c>
      <c r="J142" s="8"/>
    </row>
    <row r="143" spans="2:13">
      <c r="B143" s="5">
        <f t="shared" si="4"/>
        <v>139</v>
      </c>
      <c r="C143" s="5" t="s">
        <v>558</v>
      </c>
      <c r="D143" s="5" t="s">
        <v>1255</v>
      </c>
      <c r="E143" s="5"/>
      <c r="F143" s="5"/>
      <c r="G143" s="5">
        <v>63</v>
      </c>
      <c r="H143" s="5">
        <v>115.4</v>
      </c>
      <c r="I143" s="464" t="e">
        <f t="shared" si="5"/>
        <v>#VALUE!</v>
      </c>
      <c r="J143" s="8"/>
    </row>
    <row r="144" spans="2:13">
      <c r="B144" s="5">
        <f t="shared" si="4"/>
        <v>140</v>
      </c>
      <c r="C144" s="5" t="s">
        <v>558</v>
      </c>
      <c r="D144" s="5" t="s">
        <v>547</v>
      </c>
      <c r="E144" s="5"/>
      <c r="F144" s="5"/>
      <c r="G144" s="5">
        <v>63</v>
      </c>
      <c r="H144" s="5">
        <v>100.5</v>
      </c>
      <c r="I144" s="464" t="e">
        <f t="shared" si="5"/>
        <v>#VALUE!</v>
      </c>
      <c r="J144" s="8"/>
    </row>
    <row r="145" spans="2:10">
      <c r="B145" s="5">
        <f t="shared" si="4"/>
        <v>141</v>
      </c>
      <c r="C145" s="5" t="s">
        <v>995</v>
      </c>
      <c r="D145" s="5" t="s">
        <v>1286</v>
      </c>
      <c r="E145" s="5"/>
      <c r="F145" s="5"/>
      <c r="G145" s="5">
        <v>63</v>
      </c>
      <c r="H145" s="5">
        <v>29.8</v>
      </c>
      <c r="I145" s="464" t="e">
        <f t="shared" si="5"/>
        <v>#VALUE!</v>
      </c>
      <c r="J145" s="8"/>
    </row>
    <row r="146" spans="2:10">
      <c r="B146" s="5">
        <f t="shared" si="4"/>
        <v>142</v>
      </c>
      <c r="C146" s="5" t="s">
        <v>1256</v>
      </c>
      <c r="D146" s="5" t="s">
        <v>1257</v>
      </c>
      <c r="E146" s="5"/>
      <c r="F146" s="5"/>
      <c r="G146" s="5">
        <v>63</v>
      </c>
      <c r="H146" s="5">
        <v>156.9</v>
      </c>
      <c r="I146" s="464" t="e">
        <f t="shared" si="5"/>
        <v>#VALUE!</v>
      </c>
      <c r="J146" s="8"/>
    </row>
    <row r="147" spans="2:10">
      <c r="B147" s="5">
        <f t="shared" si="4"/>
        <v>143</v>
      </c>
      <c r="C147" s="5" t="s">
        <v>1254</v>
      </c>
      <c r="D147" s="5" t="s">
        <v>995</v>
      </c>
      <c r="E147" s="5"/>
      <c r="F147" s="5"/>
      <c r="G147" s="5">
        <v>63</v>
      </c>
      <c r="H147" s="5">
        <v>55</v>
      </c>
      <c r="I147" s="464" t="e">
        <f t="shared" si="5"/>
        <v>#VALUE!</v>
      </c>
      <c r="J147" s="8"/>
    </row>
    <row r="148" spans="2:10">
      <c r="B148" s="5">
        <f t="shared" si="4"/>
        <v>144</v>
      </c>
      <c r="C148" s="5" t="s">
        <v>1258</v>
      </c>
      <c r="D148" s="5" t="s">
        <v>1259</v>
      </c>
      <c r="E148" s="5"/>
      <c r="F148" s="5"/>
      <c r="G148" s="5">
        <v>63</v>
      </c>
      <c r="H148" s="5">
        <v>41</v>
      </c>
      <c r="I148" s="464" t="e">
        <f t="shared" si="5"/>
        <v>#VALUE!</v>
      </c>
      <c r="J148" s="8"/>
    </row>
    <row r="149" spans="2:10">
      <c r="B149" s="5">
        <f t="shared" si="4"/>
        <v>145</v>
      </c>
      <c r="C149" s="5" t="s">
        <v>1259</v>
      </c>
      <c r="D149" s="5" t="s">
        <v>1260</v>
      </c>
      <c r="E149" s="5"/>
      <c r="F149" s="5"/>
      <c r="G149" s="5">
        <v>63</v>
      </c>
      <c r="H149" s="5">
        <v>7.8</v>
      </c>
      <c r="I149" s="464" t="e">
        <f t="shared" si="5"/>
        <v>#VALUE!</v>
      </c>
      <c r="J149" s="8"/>
    </row>
    <row r="150" spans="2:10">
      <c r="B150" s="5">
        <f t="shared" si="4"/>
        <v>146</v>
      </c>
      <c r="C150" s="5" t="s">
        <v>1260</v>
      </c>
      <c r="D150" s="5" t="s">
        <v>618</v>
      </c>
      <c r="E150" s="5"/>
      <c r="F150" s="5"/>
      <c r="G150" s="5">
        <v>63</v>
      </c>
      <c r="H150" s="5">
        <v>58.5</v>
      </c>
      <c r="I150" s="464" t="e">
        <f t="shared" si="5"/>
        <v>#VALUE!</v>
      </c>
      <c r="J150" s="8"/>
    </row>
    <row r="151" spans="2:10">
      <c r="B151" s="5">
        <f t="shared" si="4"/>
        <v>147</v>
      </c>
      <c r="C151" s="5" t="s">
        <v>618</v>
      </c>
      <c r="D151" s="5" t="s">
        <v>233</v>
      </c>
      <c r="E151" s="5"/>
      <c r="F151" s="5"/>
      <c r="G151" s="5">
        <v>63</v>
      </c>
      <c r="H151" s="5">
        <v>28.2</v>
      </c>
      <c r="I151" s="464" t="e">
        <f t="shared" si="5"/>
        <v>#VALUE!</v>
      </c>
      <c r="J151" s="8"/>
    </row>
    <row r="152" spans="2:10">
      <c r="B152" s="5">
        <f t="shared" si="4"/>
        <v>148</v>
      </c>
      <c r="C152" s="5" t="s">
        <v>1260</v>
      </c>
      <c r="D152" s="5" t="s">
        <v>204</v>
      </c>
      <c r="E152" s="5"/>
      <c r="F152" s="5"/>
      <c r="G152" s="5">
        <v>63</v>
      </c>
      <c r="H152" s="5">
        <v>149.80000000000001</v>
      </c>
      <c r="I152" s="464" t="e">
        <f t="shared" si="5"/>
        <v>#VALUE!</v>
      </c>
      <c r="J152" s="8"/>
    </row>
    <row r="153" spans="2:10">
      <c r="B153" s="5">
        <f t="shared" si="4"/>
        <v>149</v>
      </c>
      <c r="C153" s="5" t="s">
        <v>204</v>
      </c>
      <c r="D153" s="5" t="s">
        <v>570</v>
      </c>
      <c r="E153" s="5"/>
      <c r="F153" s="5"/>
      <c r="G153" s="5">
        <v>63</v>
      </c>
      <c r="H153" s="5">
        <v>69</v>
      </c>
      <c r="I153" s="464" t="e">
        <f t="shared" si="5"/>
        <v>#VALUE!</v>
      </c>
      <c r="J153" s="8"/>
    </row>
    <row r="154" spans="2:10">
      <c r="B154" s="5">
        <f t="shared" si="4"/>
        <v>150</v>
      </c>
      <c r="C154" s="5" t="s">
        <v>570</v>
      </c>
      <c r="D154" s="5" t="s">
        <v>210</v>
      </c>
      <c r="E154" s="5"/>
      <c r="F154" s="5"/>
      <c r="G154" s="5">
        <v>63</v>
      </c>
      <c r="H154" s="5">
        <v>16.3</v>
      </c>
      <c r="I154" s="464" t="e">
        <f t="shared" si="5"/>
        <v>#VALUE!</v>
      </c>
      <c r="J154" s="8"/>
    </row>
    <row r="155" spans="2:10">
      <c r="B155" s="5">
        <f t="shared" si="4"/>
        <v>151</v>
      </c>
      <c r="C155" s="5" t="s">
        <v>190</v>
      </c>
      <c r="D155" s="5" t="s">
        <v>352</v>
      </c>
      <c r="E155" s="5"/>
      <c r="F155" s="5"/>
      <c r="G155" s="5">
        <v>63</v>
      </c>
      <c r="H155" s="5">
        <v>65</v>
      </c>
      <c r="I155" s="464" t="e">
        <f t="shared" si="5"/>
        <v>#VALUE!</v>
      </c>
      <c r="J155" s="8"/>
    </row>
    <row r="156" spans="2:10">
      <c r="B156" s="5">
        <f t="shared" si="4"/>
        <v>152</v>
      </c>
      <c r="C156" s="5" t="s">
        <v>352</v>
      </c>
      <c r="D156" s="5" t="s">
        <v>225</v>
      </c>
      <c r="E156" s="63"/>
      <c r="F156" s="5"/>
      <c r="G156" s="5">
        <v>63</v>
      </c>
      <c r="H156" s="5">
        <v>128.4</v>
      </c>
      <c r="I156" s="464" t="e">
        <f t="shared" si="5"/>
        <v>#VALUE!</v>
      </c>
      <c r="J156" s="8"/>
    </row>
    <row r="157" spans="2:10">
      <c r="B157" s="5">
        <f t="shared" si="4"/>
        <v>153</v>
      </c>
      <c r="C157" s="5" t="s">
        <v>225</v>
      </c>
      <c r="D157" s="5">
        <v>279</v>
      </c>
      <c r="E157" s="5"/>
      <c r="F157" s="5"/>
      <c r="G157" s="5">
        <v>63</v>
      </c>
      <c r="H157" s="5">
        <v>181.7</v>
      </c>
      <c r="I157" s="464" t="e">
        <f t="shared" si="5"/>
        <v>#VALUE!</v>
      </c>
      <c r="J157" s="8"/>
    </row>
    <row r="158" spans="2:10">
      <c r="B158" s="5">
        <f t="shared" si="4"/>
        <v>154</v>
      </c>
      <c r="C158" s="5" t="s">
        <v>225</v>
      </c>
      <c r="D158" s="5">
        <v>279</v>
      </c>
      <c r="E158" s="5" t="s">
        <v>193</v>
      </c>
      <c r="F158" s="18">
        <v>0.36</v>
      </c>
      <c r="G158" s="5">
        <v>63</v>
      </c>
      <c r="H158" s="5">
        <v>6</v>
      </c>
      <c r="I158" s="464" t="e">
        <f t="shared" si="5"/>
        <v>#VALUE!</v>
      </c>
      <c r="J158" s="8"/>
    </row>
    <row r="159" spans="2:10">
      <c r="B159" s="5">
        <f t="shared" si="4"/>
        <v>155</v>
      </c>
      <c r="C159" s="5" t="s">
        <v>1295</v>
      </c>
      <c r="D159" s="5" t="s">
        <v>584</v>
      </c>
      <c r="E159" s="5"/>
      <c r="F159" s="5"/>
      <c r="G159" s="5">
        <v>63</v>
      </c>
      <c r="H159" s="5">
        <v>198.9</v>
      </c>
      <c r="I159" s="464" t="e">
        <f t="shared" si="5"/>
        <v>#VALUE!</v>
      </c>
      <c r="J159" s="8"/>
    </row>
    <row r="160" spans="2:10">
      <c r="B160" s="5">
        <f t="shared" si="4"/>
        <v>156</v>
      </c>
      <c r="C160" s="5" t="s">
        <v>1295</v>
      </c>
      <c r="D160" s="5" t="s">
        <v>1296</v>
      </c>
      <c r="E160" s="5"/>
      <c r="F160" s="5"/>
      <c r="G160" s="5">
        <v>63</v>
      </c>
      <c r="H160" s="5">
        <v>305.7</v>
      </c>
      <c r="I160" s="464" t="e">
        <f t="shared" si="5"/>
        <v>#VALUE!</v>
      </c>
      <c r="J160" s="8"/>
    </row>
    <row r="161" spans="2:10">
      <c r="B161" s="5">
        <f t="shared" si="4"/>
        <v>157</v>
      </c>
      <c r="C161" s="5" t="s">
        <v>1296</v>
      </c>
      <c r="D161" s="5" t="s">
        <v>711</v>
      </c>
      <c r="E161" s="5"/>
      <c r="F161" s="5"/>
      <c r="G161" s="5">
        <v>63</v>
      </c>
      <c r="H161" s="5">
        <v>133.4</v>
      </c>
      <c r="I161" s="464" t="e">
        <f t="shared" si="5"/>
        <v>#VALUE!</v>
      </c>
      <c r="J161" s="8"/>
    </row>
    <row r="162" spans="2:10">
      <c r="B162" s="5">
        <f t="shared" si="4"/>
        <v>158</v>
      </c>
      <c r="C162" s="5" t="s">
        <v>1296</v>
      </c>
      <c r="D162" s="5" t="s">
        <v>702</v>
      </c>
      <c r="E162" s="5"/>
      <c r="F162" s="5"/>
      <c r="G162" s="5">
        <v>63</v>
      </c>
      <c r="H162" s="5">
        <v>195.1</v>
      </c>
      <c r="I162" s="464" t="e">
        <f t="shared" si="5"/>
        <v>#VALUE!</v>
      </c>
      <c r="J162" s="8"/>
    </row>
    <row r="163" spans="2:10">
      <c r="B163" s="5">
        <f t="shared" si="4"/>
        <v>159</v>
      </c>
      <c r="C163" s="5" t="s">
        <v>702</v>
      </c>
      <c r="D163" s="5" t="s">
        <v>712</v>
      </c>
      <c r="E163" s="5"/>
      <c r="F163" s="5"/>
      <c r="G163" s="5">
        <v>63</v>
      </c>
      <c r="H163" s="5">
        <v>28.6</v>
      </c>
      <c r="I163" s="464" t="e">
        <f t="shared" si="5"/>
        <v>#VALUE!</v>
      </c>
      <c r="J163" s="8"/>
    </row>
    <row r="164" spans="2:10">
      <c r="B164" s="5">
        <f t="shared" si="4"/>
        <v>160</v>
      </c>
      <c r="C164" s="5" t="s">
        <v>712</v>
      </c>
      <c r="D164" s="5" t="s">
        <v>617</v>
      </c>
      <c r="E164" s="5"/>
      <c r="F164" s="5"/>
      <c r="G164" s="5">
        <v>63</v>
      </c>
      <c r="H164" s="5">
        <v>145.1</v>
      </c>
      <c r="I164" s="464" t="e">
        <f t="shared" si="5"/>
        <v>#VALUE!</v>
      </c>
      <c r="J164" s="8"/>
    </row>
    <row r="165" spans="2:10">
      <c r="B165" s="5">
        <f t="shared" si="4"/>
        <v>161</v>
      </c>
      <c r="C165" s="5" t="s">
        <v>712</v>
      </c>
      <c r="D165" s="5" t="s">
        <v>617</v>
      </c>
      <c r="E165" s="5" t="s">
        <v>193</v>
      </c>
      <c r="F165" s="18">
        <v>0.36</v>
      </c>
      <c r="G165" s="5">
        <v>63</v>
      </c>
      <c r="H165" s="5">
        <v>4</v>
      </c>
      <c r="I165" s="464" t="e">
        <f t="shared" si="5"/>
        <v>#VALUE!</v>
      </c>
      <c r="J165" s="8"/>
    </row>
    <row r="166" spans="2:10">
      <c r="B166" s="5">
        <f t="shared" si="4"/>
        <v>162</v>
      </c>
      <c r="C166" s="5" t="s">
        <v>225</v>
      </c>
      <c r="D166" s="5" t="s">
        <v>639</v>
      </c>
      <c r="E166" s="5"/>
      <c r="F166" s="5"/>
      <c r="G166" s="5">
        <v>63</v>
      </c>
      <c r="H166" s="5">
        <v>251.7</v>
      </c>
      <c r="I166" s="464" t="e">
        <f t="shared" si="5"/>
        <v>#VALUE!</v>
      </c>
      <c r="J166" s="8"/>
    </row>
    <row r="167" spans="2:10">
      <c r="B167" s="5">
        <f t="shared" si="4"/>
        <v>163</v>
      </c>
      <c r="C167" s="5" t="s">
        <v>639</v>
      </c>
      <c r="D167" s="5" t="s">
        <v>270</v>
      </c>
      <c r="E167" s="5"/>
      <c r="F167" s="5"/>
      <c r="G167" s="5">
        <v>63</v>
      </c>
      <c r="H167" s="5">
        <v>101.6</v>
      </c>
      <c r="I167" s="464" t="e">
        <f t="shared" si="5"/>
        <v>#VALUE!</v>
      </c>
      <c r="J167" s="8"/>
    </row>
    <row r="168" spans="2:10">
      <c r="B168" s="5">
        <f t="shared" si="4"/>
        <v>164</v>
      </c>
      <c r="C168" s="5" t="s">
        <v>270</v>
      </c>
      <c r="D168" s="5" t="s">
        <v>352</v>
      </c>
      <c r="E168" s="5"/>
      <c r="F168" s="5"/>
      <c r="G168" s="5">
        <v>63</v>
      </c>
      <c r="H168" s="5">
        <v>106.6</v>
      </c>
      <c r="I168" s="464" t="e">
        <f t="shared" si="5"/>
        <v>#VALUE!</v>
      </c>
      <c r="J168" s="8"/>
    </row>
    <row r="169" spans="2:10">
      <c r="B169" s="5">
        <f t="shared" si="4"/>
        <v>165</v>
      </c>
      <c r="C169" s="5" t="s">
        <v>246</v>
      </c>
      <c r="D169" s="5" t="s">
        <v>306</v>
      </c>
      <c r="E169" s="5"/>
      <c r="F169" s="5"/>
      <c r="G169" s="5">
        <v>63</v>
      </c>
      <c r="H169" s="5">
        <v>8.1999999999999993</v>
      </c>
      <c r="I169" s="464" t="e">
        <f t="shared" si="5"/>
        <v>#VALUE!</v>
      </c>
      <c r="J169" s="8"/>
    </row>
    <row r="170" spans="2:10">
      <c r="B170" s="5">
        <f t="shared" si="4"/>
        <v>166</v>
      </c>
      <c r="C170" s="5" t="s">
        <v>306</v>
      </c>
      <c r="D170" s="5" t="s">
        <v>244</v>
      </c>
      <c r="E170" s="5"/>
      <c r="F170" s="5"/>
      <c r="G170" s="5">
        <v>63</v>
      </c>
      <c r="H170" s="5">
        <v>131</v>
      </c>
      <c r="I170" s="464" t="e">
        <f t="shared" si="5"/>
        <v>#VALUE!</v>
      </c>
      <c r="J170" s="8"/>
    </row>
    <row r="171" spans="2:10">
      <c r="B171" s="5">
        <f t="shared" si="4"/>
        <v>167</v>
      </c>
      <c r="C171" s="5" t="s">
        <v>359</v>
      </c>
      <c r="D171" s="5" t="s">
        <v>435</v>
      </c>
      <c r="E171" s="5"/>
      <c r="F171" s="5"/>
      <c r="G171" s="5">
        <v>63</v>
      </c>
      <c r="H171" s="5">
        <v>93</v>
      </c>
      <c r="I171" s="464" t="e">
        <f t="shared" si="5"/>
        <v>#VALUE!</v>
      </c>
      <c r="J171" s="8"/>
    </row>
    <row r="172" spans="2:10">
      <c r="B172" s="5">
        <f t="shared" si="4"/>
        <v>168</v>
      </c>
      <c r="C172" s="5" t="s">
        <v>262</v>
      </c>
      <c r="D172" s="5" t="s">
        <v>516</v>
      </c>
      <c r="E172" s="5"/>
      <c r="F172" s="5"/>
      <c r="G172" s="5">
        <v>63</v>
      </c>
      <c r="H172" s="5">
        <v>452.4</v>
      </c>
      <c r="I172" s="464" t="e">
        <f t="shared" si="5"/>
        <v>#VALUE!</v>
      </c>
      <c r="J172" s="8"/>
    </row>
    <row r="173" spans="2:10">
      <c r="B173" s="5">
        <f t="shared" si="4"/>
        <v>169</v>
      </c>
      <c r="C173" s="5" t="s">
        <v>516</v>
      </c>
      <c r="D173" s="5" t="s">
        <v>276</v>
      </c>
      <c r="E173" s="5"/>
      <c r="F173" s="5"/>
      <c r="G173" s="5">
        <v>63</v>
      </c>
      <c r="H173" s="5">
        <v>72.3</v>
      </c>
      <c r="I173" s="464" t="e">
        <f t="shared" si="5"/>
        <v>#VALUE!</v>
      </c>
      <c r="J173" s="8"/>
    </row>
    <row r="174" spans="2:10">
      <c r="B174" s="5">
        <f t="shared" si="4"/>
        <v>170</v>
      </c>
      <c r="C174" s="5" t="s">
        <v>516</v>
      </c>
      <c r="D174" s="5" t="s">
        <v>446</v>
      </c>
      <c r="E174" s="5"/>
      <c r="F174" s="5"/>
      <c r="G174" s="5">
        <v>63</v>
      </c>
      <c r="H174" s="5">
        <v>108.5</v>
      </c>
      <c r="I174" s="464" t="e">
        <f t="shared" si="5"/>
        <v>#VALUE!</v>
      </c>
      <c r="J174" s="8"/>
    </row>
    <row r="175" spans="2:10">
      <c r="B175" s="5">
        <f t="shared" si="4"/>
        <v>171</v>
      </c>
      <c r="C175" s="5" t="s">
        <v>237</v>
      </c>
      <c r="D175" s="5" t="s">
        <v>244</v>
      </c>
      <c r="E175" s="5"/>
      <c r="F175" s="5"/>
      <c r="G175" s="5">
        <v>63</v>
      </c>
      <c r="H175" s="5">
        <v>56</v>
      </c>
      <c r="I175" s="464" t="e">
        <f t="shared" si="5"/>
        <v>#VALUE!</v>
      </c>
      <c r="J175" s="8"/>
    </row>
    <row r="176" spans="2:10">
      <c r="B176" s="5">
        <f t="shared" si="4"/>
        <v>172</v>
      </c>
      <c r="C176" s="5" t="s">
        <v>237</v>
      </c>
      <c r="D176" s="5" t="s">
        <v>198</v>
      </c>
      <c r="E176" s="5"/>
      <c r="F176" s="5"/>
      <c r="G176" s="5">
        <v>63</v>
      </c>
      <c r="H176" s="5">
        <v>119.3</v>
      </c>
      <c r="I176" s="464" t="e">
        <f t="shared" si="5"/>
        <v>#VALUE!</v>
      </c>
      <c r="J176" s="8"/>
    </row>
    <row r="177" spans="2:10">
      <c r="B177" s="5">
        <f t="shared" si="4"/>
        <v>173</v>
      </c>
      <c r="C177" s="5" t="s">
        <v>198</v>
      </c>
      <c r="D177" s="5" t="s">
        <v>396</v>
      </c>
      <c r="E177" s="5"/>
      <c r="F177" s="5"/>
      <c r="G177" s="5">
        <v>63</v>
      </c>
      <c r="H177" s="5">
        <v>64.400000000000006</v>
      </c>
      <c r="I177" s="464" t="e">
        <f t="shared" si="5"/>
        <v>#VALUE!</v>
      </c>
      <c r="J177" s="8"/>
    </row>
    <row r="178" spans="2:10">
      <c r="B178" s="5">
        <f t="shared" si="4"/>
        <v>174</v>
      </c>
      <c r="C178" s="5" t="s">
        <v>198</v>
      </c>
      <c r="D178" s="5" t="s">
        <v>274</v>
      </c>
      <c r="E178" s="5"/>
      <c r="F178" s="5"/>
      <c r="G178" s="5">
        <v>63</v>
      </c>
      <c r="H178" s="5">
        <v>91.3</v>
      </c>
      <c r="I178" s="464" t="e">
        <f t="shared" si="5"/>
        <v>#VALUE!</v>
      </c>
      <c r="J178" s="8"/>
    </row>
    <row r="179" spans="2:10">
      <c r="B179" s="5">
        <f t="shared" si="4"/>
        <v>175</v>
      </c>
      <c r="C179" s="5" t="s">
        <v>274</v>
      </c>
      <c r="D179" s="5" t="s">
        <v>386</v>
      </c>
      <c r="E179" s="5"/>
      <c r="F179" s="5"/>
      <c r="G179" s="5">
        <v>63</v>
      </c>
      <c r="H179" s="5">
        <v>53.3</v>
      </c>
      <c r="I179" s="464" t="e">
        <f t="shared" si="5"/>
        <v>#VALUE!</v>
      </c>
      <c r="J179" s="8"/>
    </row>
    <row r="180" spans="2:10">
      <c r="B180" s="5">
        <f t="shared" si="4"/>
        <v>176</v>
      </c>
      <c r="C180" s="5" t="s">
        <v>386</v>
      </c>
      <c r="D180" s="5" t="s">
        <v>308</v>
      </c>
      <c r="E180" s="5"/>
      <c r="F180" s="5"/>
      <c r="G180" s="5">
        <v>63</v>
      </c>
      <c r="H180" s="5">
        <v>60.9</v>
      </c>
      <c r="I180" s="464" t="e">
        <f t="shared" si="5"/>
        <v>#VALUE!</v>
      </c>
      <c r="J180" s="8"/>
    </row>
    <row r="181" spans="2:10">
      <c r="B181" s="5">
        <f t="shared" si="4"/>
        <v>177</v>
      </c>
      <c r="C181" s="5" t="s">
        <v>386</v>
      </c>
      <c r="D181" s="5">
        <v>87</v>
      </c>
      <c r="E181" s="5"/>
      <c r="F181" s="5"/>
      <c r="G181" s="5">
        <v>63</v>
      </c>
      <c r="H181" s="5">
        <v>47</v>
      </c>
      <c r="I181" s="464" t="e">
        <f t="shared" si="5"/>
        <v>#VALUE!</v>
      </c>
      <c r="J181" s="8"/>
    </row>
    <row r="182" spans="2:10">
      <c r="B182" s="5">
        <f t="shared" si="4"/>
        <v>178</v>
      </c>
      <c r="C182" s="5" t="s">
        <v>509</v>
      </c>
      <c r="D182" s="5" t="s">
        <v>323</v>
      </c>
      <c r="E182" s="5"/>
      <c r="F182" s="5"/>
      <c r="G182" s="5">
        <v>63</v>
      </c>
      <c r="H182" s="5">
        <v>88</v>
      </c>
      <c r="I182" s="464" t="e">
        <f t="shared" si="5"/>
        <v>#VALUE!</v>
      </c>
      <c r="J182" s="8"/>
    </row>
    <row r="183" spans="2:10">
      <c r="B183" s="5">
        <f t="shared" si="4"/>
        <v>179</v>
      </c>
      <c r="C183" s="5" t="s">
        <v>509</v>
      </c>
      <c r="D183" s="5" t="s">
        <v>306</v>
      </c>
      <c r="E183" s="5"/>
      <c r="F183" s="5"/>
      <c r="G183" s="5">
        <v>63</v>
      </c>
      <c r="H183" s="5">
        <v>18</v>
      </c>
      <c r="I183" s="464" t="e">
        <f t="shared" si="5"/>
        <v>#VALUE!</v>
      </c>
      <c r="J183" s="8"/>
    </row>
    <row r="184" spans="2:10">
      <c r="B184" s="5">
        <f t="shared" ref="B184:B247" si="6">1+B183</f>
        <v>180</v>
      </c>
      <c r="C184" s="5" t="s">
        <v>274</v>
      </c>
      <c r="D184" s="5" t="s">
        <v>245</v>
      </c>
      <c r="E184" s="5"/>
      <c r="F184" s="5"/>
      <c r="G184" s="5">
        <v>63</v>
      </c>
      <c r="H184" s="5">
        <v>98</v>
      </c>
      <c r="I184" s="464" t="e">
        <f t="shared" si="5"/>
        <v>#VALUE!</v>
      </c>
      <c r="J184" s="8"/>
    </row>
    <row r="185" spans="2:10">
      <c r="B185" s="5">
        <f t="shared" si="6"/>
        <v>181</v>
      </c>
      <c r="C185" s="5" t="s">
        <v>245</v>
      </c>
      <c r="D185" s="5" t="s">
        <v>846</v>
      </c>
      <c r="E185" s="5"/>
      <c r="F185" s="5"/>
      <c r="G185" s="5">
        <v>63</v>
      </c>
      <c r="H185" s="5">
        <v>64</v>
      </c>
      <c r="I185" s="464" t="e">
        <f t="shared" si="5"/>
        <v>#VALUE!</v>
      </c>
      <c r="J185" s="8"/>
    </row>
    <row r="186" spans="2:10">
      <c r="B186" s="5">
        <f t="shared" si="6"/>
        <v>182</v>
      </c>
      <c r="C186" s="5" t="s">
        <v>270</v>
      </c>
      <c r="D186" s="5" t="s">
        <v>244</v>
      </c>
      <c r="E186" s="5"/>
      <c r="F186" s="5"/>
      <c r="G186" s="5">
        <v>63</v>
      </c>
      <c r="H186" s="5">
        <v>24.5</v>
      </c>
      <c r="I186" s="464" t="e">
        <f t="shared" si="5"/>
        <v>#VALUE!</v>
      </c>
      <c r="J186" s="8"/>
    </row>
    <row r="187" spans="2:10">
      <c r="B187" s="5">
        <f t="shared" si="6"/>
        <v>183</v>
      </c>
      <c r="C187" s="5" t="s">
        <v>846</v>
      </c>
      <c r="D187" s="5" t="s">
        <v>310</v>
      </c>
      <c r="E187" s="5"/>
      <c r="F187" s="5"/>
      <c r="G187" s="5">
        <v>63</v>
      </c>
      <c r="H187" s="5">
        <v>70.599999999999994</v>
      </c>
      <c r="I187" s="464" t="e">
        <f t="shared" si="5"/>
        <v>#VALUE!</v>
      </c>
      <c r="J187" s="8"/>
    </row>
    <row r="188" spans="2:10">
      <c r="B188" s="5">
        <f t="shared" si="6"/>
        <v>184</v>
      </c>
      <c r="C188" s="5" t="s">
        <v>310</v>
      </c>
      <c r="D188" s="5" t="s">
        <v>434</v>
      </c>
      <c r="E188" s="5"/>
      <c r="F188" s="5"/>
      <c r="G188" s="5">
        <v>63</v>
      </c>
      <c r="H188" s="5">
        <v>111.4</v>
      </c>
      <c r="I188" s="464" t="e">
        <f t="shared" si="5"/>
        <v>#VALUE!</v>
      </c>
      <c r="J188" s="8"/>
    </row>
    <row r="189" spans="2:10">
      <c r="B189" s="5">
        <f t="shared" si="6"/>
        <v>185</v>
      </c>
      <c r="C189" s="5" t="s">
        <v>274</v>
      </c>
      <c r="D189" s="5" t="s">
        <v>310</v>
      </c>
      <c r="E189" s="5"/>
      <c r="F189" s="5"/>
      <c r="G189" s="5">
        <v>63</v>
      </c>
      <c r="H189" s="5">
        <v>117</v>
      </c>
      <c r="I189" s="464" t="e">
        <f t="shared" si="5"/>
        <v>#VALUE!</v>
      </c>
      <c r="J189" s="8"/>
    </row>
    <row r="190" spans="2:10">
      <c r="B190" s="5">
        <f t="shared" si="6"/>
        <v>186</v>
      </c>
      <c r="C190" s="5" t="s">
        <v>846</v>
      </c>
      <c r="D190" s="5" t="s">
        <v>639</v>
      </c>
      <c r="E190" s="5"/>
      <c r="F190" s="5"/>
      <c r="G190" s="5">
        <v>63</v>
      </c>
      <c r="H190" s="5">
        <v>31.3</v>
      </c>
      <c r="I190" s="464" t="e">
        <f t="shared" si="5"/>
        <v>#VALUE!</v>
      </c>
      <c r="J190" s="8"/>
    </row>
    <row r="191" spans="2:10">
      <c r="B191" s="5">
        <f t="shared" si="6"/>
        <v>187</v>
      </c>
      <c r="C191" s="5" t="s">
        <v>150</v>
      </c>
      <c r="D191" s="5" t="s">
        <v>132</v>
      </c>
      <c r="E191" s="5"/>
      <c r="F191" s="5"/>
      <c r="G191" s="5">
        <v>63</v>
      </c>
      <c r="H191" s="5">
        <v>80.5</v>
      </c>
      <c r="I191" s="464" t="e">
        <f t="shared" si="5"/>
        <v>#VALUE!</v>
      </c>
      <c r="J191" s="8"/>
    </row>
    <row r="192" spans="2:10">
      <c r="B192" s="5">
        <f t="shared" si="6"/>
        <v>188</v>
      </c>
      <c r="C192" s="5" t="s">
        <v>1238</v>
      </c>
      <c r="D192" s="5" t="s">
        <v>132</v>
      </c>
      <c r="E192" s="5"/>
      <c r="F192" s="5"/>
      <c r="G192" s="5">
        <v>63</v>
      </c>
      <c r="H192" s="5">
        <v>141.9</v>
      </c>
      <c r="I192" s="464" t="e">
        <f t="shared" si="5"/>
        <v>#VALUE!</v>
      </c>
      <c r="J192" s="8"/>
    </row>
    <row r="193" spans="2:10">
      <c r="B193" s="5">
        <f t="shared" si="6"/>
        <v>189</v>
      </c>
      <c r="C193" s="5" t="s">
        <v>132</v>
      </c>
      <c r="D193" s="5" t="s">
        <v>1297</v>
      </c>
      <c r="E193" s="5"/>
      <c r="F193" s="5"/>
      <c r="G193" s="5">
        <v>63</v>
      </c>
      <c r="H193" s="5">
        <v>18</v>
      </c>
      <c r="I193" s="464" t="e">
        <f t="shared" si="5"/>
        <v>#VALUE!</v>
      </c>
      <c r="J193" s="8"/>
    </row>
    <row r="194" spans="2:10">
      <c r="B194" s="5">
        <f t="shared" si="6"/>
        <v>190</v>
      </c>
      <c r="C194" s="5" t="s">
        <v>1297</v>
      </c>
      <c r="D194" s="5" t="s">
        <v>1298</v>
      </c>
      <c r="E194" s="5"/>
      <c r="F194" s="5"/>
      <c r="G194" s="5">
        <v>63</v>
      </c>
      <c r="H194" s="5">
        <v>25.7</v>
      </c>
      <c r="I194" s="464" t="e">
        <f t="shared" si="5"/>
        <v>#VALUE!</v>
      </c>
      <c r="J194" s="8"/>
    </row>
    <row r="195" spans="2:10">
      <c r="B195" s="5">
        <f t="shared" si="6"/>
        <v>191</v>
      </c>
      <c r="C195" s="5" t="s">
        <v>1298</v>
      </c>
      <c r="D195" s="5" t="s">
        <v>46</v>
      </c>
      <c r="E195" s="5"/>
      <c r="F195" s="5"/>
      <c r="G195" s="5">
        <v>63</v>
      </c>
      <c r="H195" s="5">
        <v>10</v>
      </c>
      <c r="I195" s="464" t="e">
        <f t="shared" si="5"/>
        <v>#VALUE!</v>
      </c>
      <c r="J195" s="8"/>
    </row>
    <row r="196" spans="2:10">
      <c r="B196" s="5">
        <f t="shared" si="6"/>
        <v>192</v>
      </c>
      <c r="C196" s="5" t="s">
        <v>1298</v>
      </c>
      <c r="D196" s="5" t="s">
        <v>929</v>
      </c>
      <c r="E196" s="5"/>
      <c r="F196" s="5"/>
      <c r="G196" s="5">
        <v>63</v>
      </c>
      <c r="H196" s="5">
        <v>10</v>
      </c>
      <c r="I196" s="464" t="e">
        <f t="shared" si="5"/>
        <v>#VALUE!</v>
      </c>
      <c r="J196" s="8"/>
    </row>
    <row r="197" spans="2:10">
      <c r="B197" s="5">
        <f t="shared" si="6"/>
        <v>193</v>
      </c>
      <c r="C197" s="5" t="s">
        <v>929</v>
      </c>
      <c r="D197" s="5" t="s">
        <v>103</v>
      </c>
      <c r="E197" s="5"/>
      <c r="F197" s="5"/>
      <c r="G197" s="5">
        <v>63</v>
      </c>
      <c r="H197" s="5">
        <v>46.7</v>
      </c>
      <c r="I197" s="464" t="e">
        <f t="shared" si="5"/>
        <v>#VALUE!</v>
      </c>
      <c r="J197" s="8"/>
    </row>
    <row r="198" spans="2:10">
      <c r="B198" s="5">
        <f t="shared" si="6"/>
        <v>194</v>
      </c>
      <c r="C198" s="5" t="s">
        <v>103</v>
      </c>
      <c r="D198" s="5" t="s">
        <v>83</v>
      </c>
      <c r="E198" s="5"/>
      <c r="F198" s="5"/>
      <c r="G198" s="5">
        <v>63</v>
      </c>
      <c r="H198" s="5">
        <v>13.5</v>
      </c>
      <c r="I198" s="464" t="e">
        <f t="shared" ref="I198:I261" si="7">+I197+H198</f>
        <v>#VALUE!</v>
      </c>
      <c r="J198" s="8"/>
    </row>
    <row r="199" spans="2:10">
      <c r="B199" s="5">
        <f t="shared" si="6"/>
        <v>195</v>
      </c>
      <c r="C199" s="5" t="s">
        <v>103</v>
      </c>
      <c r="D199" s="5" t="s">
        <v>77</v>
      </c>
      <c r="E199" s="5"/>
      <c r="F199" s="5"/>
      <c r="G199" s="5">
        <v>63</v>
      </c>
      <c r="H199" s="5">
        <v>9.5</v>
      </c>
      <c r="I199" s="464" t="e">
        <f t="shared" si="7"/>
        <v>#VALUE!</v>
      </c>
      <c r="J199" s="8"/>
    </row>
    <row r="200" spans="2:10">
      <c r="B200" s="5">
        <f t="shared" si="6"/>
        <v>196</v>
      </c>
      <c r="C200" s="5" t="s">
        <v>74</v>
      </c>
      <c r="D200" s="5" t="s">
        <v>90</v>
      </c>
      <c r="E200" s="5"/>
      <c r="F200" s="5"/>
      <c r="G200" s="5">
        <v>63</v>
      </c>
      <c r="H200" s="5">
        <v>34.4</v>
      </c>
      <c r="I200" s="464" t="e">
        <f t="shared" si="7"/>
        <v>#VALUE!</v>
      </c>
      <c r="J200" s="8"/>
    </row>
    <row r="201" spans="2:10">
      <c r="B201" s="5">
        <f t="shared" si="6"/>
        <v>197</v>
      </c>
      <c r="C201" s="5" t="s">
        <v>90</v>
      </c>
      <c r="D201" s="5" t="s">
        <v>105</v>
      </c>
      <c r="E201" s="5" t="s">
        <v>45</v>
      </c>
      <c r="F201" s="18">
        <v>0.36</v>
      </c>
      <c r="G201" s="5">
        <v>63</v>
      </c>
      <c r="H201" s="5">
        <v>66.400000000000006</v>
      </c>
      <c r="I201" s="464" t="e">
        <f t="shared" si="7"/>
        <v>#VALUE!</v>
      </c>
      <c r="J201" s="8"/>
    </row>
    <row r="202" spans="2:10">
      <c r="B202" s="5">
        <f t="shared" si="6"/>
        <v>198</v>
      </c>
      <c r="C202" s="5" t="s">
        <v>105</v>
      </c>
      <c r="D202" s="5" t="s">
        <v>88</v>
      </c>
      <c r="E202" s="5"/>
      <c r="F202" s="5"/>
      <c r="G202" s="5">
        <v>63</v>
      </c>
      <c r="H202" s="5">
        <v>46.7</v>
      </c>
      <c r="I202" s="464" t="e">
        <f t="shared" si="7"/>
        <v>#VALUE!</v>
      </c>
      <c r="J202" s="8"/>
    </row>
    <row r="203" spans="2:10">
      <c r="B203" s="5">
        <f t="shared" si="6"/>
        <v>199</v>
      </c>
      <c r="C203" s="5" t="s">
        <v>105</v>
      </c>
      <c r="D203" s="5" t="s">
        <v>79</v>
      </c>
      <c r="E203" s="5" t="s">
        <v>45</v>
      </c>
      <c r="F203" s="18">
        <v>0.36</v>
      </c>
      <c r="G203" s="5">
        <v>63</v>
      </c>
      <c r="H203" s="5">
        <v>24.2</v>
      </c>
      <c r="I203" s="464" t="e">
        <f t="shared" si="7"/>
        <v>#VALUE!</v>
      </c>
      <c r="J203" s="8"/>
    </row>
    <row r="204" spans="2:10">
      <c r="B204" s="5">
        <f t="shared" si="6"/>
        <v>200</v>
      </c>
      <c r="C204" s="5" t="s">
        <v>79</v>
      </c>
      <c r="D204" s="5" t="s">
        <v>131</v>
      </c>
      <c r="E204" s="5"/>
      <c r="F204" s="5"/>
      <c r="G204" s="5">
        <v>63</v>
      </c>
      <c r="H204" s="5">
        <v>20</v>
      </c>
      <c r="I204" s="464" t="e">
        <f t="shared" si="7"/>
        <v>#VALUE!</v>
      </c>
      <c r="J204" s="8"/>
    </row>
    <row r="205" spans="2:10">
      <c r="B205" s="5">
        <f t="shared" si="6"/>
        <v>201</v>
      </c>
      <c r="C205" s="5" t="s">
        <v>79</v>
      </c>
      <c r="D205" s="5" t="s">
        <v>1299</v>
      </c>
      <c r="E205" s="5" t="s">
        <v>45</v>
      </c>
      <c r="F205" s="18">
        <v>0.36</v>
      </c>
      <c r="G205" s="5">
        <v>63</v>
      </c>
      <c r="H205" s="5">
        <v>122.6</v>
      </c>
      <c r="I205" s="464" t="e">
        <f t="shared" si="7"/>
        <v>#VALUE!</v>
      </c>
      <c r="J205" s="8"/>
    </row>
    <row r="206" spans="2:10">
      <c r="B206" s="5">
        <f t="shared" si="6"/>
        <v>202</v>
      </c>
      <c r="C206" s="5" t="s">
        <v>131</v>
      </c>
      <c r="D206" s="5" t="s">
        <v>73</v>
      </c>
      <c r="E206" s="5"/>
      <c r="F206" s="5"/>
      <c r="G206" s="5">
        <v>63</v>
      </c>
      <c r="H206" s="5">
        <v>68</v>
      </c>
      <c r="I206" s="464" t="e">
        <f t="shared" si="7"/>
        <v>#VALUE!</v>
      </c>
      <c r="J206" s="8"/>
    </row>
    <row r="207" spans="2:10">
      <c r="B207" s="5">
        <f t="shared" si="6"/>
        <v>203</v>
      </c>
      <c r="C207" s="5" t="s">
        <v>95</v>
      </c>
      <c r="D207" s="5" t="s">
        <v>107</v>
      </c>
      <c r="E207" s="5"/>
      <c r="F207" s="5"/>
      <c r="G207" s="5">
        <v>63</v>
      </c>
      <c r="H207" s="5">
        <v>273.3</v>
      </c>
      <c r="I207" s="464" t="e">
        <f t="shared" si="7"/>
        <v>#VALUE!</v>
      </c>
      <c r="J207" s="8"/>
    </row>
    <row r="208" spans="2:10">
      <c r="B208" s="5">
        <f t="shared" si="6"/>
        <v>204</v>
      </c>
      <c r="C208" s="5" t="s">
        <v>128</v>
      </c>
      <c r="D208" s="5" t="s">
        <v>52</v>
      </c>
      <c r="E208" s="63"/>
      <c r="F208" s="5"/>
      <c r="G208" s="5">
        <v>63</v>
      </c>
      <c r="H208" s="5">
        <v>54.7</v>
      </c>
      <c r="I208" s="464" t="e">
        <f t="shared" si="7"/>
        <v>#VALUE!</v>
      </c>
      <c r="J208" s="8"/>
    </row>
    <row r="209" spans="2:22">
      <c r="B209" s="5">
        <f t="shared" si="6"/>
        <v>205</v>
      </c>
      <c r="C209" s="5" t="s">
        <v>52</v>
      </c>
      <c r="D209" s="5" t="s">
        <v>68</v>
      </c>
      <c r="E209" s="5"/>
      <c r="F209" s="5"/>
      <c r="G209" s="5">
        <v>63</v>
      </c>
      <c r="H209" s="5">
        <v>80</v>
      </c>
      <c r="I209" s="464" t="e">
        <f t="shared" si="7"/>
        <v>#VALUE!</v>
      </c>
      <c r="J209" s="8"/>
      <c r="T209" s="8"/>
      <c r="U209" s="8"/>
      <c r="V209" s="8"/>
    </row>
    <row r="210" spans="2:22">
      <c r="B210" s="5">
        <f t="shared" si="6"/>
        <v>206</v>
      </c>
      <c r="C210" s="5" t="s">
        <v>52</v>
      </c>
      <c r="D210" s="5" t="s">
        <v>85</v>
      </c>
      <c r="E210" s="5"/>
      <c r="F210" s="5"/>
      <c r="G210" s="5">
        <v>63</v>
      </c>
      <c r="H210" s="5">
        <v>112.3</v>
      </c>
      <c r="I210" s="464" t="e">
        <f t="shared" si="7"/>
        <v>#VALUE!</v>
      </c>
      <c r="J210" s="8"/>
      <c r="T210" s="8"/>
      <c r="U210" s="8"/>
      <c r="V210" s="8"/>
    </row>
    <row r="211" spans="2:22">
      <c r="B211" s="5">
        <f t="shared" si="6"/>
        <v>207</v>
      </c>
      <c r="C211" s="5" t="s">
        <v>85</v>
      </c>
      <c r="D211" s="5" t="s">
        <v>930</v>
      </c>
      <c r="E211" s="5"/>
      <c r="F211" s="5"/>
      <c r="G211" s="5">
        <v>63</v>
      </c>
      <c r="H211" s="5">
        <v>39.6</v>
      </c>
      <c r="I211" s="464" t="e">
        <f t="shared" si="7"/>
        <v>#VALUE!</v>
      </c>
      <c r="J211" s="8"/>
    </row>
    <row r="212" spans="2:22">
      <c r="B212" s="5">
        <f t="shared" si="6"/>
        <v>208</v>
      </c>
      <c r="C212" s="5" t="s">
        <v>930</v>
      </c>
      <c r="D212" s="5" t="s">
        <v>51</v>
      </c>
      <c r="E212" s="5"/>
      <c r="F212" s="5"/>
      <c r="G212" s="5">
        <v>63</v>
      </c>
      <c r="H212" s="5">
        <v>41.5</v>
      </c>
      <c r="I212" s="464" t="e">
        <f t="shared" si="7"/>
        <v>#VALUE!</v>
      </c>
      <c r="J212" s="8"/>
    </row>
    <row r="213" spans="2:22">
      <c r="B213" s="5">
        <f t="shared" si="6"/>
        <v>209</v>
      </c>
      <c r="C213" s="5" t="s">
        <v>85</v>
      </c>
      <c r="D213" s="5" t="s">
        <v>731</v>
      </c>
      <c r="E213" s="5"/>
      <c r="F213" s="5"/>
      <c r="G213" s="5">
        <v>63</v>
      </c>
      <c r="H213" s="5">
        <v>104.2</v>
      </c>
      <c r="I213" s="464" t="e">
        <f t="shared" si="7"/>
        <v>#VALUE!</v>
      </c>
      <c r="J213" s="8"/>
      <c r="M213">
        <f>228.9+172.3</f>
        <v>401.20000000000005</v>
      </c>
    </row>
    <row r="214" spans="2:22">
      <c r="B214" s="5">
        <f t="shared" si="6"/>
        <v>210</v>
      </c>
      <c r="C214" s="5" t="s">
        <v>731</v>
      </c>
      <c r="D214" s="5" t="s">
        <v>894</v>
      </c>
      <c r="E214" s="5"/>
      <c r="F214" s="5"/>
      <c r="G214" s="5">
        <v>63</v>
      </c>
      <c r="H214" s="5">
        <v>40.200000000000003</v>
      </c>
      <c r="I214" s="464" t="e">
        <f t="shared" si="7"/>
        <v>#VALUE!</v>
      </c>
      <c r="J214" s="8"/>
      <c r="M214">
        <f>20042+401</f>
        <v>20443</v>
      </c>
    </row>
    <row r="215" spans="2:22">
      <c r="B215" s="5">
        <f t="shared" si="6"/>
        <v>211</v>
      </c>
      <c r="C215" s="5" t="s">
        <v>731</v>
      </c>
      <c r="D215" s="5" t="s">
        <v>130</v>
      </c>
      <c r="E215" s="5"/>
      <c r="F215" s="5"/>
      <c r="G215" s="5">
        <v>63</v>
      </c>
      <c r="H215" s="5">
        <v>42</v>
      </c>
      <c r="I215" s="464" t="e">
        <f t="shared" si="7"/>
        <v>#VALUE!</v>
      </c>
      <c r="J215" s="8"/>
    </row>
    <row r="216" spans="2:22">
      <c r="B216" s="5">
        <f t="shared" si="6"/>
        <v>212</v>
      </c>
      <c r="C216" s="5" t="s">
        <v>95</v>
      </c>
      <c r="D216" s="5" t="s">
        <v>124</v>
      </c>
      <c r="E216" s="5"/>
      <c r="F216" s="5"/>
      <c r="G216" s="5">
        <v>63</v>
      </c>
      <c r="H216" s="5">
        <v>80.7</v>
      </c>
      <c r="I216" s="464" t="e">
        <f t="shared" si="7"/>
        <v>#VALUE!</v>
      </c>
      <c r="J216" s="8"/>
      <c r="M216">
        <f>25620+401</f>
        <v>26021</v>
      </c>
    </row>
    <row r="217" spans="2:22">
      <c r="B217" s="5">
        <f t="shared" si="6"/>
        <v>213</v>
      </c>
      <c r="C217" s="5" t="s">
        <v>124</v>
      </c>
      <c r="D217" s="5" t="s">
        <v>107</v>
      </c>
      <c r="E217" s="5"/>
      <c r="F217" s="5"/>
      <c r="G217" s="5">
        <v>63</v>
      </c>
      <c r="H217" s="5">
        <v>133.6</v>
      </c>
      <c r="I217" s="464" t="e">
        <f t="shared" si="7"/>
        <v>#VALUE!</v>
      </c>
      <c r="J217" s="8"/>
    </row>
    <row r="218" spans="2:22">
      <c r="B218" s="5">
        <f t="shared" si="6"/>
        <v>214</v>
      </c>
      <c r="C218" s="5" t="s">
        <v>124</v>
      </c>
      <c r="D218" s="5" t="s">
        <v>67</v>
      </c>
      <c r="E218" s="5"/>
      <c r="F218" s="5"/>
      <c r="G218" s="5">
        <v>63</v>
      </c>
      <c r="H218" s="5">
        <v>172.3</v>
      </c>
      <c r="I218" s="464" t="e">
        <f t="shared" si="7"/>
        <v>#VALUE!</v>
      </c>
      <c r="J218" s="8"/>
    </row>
    <row r="219" spans="2:22">
      <c r="B219" s="5">
        <f t="shared" si="6"/>
        <v>215</v>
      </c>
      <c r="C219" s="5" t="s">
        <v>67</v>
      </c>
      <c r="D219" s="5" t="s">
        <v>92</v>
      </c>
      <c r="E219" s="5"/>
      <c r="F219" s="5"/>
      <c r="G219" s="5">
        <v>63</v>
      </c>
      <c r="H219" s="5">
        <v>30.6</v>
      </c>
      <c r="I219" s="464" t="e">
        <f t="shared" si="7"/>
        <v>#VALUE!</v>
      </c>
      <c r="J219" s="8"/>
    </row>
    <row r="220" spans="2:22">
      <c r="B220" s="5">
        <f t="shared" si="6"/>
        <v>216</v>
      </c>
      <c r="C220" s="5" t="s">
        <v>67</v>
      </c>
      <c r="D220" s="5" t="s">
        <v>94</v>
      </c>
      <c r="E220" s="5"/>
      <c r="F220" s="5"/>
      <c r="G220" s="5">
        <v>63</v>
      </c>
      <c r="H220" s="5">
        <v>40.6</v>
      </c>
      <c r="I220" s="464" t="e">
        <f t="shared" si="7"/>
        <v>#VALUE!</v>
      </c>
      <c r="J220" s="8"/>
    </row>
    <row r="221" spans="2:22">
      <c r="B221" s="5">
        <f t="shared" si="6"/>
        <v>217</v>
      </c>
      <c r="C221" s="5" t="s">
        <v>1300</v>
      </c>
      <c r="D221" s="5" t="s">
        <v>1301</v>
      </c>
      <c r="E221" s="5"/>
      <c r="F221" s="5"/>
      <c r="G221" s="5">
        <v>63</v>
      </c>
      <c r="H221" s="5">
        <v>33.200000000000003</v>
      </c>
      <c r="I221" s="464" t="e">
        <f t="shared" si="7"/>
        <v>#VALUE!</v>
      </c>
      <c r="J221" s="8"/>
    </row>
    <row r="222" spans="2:22">
      <c r="B222" s="5">
        <f t="shared" si="6"/>
        <v>218</v>
      </c>
      <c r="C222" s="5" t="s">
        <v>1301</v>
      </c>
      <c r="D222" s="5" t="s">
        <v>1302</v>
      </c>
      <c r="E222" s="5"/>
      <c r="F222" s="5"/>
      <c r="G222" s="5">
        <v>63</v>
      </c>
      <c r="H222" s="5">
        <v>23.2</v>
      </c>
      <c r="I222" s="464" t="e">
        <f t="shared" si="7"/>
        <v>#VALUE!</v>
      </c>
      <c r="J222" s="8"/>
    </row>
    <row r="223" spans="2:22">
      <c r="B223" s="5">
        <f t="shared" si="6"/>
        <v>219</v>
      </c>
      <c r="C223" s="5" t="s">
        <v>1302</v>
      </c>
      <c r="D223" s="5" t="s">
        <v>1303</v>
      </c>
      <c r="E223" s="5"/>
      <c r="F223" s="5"/>
      <c r="G223" s="5">
        <v>63</v>
      </c>
      <c r="H223" s="5">
        <v>16.899999999999999</v>
      </c>
      <c r="I223" s="464" t="e">
        <f t="shared" si="7"/>
        <v>#VALUE!</v>
      </c>
      <c r="J223" s="8"/>
    </row>
    <row r="224" spans="2:22">
      <c r="B224" s="5">
        <f t="shared" si="6"/>
        <v>220</v>
      </c>
      <c r="C224" s="5" t="s">
        <v>1304</v>
      </c>
      <c r="D224" s="5" t="s">
        <v>86</v>
      </c>
      <c r="E224" s="5"/>
      <c r="F224" s="5"/>
      <c r="G224" s="5">
        <v>63</v>
      </c>
      <c r="H224" s="5">
        <v>91.4</v>
      </c>
      <c r="I224" s="464" t="e">
        <f t="shared" si="7"/>
        <v>#VALUE!</v>
      </c>
      <c r="J224" s="8"/>
    </row>
    <row r="225" spans="2:10">
      <c r="B225" s="5">
        <f t="shared" si="6"/>
        <v>221</v>
      </c>
      <c r="C225" s="5" t="s">
        <v>86</v>
      </c>
      <c r="D225" s="5" t="s">
        <v>1297</v>
      </c>
      <c r="E225" s="5"/>
      <c r="F225" s="5"/>
      <c r="G225" s="5">
        <v>63</v>
      </c>
      <c r="H225" s="5">
        <v>46.1</v>
      </c>
      <c r="I225" s="464" t="e">
        <f t="shared" si="7"/>
        <v>#VALUE!</v>
      </c>
      <c r="J225" s="8"/>
    </row>
    <row r="226" spans="2:10">
      <c r="B226" s="5">
        <f t="shared" si="6"/>
        <v>222</v>
      </c>
      <c r="C226" s="5" t="s">
        <v>1305</v>
      </c>
      <c r="D226" s="5" t="s">
        <v>1306</v>
      </c>
      <c r="E226" s="5"/>
      <c r="F226" s="5"/>
      <c r="G226" s="5">
        <v>63</v>
      </c>
      <c r="H226" s="5">
        <v>228.9</v>
      </c>
      <c r="I226" s="464" t="e">
        <f t="shared" si="7"/>
        <v>#VALUE!</v>
      </c>
      <c r="J226" s="8"/>
    </row>
    <row r="227" spans="2:10">
      <c r="B227" s="5">
        <f t="shared" si="6"/>
        <v>223</v>
      </c>
      <c r="C227" s="5" t="s">
        <v>1307</v>
      </c>
      <c r="D227" s="5" t="s">
        <v>1133</v>
      </c>
      <c r="E227" s="5"/>
      <c r="F227" s="5"/>
      <c r="G227" s="5">
        <v>63</v>
      </c>
      <c r="H227" s="5">
        <v>59.4</v>
      </c>
      <c r="I227" s="464" t="e">
        <f t="shared" si="7"/>
        <v>#VALUE!</v>
      </c>
      <c r="J227" s="8"/>
    </row>
    <row r="228" spans="2:10">
      <c r="B228" s="5">
        <f t="shared" si="6"/>
        <v>224</v>
      </c>
      <c r="C228" s="5" t="s">
        <v>1307</v>
      </c>
      <c r="D228" s="5" t="s">
        <v>1308</v>
      </c>
      <c r="E228" s="5"/>
      <c r="F228" s="5"/>
      <c r="G228" s="5">
        <v>63</v>
      </c>
      <c r="H228" s="5">
        <v>251</v>
      </c>
      <c r="I228" s="464" t="e">
        <f t="shared" si="7"/>
        <v>#VALUE!</v>
      </c>
      <c r="J228" s="8"/>
    </row>
    <row r="229" spans="2:10">
      <c r="B229" s="5">
        <f t="shared" si="6"/>
        <v>225</v>
      </c>
      <c r="C229" s="5" t="s">
        <v>1308</v>
      </c>
      <c r="D229" s="5" t="s">
        <v>1303</v>
      </c>
      <c r="E229" s="5" t="s">
        <v>102</v>
      </c>
      <c r="F229" s="5">
        <v>0.36</v>
      </c>
      <c r="G229" s="5">
        <v>63</v>
      </c>
      <c r="H229" s="5">
        <v>5</v>
      </c>
      <c r="I229" s="464" t="e">
        <f t="shared" si="7"/>
        <v>#VALUE!</v>
      </c>
      <c r="J229" s="8"/>
    </row>
    <row r="230" spans="2:10">
      <c r="B230" s="5">
        <f t="shared" si="6"/>
        <v>226</v>
      </c>
      <c r="C230" s="5" t="s">
        <v>1308</v>
      </c>
      <c r="D230" s="5" t="s">
        <v>1303</v>
      </c>
      <c r="E230" s="5"/>
      <c r="F230" s="5"/>
      <c r="G230" s="5">
        <v>63</v>
      </c>
      <c r="H230" s="5">
        <v>104.1</v>
      </c>
      <c r="I230" s="464" t="e">
        <f t="shared" si="7"/>
        <v>#VALUE!</v>
      </c>
      <c r="J230" s="8"/>
    </row>
    <row r="231" spans="2:10">
      <c r="B231" s="5">
        <f t="shared" si="6"/>
        <v>227</v>
      </c>
      <c r="C231" s="5" t="s">
        <v>1303</v>
      </c>
      <c r="D231" s="5" t="s">
        <v>1309</v>
      </c>
      <c r="E231" s="5"/>
      <c r="F231" s="5"/>
      <c r="G231" s="5">
        <v>63</v>
      </c>
      <c r="H231" s="5">
        <v>6</v>
      </c>
      <c r="I231" s="464" t="e">
        <f t="shared" si="7"/>
        <v>#VALUE!</v>
      </c>
      <c r="J231" s="8"/>
    </row>
    <row r="232" spans="2:10">
      <c r="B232" s="5">
        <f t="shared" si="6"/>
        <v>228</v>
      </c>
      <c r="C232" s="5" t="s">
        <v>1303</v>
      </c>
      <c r="D232" s="5" t="s">
        <v>1309</v>
      </c>
      <c r="E232" s="5"/>
      <c r="F232" s="5"/>
      <c r="G232" s="5">
        <v>63</v>
      </c>
      <c r="H232" s="5">
        <v>33</v>
      </c>
      <c r="I232" s="464" t="e">
        <f t="shared" si="7"/>
        <v>#VALUE!</v>
      </c>
      <c r="J232" s="8"/>
    </row>
    <row r="233" spans="2:10">
      <c r="B233" s="5">
        <f t="shared" si="6"/>
        <v>229</v>
      </c>
      <c r="C233" s="5" t="s">
        <v>1309</v>
      </c>
      <c r="D233" s="5" t="s">
        <v>1310</v>
      </c>
      <c r="E233" s="5"/>
      <c r="F233" s="5"/>
      <c r="G233" s="5">
        <v>63</v>
      </c>
      <c r="H233" s="5">
        <v>43.4</v>
      </c>
      <c r="I233" s="464" t="e">
        <f t="shared" si="7"/>
        <v>#VALUE!</v>
      </c>
      <c r="J233" s="8"/>
    </row>
    <row r="234" spans="2:10">
      <c r="B234" s="5">
        <f t="shared" si="6"/>
        <v>230</v>
      </c>
      <c r="C234" s="5" t="s">
        <v>1310</v>
      </c>
      <c r="D234" s="5" t="s">
        <v>1311</v>
      </c>
      <c r="E234" s="5"/>
      <c r="F234" s="5"/>
      <c r="G234" s="5">
        <v>63</v>
      </c>
      <c r="H234" s="5">
        <v>29.3</v>
      </c>
      <c r="I234" s="464" t="e">
        <f t="shared" si="7"/>
        <v>#VALUE!</v>
      </c>
      <c r="J234" s="8"/>
    </row>
    <row r="235" spans="2:10">
      <c r="B235" s="5">
        <f t="shared" si="6"/>
        <v>231</v>
      </c>
      <c r="C235" s="5" t="s">
        <v>1311</v>
      </c>
      <c r="D235" s="5" t="s">
        <v>1173</v>
      </c>
      <c r="E235" s="5"/>
      <c r="F235" s="5"/>
      <c r="G235" s="5">
        <v>63</v>
      </c>
      <c r="H235" s="5">
        <v>13.5</v>
      </c>
      <c r="I235" s="464" t="e">
        <f t="shared" si="7"/>
        <v>#VALUE!</v>
      </c>
      <c r="J235" s="8"/>
    </row>
    <row r="236" spans="2:10">
      <c r="B236" s="5">
        <f t="shared" si="6"/>
        <v>232</v>
      </c>
      <c r="C236" s="5" t="s">
        <v>1310</v>
      </c>
      <c r="D236" s="5" t="s">
        <v>1312</v>
      </c>
      <c r="E236" s="5"/>
      <c r="F236" s="5"/>
      <c r="G236" s="5">
        <v>63</v>
      </c>
      <c r="H236" s="5">
        <v>80</v>
      </c>
      <c r="I236" s="464" t="e">
        <f t="shared" si="7"/>
        <v>#VALUE!</v>
      </c>
      <c r="J236" s="8"/>
    </row>
    <row r="237" spans="2:10">
      <c r="B237" s="5">
        <f t="shared" si="6"/>
        <v>233</v>
      </c>
      <c r="C237" s="5" t="s">
        <v>1173</v>
      </c>
      <c r="D237" s="5" t="s">
        <v>1312</v>
      </c>
      <c r="E237" s="5"/>
      <c r="F237" s="5"/>
      <c r="G237" s="5">
        <v>63</v>
      </c>
      <c r="H237" s="5">
        <v>47.6</v>
      </c>
      <c r="I237" s="464" t="e">
        <f t="shared" si="7"/>
        <v>#VALUE!</v>
      </c>
      <c r="J237" s="8"/>
    </row>
    <row r="238" spans="2:10">
      <c r="B238" s="5">
        <f t="shared" si="6"/>
        <v>234</v>
      </c>
      <c r="C238" s="5" t="s">
        <v>1173</v>
      </c>
      <c r="D238" s="5" t="s">
        <v>1313</v>
      </c>
      <c r="E238" s="5"/>
      <c r="F238" s="5"/>
      <c r="G238" s="5">
        <v>63</v>
      </c>
      <c r="H238" s="5">
        <v>51.6</v>
      </c>
      <c r="I238" s="464" t="e">
        <f t="shared" si="7"/>
        <v>#VALUE!</v>
      </c>
      <c r="J238" s="8"/>
    </row>
    <row r="239" spans="2:10">
      <c r="B239" s="5">
        <f t="shared" si="6"/>
        <v>235</v>
      </c>
      <c r="C239" s="5" t="s">
        <v>1313</v>
      </c>
      <c r="D239" s="5" t="s">
        <v>1314</v>
      </c>
      <c r="E239" s="5"/>
      <c r="F239" s="5"/>
      <c r="G239" s="5">
        <v>63</v>
      </c>
      <c r="H239" s="5">
        <v>24.9</v>
      </c>
      <c r="I239" s="464" t="e">
        <f t="shared" si="7"/>
        <v>#VALUE!</v>
      </c>
      <c r="J239" s="8"/>
    </row>
    <row r="240" spans="2:10">
      <c r="B240" s="5">
        <f t="shared" si="6"/>
        <v>236</v>
      </c>
      <c r="C240" s="5" t="s">
        <v>1314</v>
      </c>
      <c r="D240" s="5" t="s">
        <v>1315</v>
      </c>
      <c r="E240" s="5"/>
      <c r="F240" s="5"/>
      <c r="G240" s="5">
        <v>63</v>
      </c>
      <c r="H240" s="5">
        <v>29.1</v>
      </c>
      <c r="I240" s="464" t="e">
        <f t="shared" si="7"/>
        <v>#VALUE!</v>
      </c>
      <c r="J240" s="8"/>
    </row>
    <row r="241" spans="2:10">
      <c r="B241" s="5">
        <f t="shared" si="6"/>
        <v>237</v>
      </c>
      <c r="C241" s="5" t="s">
        <v>1316</v>
      </c>
      <c r="D241" s="5" t="s">
        <v>1311</v>
      </c>
      <c r="E241" s="5"/>
      <c r="F241" s="5"/>
      <c r="G241" s="5">
        <v>63</v>
      </c>
      <c r="H241" s="5">
        <v>62.9</v>
      </c>
      <c r="I241" s="464" t="e">
        <f t="shared" si="7"/>
        <v>#VALUE!</v>
      </c>
      <c r="J241" s="8"/>
    </row>
    <row r="242" spans="2:10">
      <c r="B242" s="5">
        <f t="shared" si="6"/>
        <v>238</v>
      </c>
      <c r="C242" s="5" t="s">
        <v>1309</v>
      </c>
      <c r="D242" s="5" t="s">
        <v>1317</v>
      </c>
      <c r="E242" s="5"/>
      <c r="F242" s="5"/>
      <c r="G242" s="5">
        <v>63</v>
      </c>
      <c r="H242" s="5">
        <v>38.299999999999997</v>
      </c>
      <c r="I242" s="464" t="e">
        <f t="shared" si="7"/>
        <v>#VALUE!</v>
      </c>
      <c r="J242" s="8"/>
    </row>
    <row r="243" spans="2:10">
      <c r="B243" s="5">
        <f t="shared" si="6"/>
        <v>239</v>
      </c>
      <c r="C243" s="5" t="s">
        <v>1317</v>
      </c>
      <c r="D243" s="5" t="s">
        <v>1316</v>
      </c>
      <c r="E243" s="5"/>
      <c r="F243" s="5"/>
      <c r="G243" s="5">
        <v>63</v>
      </c>
      <c r="H243" s="5">
        <v>41</v>
      </c>
      <c r="I243" s="464" t="e">
        <f t="shared" si="7"/>
        <v>#VALUE!</v>
      </c>
      <c r="J243" s="8"/>
    </row>
    <row r="244" spans="2:10">
      <c r="B244" s="5">
        <f t="shared" si="6"/>
        <v>240</v>
      </c>
      <c r="C244" s="5" t="s">
        <v>1316</v>
      </c>
      <c r="D244" s="5" t="s">
        <v>93</v>
      </c>
      <c r="E244" s="5"/>
      <c r="F244" s="5"/>
      <c r="G244" s="5">
        <v>63</v>
      </c>
      <c r="H244" s="5">
        <v>57.9</v>
      </c>
      <c r="I244" s="464" t="e">
        <f t="shared" si="7"/>
        <v>#VALUE!</v>
      </c>
      <c r="J244" s="8"/>
    </row>
    <row r="245" spans="2:10">
      <c r="B245" s="5">
        <f t="shared" si="6"/>
        <v>241</v>
      </c>
      <c r="C245" s="5" t="s">
        <v>93</v>
      </c>
      <c r="D245" s="5" t="s">
        <v>716</v>
      </c>
      <c r="E245" s="5"/>
      <c r="F245" s="5"/>
      <c r="G245" s="5">
        <v>63</v>
      </c>
      <c r="H245" s="5">
        <v>109</v>
      </c>
      <c r="I245" s="464" t="e">
        <f t="shared" si="7"/>
        <v>#VALUE!</v>
      </c>
      <c r="J245" s="8"/>
    </row>
    <row r="246" spans="2:10">
      <c r="B246" s="5">
        <f t="shared" si="6"/>
        <v>242</v>
      </c>
      <c r="C246" s="5" t="s">
        <v>93</v>
      </c>
      <c r="D246" s="5" t="s">
        <v>75</v>
      </c>
      <c r="E246" s="5"/>
      <c r="F246" s="5"/>
      <c r="G246" s="5">
        <v>63</v>
      </c>
      <c r="H246" s="5">
        <v>44</v>
      </c>
      <c r="I246" s="464" t="e">
        <f t="shared" si="7"/>
        <v>#VALUE!</v>
      </c>
      <c r="J246" s="8"/>
    </row>
    <row r="247" spans="2:10">
      <c r="B247" s="5">
        <f t="shared" si="6"/>
        <v>243</v>
      </c>
      <c r="C247" s="5" t="s">
        <v>75</v>
      </c>
      <c r="D247" s="5" t="s">
        <v>91</v>
      </c>
      <c r="E247" s="5"/>
      <c r="F247" s="5"/>
      <c r="G247" s="5">
        <v>63</v>
      </c>
      <c r="H247" s="5">
        <v>86.4</v>
      </c>
      <c r="I247" s="464" t="e">
        <f t="shared" si="7"/>
        <v>#VALUE!</v>
      </c>
      <c r="J247" s="8"/>
    </row>
    <row r="248" spans="2:10">
      <c r="B248" s="5">
        <f t="shared" ref="B248:B280" si="8">1+B247</f>
        <v>244</v>
      </c>
      <c r="C248" s="5" t="s">
        <v>1308</v>
      </c>
      <c r="D248" s="5" t="s">
        <v>1318</v>
      </c>
      <c r="E248" s="5"/>
      <c r="F248" s="5"/>
      <c r="G248" s="5">
        <v>63</v>
      </c>
      <c r="H248" s="5">
        <v>37.1</v>
      </c>
      <c r="I248" s="464" t="e">
        <f t="shared" si="7"/>
        <v>#VALUE!</v>
      </c>
      <c r="J248" s="8"/>
    </row>
    <row r="249" spans="2:10">
      <c r="B249" s="5">
        <f t="shared" si="8"/>
        <v>245</v>
      </c>
      <c r="C249" s="5" t="s">
        <v>1318</v>
      </c>
      <c r="D249" s="5" t="s">
        <v>1319</v>
      </c>
      <c r="E249" s="5"/>
      <c r="F249" s="5"/>
      <c r="G249" s="5">
        <v>63</v>
      </c>
      <c r="H249" s="5">
        <v>94.7</v>
      </c>
      <c r="I249" s="464" t="e">
        <f t="shared" si="7"/>
        <v>#VALUE!</v>
      </c>
      <c r="J249" s="8"/>
    </row>
    <row r="250" spans="2:10">
      <c r="B250" s="5">
        <f t="shared" si="8"/>
        <v>246</v>
      </c>
      <c r="C250" s="6" t="s">
        <v>1318</v>
      </c>
      <c r="D250" s="6" t="s">
        <v>1319</v>
      </c>
      <c r="E250" s="5" t="s">
        <v>301</v>
      </c>
      <c r="F250" s="5">
        <v>0.36</v>
      </c>
      <c r="G250" s="5">
        <v>63</v>
      </c>
      <c r="H250" s="5">
        <v>40</v>
      </c>
      <c r="I250" s="464" t="e">
        <f t="shared" si="7"/>
        <v>#VALUE!</v>
      </c>
      <c r="J250" s="8"/>
    </row>
    <row r="251" spans="2:10">
      <c r="B251" s="5">
        <f t="shared" si="8"/>
        <v>247</v>
      </c>
      <c r="C251" s="6" t="s">
        <v>1319</v>
      </c>
      <c r="D251" s="6" t="s">
        <v>1156</v>
      </c>
      <c r="E251" s="5" t="s">
        <v>301</v>
      </c>
      <c r="F251" s="5">
        <v>0.36</v>
      </c>
      <c r="G251" s="5">
        <v>63</v>
      </c>
      <c r="H251" s="5">
        <v>34</v>
      </c>
      <c r="I251" s="464" t="e">
        <f t="shared" si="7"/>
        <v>#VALUE!</v>
      </c>
      <c r="J251" s="8"/>
    </row>
    <row r="252" spans="2:10">
      <c r="B252" s="5">
        <f t="shared" si="8"/>
        <v>248</v>
      </c>
      <c r="C252" s="6" t="s">
        <v>1107</v>
      </c>
      <c r="D252" s="6" t="s">
        <v>1320</v>
      </c>
      <c r="E252" s="5" t="s">
        <v>301</v>
      </c>
      <c r="F252" s="5">
        <v>0.36</v>
      </c>
      <c r="G252" s="5">
        <v>63</v>
      </c>
      <c r="H252" s="5">
        <v>21.3</v>
      </c>
      <c r="I252" s="464" t="e">
        <f t="shared" si="7"/>
        <v>#VALUE!</v>
      </c>
      <c r="J252" s="8"/>
    </row>
    <row r="253" spans="2:10">
      <c r="B253" s="5">
        <f t="shared" si="8"/>
        <v>249</v>
      </c>
      <c r="C253" s="5" t="s">
        <v>1074</v>
      </c>
      <c r="D253" s="5" t="s">
        <v>1056</v>
      </c>
      <c r="E253" s="5"/>
      <c r="F253" s="5"/>
      <c r="G253" s="5">
        <v>63</v>
      </c>
      <c r="H253" s="5">
        <v>22.8</v>
      </c>
      <c r="I253" s="464" t="e">
        <f t="shared" si="7"/>
        <v>#VALUE!</v>
      </c>
      <c r="J253" s="8"/>
    </row>
    <row r="254" spans="2:10">
      <c r="B254" s="5">
        <f t="shared" si="8"/>
        <v>250</v>
      </c>
      <c r="C254" s="5" t="s">
        <v>1056</v>
      </c>
      <c r="D254" s="5" t="s">
        <v>1244</v>
      </c>
      <c r="E254" s="5"/>
      <c r="F254" s="5"/>
      <c r="G254" s="5">
        <v>63</v>
      </c>
      <c r="H254" s="106">
        <v>29.4</v>
      </c>
      <c r="I254" s="464" t="e">
        <f t="shared" si="7"/>
        <v>#VALUE!</v>
      </c>
      <c r="J254" s="8"/>
    </row>
    <row r="255" spans="2:10">
      <c r="B255" s="5">
        <f t="shared" si="8"/>
        <v>251</v>
      </c>
      <c r="C255" s="5" t="s">
        <v>1056</v>
      </c>
      <c r="D255" s="5" t="s">
        <v>990</v>
      </c>
      <c r="E255" s="5"/>
      <c r="F255" s="5"/>
      <c r="G255" s="5">
        <v>63</v>
      </c>
      <c r="H255" s="5">
        <v>39.9</v>
      </c>
      <c r="I255" s="464" t="e">
        <f t="shared" si="7"/>
        <v>#VALUE!</v>
      </c>
      <c r="J255" s="8"/>
    </row>
    <row r="256" spans="2:10">
      <c r="B256" s="5">
        <f t="shared" si="8"/>
        <v>252</v>
      </c>
      <c r="C256" s="5" t="s">
        <v>698</v>
      </c>
      <c r="D256" s="5" t="s">
        <v>1321</v>
      </c>
      <c r="E256" s="5" t="s">
        <v>199</v>
      </c>
      <c r="F256" s="5">
        <v>0.36</v>
      </c>
      <c r="G256" s="5">
        <v>63</v>
      </c>
      <c r="H256" s="5">
        <v>81</v>
      </c>
      <c r="I256" s="464" t="e">
        <f t="shared" si="7"/>
        <v>#VALUE!</v>
      </c>
      <c r="J256" s="8"/>
    </row>
    <row r="257" spans="2:10">
      <c r="B257" s="5">
        <f t="shared" si="8"/>
        <v>253</v>
      </c>
      <c r="C257" s="5" t="s">
        <v>1321</v>
      </c>
      <c r="D257" s="5" t="s">
        <v>580</v>
      </c>
      <c r="E257" s="5"/>
      <c r="F257" s="5"/>
      <c r="G257" s="5">
        <v>63</v>
      </c>
      <c r="H257" s="5">
        <v>45.8</v>
      </c>
      <c r="I257" s="464" t="e">
        <f t="shared" si="7"/>
        <v>#VALUE!</v>
      </c>
      <c r="J257" s="8"/>
    </row>
    <row r="258" spans="2:10">
      <c r="B258" s="5">
        <f t="shared" si="8"/>
        <v>254</v>
      </c>
      <c r="C258" s="5" t="s">
        <v>580</v>
      </c>
      <c r="D258" s="5" t="s">
        <v>1129</v>
      </c>
      <c r="E258" s="5"/>
      <c r="F258" s="5"/>
      <c r="G258" s="5">
        <v>63</v>
      </c>
      <c r="H258" s="5">
        <v>125.3</v>
      </c>
      <c r="I258" s="464" t="e">
        <f t="shared" si="7"/>
        <v>#VALUE!</v>
      </c>
      <c r="J258" s="8"/>
    </row>
    <row r="259" spans="2:10">
      <c r="B259" s="5">
        <f t="shared" si="8"/>
        <v>255</v>
      </c>
      <c r="C259" s="5" t="s">
        <v>580</v>
      </c>
      <c r="D259" s="5" t="s">
        <v>214</v>
      </c>
      <c r="E259" s="5"/>
      <c r="F259" s="5"/>
      <c r="G259" s="5">
        <v>63</v>
      </c>
      <c r="H259" s="18">
        <v>22</v>
      </c>
      <c r="I259" s="464" t="e">
        <f t="shared" si="7"/>
        <v>#VALUE!</v>
      </c>
      <c r="J259" s="8"/>
    </row>
    <row r="260" spans="2:10">
      <c r="B260" s="5">
        <f t="shared" si="8"/>
        <v>256</v>
      </c>
      <c r="C260" s="5" t="s">
        <v>590</v>
      </c>
      <c r="D260" s="5" t="s">
        <v>464</v>
      </c>
      <c r="E260" s="5"/>
      <c r="F260" s="5"/>
      <c r="G260" s="5">
        <v>63</v>
      </c>
      <c r="H260" s="5">
        <v>16</v>
      </c>
      <c r="I260" s="464" t="e">
        <f t="shared" si="7"/>
        <v>#VALUE!</v>
      </c>
      <c r="J260" s="8"/>
    </row>
    <row r="261" spans="2:10">
      <c r="B261" s="5">
        <f t="shared" si="8"/>
        <v>257</v>
      </c>
      <c r="C261" s="5" t="s">
        <v>1129</v>
      </c>
      <c r="D261" s="5" t="s">
        <v>952</v>
      </c>
      <c r="E261" s="5"/>
      <c r="F261" s="5"/>
      <c r="G261" s="5">
        <v>63</v>
      </c>
      <c r="H261" s="5">
        <v>52.6</v>
      </c>
      <c r="I261" s="464" t="e">
        <f t="shared" si="7"/>
        <v>#VALUE!</v>
      </c>
      <c r="J261" s="8"/>
    </row>
    <row r="262" spans="2:10">
      <c r="B262" s="5">
        <f t="shared" si="8"/>
        <v>258</v>
      </c>
      <c r="C262" s="5" t="s">
        <v>952</v>
      </c>
      <c r="D262" s="5" t="s">
        <v>990</v>
      </c>
      <c r="E262" s="5"/>
      <c r="F262" s="5"/>
      <c r="G262" s="5">
        <v>63</v>
      </c>
      <c r="H262" s="5">
        <v>18.899999999999999</v>
      </c>
      <c r="I262" s="464" t="e">
        <f t="shared" ref="I262:I325" si="9">+I261+H262</f>
        <v>#VALUE!</v>
      </c>
      <c r="J262" s="8"/>
    </row>
    <row r="263" spans="2:10">
      <c r="B263" s="5">
        <f t="shared" si="8"/>
        <v>259</v>
      </c>
      <c r="C263" s="5" t="s">
        <v>990</v>
      </c>
      <c r="D263" s="5" t="s">
        <v>696</v>
      </c>
      <c r="E263" s="5"/>
      <c r="F263" s="5"/>
      <c r="G263" s="5">
        <v>63</v>
      </c>
      <c r="H263" s="5">
        <v>129.19999999999999</v>
      </c>
      <c r="I263" s="464" t="e">
        <f t="shared" si="9"/>
        <v>#VALUE!</v>
      </c>
      <c r="J263" s="8"/>
    </row>
    <row r="264" spans="2:10">
      <c r="B264" s="5">
        <f t="shared" si="8"/>
        <v>260</v>
      </c>
      <c r="C264" s="5" t="s">
        <v>696</v>
      </c>
      <c r="D264" s="5" t="s">
        <v>802</v>
      </c>
      <c r="E264" s="5"/>
      <c r="F264" s="5"/>
      <c r="G264" s="5">
        <v>63</v>
      </c>
      <c r="H264" s="5">
        <v>34.6</v>
      </c>
      <c r="I264" s="464" t="e">
        <f t="shared" si="9"/>
        <v>#VALUE!</v>
      </c>
      <c r="J264" s="8"/>
    </row>
    <row r="265" spans="2:10">
      <c r="B265" s="5">
        <f t="shared" si="8"/>
        <v>261</v>
      </c>
      <c r="C265" s="5" t="s">
        <v>1273</v>
      </c>
      <c r="D265" s="5" t="s">
        <v>1137</v>
      </c>
      <c r="E265" s="5"/>
      <c r="F265" s="5"/>
      <c r="G265" s="5">
        <v>63</v>
      </c>
      <c r="H265" s="107">
        <v>87.3</v>
      </c>
      <c r="I265" s="464" t="e">
        <f t="shared" si="9"/>
        <v>#VALUE!</v>
      </c>
      <c r="J265" s="8"/>
    </row>
    <row r="266" spans="2:10">
      <c r="B266" s="5">
        <f t="shared" si="8"/>
        <v>262</v>
      </c>
      <c r="C266" s="5" t="s">
        <v>1288</v>
      </c>
      <c r="D266" s="5" t="s">
        <v>1025</v>
      </c>
      <c r="E266" s="5"/>
      <c r="F266" s="5"/>
      <c r="G266" s="5">
        <v>63</v>
      </c>
      <c r="H266" s="5">
        <v>77.8</v>
      </c>
      <c r="I266" s="464" t="e">
        <f t="shared" si="9"/>
        <v>#VALUE!</v>
      </c>
      <c r="J266" s="8"/>
    </row>
    <row r="267" spans="2:10">
      <c r="B267" s="5">
        <f t="shared" si="8"/>
        <v>263</v>
      </c>
      <c r="C267" s="5" t="s">
        <v>717</v>
      </c>
      <c r="D267" s="5"/>
      <c r="E267" s="5"/>
      <c r="F267" s="5"/>
      <c r="G267" s="5">
        <v>63</v>
      </c>
      <c r="H267" s="5">
        <v>56.6</v>
      </c>
      <c r="I267" s="464" t="e">
        <f t="shared" si="9"/>
        <v>#VALUE!</v>
      </c>
      <c r="J267" s="8"/>
    </row>
    <row r="268" spans="2:10">
      <c r="B268" s="5">
        <f t="shared" si="8"/>
        <v>264</v>
      </c>
      <c r="C268" s="5" t="s">
        <v>417</v>
      </c>
      <c r="D268" s="5" t="s">
        <v>315</v>
      </c>
      <c r="E268" s="5" t="s">
        <v>199</v>
      </c>
      <c r="F268" s="5">
        <v>0.36</v>
      </c>
      <c r="G268" s="5">
        <v>63</v>
      </c>
      <c r="H268" s="5">
        <v>33.799999999999997</v>
      </c>
      <c r="I268" s="464" t="e">
        <f t="shared" si="9"/>
        <v>#VALUE!</v>
      </c>
      <c r="J268" s="8"/>
    </row>
    <row r="269" spans="2:10">
      <c r="B269" s="5">
        <f t="shared" si="8"/>
        <v>265</v>
      </c>
      <c r="C269" s="5" t="s">
        <v>406</v>
      </c>
      <c r="D269" s="5" t="s">
        <v>318</v>
      </c>
      <c r="E269" s="5"/>
      <c r="F269" s="5"/>
      <c r="G269" s="5">
        <v>63</v>
      </c>
      <c r="H269" s="5">
        <v>95.6</v>
      </c>
      <c r="I269" s="464" t="e">
        <f t="shared" si="9"/>
        <v>#VALUE!</v>
      </c>
      <c r="J269" s="8"/>
    </row>
    <row r="270" spans="2:10">
      <c r="B270" s="5">
        <f t="shared" si="8"/>
        <v>266</v>
      </c>
      <c r="C270" s="5" t="s">
        <v>416</v>
      </c>
      <c r="D270" s="5" t="s">
        <v>265</v>
      </c>
      <c r="E270" s="5"/>
      <c r="F270" s="5"/>
      <c r="G270" s="5">
        <v>63</v>
      </c>
      <c r="H270" s="5">
        <v>10</v>
      </c>
      <c r="I270" s="464" t="e">
        <f t="shared" si="9"/>
        <v>#VALUE!</v>
      </c>
      <c r="J270" s="8"/>
    </row>
    <row r="271" spans="2:10">
      <c r="B271" s="5">
        <f t="shared" si="8"/>
        <v>267</v>
      </c>
      <c r="C271" s="5" t="s">
        <v>256</v>
      </c>
      <c r="D271" s="5" t="s">
        <v>258</v>
      </c>
      <c r="E271" s="5"/>
      <c r="F271" s="5"/>
      <c r="G271" s="5">
        <v>63</v>
      </c>
      <c r="H271" s="5">
        <v>18.7</v>
      </c>
      <c r="I271" s="464" t="e">
        <f t="shared" si="9"/>
        <v>#VALUE!</v>
      </c>
      <c r="J271" s="8"/>
    </row>
    <row r="272" spans="2:10">
      <c r="B272" s="5">
        <f t="shared" si="8"/>
        <v>268</v>
      </c>
      <c r="C272" s="5" t="s">
        <v>1269</v>
      </c>
      <c r="D272" s="5" t="s">
        <v>1000</v>
      </c>
      <c r="E272" s="5"/>
      <c r="F272" s="5"/>
      <c r="G272" s="5">
        <v>63</v>
      </c>
      <c r="H272" s="5">
        <v>56.6</v>
      </c>
      <c r="I272" s="464" t="e">
        <f t="shared" si="9"/>
        <v>#VALUE!</v>
      </c>
      <c r="J272" s="8"/>
    </row>
    <row r="273" spans="2:15">
      <c r="B273" s="5">
        <f t="shared" si="8"/>
        <v>269</v>
      </c>
      <c r="C273" s="5" t="s">
        <v>256</v>
      </c>
      <c r="D273" s="5" t="s">
        <v>258</v>
      </c>
      <c r="E273" s="5"/>
      <c r="F273" s="5"/>
      <c r="G273" s="5">
        <v>63</v>
      </c>
      <c r="H273" s="5">
        <v>25</v>
      </c>
      <c r="I273" s="464" t="e">
        <f t="shared" si="9"/>
        <v>#VALUE!</v>
      </c>
      <c r="J273" s="8"/>
    </row>
    <row r="274" spans="2:15">
      <c r="B274" s="5">
        <f t="shared" si="8"/>
        <v>270</v>
      </c>
      <c r="C274" s="5" t="s">
        <v>977</v>
      </c>
      <c r="D274" s="5" t="s">
        <v>1017</v>
      </c>
      <c r="E274" s="5"/>
      <c r="F274" s="5"/>
      <c r="G274" s="5">
        <v>63</v>
      </c>
      <c r="H274" s="5">
        <v>86.3</v>
      </c>
      <c r="I274" s="464" t="e">
        <f t="shared" si="9"/>
        <v>#VALUE!</v>
      </c>
      <c r="J274" s="8"/>
    </row>
    <row r="275" spans="2:15">
      <c r="B275" s="5">
        <f t="shared" si="8"/>
        <v>271</v>
      </c>
      <c r="C275" s="5" t="s">
        <v>1281</v>
      </c>
      <c r="D275" s="5" t="s">
        <v>1286</v>
      </c>
      <c r="E275" s="5" t="s">
        <v>199</v>
      </c>
      <c r="F275" s="5">
        <v>0.36</v>
      </c>
      <c r="G275" s="5">
        <v>63</v>
      </c>
      <c r="H275" s="5">
        <v>29.8</v>
      </c>
      <c r="I275" s="464" t="e">
        <f t="shared" si="9"/>
        <v>#VALUE!</v>
      </c>
      <c r="J275" s="8"/>
    </row>
    <row r="276" spans="2:15">
      <c r="B276" s="5">
        <f t="shared" si="8"/>
        <v>272</v>
      </c>
      <c r="C276" s="5" t="s">
        <v>1287</v>
      </c>
      <c r="D276" s="5" t="s">
        <v>1128</v>
      </c>
      <c r="E276" s="5"/>
      <c r="F276" s="5"/>
      <c r="G276" s="5">
        <v>63</v>
      </c>
      <c r="H276" s="5">
        <v>278.39999999999998</v>
      </c>
      <c r="I276" s="464" t="e">
        <f t="shared" si="9"/>
        <v>#VALUE!</v>
      </c>
      <c r="J276" s="8"/>
    </row>
    <row r="277" spans="2:15">
      <c r="B277" s="5">
        <f t="shared" si="8"/>
        <v>273</v>
      </c>
      <c r="C277" s="5" t="s">
        <v>308</v>
      </c>
      <c r="D277" s="5" t="s">
        <v>386</v>
      </c>
      <c r="E277" s="5"/>
      <c r="F277" s="5"/>
      <c r="G277" s="5">
        <v>63</v>
      </c>
      <c r="H277" s="5">
        <v>47.3</v>
      </c>
      <c r="I277" s="464" t="e">
        <f t="shared" si="9"/>
        <v>#VALUE!</v>
      </c>
      <c r="J277" s="8"/>
    </row>
    <row r="278" spans="2:15">
      <c r="B278" s="5">
        <f t="shared" si="8"/>
        <v>274</v>
      </c>
      <c r="C278" s="5" t="s">
        <v>530</v>
      </c>
      <c r="D278" s="5" t="s">
        <v>1256</v>
      </c>
      <c r="E278" s="5"/>
      <c r="F278" s="5"/>
      <c r="G278" s="5">
        <v>63</v>
      </c>
      <c r="H278" s="5">
        <v>27.5</v>
      </c>
      <c r="I278" s="464" t="e">
        <f t="shared" si="9"/>
        <v>#VALUE!</v>
      </c>
      <c r="J278" s="8"/>
    </row>
    <row r="279" spans="2:15">
      <c r="B279" s="5">
        <f t="shared" si="8"/>
        <v>275</v>
      </c>
      <c r="C279" s="5" t="s">
        <v>1277</v>
      </c>
      <c r="D279" s="5" t="s">
        <v>1322</v>
      </c>
      <c r="E279" s="5"/>
      <c r="F279" s="5"/>
      <c r="G279" s="5">
        <v>63</v>
      </c>
      <c r="H279" s="5">
        <v>121.1</v>
      </c>
      <c r="I279" s="464" t="e">
        <f t="shared" si="9"/>
        <v>#VALUE!</v>
      </c>
      <c r="J279" s="8"/>
    </row>
    <row r="280" spans="2:15">
      <c r="B280" s="5">
        <f t="shared" si="8"/>
        <v>276</v>
      </c>
      <c r="C280" s="5" t="s">
        <v>516</v>
      </c>
      <c r="D280" s="5" t="s">
        <v>276</v>
      </c>
      <c r="E280" s="5"/>
      <c r="F280" s="5"/>
      <c r="G280" s="5">
        <v>63</v>
      </c>
      <c r="H280" s="5">
        <v>29.6</v>
      </c>
      <c r="I280" s="464" t="e">
        <f t="shared" si="9"/>
        <v>#VALUE!</v>
      </c>
      <c r="J280" s="8"/>
    </row>
    <row r="281" spans="2:15">
      <c r="B281" s="5">
        <f t="shared" ref="B281:B282" si="10">1+B280</f>
        <v>277</v>
      </c>
      <c r="C281" s="76" t="s">
        <v>1286</v>
      </c>
      <c r="D281" s="76" t="s">
        <v>1284</v>
      </c>
      <c r="E281" s="5" t="s">
        <v>199</v>
      </c>
      <c r="F281" s="18">
        <v>0.36</v>
      </c>
      <c r="G281" s="108">
        <v>63</v>
      </c>
      <c r="H281" s="108">
        <v>89.3</v>
      </c>
      <c r="I281" s="464" t="e">
        <f t="shared" si="9"/>
        <v>#VALUE!</v>
      </c>
      <c r="J281" s="8"/>
    </row>
    <row r="282" spans="2:15">
      <c r="B282" s="5">
        <f t="shared" si="10"/>
        <v>278</v>
      </c>
      <c r="C282" s="5" t="s">
        <v>255</v>
      </c>
      <c r="D282" s="5" t="s">
        <v>359</v>
      </c>
      <c r="E282" s="5"/>
      <c r="F282" s="5"/>
      <c r="G282" s="5">
        <v>63</v>
      </c>
      <c r="H282" s="5">
        <v>19.100000000000001</v>
      </c>
      <c r="I282" s="464" t="e">
        <f t="shared" si="9"/>
        <v>#VALUE!</v>
      </c>
      <c r="J282" s="8"/>
    </row>
    <row r="283" spans="2:15">
      <c r="B283" s="5">
        <f t="shared" ref="B283:B314" si="11">1+B282</f>
        <v>279</v>
      </c>
      <c r="C283" s="5" t="s">
        <v>1261</v>
      </c>
      <c r="D283" s="5" t="s">
        <v>1323</v>
      </c>
      <c r="E283" s="5"/>
      <c r="F283" s="5"/>
      <c r="G283" s="5">
        <v>63</v>
      </c>
      <c r="H283" s="5">
        <v>307.5</v>
      </c>
      <c r="I283" s="464" t="e">
        <f t="shared" si="9"/>
        <v>#VALUE!</v>
      </c>
      <c r="J283" s="8" t="s">
        <v>1324</v>
      </c>
      <c r="O283">
        <f>278.4+47.3</f>
        <v>325.7</v>
      </c>
    </row>
    <row r="284" spans="2:15">
      <c r="B284" s="5">
        <f t="shared" si="11"/>
        <v>280</v>
      </c>
      <c r="C284" s="5" t="s">
        <v>1261</v>
      </c>
      <c r="D284" s="5" t="s">
        <v>1323</v>
      </c>
      <c r="E284" s="5"/>
      <c r="F284" s="5"/>
      <c r="G284" s="5">
        <v>63</v>
      </c>
      <c r="H284" s="5">
        <v>147.6</v>
      </c>
      <c r="I284" s="464" t="e">
        <f t="shared" si="9"/>
        <v>#VALUE!</v>
      </c>
      <c r="J284" s="8"/>
    </row>
    <row r="285" spans="2:15">
      <c r="B285" s="5">
        <f t="shared" si="11"/>
        <v>281</v>
      </c>
      <c r="C285" s="5" t="s">
        <v>1323</v>
      </c>
      <c r="D285" s="5" t="s">
        <v>1325</v>
      </c>
      <c r="E285" s="5"/>
      <c r="F285" s="5"/>
      <c r="G285" s="5">
        <v>63</v>
      </c>
      <c r="H285" s="5">
        <v>51.5</v>
      </c>
      <c r="I285" s="464" t="e">
        <f t="shared" si="9"/>
        <v>#VALUE!</v>
      </c>
      <c r="J285" s="8"/>
    </row>
    <row r="286" spans="2:15">
      <c r="B286" s="5">
        <f t="shared" si="11"/>
        <v>282</v>
      </c>
      <c r="C286" s="5" t="s">
        <v>1323</v>
      </c>
      <c r="D286" s="5" t="s">
        <v>1255</v>
      </c>
      <c r="E286" s="5" t="s">
        <v>193</v>
      </c>
      <c r="F286" s="5">
        <v>0.36</v>
      </c>
      <c r="G286" s="5">
        <v>63</v>
      </c>
      <c r="H286" s="5">
        <v>7</v>
      </c>
      <c r="I286" s="464" t="e">
        <f t="shared" si="9"/>
        <v>#VALUE!</v>
      </c>
      <c r="J286" s="8"/>
    </row>
    <row r="287" spans="2:15">
      <c r="B287" s="5">
        <f t="shared" si="11"/>
        <v>283</v>
      </c>
      <c r="C287" s="5" t="s">
        <v>1305</v>
      </c>
      <c r="D287" s="5" t="s">
        <v>726</v>
      </c>
      <c r="E287" s="5"/>
      <c r="F287" s="5"/>
      <c r="G287" s="5">
        <v>75</v>
      </c>
      <c r="H287" s="5">
        <v>132.30000000000001</v>
      </c>
      <c r="I287" s="464" t="e">
        <f t="shared" si="9"/>
        <v>#VALUE!</v>
      </c>
      <c r="J287" s="8"/>
    </row>
    <row r="288" spans="2:15">
      <c r="B288" s="5">
        <f t="shared" si="11"/>
        <v>284</v>
      </c>
      <c r="C288" s="5" t="s">
        <v>1323</v>
      </c>
      <c r="D288" s="5" t="s">
        <v>1255</v>
      </c>
      <c r="E288" s="5"/>
      <c r="F288" s="5"/>
      <c r="G288" s="5">
        <v>75</v>
      </c>
      <c r="H288" s="5">
        <v>67.599999999999994</v>
      </c>
      <c r="I288" s="464" t="e">
        <f t="shared" si="9"/>
        <v>#VALUE!</v>
      </c>
      <c r="J288" s="8"/>
    </row>
    <row r="289" spans="2:13">
      <c r="B289" s="5">
        <f t="shared" si="11"/>
        <v>285</v>
      </c>
      <c r="C289" s="6" t="s">
        <v>283</v>
      </c>
      <c r="D289" s="6" t="s">
        <v>318</v>
      </c>
      <c r="E289" s="5"/>
      <c r="F289" s="5"/>
      <c r="G289" s="5">
        <v>75</v>
      </c>
      <c r="H289" s="18">
        <v>111.4</v>
      </c>
      <c r="I289" s="464" t="e">
        <f t="shared" si="9"/>
        <v>#VALUE!</v>
      </c>
      <c r="J289" s="8"/>
    </row>
    <row r="290" spans="2:13">
      <c r="B290" s="5">
        <f t="shared" si="11"/>
        <v>286</v>
      </c>
      <c r="C290" s="6" t="s">
        <v>1266</v>
      </c>
      <c r="D290" s="6" t="s">
        <v>978</v>
      </c>
      <c r="E290" s="5"/>
      <c r="F290" s="5"/>
      <c r="G290" s="5">
        <v>75</v>
      </c>
      <c r="H290" s="18">
        <v>28.6</v>
      </c>
      <c r="I290" s="464" t="e">
        <f t="shared" si="9"/>
        <v>#VALUE!</v>
      </c>
      <c r="J290" s="8"/>
    </row>
    <row r="291" spans="2:13">
      <c r="B291" s="5">
        <f t="shared" si="11"/>
        <v>287</v>
      </c>
      <c r="C291" s="6" t="s">
        <v>978</v>
      </c>
      <c r="D291" s="6" t="s">
        <v>551</v>
      </c>
      <c r="E291" s="5"/>
      <c r="F291" s="5"/>
      <c r="G291" s="5">
        <v>75</v>
      </c>
      <c r="H291" s="18">
        <v>135.9</v>
      </c>
      <c r="I291" s="464" t="e">
        <f t="shared" si="9"/>
        <v>#VALUE!</v>
      </c>
      <c r="J291" s="8"/>
    </row>
    <row r="292" spans="2:13">
      <c r="B292" s="5">
        <f t="shared" si="11"/>
        <v>288</v>
      </c>
      <c r="C292" s="6" t="s">
        <v>1266</v>
      </c>
      <c r="D292" s="6" t="s">
        <v>1018</v>
      </c>
      <c r="E292" s="5"/>
      <c r="F292" s="5"/>
      <c r="G292" s="5">
        <v>75</v>
      </c>
      <c r="H292" s="18">
        <v>91</v>
      </c>
      <c r="I292" s="464" t="e">
        <f t="shared" si="9"/>
        <v>#VALUE!</v>
      </c>
      <c r="J292" s="8"/>
    </row>
    <row r="293" spans="2:13">
      <c r="B293" s="5">
        <f t="shared" si="11"/>
        <v>289</v>
      </c>
      <c r="C293" s="6" t="s">
        <v>1018</v>
      </c>
      <c r="D293" s="6" t="s">
        <v>1322</v>
      </c>
      <c r="E293" s="5" t="s">
        <v>199</v>
      </c>
      <c r="F293" s="5">
        <v>0.37</v>
      </c>
      <c r="G293" s="5">
        <v>75</v>
      </c>
      <c r="H293" s="18">
        <v>18</v>
      </c>
      <c r="I293" s="464" t="e">
        <f t="shared" si="9"/>
        <v>#VALUE!</v>
      </c>
      <c r="J293" s="8"/>
    </row>
    <row r="294" spans="2:13">
      <c r="B294" s="5">
        <f t="shared" si="11"/>
        <v>290</v>
      </c>
      <c r="C294" s="6" t="s">
        <v>1322</v>
      </c>
      <c r="D294" s="6" t="s">
        <v>1268</v>
      </c>
      <c r="E294" s="5" t="s">
        <v>199</v>
      </c>
      <c r="F294" s="5">
        <v>0.37</v>
      </c>
      <c r="G294" s="5">
        <v>75</v>
      </c>
      <c r="H294" s="18">
        <v>31</v>
      </c>
      <c r="I294" s="464" t="e">
        <f t="shared" si="9"/>
        <v>#VALUE!</v>
      </c>
      <c r="J294" s="8"/>
    </row>
    <row r="295" spans="2:13">
      <c r="B295" s="5">
        <f t="shared" si="11"/>
        <v>291</v>
      </c>
      <c r="C295" s="6" t="s">
        <v>1268</v>
      </c>
      <c r="D295" s="6" t="s">
        <v>1077</v>
      </c>
      <c r="E295" s="5" t="s">
        <v>199</v>
      </c>
      <c r="F295" s="5">
        <v>0.37</v>
      </c>
      <c r="G295" s="5">
        <v>75</v>
      </c>
      <c r="H295" s="18">
        <v>82.4</v>
      </c>
      <c r="I295" s="464" t="e">
        <f t="shared" si="9"/>
        <v>#VALUE!</v>
      </c>
      <c r="J295" s="8"/>
    </row>
    <row r="296" spans="2:13">
      <c r="B296" s="5">
        <f t="shared" si="11"/>
        <v>292</v>
      </c>
      <c r="C296" s="6" t="s">
        <v>1077</v>
      </c>
      <c r="D296" s="6" t="s">
        <v>1271</v>
      </c>
      <c r="E296" s="5"/>
      <c r="F296" s="5"/>
      <c r="G296" s="5">
        <v>75</v>
      </c>
      <c r="H296" s="18">
        <v>43.6</v>
      </c>
      <c r="I296" s="464" t="e">
        <f t="shared" si="9"/>
        <v>#VALUE!</v>
      </c>
      <c r="J296" s="8"/>
    </row>
    <row r="297" spans="2:13">
      <c r="B297" s="5">
        <f t="shared" si="11"/>
        <v>293</v>
      </c>
      <c r="C297" s="6" t="s">
        <v>1271</v>
      </c>
      <c r="D297" s="6" t="s">
        <v>1274</v>
      </c>
      <c r="E297" s="5"/>
      <c r="F297" s="5"/>
      <c r="G297" s="5">
        <v>75</v>
      </c>
      <c r="H297" s="5">
        <v>105.8</v>
      </c>
      <c r="I297" s="464" t="e">
        <f t="shared" si="9"/>
        <v>#VALUE!</v>
      </c>
      <c r="J297" s="8"/>
      <c r="M297">
        <f>564-12.4</f>
        <v>551.6</v>
      </c>
    </row>
    <row r="298" spans="2:13">
      <c r="B298" s="5">
        <f t="shared" si="11"/>
        <v>294</v>
      </c>
      <c r="C298" s="6" t="s">
        <v>262</v>
      </c>
      <c r="D298" s="6" t="s">
        <v>316</v>
      </c>
      <c r="E298" s="5"/>
      <c r="F298" s="5"/>
      <c r="G298" s="5">
        <v>75</v>
      </c>
      <c r="H298" s="5">
        <v>151.19999999999999</v>
      </c>
      <c r="I298" s="464" t="e">
        <f t="shared" si="9"/>
        <v>#VALUE!</v>
      </c>
      <c r="J298" s="8"/>
    </row>
    <row r="299" spans="2:13">
      <c r="B299" s="5">
        <f t="shared" si="11"/>
        <v>295</v>
      </c>
      <c r="C299" s="6" t="s">
        <v>316</v>
      </c>
      <c r="D299" s="6" t="s">
        <v>246</v>
      </c>
      <c r="E299" s="5"/>
      <c r="F299" s="5"/>
      <c r="G299" s="5">
        <v>75</v>
      </c>
      <c r="H299" s="5">
        <v>551.6</v>
      </c>
      <c r="I299" s="464" t="e">
        <f t="shared" si="9"/>
        <v>#VALUE!</v>
      </c>
      <c r="J299" s="8"/>
    </row>
    <row r="300" spans="2:13">
      <c r="B300" s="5">
        <f t="shared" si="11"/>
        <v>296</v>
      </c>
      <c r="C300" s="6" t="s">
        <v>318</v>
      </c>
      <c r="D300" s="6" t="s">
        <v>419</v>
      </c>
      <c r="E300" s="5"/>
      <c r="F300" s="5"/>
      <c r="G300" s="5">
        <v>75</v>
      </c>
      <c r="H300" s="5">
        <v>135.80000000000001</v>
      </c>
      <c r="I300" s="464" t="e">
        <f t="shared" si="9"/>
        <v>#VALUE!</v>
      </c>
      <c r="J300" s="8"/>
    </row>
    <row r="301" spans="2:13">
      <c r="B301" s="5">
        <f t="shared" si="11"/>
        <v>297</v>
      </c>
      <c r="C301" s="6" t="s">
        <v>435</v>
      </c>
      <c r="D301" s="6" t="s">
        <v>237</v>
      </c>
      <c r="E301" s="5"/>
      <c r="F301" s="5"/>
      <c r="G301" s="5">
        <v>75</v>
      </c>
      <c r="H301" s="5">
        <v>45.7</v>
      </c>
      <c r="I301" s="464" t="e">
        <f t="shared" si="9"/>
        <v>#VALUE!</v>
      </c>
      <c r="J301" s="8"/>
    </row>
    <row r="302" spans="2:13">
      <c r="B302" s="5">
        <f t="shared" si="11"/>
        <v>298</v>
      </c>
      <c r="C302" s="5" t="s">
        <v>210</v>
      </c>
      <c r="D302" s="5" t="s">
        <v>190</v>
      </c>
      <c r="E302" s="5"/>
      <c r="F302" s="5"/>
      <c r="G302" s="5">
        <v>90</v>
      </c>
      <c r="H302" s="5">
        <v>269.10000000000002</v>
      </c>
      <c r="I302" s="464" t="e">
        <f t="shared" si="9"/>
        <v>#VALUE!</v>
      </c>
      <c r="J302" s="8"/>
    </row>
    <row r="303" spans="2:13">
      <c r="B303" s="5">
        <f t="shared" si="11"/>
        <v>299</v>
      </c>
      <c r="C303" s="5" t="s">
        <v>95</v>
      </c>
      <c r="D303" s="5" t="s">
        <v>1304</v>
      </c>
      <c r="E303" s="5"/>
      <c r="F303" s="5"/>
      <c r="G303" s="5">
        <v>90</v>
      </c>
      <c r="H303" s="5">
        <v>60.6</v>
      </c>
      <c r="I303" s="464" t="e">
        <f t="shared" si="9"/>
        <v>#VALUE!</v>
      </c>
      <c r="J303" s="8"/>
    </row>
    <row r="304" spans="2:13">
      <c r="B304" s="5">
        <f t="shared" si="11"/>
        <v>300</v>
      </c>
      <c r="C304" s="5" t="s">
        <v>1304</v>
      </c>
      <c r="D304" s="5" t="s">
        <v>1299</v>
      </c>
      <c r="E304" s="5"/>
      <c r="F304" s="5"/>
      <c r="G304" s="5">
        <v>90</v>
      </c>
      <c r="H304" s="5">
        <v>226</v>
      </c>
      <c r="I304" s="464" t="e">
        <f t="shared" si="9"/>
        <v>#VALUE!</v>
      </c>
      <c r="J304" s="8"/>
    </row>
    <row r="305" spans="2:18">
      <c r="B305" s="5">
        <f t="shared" si="11"/>
        <v>301</v>
      </c>
      <c r="C305" s="5" t="s">
        <v>1299</v>
      </c>
      <c r="D305" s="5" t="s">
        <v>1305</v>
      </c>
      <c r="E305" s="5" t="s">
        <v>102</v>
      </c>
      <c r="F305" s="5">
        <v>0.39</v>
      </c>
      <c r="G305" s="5">
        <v>90</v>
      </c>
      <c r="H305" s="5">
        <v>6.2</v>
      </c>
      <c r="I305" s="464" t="e">
        <f t="shared" si="9"/>
        <v>#VALUE!</v>
      </c>
      <c r="J305" s="8"/>
    </row>
    <row r="306" spans="2:18">
      <c r="B306" s="5">
        <f t="shared" si="11"/>
        <v>302</v>
      </c>
      <c r="C306" s="5" t="s">
        <v>1299</v>
      </c>
      <c r="D306" s="5" t="s">
        <v>1305</v>
      </c>
      <c r="E306" s="5"/>
      <c r="F306" s="5"/>
      <c r="G306" s="5">
        <v>90</v>
      </c>
      <c r="H306" s="5">
        <v>216.1</v>
      </c>
      <c r="I306" s="464" t="e">
        <f t="shared" si="9"/>
        <v>#VALUE!</v>
      </c>
      <c r="J306" s="8"/>
    </row>
    <row r="307" spans="2:18">
      <c r="B307" s="5">
        <f t="shared" si="11"/>
        <v>303</v>
      </c>
      <c r="C307" s="6" t="s">
        <v>1238</v>
      </c>
      <c r="D307" s="6" t="s">
        <v>95</v>
      </c>
      <c r="E307" s="5"/>
      <c r="F307" s="5"/>
      <c r="G307" s="5">
        <v>90</v>
      </c>
      <c r="H307" s="5">
        <v>35.5</v>
      </c>
      <c r="I307" s="464" t="e">
        <f t="shared" si="9"/>
        <v>#VALUE!</v>
      </c>
      <c r="J307" s="8"/>
      <c r="L307" s="18" t="s">
        <v>1305</v>
      </c>
      <c r="M307" s="18" t="s">
        <v>1299</v>
      </c>
      <c r="N307" s="18" t="s">
        <v>1326</v>
      </c>
      <c r="O307" s="18" t="s">
        <v>810</v>
      </c>
      <c r="P307" s="18"/>
      <c r="Q307" s="18"/>
      <c r="R307" s="18">
        <v>190</v>
      </c>
    </row>
    <row r="308" spans="2:18">
      <c r="B308" s="5">
        <f t="shared" si="11"/>
        <v>304</v>
      </c>
      <c r="C308" s="6" t="s">
        <v>1238</v>
      </c>
      <c r="D308" s="6" t="s">
        <v>95</v>
      </c>
      <c r="E308" s="5" t="s">
        <v>45</v>
      </c>
      <c r="F308" s="5">
        <v>0.39</v>
      </c>
      <c r="G308" s="5">
        <v>90</v>
      </c>
      <c r="H308" s="5">
        <v>4.3</v>
      </c>
      <c r="I308" s="464" t="e">
        <f t="shared" si="9"/>
        <v>#VALUE!</v>
      </c>
      <c r="J308" s="8"/>
      <c r="L308" s="18" t="s">
        <v>1299</v>
      </c>
      <c r="M308" s="18" t="s">
        <v>95</v>
      </c>
      <c r="N308" s="18" t="s">
        <v>1326</v>
      </c>
      <c r="O308" s="18" t="s">
        <v>810</v>
      </c>
      <c r="P308" s="18"/>
      <c r="Q308" s="18"/>
      <c r="R308" s="18">
        <v>280</v>
      </c>
    </row>
    <row r="309" spans="2:18">
      <c r="B309" s="5">
        <f t="shared" si="11"/>
        <v>305</v>
      </c>
      <c r="C309" s="6" t="s">
        <v>1003</v>
      </c>
      <c r="D309" s="6" t="s">
        <v>1086</v>
      </c>
      <c r="E309" s="5"/>
      <c r="F309" s="5"/>
      <c r="G309" s="18">
        <v>90</v>
      </c>
      <c r="H309" s="18">
        <v>188</v>
      </c>
      <c r="I309" s="464" t="e">
        <f t="shared" si="9"/>
        <v>#VALUE!</v>
      </c>
      <c r="J309" s="8"/>
      <c r="L309" s="102" t="s">
        <v>59</v>
      </c>
      <c r="M309" s="102" t="s">
        <v>911</v>
      </c>
      <c r="N309" s="5" t="s">
        <v>1326</v>
      </c>
      <c r="O309" s="5" t="s">
        <v>810</v>
      </c>
      <c r="P309" s="18"/>
      <c r="Q309" s="18"/>
      <c r="R309" s="18">
        <v>45</v>
      </c>
    </row>
    <row r="310" spans="2:18">
      <c r="B310" s="5">
        <f t="shared" si="11"/>
        <v>306</v>
      </c>
      <c r="C310" s="6" t="s">
        <v>1051</v>
      </c>
      <c r="D310" s="6" t="s">
        <v>680</v>
      </c>
      <c r="E310" s="5"/>
      <c r="F310" s="5"/>
      <c r="G310" s="18">
        <v>90</v>
      </c>
      <c r="H310" s="18">
        <v>154.6</v>
      </c>
      <c r="I310" s="464" t="e">
        <f t="shared" si="9"/>
        <v>#VALUE!</v>
      </c>
      <c r="J310" s="8"/>
      <c r="L310" s="18" t="s">
        <v>911</v>
      </c>
      <c r="M310" s="18" t="s">
        <v>1327</v>
      </c>
      <c r="N310" s="5" t="s">
        <v>1326</v>
      </c>
      <c r="O310" s="5" t="s">
        <v>810</v>
      </c>
      <c r="P310" s="18"/>
      <c r="Q310" s="18"/>
      <c r="R310" s="18">
        <v>90</v>
      </c>
    </row>
    <row r="311" spans="2:18">
      <c r="B311" s="5">
        <f t="shared" si="11"/>
        <v>307</v>
      </c>
      <c r="C311" s="6" t="s">
        <v>680</v>
      </c>
      <c r="D311" s="6" t="s">
        <v>847</v>
      </c>
      <c r="E311" s="5"/>
      <c r="F311" s="5"/>
      <c r="G311" s="18">
        <v>90</v>
      </c>
      <c r="H311" s="18">
        <v>95.6</v>
      </c>
      <c r="I311" s="464" t="e">
        <f t="shared" si="9"/>
        <v>#VALUE!</v>
      </c>
      <c r="J311" s="8"/>
      <c r="L311" s="18" t="s">
        <v>1327</v>
      </c>
      <c r="M311" s="18" t="s">
        <v>1328</v>
      </c>
      <c r="N311" s="5" t="s">
        <v>1326</v>
      </c>
      <c r="O311" s="5" t="s">
        <v>810</v>
      </c>
      <c r="P311" s="18"/>
      <c r="Q311" s="18"/>
      <c r="R311" s="18">
        <v>151</v>
      </c>
    </row>
    <row r="312" spans="2:18">
      <c r="B312" s="5">
        <f t="shared" si="11"/>
        <v>308</v>
      </c>
      <c r="C312" s="70" t="s">
        <v>307</v>
      </c>
      <c r="D312" s="70" t="s">
        <v>347</v>
      </c>
      <c r="E312" s="5"/>
      <c r="F312" s="5"/>
      <c r="G312" s="5">
        <v>90</v>
      </c>
      <c r="H312" s="18">
        <v>25</v>
      </c>
      <c r="I312" s="464" t="e">
        <f t="shared" si="9"/>
        <v>#VALUE!</v>
      </c>
      <c r="J312" s="8"/>
      <c r="L312" s="102" t="s">
        <v>1329</v>
      </c>
      <c r="M312" s="102" t="s">
        <v>1330</v>
      </c>
      <c r="N312" s="5" t="s">
        <v>1326</v>
      </c>
      <c r="O312" s="5" t="s">
        <v>810</v>
      </c>
      <c r="P312" s="18"/>
      <c r="Q312" s="18"/>
      <c r="R312" s="18">
        <v>174</v>
      </c>
    </row>
    <row r="313" spans="2:18">
      <c r="B313" s="5">
        <f t="shared" si="11"/>
        <v>309</v>
      </c>
      <c r="C313" s="70" t="s">
        <v>347</v>
      </c>
      <c r="D313" s="70" t="s">
        <v>190</v>
      </c>
      <c r="E313" s="5"/>
      <c r="F313" s="5"/>
      <c r="G313" s="5">
        <v>90</v>
      </c>
      <c r="H313" s="5">
        <v>170</v>
      </c>
      <c r="I313" s="464" t="e">
        <f t="shared" si="9"/>
        <v>#VALUE!</v>
      </c>
      <c r="J313" s="8"/>
      <c r="L313" s="102" t="s">
        <v>1331</v>
      </c>
      <c r="M313" s="102" t="s">
        <v>60</v>
      </c>
      <c r="N313" s="8"/>
      <c r="O313" s="5" t="s">
        <v>810</v>
      </c>
      <c r="P313" s="18"/>
      <c r="Q313" s="18"/>
      <c r="R313" s="18">
        <v>28</v>
      </c>
    </row>
    <row r="314" spans="2:18">
      <c r="B314" s="5">
        <f t="shared" si="11"/>
        <v>310</v>
      </c>
      <c r="C314" s="70" t="s">
        <v>345</v>
      </c>
      <c r="D314" s="70" t="s">
        <v>847</v>
      </c>
      <c r="E314" s="5"/>
      <c r="F314" s="5"/>
      <c r="G314" s="5">
        <v>90</v>
      </c>
      <c r="H314" s="5">
        <v>25</v>
      </c>
      <c r="I314" s="464" t="e">
        <f t="shared" si="9"/>
        <v>#VALUE!</v>
      </c>
      <c r="J314" s="8"/>
      <c r="L314" s="102" t="s">
        <v>60</v>
      </c>
      <c r="M314" s="102" t="s">
        <v>834</v>
      </c>
      <c r="N314" s="8"/>
      <c r="O314" s="5" t="s">
        <v>810</v>
      </c>
      <c r="P314" s="18"/>
      <c r="Q314" s="18"/>
      <c r="R314" s="18">
        <v>169</v>
      </c>
    </row>
    <row r="315" spans="2:18">
      <c r="B315" s="5">
        <f t="shared" ref="B315:B333" si="12">1+B314</f>
        <v>311</v>
      </c>
      <c r="C315" s="6" t="s">
        <v>1003</v>
      </c>
      <c r="D315" s="6" t="s">
        <v>1051</v>
      </c>
      <c r="E315" s="5"/>
      <c r="F315" s="5"/>
      <c r="G315" s="5">
        <v>90</v>
      </c>
      <c r="H315" s="5">
        <v>28.7</v>
      </c>
      <c r="I315" s="464" t="e">
        <f t="shared" si="9"/>
        <v>#VALUE!</v>
      </c>
      <c r="J315" s="8"/>
      <c r="L315" s="102"/>
      <c r="M315" s="102"/>
      <c r="N315" s="8"/>
      <c r="O315" s="5"/>
      <c r="P315" s="18"/>
      <c r="Q315" s="18"/>
      <c r="R315" s="18"/>
    </row>
    <row r="316" spans="2:18">
      <c r="B316" s="5">
        <f t="shared" si="12"/>
        <v>312</v>
      </c>
      <c r="C316" s="5" t="s">
        <v>258</v>
      </c>
      <c r="D316" s="5" t="s">
        <v>269</v>
      </c>
      <c r="E316" s="5"/>
      <c r="F316" s="5"/>
      <c r="G316" s="5">
        <v>110</v>
      </c>
      <c r="H316" s="5">
        <v>134.4</v>
      </c>
      <c r="I316" s="464" t="e">
        <f t="shared" si="9"/>
        <v>#VALUE!</v>
      </c>
      <c r="J316" s="8"/>
      <c r="L316" s="18" t="s">
        <v>1332</v>
      </c>
      <c r="M316" s="18" t="s">
        <v>1333</v>
      </c>
      <c r="N316" s="8"/>
      <c r="O316" s="5" t="s">
        <v>810</v>
      </c>
      <c r="P316" s="18"/>
      <c r="Q316" s="18"/>
      <c r="R316" s="18">
        <v>21</v>
      </c>
    </row>
    <row r="317" spans="2:18">
      <c r="B317" s="5">
        <f t="shared" si="12"/>
        <v>313</v>
      </c>
      <c r="C317" s="5" t="s">
        <v>269</v>
      </c>
      <c r="D317" s="5" t="s">
        <v>358</v>
      </c>
      <c r="E317" s="5"/>
      <c r="F317" s="5"/>
      <c r="G317" s="5">
        <v>110</v>
      </c>
      <c r="H317" s="5">
        <v>50.4</v>
      </c>
      <c r="I317" s="464" t="e">
        <f t="shared" si="9"/>
        <v>#VALUE!</v>
      </c>
      <c r="J317" s="8"/>
      <c r="L317" s="18" t="s">
        <v>1333</v>
      </c>
      <c r="M317" s="18" t="s">
        <v>1334</v>
      </c>
      <c r="N317" s="8"/>
      <c r="O317" s="5" t="s">
        <v>810</v>
      </c>
      <c r="P317" s="18"/>
      <c r="Q317" s="18"/>
      <c r="R317" s="18">
        <v>69</v>
      </c>
    </row>
    <row r="318" spans="2:18">
      <c r="B318" s="5">
        <f t="shared" si="12"/>
        <v>314</v>
      </c>
      <c r="C318" s="5" t="s">
        <v>426</v>
      </c>
      <c r="D318" s="5" t="s">
        <v>398</v>
      </c>
      <c r="E318" s="5"/>
      <c r="F318" s="5"/>
      <c r="G318" s="5">
        <v>110</v>
      </c>
      <c r="H318" s="5">
        <v>120.1</v>
      </c>
      <c r="I318" s="464" t="e">
        <f t="shared" si="9"/>
        <v>#VALUE!</v>
      </c>
      <c r="J318" s="8"/>
      <c r="L318" s="18" t="s">
        <v>1334</v>
      </c>
      <c r="M318" s="18" t="s">
        <v>1335</v>
      </c>
      <c r="N318" s="8"/>
      <c r="O318" s="5" t="s">
        <v>810</v>
      </c>
      <c r="P318" s="18"/>
      <c r="Q318" s="18"/>
      <c r="R318" s="18">
        <v>152</v>
      </c>
    </row>
    <row r="319" spans="2:18">
      <c r="B319" s="5">
        <f t="shared" si="12"/>
        <v>315</v>
      </c>
      <c r="C319" s="5" t="s">
        <v>398</v>
      </c>
      <c r="D319" s="5" t="s">
        <v>262</v>
      </c>
      <c r="E319" s="5"/>
      <c r="F319" s="5"/>
      <c r="G319" s="5">
        <v>110</v>
      </c>
      <c r="H319" s="5">
        <v>32.9</v>
      </c>
      <c r="I319" s="464" t="e">
        <f t="shared" si="9"/>
        <v>#VALUE!</v>
      </c>
      <c r="J319" s="8"/>
      <c r="L319" s="18" t="s">
        <v>190</v>
      </c>
      <c r="M319" s="18" t="s">
        <v>210</v>
      </c>
      <c r="N319" s="8"/>
      <c r="O319" s="5" t="s">
        <v>810</v>
      </c>
      <c r="P319" s="18"/>
      <c r="Q319" s="18"/>
      <c r="R319" s="18">
        <v>246</v>
      </c>
    </row>
    <row r="320" spans="2:18">
      <c r="B320" s="5">
        <f t="shared" si="12"/>
        <v>316</v>
      </c>
      <c r="C320" s="5" t="s">
        <v>575</v>
      </c>
      <c r="D320" s="5" t="s">
        <v>339</v>
      </c>
      <c r="E320" s="5"/>
      <c r="F320" s="5"/>
      <c r="G320" s="5">
        <v>110</v>
      </c>
      <c r="H320" s="5">
        <v>186.9</v>
      </c>
      <c r="I320" s="464" t="e">
        <f t="shared" si="9"/>
        <v>#VALUE!</v>
      </c>
      <c r="J320" s="8"/>
      <c r="L320" s="18" t="s">
        <v>154</v>
      </c>
      <c r="M320" s="18" t="s">
        <v>159</v>
      </c>
      <c r="N320" s="18" t="s">
        <v>1336</v>
      </c>
      <c r="O320" s="5" t="s">
        <v>810</v>
      </c>
      <c r="P320" s="18"/>
      <c r="Q320" s="8"/>
      <c r="R320" s="5">
        <v>60</v>
      </c>
    </row>
    <row r="321" spans="2:13">
      <c r="B321" s="5">
        <f t="shared" si="12"/>
        <v>317</v>
      </c>
      <c r="C321" s="5" t="s">
        <v>339</v>
      </c>
      <c r="D321" s="5" t="s">
        <v>662</v>
      </c>
      <c r="E321" s="5"/>
      <c r="F321" s="5"/>
      <c r="G321" s="5">
        <v>110</v>
      </c>
      <c r="H321" s="5">
        <v>79.8</v>
      </c>
      <c r="I321" s="464" t="e">
        <f t="shared" si="9"/>
        <v>#VALUE!</v>
      </c>
      <c r="J321" s="8"/>
    </row>
    <row r="322" spans="2:13">
      <c r="B322" s="5">
        <f t="shared" si="12"/>
        <v>318</v>
      </c>
      <c r="C322" s="5" t="s">
        <v>662</v>
      </c>
      <c r="D322" s="5" t="s">
        <v>345</v>
      </c>
      <c r="E322" s="5"/>
      <c r="F322" s="5"/>
      <c r="G322" s="5">
        <v>110</v>
      </c>
      <c r="H322" s="5">
        <v>160.1</v>
      </c>
      <c r="I322" s="464" t="e">
        <f t="shared" si="9"/>
        <v>#VALUE!</v>
      </c>
      <c r="J322" s="8"/>
    </row>
    <row r="323" spans="2:13">
      <c r="B323" s="5">
        <f t="shared" si="12"/>
        <v>319</v>
      </c>
      <c r="C323" s="5" t="s">
        <v>525</v>
      </c>
      <c r="D323" s="5" t="s">
        <v>506</v>
      </c>
      <c r="E323" s="5"/>
      <c r="F323" s="5"/>
      <c r="G323" s="5">
        <v>110</v>
      </c>
      <c r="H323" s="5">
        <v>56.7</v>
      </c>
      <c r="I323" s="464" t="e">
        <f t="shared" si="9"/>
        <v>#VALUE!</v>
      </c>
      <c r="J323" s="8"/>
    </row>
    <row r="324" spans="2:13">
      <c r="B324" s="5">
        <f t="shared" si="12"/>
        <v>320</v>
      </c>
      <c r="C324" s="5" t="s">
        <v>435</v>
      </c>
      <c r="D324" s="5" t="s">
        <v>306</v>
      </c>
      <c r="E324" s="5"/>
      <c r="F324" s="5"/>
      <c r="G324" s="5">
        <v>125</v>
      </c>
      <c r="H324" s="5">
        <v>128.9</v>
      </c>
      <c r="I324" s="464" t="e">
        <f t="shared" si="9"/>
        <v>#VALUE!</v>
      </c>
      <c r="J324" s="8"/>
    </row>
    <row r="325" spans="2:13">
      <c r="B325" s="5">
        <f t="shared" si="12"/>
        <v>321</v>
      </c>
      <c r="C325" s="5" t="s">
        <v>258</v>
      </c>
      <c r="D325" s="5" t="s">
        <v>255</v>
      </c>
      <c r="E325" s="5"/>
      <c r="F325" s="5"/>
      <c r="G325" s="5">
        <v>125</v>
      </c>
      <c r="H325" s="5">
        <v>65.7</v>
      </c>
      <c r="I325" s="464" t="e">
        <f t="shared" si="9"/>
        <v>#VALUE!</v>
      </c>
      <c r="J325" s="8"/>
    </row>
    <row r="326" spans="2:13">
      <c r="B326" s="5">
        <f t="shared" si="12"/>
        <v>322</v>
      </c>
      <c r="C326" s="5" t="s">
        <v>255</v>
      </c>
      <c r="D326" s="5" t="s">
        <v>359</v>
      </c>
      <c r="E326" s="5"/>
      <c r="F326" s="5"/>
      <c r="G326" s="5">
        <v>125</v>
      </c>
      <c r="H326" s="5">
        <v>73.2</v>
      </c>
      <c r="I326" s="464" t="e">
        <f t="shared" ref="I326:I333" si="13">+I325+H326</f>
        <v>#VALUE!</v>
      </c>
      <c r="J326" s="8"/>
    </row>
    <row r="327" spans="2:13">
      <c r="B327" s="5">
        <f t="shared" si="12"/>
        <v>323</v>
      </c>
      <c r="C327" s="5" t="s">
        <v>246</v>
      </c>
      <c r="D327" s="5" t="s">
        <v>307</v>
      </c>
      <c r="E327" s="5"/>
      <c r="F327" s="5"/>
      <c r="G327" s="5">
        <v>125</v>
      </c>
      <c r="H327" s="5">
        <v>64.900000000000006</v>
      </c>
      <c r="I327" s="464" t="e">
        <f t="shared" si="13"/>
        <v>#VALUE!</v>
      </c>
      <c r="J327" s="8"/>
    </row>
    <row r="328" spans="2:13">
      <c r="B328" s="5">
        <f t="shared" si="12"/>
        <v>324</v>
      </c>
      <c r="C328" s="5" t="s">
        <v>525</v>
      </c>
      <c r="D328" s="5" t="s">
        <v>349</v>
      </c>
      <c r="E328" s="5"/>
      <c r="F328" s="5"/>
      <c r="G328" s="5">
        <v>140</v>
      </c>
      <c r="H328" s="5">
        <v>95</v>
      </c>
      <c r="I328" s="464" t="e">
        <f t="shared" si="13"/>
        <v>#VALUE!</v>
      </c>
      <c r="J328" s="8"/>
    </row>
    <row r="329" spans="2:13">
      <c r="B329" s="5">
        <f t="shared" si="12"/>
        <v>325</v>
      </c>
      <c r="C329" s="5" t="s">
        <v>349</v>
      </c>
      <c r="D329" s="5">
        <v>22</v>
      </c>
      <c r="E329" s="5"/>
      <c r="F329" s="5"/>
      <c r="G329" s="5">
        <v>140</v>
      </c>
      <c r="H329" s="5">
        <v>58.6</v>
      </c>
      <c r="I329" s="464" t="e">
        <f t="shared" si="13"/>
        <v>#VALUE!</v>
      </c>
      <c r="J329" s="8"/>
    </row>
    <row r="330" spans="2:13">
      <c r="B330" s="5">
        <f t="shared" si="12"/>
        <v>326</v>
      </c>
      <c r="C330" s="5" t="s">
        <v>419</v>
      </c>
      <c r="D330" s="5" t="s">
        <v>256</v>
      </c>
      <c r="E330" s="5"/>
      <c r="F330" s="5"/>
      <c r="G330" s="5">
        <v>140</v>
      </c>
      <c r="H330" s="5">
        <v>415</v>
      </c>
      <c r="I330" s="464" t="e">
        <f t="shared" si="13"/>
        <v>#VALUE!</v>
      </c>
      <c r="J330" s="8"/>
    </row>
    <row r="331" spans="2:13">
      <c r="B331" s="5">
        <f t="shared" si="12"/>
        <v>327</v>
      </c>
      <c r="C331" s="5" t="s">
        <v>256</v>
      </c>
      <c r="D331" s="5" t="s">
        <v>258</v>
      </c>
      <c r="E331" s="5"/>
      <c r="F331" s="5"/>
      <c r="G331" s="5">
        <v>140</v>
      </c>
      <c r="H331" s="5">
        <v>155</v>
      </c>
      <c r="I331" s="464" t="e">
        <f t="shared" si="13"/>
        <v>#VALUE!</v>
      </c>
      <c r="J331" s="8"/>
      <c r="M331">
        <f>1651-1532</f>
        <v>119</v>
      </c>
    </row>
    <row r="332" spans="2:13">
      <c r="B332" s="5">
        <f t="shared" si="12"/>
        <v>328</v>
      </c>
      <c r="C332" s="5" t="s">
        <v>419</v>
      </c>
      <c r="D332" s="5" t="s">
        <v>426</v>
      </c>
      <c r="E332" s="5" t="s">
        <v>193</v>
      </c>
      <c r="F332" s="5">
        <v>0.44</v>
      </c>
      <c r="G332" s="5">
        <v>140</v>
      </c>
      <c r="H332" s="5">
        <v>6.4</v>
      </c>
      <c r="I332" s="464" t="e">
        <f t="shared" si="13"/>
        <v>#VALUE!</v>
      </c>
      <c r="J332" s="8"/>
    </row>
    <row r="333" spans="2:13">
      <c r="B333" s="5">
        <f t="shared" si="12"/>
        <v>329</v>
      </c>
      <c r="C333" s="5" t="s">
        <v>426</v>
      </c>
      <c r="D333" s="5" t="s">
        <v>525</v>
      </c>
      <c r="E333" s="5"/>
      <c r="F333" s="5"/>
      <c r="G333" s="5">
        <v>140</v>
      </c>
      <c r="H333" s="5">
        <v>110</v>
      </c>
      <c r="I333" s="464" t="e">
        <f t="shared" si="13"/>
        <v>#VALUE!</v>
      </c>
      <c r="J333" s="8"/>
    </row>
    <row r="334" spans="2:13">
      <c r="B334" s="5"/>
      <c r="C334" s="5"/>
      <c r="D334" s="5"/>
      <c r="E334" s="8"/>
      <c r="F334" s="8"/>
      <c r="G334" s="8"/>
      <c r="H334" s="8"/>
      <c r="I334" s="8"/>
      <c r="J334" s="8"/>
    </row>
    <row r="335" spans="2:13">
      <c r="B335" s="76"/>
      <c r="C335" s="76"/>
      <c r="D335" s="76"/>
      <c r="E335" s="5"/>
      <c r="F335" s="5"/>
      <c r="G335" s="77"/>
      <c r="H335" s="77"/>
      <c r="I335" s="77"/>
      <c r="J335" s="8"/>
    </row>
    <row r="336" spans="2:13">
      <c r="B336" s="76"/>
      <c r="C336" s="77"/>
      <c r="D336" s="77"/>
      <c r="E336" s="77"/>
      <c r="F336" s="77"/>
      <c r="G336" s="77"/>
      <c r="H336" s="77"/>
      <c r="I336" s="77"/>
      <c r="J336" s="8"/>
    </row>
    <row r="337" spans="2:16">
      <c r="B337" s="5">
        <v>63</v>
      </c>
      <c r="C337" s="5">
        <v>75</v>
      </c>
      <c r="D337" s="5">
        <v>90</v>
      </c>
      <c r="E337" s="5">
        <v>110</v>
      </c>
      <c r="F337" s="5">
        <v>125</v>
      </c>
      <c r="G337" s="5">
        <v>140</v>
      </c>
      <c r="H337" s="5">
        <v>160</v>
      </c>
      <c r="I337" s="5"/>
      <c r="J337" s="8"/>
      <c r="P337">
        <f>21921-3000</f>
        <v>18921</v>
      </c>
    </row>
    <row r="338" spans="2:16">
      <c r="B338" s="5">
        <f>+SUMIF($G$5:$G$333,B337,$H$5:$H$333)</f>
        <v>20994.899999999987</v>
      </c>
      <c r="C338" s="5">
        <f t="shared" ref="C338:H338" si="14">+SUMIF($G$5:$G$333,C337,$H$5:$H$333)</f>
        <v>1731.9</v>
      </c>
      <c r="D338" s="5">
        <f t="shared" si="14"/>
        <v>1504.7</v>
      </c>
      <c r="E338" s="5">
        <f t="shared" si="14"/>
        <v>821.3</v>
      </c>
      <c r="F338" s="5">
        <f t="shared" si="14"/>
        <v>332.70000000000005</v>
      </c>
      <c r="G338" s="5">
        <f t="shared" si="14"/>
        <v>840</v>
      </c>
      <c r="H338" s="5">
        <f t="shared" si="14"/>
        <v>0</v>
      </c>
      <c r="I338" s="5">
        <f>SUM(B338:H338)</f>
        <v>26225.499999999989</v>
      </c>
      <c r="J338" s="8"/>
      <c r="P338">
        <v>1820</v>
      </c>
    </row>
    <row r="339" spans="2:16" ht="18.75">
      <c r="B339" s="68">
        <v>23628</v>
      </c>
      <c r="C339" s="68">
        <v>1864</v>
      </c>
      <c r="D339" s="68">
        <v>1675</v>
      </c>
      <c r="E339" s="68">
        <v>939</v>
      </c>
      <c r="F339" s="68">
        <v>396</v>
      </c>
      <c r="G339" s="68">
        <v>845</v>
      </c>
      <c r="H339" s="68">
        <v>26</v>
      </c>
      <c r="I339" s="111">
        <f>+B339+C339+D339+E339+F339+G339+H339</f>
        <v>29373</v>
      </c>
      <c r="J339" s="8"/>
      <c r="P339">
        <v>1615</v>
      </c>
    </row>
    <row r="340" spans="2:16">
      <c r="P340">
        <v>877</v>
      </c>
    </row>
    <row r="341" spans="2:16">
      <c r="P341">
        <v>396</v>
      </c>
    </row>
    <row r="342" spans="2:16">
      <c r="E342" s="48" t="s">
        <v>735</v>
      </c>
      <c r="F342" s="109" t="s">
        <v>736</v>
      </c>
      <c r="G342" s="109" t="s">
        <v>737</v>
      </c>
      <c r="H342" s="110" t="s">
        <v>738</v>
      </c>
      <c r="I342" s="109" t="s">
        <v>740</v>
      </c>
      <c r="P342">
        <v>838</v>
      </c>
    </row>
    <row r="343" spans="2:16">
      <c r="E343" s="5">
        <v>63</v>
      </c>
      <c r="F343" s="5">
        <v>23628</v>
      </c>
      <c r="G343" s="18">
        <v>14700</v>
      </c>
      <c r="H343" s="18">
        <f>+B338</f>
        <v>20994.899999999987</v>
      </c>
      <c r="I343" s="8"/>
    </row>
    <row r="344" spans="2:16">
      <c r="E344" s="5">
        <v>75</v>
      </c>
      <c r="F344" s="5">
        <v>1864</v>
      </c>
      <c r="G344" s="18">
        <v>1550</v>
      </c>
      <c r="H344" s="18">
        <f>+C338</f>
        <v>1731.9</v>
      </c>
      <c r="I344" s="8"/>
    </row>
    <row r="345" spans="2:16">
      <c r="E345" s="5">
        <v>90</v>
      </c>
      <c r="F345" s="5">
        <v>1675</v>
      </c>
      <c r="G345" s="18">
        <v>2000</v>
      </c>
      <c r="H345" s="18">
        <f>+D338</f>
        <v>1504.7</v>
      </c>
      <c r="I345" s="8"/>
    </row>
    <row r="346" spans="2:16">
      <c r="E346" s="5">
        <v>110</v>
      </c>
      <c r="F346" s="5">
        <v>939</v>
      </c>
      <c r="G346" s="18">
        <v>900</v>
      </c>
      <c r="H346" s="18">
        <f>+E338</f>
        <v>821.3</v>
      </c>
      <c r="I346" s="8"/>
    </row>
    <row r="347" spans="2:16">
      <c r="E347" s="5">
        <v>125</v>
      </c>
      <c r="F347" s="5">
        <v>396</v>
      </c>
      <c r="G347" s="18">
        <v>396</v>
      </c>
      <c r="H347" s="18">
        <f>+F338</f>
        <v>332.70000000000005</v>
      </c>
      <c r="I347" s="8"/>
    </row>
    <row r="348" spans="2:16">
      <c r="E348" s="5">
        <v>140</v>
      </c>
      <c r="F348" s="5">
        <v>845</v>
      </c>
      <c r="G348" s="18">
        <v>840</v>
      </c>
      <c r="H348" s="18">
        <f>+G338</f>
        <v>840</v>
      </c>
      <c r="I348" s="8"/>
    </row>
    <row r="349" spans="2:16">
      <c r="E349" s="5">
        <v>160</v>
      </c>
      <c r="F349" s="5">
        <v>26</v>
      </c>
      <c r="G349" s="18">
        <f>+B426</f>
        <v>0</v>
      </c>
      <c r="H349" s="18"/>
      <c r="I349" s="8"/>
    </row>
  </sheetData>
  <autoFilter ref="B4:V333"/>
  <mergeCells count="2">
    <mergeCell ref="B3:I3"/>
    <mergeCell ref="J3:J4"/>
  </mergeCells>
  <printOptions horizontalCentered="1"/>
  <pageMargins left="0.70866141732283505" right="0.70866141732283505" top="0" bottom="0" header="0.31496062992126" footer="0.31496062992126"/>
  <pageSetup paperSize="9" scale="90" orientation="landscape"/>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22"/>
  <sheetViews>
    <sheetView workbookViewId="0">
      <selection activeCell="U128" sqref="U128"/>
    </sheetView>
  </sheetViews>
  <sheetFormatPr defaultColWidth="9" defaultRowHeight="15"/>
  <cols>
    <col min="6" max="6" width="13" customWidth="1"/>
  </cols>
  <sheetData>
    <row r="1" spans="2:21" ht="15.75">
      <c r="H1" s="92">
        <v>140</v>
      </c>
      <c r="I1" s="93" t="s">
        <v>525</v>
      </c>
      <c r="J1" s="93" t="s">
        <v>349</v>
      </c>
      <c r="K1" s="92">
        <v>95</v>
      </c>
      <c r="L1" t="str">
        <f>+H1&amp;"-"&amp;I1&amp;"-"&amp;J1</f>
        <v>140-J35-J14</v>
      </c>
    </row>
    <row r="2" spans="2:21" ht="15.75">
      <c r="H2" s="92">
        <v>140</v>
      </c>
      <c r="I2" s="93" t="s">
        <v>349</v>
      </c>
      <c r="J2" s="93" t="s">
        <v>283</v>
      </c>
      <c r="K2" s="92">
        <v>58.6</v>
      </c>
      <c r="L2" t="str">
        <f>+H2&amp;"-"&amp;I2&amp;"-"&amp;J2</f>
        <v>140-J14-J22</v>
      </c>
    </row>
    <row r="3" spans="2:21" ht="15.75">
      <c r="B3" s="5">
        <v>63</v>
      </c>
      <c r="C3" s="5" t="s">
        <v>254</v>
      </c>
      <c r="D3" s="5" t="s">
        <v>285</v>
      </c>
      <c r="E3" s="5">
        <v>117.5</v>
      </c>
      <c r="F3" t="str">
        <f>+B3&amp;"-"&amp;C3&amp;"-"&amp;D3</f>
        <v>63-J64-J31</v>
      </c>
      <c r="H3" s="92">
        <v>75</v>
      </c>
      <c r="I3" s="94" t="s">
        <v>283</v>
      </c>
      <c r="J3" s="94" t="s">
        <v>318</v>
      </c>
      <c r="K3" s="92">
        <v>111.4</v>
      </c>
      <c r="L3" t="str">
        <f>+H3&amp;"-"&amp;I3&amp;"-"&amp;J3</f>
        <v>75-J22-J52</v>
      </c>
    </row>
    <row r="4" spans="2:21" ht="15.75">
      <c r="B4" s="5">
        <v>63</v>
      </c>
      <c r="C4" s="5" t="s">
        <v>283</v>
      </c>
      <c r="D4" s="5" t="s">
        <v>254</v>
      </c>
      <c r="E4" s="5">
        <v>178.5</v>
      </c>
      <c r="F4" t="str">
        <f t="shared" ref="F4:F67" si="0">+B4&amp;"-"&amp;C4&amp;"-"&amp;D4</f>
        <v>63-J22-J64</v>
      </c>
      <c r="H4" s="92">
        <v>63</v>
      </c>
      <c r="I4" s="95" t="s">
        <v>254</v>
      </c>
      <c r="J4" s="95" t="s">
        <v>285</v>
      </c>
      <c r="K4" s="92">
        <v>118</v>
      </c>
      <c r="L4" t="str">
        <f>+H4&amp;"-"&amp;I4&amp;"-"&amp;J4</f>
        <v>63-J64-J31</v>
      </c>
    </row>
    <row r="5" spans="2:21" ht="15.75">
      <c r="B5" s="5">
        <v>63</v>
      </c>
      <c r="C5" s="5" t="s">
        <v>285</v>
      </c>
      <c r="D5" s="5" t="s">
        <v>319</v>
      </c>
      <c r="E5" s="5">
        <v>188.3</v>
      </c>
      <c r="F5" t="str">
        <f t="shared" si="0"/>
        <v>63-J31-J53</v>
      </c>
      <c r="H5" s="92">
        <v>63</v>
      </c>
      <c r="I5" s="95" t="s">
        <v>283</v>
      </c>
      <c r="J5" s="95" t="s">
        <v>254</v>
      </c>
      <c r="K5" s="92">
        <v>178.5</v>
      </c>
      <c r="L5" t="str">
        <f t="shared" ref="L5:L68" si="1">+H5&amp;"-"&amp;I5&amp;"-"&amp;J5</f>
        <v>63-J22-J64</v>
      </c>
      <c r="U5">
        <f>15455-13909</f>
        <v>1546</v>
      </c>
    </row>
    <row r="6" spans="2:21" ht="15.75">
      <c r="B6" s="5">
        <v>63</v>
      </c>
      <c r="C6" s="5" t="s">
        <v>319</v>
      </c>
      <c r="D6" s="5" t="s">
        <v>314</v>
      </c>
      <c r="E6" s="5">
        <v>8</v>
      </c>
      <c r="F6" t="str">
        <f t="shared" si="0"/>
        <v>63-J53-J5</v>
      </c>
      <c r="H6" s="92">
        <v>63</v>
      </c>
      <c r="I6" s="95" t="s">
        <v>285</v>
      </c>
      <c r="J6" s="95" t="s">
        <v>319</v>
      </c>
      <c r="K6" s="92">
        <v>188</v>
      </c>
      <c r="L6" t="str">
        <f t="shared" si="1"/>
        <v>63-J31-J53</v>
      </c>
    </row>
    <row r="7" spans="2:21" ht="15.75">
      <c r="B7" s="5">
        <v>63</v>
      </c>
      <c r="C7" s="5" t="s">
        <v>254</v>
      </c>
      <c r="D7" s="5" t="s">
        <v>260</v>
      </c>
      <c r="E7" s="5">
        <v>2.1</v>
      </c>
      <c r="F7" t="str">
        <f t="shared" si="0"/>
        <v>63-J64-J60</v>
      </c>
      <c r="H7" s="92">
        <v>63</v>
      </c>
      <c r="I7" s="95" t="s">
        <v>319</v>
      </c>
      <c r="J7" s="95" t="s">
        <v>314</v>
      </c>
      <c r="K7" s="92">
        <v>8</v>
      </c>
      <c r="L7" t="str">
        <f t="shared" si="1"/>
        <v>63-J53-J5</v>
      </c>
    </row>
    <row r="8" spans="2:21" ht="15.75">
      <c r="B8" s="5">
        <v>63</v>
      </c>
      <c r="C8" s="5" t="s">
        <v>260</v>
      </c>
      <c r="D8" s="5" t="s">
        <v>649</v>
      </c>
      <c r="E8" s="5">
        <v>120</v>
      </c>
      <c r="F8" t="str">
        <f t="shared" si="0"/>
        <v>63-J60-J54</v>
      </c>
      <c r="H8" s="92">
        <v>63</v>
      </c>
      <c r="I8" s="95" t="s">
        <v>254</v>
      </c>
      <c r="J8" s="95" t="s">
        <v>260</v>
      </c>
      <c r="K8" s="92">
        <v>2.1</v>
      </c>
      <c r="L8" t="str">
        <f t="shared" si="1"/>
        <v>63-J64-J60</v>
      </c>
    </row>
    <row r="9" spans="2:21" ht="15.75">
      <c r="B9" s="5">
        <v>63</v>
      </c>
      <c r="C9" s="5" t="s">
        <v>649</v>
      </c>
      <c r="D9" s="5" t="s">
        <v>259</v>
      </c>
      <c r="E9" s="5">
        <v>125.9</v>
      </c>
      <c r="F9" t="str">
        <f t="shared" si="0"/>
        <v>63-J54-J59</v>
      </c>
      <c r="H9" s="92">
        <v>63</v>
      </c>
      <c r="I9" s="95" t="s">
        <v>260</v>
      </c>
      <c r="J9" s="95" t="s">
        <v>649</v>
      </c>
      <c r="K9" s="92">
        <v>120</v>
      </c>
      <c r="L9" t="str">
        <f t="shared" si="1"/>
        <v>63-J60-J54</v>
      </c>
    </row>
    <row r="10" spans="2:21" ht="15.75">
      <c r="B10" s="5">
        <v>63</v>
      </c>
      <c r="C10" s="5" t="s">
        <v>259</v>
      </c>
      <c r="D10" s="5" t="s">
        <v>363</v>
      </c>
      <c r="E10" s="5">
        <v>120.5</v>
      </c>
      <c r="F10" t="str">
        <f t="shared" si="0"/>
        <v>63-J59-J13</v>
      </c>
      <c r="H10" s="92">
        <v>63</v>
      </c>
      <c r="I10" s="95" t="s">
        <v>649</v>
      </c>
      <c r="J10" s="95" t="s">
        <v>259</v>
      </c>
      <c r="K10" s="92">
        <v>125.9</v>
      </c>
      <c r="L10" t="str">
        <f t="shared" si="1"/>
        <v>63-J54-J59</v>
      </c>
    </row>
    <row r="11" spans="2:21" ht="15.75">
      <c r="B11" s="5">
        <v>63</v>
      </c>
      <c r="C11" s="5" t="s">
        <v>260</v>
      </c>
      <c r="D11" s="5" t="s">
        <v>253</v>
      </c>
      <c r="E11" s="5">
        <v>93</v>
      </c>
      <c r="F11" t="str">
        <f t="shared" si="0"/>
        <v>63-J60-J66</v>
      </c>
      <c r="H11" s="92">
        <v>63</v>
      </c>
      <c r="I11" s="95" t="s">
        <v>259</v>
      </c>
      <c r="J11" s="95" t="s">
        <v>363</v>
      </c>
      <c r="K11" s="92">
        <v>120.5</v>
      </c>
      <c r="L11" t="str">
        <f t="shared" si="1"/>
        <v>63-J59-J13</v>
      </c>
    </row>
    <row r="12" spans="2:21" ht="15.75">
      <c r="B12" s="5">
        <v>63</v>
      </c>
      <c r="C12" s="5" t="s">
        <v>253</v>
      </c>
      <c r="D12" s="5" t="s">
        <v>399</v>
      </c>
      <c r="E12" s="5">
        <v>49.9</v>
      </c>
      <c r="F12" t="str">
        <f t="shared" si="0"/>
        <v>63-J66-J65</v>
      </c>
      <c r="H12" s="92">
        <v>63</v>
      </c>
      <c r="I12" s="95" t="s">
        <v>260</v>
      </c>
      <c r="J12" s="95" t="s">
        <v>253</v>
      </c>
      <c r="K12" s="92">
        <v>95</v>
      </c>
      <c r="L12" t="str">
        <f t="shared" si="1"/>
        <v>63-J60-J66</v>
      </c>
    </row>
    <row r="13" spans="2:21" ht="15.75">
      <c r="B13" s="5">
        <v>63</v>
      </c>
      <c r="C13" s="5" t="s">
        <v>399</v>
      </c>
      <c r="D13" s="5" t="s">
        <v>625</v>
      </c>
      <c r="E13" s="5">
        <v>37.4</v>
      </c>
      <c r="F13" t="str">
        <f t="shared" si="0"/>
        <v>63-J65-J61</v>
      </c>
      <c r="H13" s="92">
        <v>63</v>
      </c>
      <c r="I13" s="95" t="s">
        <v>253</v>
      </c>
      <c r="J13" s="95" t="s">
        <v>399</v>
      </c>
      <c r="K13" s="92">
        <v>49.9</v>
      </c>
      <c r="L13" t="str">
        <f t="shared" si="1"/>
        <v>63-J66-J65</v>
      </c>
      <c r="N13" s="679"/>
      <c r="O13" s="679"/>
      <c r="P13" s="63"/>
      <c r="Q13" s="63"/>
      <c r="R13" s="63"/>
      <c r="S13" s="63"/>
      <c r="T13" s="63"/>
      <c r="U13" s="63"/>
    </row>
    <row r="14" spans="2:21" ht="15.75">
      <c r="B14" s="5">
        <v>63</v>
      </c>
      <c r="C14" s="5" t="s">
        <v>399</v>
      </c>
      <c r="D14" s="5" t="s">
        <v>257</v>
      </c>
      <c r="E14" s="5">
        <v>53</v>
      </c>
      <c r="F14" t="str">
        <f t="shared" si="0"/>
        <v>63-J65-J73</v>
      </c>
      <c r="H14" s="92">
        <v>63</v>
      </c>
      <c r="I14" s="95" t="s">
        <v>399</v>
      </c>
      <c r="J14" s="95" t="s">
        <v>625</v>
      </c>
      <c r="K14" s="92">
        <v>37.4</v>
      </c>
      <c r="L14" t="str">
        <f t="shared" si="1"/>
        <v>63-J65-J61</v>
      </c>
      <c r="N14" s="679"/>
      <c r="O14" s="679"/>
    </row>
    <row r="15" spans="2:21" ht="15.75">
      <c r="B15" s="5">
        <v>63</v>
      </c>
      <c r="C15" s="5" t="s">
        <v>257</v>
      </c>
      <c r="D15" s="5" t="s">
        <v>252</v>
      </c>
      <c r="E15" s="5">
        <v>23.8</v>
      </c>
      <c r="F15" t="str">
        <f t="shared" si="0"/>
        <v>63-J73-J63</v>
      </c>
      <c r="H15" s="92">
        <v>63</v>
      </c>
      <c r="I15" s="95" t="s">
        <v>399</v>
      </c>
      <c r="J15" s="95" t="s">
        <v>257</v>
      </c>
      <c r="K15" s="92">
        <v>53</v>
      </c>
      <c r="L15" t="str">
        <f t="shared" si="1"/>
        <v>63-J65-J73</v>
      </c>
      <c r="N15" s="97"/>
      <c r="O15" s="97"/>
    </row>
    <row r="16" spans="2:21" ht="15.75">
      <c r="B16" s="5">
        <v>63</v>
      </c>
      <c r="C16" s="5" t="s">
        <v>252</v>
      </c>
      <c r="D16" s="5" t="s">
        <v>625</v>
      </c>
      <c r="E16" s="5">
        <v>59.9</v>
      </c>
      <c r="F16" t="str">
        <f t="shared" si="0"/>
        <v>63-J63-J61</v>
      </c>
      <c r="H16" s="92">
        <v>63</v>
      </c>
      <c r="I16" s="95" t="s">
        <v>257</v>
      </c>
      <c r="J16" s="95" t="s">
        <v>252</v>
      </c>
      <c r="K16" s="92">
        <v>23.8</v>
      </c>
      <c r="L16" t="str">
        <f t="shared" si="1"/>
        <v>63-J73-J63</v>
      </c>
      <c r="N16" s="609"/>
      <c r="O16" s="609"/>
    </row>
    <row r="17" spans="2:17" ht="15.75">
      <c r="B17" s="5">
        <v>63</v>
      </c>
      <c r="C17" s="5" t="s">
        <v>625</v>
      </c>
      <c r="D17" s="5" t="s">
        <v>248</v>
      </c>
      <c r="E17" s="5">
        <v>36.700000000000003</v>
      </c>
      <c r="F17" t="str">
        <f t="shared" si="0"/>
        <v>63-J61-J40</v>
      </c>
      <c r="H17" s="92">
        <v>63</v>
      </c>
      <c r="I17" s="95" t="s">
        <v>252</v>
      </c>
      <c r="J17" s="95" t="s">
        <v>625</v>
      </c>
      <c r="K17" s="92">
        <v>59.9</v>
      </c>
      <c r="L17" t="str">
        <f t="shared" si="1"/>
        <v>63-J63-J61</v>
      </c>
      <c r="N17" s="609"/>
      <c r="O17" s="609"/>
    </row>
    <row r="18" spans="2:17" ht="15.75">
      <c r="B18" s="5">
        <v>63</v>
      </c>
      <c r="C18" s="5" t="s">
        <v>248</v>
      </c>
      <c r="D18" s="5" t="s">
        <v>285</v>
      </c>
      <c r="E18" s="5">
        <v>55.9</v>
      </c>
      <c r="F18" t="str">
        <f t="shared" si="0"/>
        <v>63-J40-J31</v>
      </c>
      <c r="H18" s="92">
        <v>63</v>
      </c>
      <c r="I18" s="95" t="s">
        <v>625</v>
      </c>
      <c r="J18" s="95" t="s">
        <v>248</v>
      </c>
      <c r="K18" s="92">
        <v>36.700000000000003</v>
      </c>
      <c r="L18" t="str">
        <f t="shared" si="1"/>
        <v>63-J61-J40</v>
      </c>
    </row>
    <row r="19" spans="2:17" ht="15.75">
      <c r="B19" s="5">
        <v>63</v>
      </c>
      <c r="C19" s="5" t="s">
        <v>978</v>
      </c>
      <c r="D19" s="5" t="s">
        <v>1250</v>
      </c>
      <c r="E19" s="5">
        <v>41.9</v>
      </c>
      <c r="F19" t="str">
        <f t="shared" si="0"/>
        <v>63-J323-J331</v>
      </c>
      <c r="H19" s="92">
        <v>63</v>
      </c>
      <c r="I19" s="95" t="s">
        <v>248</v>
      </c>
      <c r="J19" s="95" t="s">
        <v>249</v>
      </c>
      <c r="K19" s="92">
        <v>56</v>
      </c>
      <c r="L19" t="str">
        <f t="shared" si="1"/>
        <v>63-J40-J3</v>
      </c>
    </row>
    <row r="20" spans="2:17" ht="15.75">
      <c r="B20" s="5">
        <v>63</v>
      </c>
      <c r="C20" s="5" t="s">
        <v>695</v>
      </c>
      <c r="D20" s="5" t="s">
        <v>578</v>
      </c>
      <c r="E20" s="10">
        <v>11</v>
      </c>
      <c r="F20" t="str">
        <f t="shared" si="0"/>
        <v>63-J235-J222</v>
      </c>
      <c r="H20" s="92">
        <v>63</v>
      </c>
      <c r="I20" s="95" t="s">
        <v>248</v>
      </c>
      <c r="J20" s="95" t="s">
        <v>418</v>
      </c>
      <c r="K20" s="92">
        <v>20</v>
      </c>
      <c r="L20" t="str">
        <f t="shared" si="1"/>
        <v>63-J40-J32</v>
      </c>
    </row>
    <row r="21" spans="2:17" ht="15.75">
      <c r="B21" s="5">
        <v>63</v>
      </c>
      <c r="C21" s="5" t="s">
        <v>551</v>
      </c>
      <c r="D21" s="5" t="s">
        <v>701</v>
      </c>
      <c r="E21" s="10">
        <v>44.1</v>
      </c>
      <c r="F21" t="str">
        <f t="shared" si="0"/>
        <v>63-J295-J259</v>
      </c>
      <c r="H21" s="92">
        <v>63</v>
      </c>
      <c r="I21" s="95" t="s">
        <v>418</v>
      </c>
      <c r="J21" s="95" t="s">
        <v>362</v>
      </c>
      <c r="K21" s="92">
        <v>106</v>
      </c>
      <c r="L21" t="str">
        <f t="shared" si="1"/>
        <v>63-J32-J1</v>
      </c>
    </row>
    <row r="22" spans="2:17" ht="15.75">
      <c r="B22" s="5">
        <v>63</v>
      </c>
      <c r="C22" s="5" t="s">
        <v>701</v>
      </c>
      <c r="D22" s="5" t="s">
        <v>1251</v>
      </c>
      <c r="E22" s="10">
        <v>33.4</v>
      </c>
      <c r="F22" t="str">
        <f t="shared" si="0"/>
        <v>63-J259-J291</v>
      </c>
      <c r="H22" s="92">
        <v>63</v>
      </c>
      <c r="I22" s="95" t="s">
        <v>418</v>
      </c>
      <c r="J22" s="95" t="s">
        <v>403</v>
      </c>
      <c r="K22" s="92">
        <v>144.30000000000001</v>
      </c>
      <c r="L22" t="str">
        <f t="shared" si="1"/>
        <v>63-J32-J27</v>
      </c>
    </row>
    <row r="23" spans="2:17" ht="15.75">
      <c r="B23" s="5">
        <v>63</v>
      </c>
      <c r="C23" s="5" t="s">
        <v>551</v>
      </c>
      <c r="D23" s="5" t="s">
        <v>1086</v>
      </c>
      <c r="E23" s="10">
        <v>52.2</v>
      </c>
      <c r="F23" t="str">
        <f t="shared" si="0"/>
        <v>63-J295-J266</v>
      </c>
      <c r="H23" s="92">
        <v>63</v>
      </c>
      <c r="I23" s="95" t="s">
        <v>403</v>
      </c>
      <c r="J23" s="95" t="s">
        <v>402</v>
      </c>
      <c r="K23" s="92">
        <v>52.8</v>
      </c>
      <c r="L23" t="str">
        <f t="shared" si="1"/>
        <v>63-J27-J28</v>
      </c>
    </row>
    <row r="24" spans="2:17" ht="15.75">
      <c r="B24" s="5">
        <v>63</v>
      </c>
      <c r="C24" s="5" t="s">
        <v>1086</v>
      </c>
      <c r="D24" s="5" t="s">
        <v>701</v>
      </c>
      <c r="E24" s="10">
        <v>63.1</v>
      </c>
      <c r="F24" t="str">
        <f t="shared" si="0"/>
        <v>63-J266-J259</v>
      </c>
      <c r="H24" s="92">
        <v>63</v>
      </c>
      <c r="I24" s="95" t="s">
        <v>403</v>
      </c>
      <c r="J24" s="95" t="s">
        <v>507</v>
      </c>
      <c r="K24" s="92">
        <v>12.5</v>
      </c>
      <c r="L24" t="str">
        <f t="shared" si="1"/>
        <v>63-J27-J41</v>
      </c>
      <c r="Q24">
        <f>80.6-62.6</f>
        <v>17.999999999999993</v>
      </c>
    </row>
    <row r="25" spans="2:17" ht="15.75">
      <c r="B25" s="5">
        <v>63</v>
      </c>
      <c r="C25" s="5" t="s">
        <v>1051</v>
      </c>
      <c r="D25" s="5" t="s">
        <v>1110</v>
      </c>
      <c r="E25" s="10">
        <v>69.400000000000006</v>
      </c>
      <c r="F25" t="str">
        <f t="shared" si="0"/>
        <v>63-J310-J300</v>
      </c>
      <c r="H25" s="92">
        <v>63</v>
      </c>
      <c r="I25" s="95" t="s">
        <v>507</v>
      </c>
      <c r="J25" s="95" t="s">
        <v>356</v>
      </c>
      <c r="K25" s="92">
        <v>116.5</v>
      </c>
      <c r="L25" t="str">
        <f t="shared" si="1"/>
        <v>63-J41-J10</v>
      </c>
    </row>
    <row r="26" spans="2:17" ht="15.75">
      <c r="B26" s="5">
        <v>63</v>
      </c>
      <c r="C26" s="5" t="s">
        <v>680</v>
      </c>
      <c r="D26" s="5" t="s">
        <v>550</v>
      </c>
      <c r="E26" s="10">
        <v>122.3</v>
      </c>
      <c r="F26" t="str">
        <f t="shared" si="0"/>
        <v>63-J223-J289</v>
      </c>
      <c r="H26" s="92">
        <v>63</v>
      </c>
      <c r="I26" s="95" t="s">
        <v>403</v>
      </c>
      <c r="J26" s="95" t="s">
        <v>395</v>
      </c>
      <c r="K26" s="92">
        <v>11.5</v>
      </c>
      <c r="L26" t="str">
        <f t="shared" si="1"/>
        <v>63-J27-J62</v>
      </c>
      <c r="N26">
        <f>262-4</f>
        <v>258</v>
      </c>
    </row>
    <row r="27" spans="2:17" ht="15.75">
      <c r="B27" s="5">
        <v>63</v>
      </c>
      <c r="C27" s="5" t="s">
        <v>550</v>
      </c>
      <c r="D27" s="5" t="s">
        <v>559</v>
      </c>
      <c r="E27" s="10">
        <v>107.1</v>
      </c>
      <c r="F27" t="str">
        <f t="shared" si="0"/>
        <v>63-J289-J242</v>
      </c>
      <c r="H27" s="92">
        <v>63</v>
      </c>
      <c r="I27" s="95" t="s">
        <v>395</v>
      </c>
      <c r="J27" s="95" t="s">
        <v>524</v>
      </c>
      <c r="K27" s="92">
        <v>41.5</v>
      </c>
      <c r="L27" t="str">
        <f t="shared" si="1"/>
        <v>63-J62-J67</v>
      </c>
    </row>
    <row r="28" spans="2:17" ht="15.75">
      <c r="B28" s="5">
        <v>63</v>
      </c>
      <c r="C28" s="5" t="s">
        <v>559</v>
      </c>
      <c r="D28" s="5" t="s">
        <v>289</v>
      </c>
      <c r="E28" s="10">
        <v>53.4</v>
      </c>
      <c r="F28" t="str">
        <f t="shared" si="0"/>
        <v>63-J242-J180</v>
      </c>
      <c r="H28" s="92">
        <v>63</v>
      </c>
      <c r="I28" s="95" t="s">
        <v>524</v>
      </c>
      <c r="J28" s="95" t="s">
        <v>268</v>
      </c>
      <c r="K28" s="92">
        <v>23.4</v>
      </c>
      <c r="L28" t="str">
        <f t="shared" si="1"/>
        <v>63-J67-J46</v>
      </c>
    </row>
    <row r="29" spans="2:17" ht="15.75">
      <c r="B29" s="5">
        <v>63</v>
      </c>
      <c r="C29" s="5" t="s">
        <v>289</v>
      </c>
      <c r="D29" s="5" t="s">
        <v>662</v>
      </c>
      <c r="E29" s="10">
        <v>63.4</v>
      </c>
      <c r="F29" t="str">
        <f t="shared" si="0"/>
        <v>63-J180-J148</v>
      </c>
      <c r="H29" s="92">
        <v>63</v>
      </c>
      <c r="I29" s="95" t="s">
        <v>524</v>
      </c>
      <c r="J29" s="95" t="s">
        <v>417</v>
      </c>
      <c r="K29" s="92">
        <v>37</v>
      </c>
      <c r="L29" t="str">
        <f t="shared" si="1"/>
        <v>63-J67-J33</v>
      </c>
    </row>
    <row r="30" spans="2:17" ht="15.75">
      <c r="B30" s="5">
        <v>63</v>
      </c>
      <c r="C30" s="5" t="s">
        <v>559</v>
      </c>
      <c r="D30" s="5" t="s">
        <v>298</v>
      </c>
      <c r="E30" s="10">
        <v>64.8</v>
      </c>
      <c r="F30" t="str">
        <f t="shared" si="0"/>
        <v>63-J242-J167</v>
      </c>
      <c r="H30" s="92">
        <v>63</v>
      </c>
      <c r="I30" s="95" t="s">
        <v>417</v>
      </c>
      <c r="J30" s="95" t="s">
        <v>315</v>
      </c>
      <c r="K30" s="92">
        <v>22</v>
      </c>
      <c r="L30" t="str">
        <f t="shared" si="1"/>
        <v>63-J33-J11</v>
      </c>
    </row>
    <row r="31" spans="2:17" ht="15.75">
      <c r="B31" s="5">
        <v>63</v>
      </c>
      <c r="C31" s="5" t="s">
        <v>298</v>
      </c>
      <c r="D31" s="5" t="s">
        <v>612</v>
      </c>
      <c r="E31" s="10">
        <v>21</v>
      </c>
      <c r="F31" t="str">
        <f t="shared" si="0"/>
        <v>63-J167-J212</v>
      </c>
      <c r="H31" s="92">
        <v>63</v>
      </c>
      <c r="I31" s="95" t="s">
        <v>417</v>
      </c>
      <c r="J31" s="95" t="s">
        <v>540</v>
      </c>
      <c r="K31" s="92">
        <v>24</v>
      </c>
      <c r="L31" t="str">
        <f t="shared" si="1"/>
        <v>63-J33-J15</v>
      </c>
    </row>
    <row r="32" spans="2:17" ht="15.75">
      <c r="B32" s="5">
        <v>63</v>
      </c>
      <c r="C32" s="5" t="s">
        <v>612</v>
      </c>
      <c r="D32" s="5" t="s">
        <v>553</v>
      </c>
      <c r="E32" s="10">
        <v>15.7</v>
      </c>
      <c r="F32" t="str">
        <f t="shared" si="0"/>
        <v>63-J212-J262</v>
      </c>
      <c r="H32" s="92">
        <v>63</v>
      </c>
      <c r="I32" s="95" t="s">
        <v>540</v>
      </c>
      <c r="J32" s="95" t="s">
        <v>267</v>
      </c>
      <c r="K32" s="92">
        <v>30.4</v>
      </c>
      <c r="L32" t="str">
        <f t="shared" si="1"/>
        <v>63-J15-J45</v>
      </c>
    </row>
    <row r="33" spans="2:16" ht="15.75">
      <c r="B33" s="5">
        <v>63</v>
      </c>
      <c r="C33" s="5" t="s">
        <v>612</v>
      </c>
      <c r="D33" s="5" t="s">
        <v>569</v>
      </c>
      <c r="E33" s="10">
        <v>12</v>
      </c>
      <c r="F33" t="str">
        <f t="shared" si="0"/>
        <v>63-J212-J252</v>
      </c>
      <c r="H33" s="92">
        <v>63</v>
      </c>
      <c r="I33" s="95" t="s">
        <v>267</v>
      </c>
      <c r="J33" s="95" t="s">
        <v>414</v>
      </c>
      <c r="K33" s="92">
        <v>67.400000000000006</v>
      </c>
      <c r="L33" t="str">
        <f t="shared" si="1"/>
        <v>63-J45-J50</v>
      </c>
    </row>
    <row r="34" spans="2:16" ht="15.75">
      <c r="B34" s="5">
        <v>63</v>
      </c>
      <c r="C34" s="5" t="s">
        <v>572</v>
      </c>
      <c r="D34" s="5" t="s">
        <v>695</v>
      </c>
      <c r="E34" s="10">
        <v>39.799999999999997</v>
      </c>
      <c r="F34" t="str">
        <f t="shared" si="0"/>
        <v>63-J171-J235</v>
      </c>
      <c r="H34" s="92">
        <v>63</v>
      </c>
      <c r="I34" s="95" t="s">
        <v>414</v>
      </c>
      <c r="J34" s="95" t="s">
        <v>521</v>
      </c>
      <c r="K34" s="92">
        <v>34.1</v>
      </c>
      <c r="L34" t="str">
        <f t="shared" si="1"/>
        <v>63-J50-J51</v>
      </c>
    </row>
    <row r="35" spans="2:16" ht="15.75">
      <c r="B35" s="5">
        <v>63</v>
      </c>
      <c r="C35" s="5" t="s">
        <v>298</v>
      </c>
      <c r="D35" s="5" t="s">
        <v>292</v>
      </c>
      <c r="E35" s="10">
        <v>89.2</v>
      </c>
      <c r="F35" t="str">
        <f t="shared" si="0"/>
        <v>63-J167-J160</v>
      </c>
      <c r="H35" s="92">
        <v>63</v>
      </c>
      <c r="I35" s="95" t="s">
        <v>315</v>
      </c>
      <c r="J35" s="95" t="s">
        <v>414</v>
      </c>
      <c r="K35" s="92">
        <v>137.1</v>
      </c>
      <c r="L35" t="str">
        <f t="shared" si="1"/>
        <v>63-J11-J50</v>
      </c>
    </row>
    <row r="36" spans="2:16" ht="15.75">
      <c r="B36" s="5">
        <v>63</v>
      </c>
      <c r="C36" s="5" t="s">
        <v>292</v>
      </c>
      <c r="D36" s="5" t="s">
        <v>311</v>
      </c>
      <c r="E36" s="5">
        <v>40.4</v>
      </c>
      <c r="F36" t="str">
        <f t="shared" si="0"/>
        <v>63-J160-J141</v>
      </c>
      <c r="H36" s="92">
        <v>63</v>
      </c>
      <c r="I36" s="95" t="s">
        <v>267</v>
      </c>
      <c r="J36" s="95" t="s">
        <v>318</v>
      </c>
      <c r="K36" s="92">
        <v>77</v>
      </c>
      <c r="L36" t="str">
        <f t="shared" si="1"/>
        <v>63-J45-J52</v>
      </c>
    </row>
    <row r="37" spans="2:16" ht="15.75">
      <c r="B37" s="5">
        <v>63</v>
      </c>
      <c r="C37" s="5" t="s">
        <v>292</v>
      </c>
      <c r="D37" s="5" t="s">
        <v>210</v>
      </c>
      <c r="E37" s="5">
        <v>45.7</v>
      </c>
      <c r="F37" t="str">
        <f t="shared" si="0"/>
        <v>63-J160-J196</v>
      </c>
      <c r="H37" s="92">
        <v>75</v>
      </c>
      <c r="I37" s="94" t="s">
        <v>318</v>
      </c>
      <c r="J37" s="94" t="s">
        <v>419</v>
      </c>
      <c r="K37" s="92">
        <v>135.80000000000001</v>
      </c>
      <c r="L37" t="str">
        <f t="shared" si="1"/>
        <v>75-J52-J69</v>
      </c>
    </row>
    <row r="38" spans="2:16" ht="15.75">
      <c r="B38" s="5">
        <v>63</v>
      </c>
      <c r="C38" s="5" t="s">
        <v>1254</v>
      </c>
      <c r="D38" s="5" t="s">
        <v>558</v>
      </c>
      <c r="E38" s="5">
        <v>158.9</v>
      </c>
      <c r="F38" t="str">
        <f t="shared" si="0"/>
        <v>63-J356-J271</v>
      </c>
      <c r="H38" s="92">
        <v>140</v>
      </c>
      <c r="I38" s="93" t="s">
        <v>419</v>
      </c>
      <c r="J38" s="93" t="s">
        <v>426</v>
      </c>
      <c r="K38" s="92">
        <v>6.4</v>
      </c>
      <c r="L38" t="str">
        <f t="shared" si="1"/>
        <v>140-J69-J70</v>
      </c>
      <c r="O38">
        <f>26174+13909+14603</f>
        <v>54686</v>
      </c>
      <c r="P38">
        <f>26225+15455+18045</f>
        <v>59725</v>
      </c>
    </row>
    <row r="39" spans="2:16" ht="15.75">
      <c r="B39" s="5">
        <v>63</v>
      </c>
      <c r="C39" s="5" t="s">
        <v>460</v>
      </c>
      <c r="D39" s="5" t="s">
        <v>203</v>
      </c>
      <c r="E39" s="5">
        <v>33.200000000000003</v>
      </c>
      <c r="F39" t="str">
        <f t="shared" si="0"/>
        <v>63-J218-J208</v>
      </c>
      <c r="H39" s="92">
        <v>140</v>
      </c>
      <c r="I39" s="93" t="s">
        <v>426</v>
      </c>
      <c r="J39" s="93" t="s">
        <v>525</v>
      </c>
      <c r="K39" s="92">
        <v>110</v>
      </c>
      <c r="L39" t="str">
        <f t="shared" si="1"/>
        <v>140-J70-J35</v>
      </c>
      <c r="P39">
        <f>+P38-O38</f>
        <v>5039</v>
      </c>
    </row>
    <row r="40" spans="2:16" ht="15.75">
      <c r="B40" s="5">
        <v>63</v>
      </c>
      <c r="C40" s="5" t="s">
        <v>558</v>
      </c>
      <c r="D40" s="5" t="s">
        <v>1255</v>
      </c>
      <c r="E40" s="5">
        <v>115.4</v>
      </c>
      <c r="F40" t="str">
        <f t="shared" si="0"/>
        <v>63-J271-J292</v>
      </c>
      <c r="H40" s="92">
        <v>110</v>
      </c>
      <c r="I40" s="98" t="s">
        <v>525</v>
      </c>
      <c r="J40" s="98" t="s">
        <v>506</v>
      </c>
      <c r="K40" s="92">
        <v>56.7</v>
      </c>
      <c r="L40" t="str">
        <f t="shared" si="1"/>
        <v>110-J35-J29</v>
      </c>
    </row>
    <row r="41" spans="2:16" ht="15.75">
      <c r="B41" s="5">
        <v>63</v>
      </c>
      <c r="C41" s="5" t="s">
        <v>558</v>
      </c>
      <c r="D41" s="5" t="s">
        <v>547</v>
      </c>
      <c r="E41" s="5">
        <v>100.5</v>
      </c>
      <c r="F41" t="str">
        <f t="shared" si="0"/>
        <v>63-J271-J265</v>
      </c>
      <c r="H41" s="92">
        <v>63</v>
      </c>
      <c r="I41" s="95" t="s">
        <v>506</v>
      </c>
      <c r="J41" s="95" t="s">
        <v>281</v>
      </c>
      <c r="K41" s="92">
        <v>12</v>
      </c>
      <c r="L41" t="str">
        <f t="shared" si="1"/>
        <v>63-J29-J23</v>
      </c>
    </row>
    <row r="42" spans="2:16" ht="15.75">
      <c r="B42" s="5">
        <v>63</v>
      </c>
      <c r="C42" s="5" t="s">
        <v>995</v>
      </c>
      <c r="D42" s="5" t="s">
        <v>1256</v>
      </c>
      <c r="E42" s="5">
        <v>143.4</v>
      </c>
      <c r="F42" t="str">
        <f t="shared" si="0"/>
        <v>63-J357-J332</v>
      </c>
      <c r="H42" s="92">
        <v>63</v>
      </c>
      <c r="I42" s="95" t="s">
        <v>417</v>
      </c>
      <c r="J42" s="95" t="s">
        <v>315</v>
      </c>
      <c r="K42" s="92">
        <v>33.799999999999997</v>
      </c>
      <c r="L42" t="str">
        <f t="shared" si="1"/>
        <v>63-J33-J11</v>
      </c>
    </row>
    <row r="43" spans="2:16" ht="15.75">
      <c r="B43" s="5">
        <v>63</v>
      </c>
      <c r="C43" s="5" t="s">
        <v>1256</v>
      </c>
      <c r="D43" s="5" t="s">
        <v>1257</v>
      </c>
      <c r="E43" s="5">
        <v>156.9</v>
      </c>
      <c r="F43" t="str">
        <f t="shared" si="0"/>
        <v>63-J332-J308</v>
      </c>
      <c r="H43" s="92">
        <v>63</v>
      </c>
      <c r="I43" s="95" t="s">
        <v>267</v>
      </c>
      <c r="J43" s="95" t="s">
        <v>318</v>
      </c>
      <c r="K43" s="92">
        <v>95.6</v>
      </c>
      <c r="L43" t="str">
        <f t="shared" si="1"/>
        <v>63-J45-J52</v>
      </c>
    </row>
    <row r="44" spans="2:16" ht="15.75">
      <c r="B44" s="5">
        <v>63</v>
      </c>
      <c r="C44" s="5" t="s">
        <v>1254</v>
      </c>
      <c r="D44" s="5" t="s">
        <v>995</v>
      </c>
      <c r="E44" s="5">
        <v>55.2</v>
      </c>
      <c r="F44" t="str">
        <f t="shared" si="0"/>
        <v>63-J356-J357</v>
      </c>
      <c r="H44" s="92">
        <v>63</v>
      </c>
      <c r="I44" s="95" t="s">
        <v>416</v>
      </c>
      <c r="J44" s="95" t="s">
        <v>265</v>
      </c>
      <c r="K44" s="92">
        <v>10</v>
      </c>
      <c r="L44" t="str">
        <f t="shared" si="1"/>
        <v>63-J37-J36</v>
      </c>
    </row>
    <row r="45" spans="2:16" ht="15.75">
      <c r="B45" s="5">
        <v>63</v>
      </c>
      <c r="C45" s="5" t="s">
        <v>203</v>
      </c>
      <c r="D45" s="5" t="s">
        <v>572</v>
      </c>
      <c r="E45" s="5">
        <v>33.200000000000003</v>
      </c>
      <c r="F45" t="str">
        <f t="shared" si="0"/>
        <v>63-J208-J171</v>
      </c>
      <c r="H45" s="92">
        <v>63</v>
      </c>
      <c r="I45" s="95" t="s">
        <v>256</v>
      </c>
      <c r="J45" s="95" t="s">
        <v>258</v>
      </c>
      <c r="K45" s="92">
        <v>25</v>
      </c>
      <c r="L45" t="str">
        <f t="shared" si="1"/>
        <v>63-J76-J72</v>
      </c>
    </row>
    <row r="46" spans="2:16" ht="15.75">
      <c r="B46" s="5">
        <v>63</v>
      </c>
      <c r="C46" s="5" t="s">
        <v>1258</v>
      </c>
      <c r="D46" s="5" t="s">
        <v>1259</v>
      </c>
      <c r="E46" s="5">
        <v>41.3</v>
      </c>
      <c r="F46" t="str">
        <f t="shared" si="0"/>
        <v>63-J314-J268</v>
      </c>
      <c r="H46" s="92">
        <v>63</v>
      </c>
      <c r="I46" s="95" t="s">
        <v>1269</v>
      </c>
      <c r="J46" s="95" t="s">
        <v>1000</v>
      </c>
      <c r="K46" s="92">
        <v>56.6</v>
      </c>
      <c r="L46" t="str">
        <f t="shared" si="1"/>
        <v>63-J326-J349</v>
      </c>
    </row>
    <row r="47" spans="2:16" ht="15.75">
      <c r="B47" s="5">
        <v>63</v>
      </c>
      <c r="C47" s="5" t="s">
        <v>1259</v>
      </c>
      <c r="D47" s="5" t="s">
        <v>1260</v>
      </c>
      <c r="E47" s="5">
        <v>7.8</v>
      </c>
      <c r="F47" t="str">
        <f t="shared" si="0"/>
        <v>63-J268-J283</v>
      </c>
      <c r="H47" s="92">
        <v>63</v>
      </c>
      <c r="I47" s="95" t="s">
        <v>977</v>
      </c>
      <c r="J47" s="95" t="s">
        <v>1017</v>
      </c>
      <c r="K47" s="92">
        <v>86.3</v>
      </c>
      <c r="L47" t="str">
        <f t="shared" si="1"/>
        <v>63-J318-J328</v>
      </c>
    </row>
    <row r="48" spans="2:16" ht="15.75">
      <c r="B48" s="5">
        <v>63</v>
      </c>
      <c r="C48" s="5" t="s">
        <v>239</v>
      </c>
      <c r="D48" s="5" t="s">
        <v>1261</v>
      </c>
      <c r="E48" s="5">
        <v>229.8</v>
      </c>
      <c r="F48" t="str">
        <f t="shared" si="0"/>
        <v>63-J116-J281</v>
      </c>
      <c r="H48" s="92">
        <v>63</v>
      </c>
      <c r="I48" s="95" t="s">
        <v>1281</v>
      </c>
      <c r="J48" s="95" t="s">
        <v>1286</v>
      </c>
      <c r="K48" s="92">
        <v>29.8</v>
      </c>
      <c r="L48" t="str">
        <f t="shared" si="1"/>
        <v>63-J354-J347</v>
      </c>
    </row>
    <row r="49" spans="2:12" ht="15.75">
      <c r="B49" s="5">
        <v>63</v>
      </c>
      <c r="C49" s="5" t="s">
        <v>1262</v>
      </c>
      <c r="D49" s="5" t="s">
        <v>1263</v>
      </c>
      <c r="E49" s="5">
        <v>287.5</v>
      </c>
      <c r="F49" t="str">
        <f t="shared" si="0"/>
        <v>63-J306-J305</v>
      </c>
      <c r="H49" s="92">
        <v>63</v>
      </c>
      <c r="I49" s="95" t="s">
        <v>1287</v>
      </c>
      <c r="J49" s="95" t="s">
        <v>1128</v>
      </c>
      <c r="K49" s="92">
        <v>278.39999999999998</v>
      </c>
      <c r="L49" t="str">
        <f t="shared" si="1"/>
        <v>63-J370-J311</v>
      </c>
    </row>
    <row r="50" spans="2:12" ht="15.75">
      <c r="B50" s="5">
        <v>63</v>
      </c>
      <c r="C50" s="5" t="s">
        <v>1262</v>
      </c>
      <c r="D50" s="5" t="s">
        <v>1264</v>
      </c>
      <c r="E50" s="5">
        <v>561.1</v>
      </c>
      <c r="F50" t="str">
        <f t="shared" si="0"/>
        <v>63-J306-J340</v>
      </c>
      <c r="H50" s="92">
        <v>63</v>
      </c>
      <c r="I50" s="95" t="s">
        <v>308</v>
      </c>
      <c r="J50" s="95" t="s">
        <v>386</v>
      </c>
      <c r="K50" s="92">
        <v>47.3</v>
      </c>
      <c r="L50" t="str">
        <f t="shared" si="1"/>
        <v>63-J100-J92</v>
      </c>
    </row>
    <row r="51" spans="2:12" ht="15.75">
      <c r="B51" s="5">
        <v>63</v>
      </c>
      <c r="C51" s="5" t="s">
        <v>1264</v>
      </c>
      <c r="D51" s="5" t="s">
        <v>1265</v>
      </c>
      <c r="E51" s="5">
        <v>88.9</v>
      </c>
      <c r="F51" t="str">
        <f t="shared" si="0"/>
        <v>63-J340-J335</v>
      </c>
      <c r="H51" s="92">
        <v>63</v>
      </c>
      <c r="I51" s="95" t="s">
        <v>323</v>
      </c>
      <c r="J51" s="95" t="s">
        <v>322</v>
      </c>
      <c r="K51" s="92">
        <v>73.5</v>
      </c>
      <c r="L51" t="str">
        <f t="shared" si="1"/>
        <v>63-J106-J105</v>
      </c>
    </row>
    <row r="52" spans="2:12" ht="15.75">
      <c r="B52" s="5">
        <v>63</v>
      </c>
      <c r="C52" s="5" t="s">
        <v>1264</v>
      </c>
      <c r="D52" s="5" t="s">
        <v>1128</v>
      </c>
      <c r="E52" s="5">
        <v>203</v>
      </c>
      <c r="F52" t="str">
        <f t="shared" si="0"/>
        <v>63-J340-J311</v>
      </c>
      <c r="H52" s="92">
        <v>63</v>
      </c>
      <c r="I52" s="95" t="s">
        <v>281</v>
      </c>
      <c r="J52" s="95" t="s">
        <v>416</v>
      </c>
      <c r="K52" s="92">
        <v>21</v>
      </c>
      <c r="L52" t="str">
        <f t="shared" si="1"/>
        <v>63-J23-J37</v>
      </c>
    </row>
    <row r="53" spans="2:12" ht="15.75">
      <c r="B53" s="5">
        <v>63</v>
      </c>
      <c r="C53" s="5" t="s">
        <v>1263</v>
      </c>
      <c r="D53" s="5" t="s">
        <v>1266</v>
      </c>
      <c r="E53" s="5">
        <v>60</v>
      </c>
      <c r="F53" t="str">
        <f t="shared" si="0"/>
        <v>63-J305-J319</v>
      </c>
      <c r="H53" s="92">
        <v>63</v>
      </c>
      <c r="I53" s="95" t="s">
        <v>506</v>
      </c>
      <c r="J53" s="95" t="s">
        <v>375</v>
      </c>
      <c r="K53" s="92">
        <v>37</v>
      </c>
      <c r="L53" t="str">
        <f t="shared" si="1"/>
        <v>63-J29-J7</v>
      </c>
    </row>
    <row r="54" spans="2:12" ht="15.75">
      <c r="B54" s="5">
        <v>63</v>
      </c>
      <c r="C54" s="5" t="s">
        <v>1263</v>
      </c>
      <c r="D54" s="5" t="s">
        <v>1267</v>
      </c>
      <c r="E54" s="5">
        <v>130.30000000000001</v>
      </c>
      <c r="F54" t="str">
        <f t="shared" si="0"/>
        <v>63-J305-J315</v>
      </c>
      <c r="H54" s="92">
        <v>63</v>
      </c>
      <c r="I54" s="95" t="s">
        <v>375</v>
      </c>
      <c r="J54" s="95" t="s">
        <v>350</v>
      </c>
      <c r="K54" s="92">
        <v>59.8</v>
      </c>
      <c r="L54" t="str">
        <f t="shared" si="1"/>
        <v>63-J7-J24</v>
      </c>
    </row>
    <row r="55" spans="2:12" ht="15.75">
      <c r="B55" s="5">
        <v>63</v>
      </c>
      <c r="C55" s="5" t="s">
        <v>1267</v>
      </c>
      <c r="D55" s="5" t="s">
        <v>1268</v>
      </c>
      <c r="E55" s="5">
        <v>87.6</v>
      </c>
      <c r="F55" t="str">
        <f t="shared" si="0"/>
        <v>63-J315-J333</v>
      </c>
      <c r="H55" s="92">
        <v>63</v>
      </c>
      <c r="I55" s="95" t="s">
        <v>350</v>
      </c>
      <c r="J55" s="95" t="s">
        <v>398</v>
      </c>
      <c r="K55" s="92">
        <v>105</v>
      </c>
      <c r="L55" t="str">
        <f t="shared" si="1"/>
        <v>63-J24-J68</v>
      </c>
    </row>
    <row r="56" spans="2:12" ht="15.75">
      <c r="B56" s="5">
        <v>63</v>
      </c>
      <c r="C56" s="5" t="s">
        <v>1267</v>
      </c>
      <c r="D56" s="5" t="s">
        <v>1269</v>
      </c>
      <c r="E56" s="10">
        <v>26.8</v>
      </c>
      <c r="F56" t="str">
        <f t="shared" si="0"/>
        <v>63-J315-J326</v>
      </c>
      <c r="H56" s="92">
        <v>63</v>
      </c>
      <c r="I56" s="95" t="s">
        <v>391</v>
      </c>
      <c r="J56" s="95" t="s">
        <v>282</v>
      </c>
      <c r="K56" s="92">
        <v>32</v>
      </c>
      <c r="L56" t="str">
        <f t="shared" si="1"/>
        <v>63-J25-J21</v>
      </c>
    </row>
    <row r="57" spans="2:12" ht="15.75">
      <c r="B57" s="5">
        <v>63</v>
      </c>
      <c r="C57" s="5" t="s">
        <v>1269</v>
      </c>
      <c r="D57" s="5" t="s">
        <v>1270</v>
      </c>
      <c r="E57" s="5">
        <v>25</v>
      </c>
      <c r="F57" t="str">
        <f t="shared" si="0"/>
        <v>63-J326-J317</v>
      </c>
      <c r="H57" s="92">
        <v>63</v>
      </c>
      <c r="I57" s="95" t="s">
        <v>391</v>
      </c>
      <c r="J57" s="95" t="s">
        <v>317</v>
      </c>
      <c r="K57" s="92">
        <v>55</v>
      </c>
      <c r="L57" t="str">
        <f t="shared" si="1"/>
        <v>63-J25-J47</v>
      </c>
    </row>
    <row r="58" spans="2:12" ht="15.75">
      <c r="B58" s="5">
        <v>63</v>
      </c>
      <c r="C58" s="5" t="s">
        <v>1269</v>
      </c>
      <c r="D58" s="5" t="s">
        <v>1000</v>
      </c>
      <c r="E58" s="5">
        <v>149</v>
      </c>
      <c r="F58" t="str">
        <f t="shared" si="0"/>
        <v>63-J326-J349</v>
      </c>
      <c r="H58" s="92">
        <v>63</v>
      </c>
      <c r="I58" s="95" t="s">
        <v>416</v>
      </c>
      <c r="J58" s="95" t="s">
        <v>265</v>
      </c>
      <c r="K58" s="92">
        <v>60.2</v>
      </c>
      <c r="L58" t="str">
        <f t="shared" si="1"/>
        <v>63-J37-J36</v>
      </c>
    </row>
    <row r="59" spans="2:12" ht="15.75">
      <c r="B59" s="5">
        <v>63</v>
      </c>
      <c r="C59" s="5" t="s">
        <v>1000</v>
      </c>
      <c r="D59" s="5" t="s">
        <v>1271</v>
      </c>
      <c r="E59" s="5">
        <v>38.5</v>
      </c>
      <c r="F59" t="str">
        <f t="shared" si="0"/>
        <v>63-J349-J366</v>
      </c>
      <c r="H59" s="92">
        <v>63</v>
      </c>
      <c r="I59" s="95" t="s">
        <v>265</v>
      </c>
      <c r="J59" s="95" t="s">
        <v>247</v>
      </c>
      <c r="K59" s="92">
        <v>31.4</v>
      </c>
      <c r="L59" t="str">
        <f t="shared" si="1"/>
        <v>63-J36-J39</v>
      </c>
    </row>
    <row r="60" spans="2:12" ht="15.75">
      <c r="B60" s="5">
        <v>63</v>
      </c>
      <c r="C60" s="5" t="s">
        <v>1272</v>
      </c>
      <c r="D60" s="5" t="s">
        <v>1017</v>
      </c>
      <c r="E60" s="5">
        <v>91</v>
      </c>
      <c r="F60" t="str">
        <f t="shared" si="0"/>
        <v>63-J360-J328</v>
      </c>
      <c r="H60" s="92">
        <v>63</v>
      </c>
      <c r="I60" s="95" t="s">
        <v>247</v>
      </c>
      <c r="J60" s="95" t="s">
        <v>412</v>
      </c>
      <c r="K60" s="92">
        <v>25</v>
      </c>
      <c r="L60" t="str">
        <f t="shared" si="1"/>
        <v>63-J39-J43</v>
      </c>
    </row>
    <row r="61" spans="2:12" ht="15.75">
      <c r="B61" s="5">
        <v>63</v>
      </c>
      <c r="C61" s="5" t="s">
        <v>977</v>
      </c>
      <c r="D61" s="5" t="s">
        <v>1273</v>
      </c>
      <c r="E61" s="5">
        <v>41</v>
      </c>
      <c r="F61" t="str">
        <f t="shared" si="0"/>
        <v>63-J318-J321</v>
      </c>
      <c r="H61" s="92">
        <v>63</v>
      </c>
      <c r="I61" s="95" t="s">
        <v>317</v>
      </c>
      <c r="J61" s="95" t="s">
        <v>264</v>
      </c>
      <c r="K61" s="92">
        <v>67</v>
      </c>
      <c r="L61" t="str">
        <f t="shared" si="1"/>
        <v>63-J47-J55</v>
      </c>
    </row>
    <row r="62" spans="2:12" ht="15.75">
      <c r="B62" s="5">
        <v>63</v>
      </c>
      <c r="C62" s="5" t="s">
        <v>1273</v>
      </c>
      <c r="D62" s="5" t="s">
        <v>1137</v>
      </c>
      <c r="E62" s="5">
        <v>43.6</v>
      </c>
      <c r="F62" t="str">
        <f t="shared" si="0"/>
        <v>63-J321-J341</v>
      </c>
      <c r="H62" s="92">
        <v>63</v>
      </c>
      <c r="I62" s="95" t="s">
        <v>264</v>
      </c>
      <c r="J62" s="95" t="s">
        <v>628</v>
      </c>
      <c r="K62" s="92">
        <v>17</v>
      </c>
      <c r="L62" t="str">
        <f t="shared" si="1"/>
        <v>63-J55-J16</v>
      </c>
    </row>
    <row r="63" spans="2:12" ht="15.75">
      <c r="B63" s="5">
        <v>63</v>
      </c>
      <c r="C63" s="5" t="s">
        <v>977</v>
      </c>
      <c r="D63" s="5" t="s">
        <v>1017</v>
      </c>
      <c r="E63" s="5">
        <v>48.3</v>
      </c>
      <c r="F63" t="str">
        <f t="shared" si="0"/>
        <v>63-J318-J328</v>
      </c>
      <c r="H63" s="92">
        <v>63</v>
      </c>
      <c r="I63" s="95" t="s">
        <v>264</v>
      </c>
      <c r="J63" s="95" t="s">
        <v>261</v>
      </c>
      <c r="K63" s="92">
        <v>45</v>
      </c>
      <c r="L63" t="str">
        <f t="shared" si="1"/>
        <v>63-J55-J57</v>
      </c>
    </row>
    <row r="64" spans="2:12" ht="15.75">
      <c r="B64" s="5">
        <v>63</v>
      </c>
      <c r="C64" s="5" t="s">
        <v>1017</v>
      </c>
      <c r="D64" s="5" t="s">
        <v>1077</v>
      </c>
      <c r="E64" s="5">
        <v>87</v>
      </c>
      <c r="F64" t="str">
        <f t="shared" si="0"/>
        <v>63-J328-J358</v>
      </c>
      <c r="H64" s="92">
        <v>63</v>
      </c>
      <c r="I64" s="95" t="s">
        <v>261</v>
      </c>
      <c r="J64" s="95" t="s">
        <v>316</v>
      </c>
      <c r="K64" s="92">
        <v>194.2</v>
      </c>
      <c r="L64" t="str">
        <f t="shared" si="1"/>
        <v>63-J57-J38</v>
      </c>
    </row>
    <row r="65" spans="2:12" ht="15.75">
      <c r="B65" s="5">
        <v>63</v>
      </c>
      <c r="C65" s="5" t="s">
        <v>1274</v>
      </c>
      <c r="D65" s="5" t="s">
        <v>1275</v>
      </c>
      <c r="E65" s="5">
        <v>105</v>
      </c>
      <c r="F65" t="str">
        <f t="shared" si="0"/>
        <v>63-J348-J345</v>
      </c>
      <c r="H65" s="92">
        <v>63</v>
      </c>
      <c r="I65" s="95" t="s">
        <v>247</v>
      </c>
      <c r="J65" s="95" t="s">
        <v>317</v>
      </c>
      <c r="K65" s="92">
        <v>9.6</v>
      </c>
      <c r="L65" t="str">
        <f t="shared" si="1"/>
        <v>63-J39-J47</v>
      </c>
    </row>
    <row r="66" spans="2:12" ht="15.75">
      <c r="B66" s="5">
        <v>63</v>
      </c>
      <c r="C66" s="5" t="s">
        <v>1275</v>
      </c>
      <c r="D66" s="5" t="s">
        <v>1276</v>
      </c>
      <c r="E66" s="5">
        <v>22</v>
      </c>
      <c r="F66" t="str">
        <f t="shared" si="0"/>
        <v>63-J345-J327</v>
      </c>
      <c r="H66" s="92">
        <v>63</v>
      </c>
      <c r="I66" s="95" t="s">
        <v>316</v>
      </c>
      <c r="J66" s="95" t="s">
        <v>382</v>
      </c>
      <c r="K66" s="92">
        <v>62.4</v>
      </c>
      <c r="L66" t="str">
        <f t="shared" si="1"/>
        <v>63-J38-J8</v>
      </c>
    </row>
    <row r="67" spans="2:12" ht="15.75">
      <c r="B67" s="5">
        <v>63</v>
      </c>
      <c r="C67" s="5" t="s">
        <v>1275</v>
      </c>
      <c r="D67" s="5" t="s">
        <v>1277</v>
      </c>
      <c r="E67" s="5">
        <v>41.5</v>
      </c>
      <c r="F67" t="str">
        <f t="shared" si="0"/>
        <v>63-J345-J342</v>
      </c>
      <c r="H67" s="92">
        <v>140</v>
      </c>
      <c r="I67" s="93" t="s">
        <v>419</v>
      </c>
      <c r="J67" s="93" t="s">
        <v>256</v>
      </c>
      <c r="K67" s="92">
        <v>432.6</v>
      </c>
      <c r="L67" t="str">
        <f t="shared" si="1"/>
        <v>140-J69-J76</v>
      </c>
    </row>
    <row r="68" spans="2:12" ht="15.75">
      <c r="B68" s="5">
        <v>63</v>
      </c>
      <c r="C68" s="5" t="s">
        <v>1274</v>
      </c>
      <c r="D68" s="5" t="s">
        <v>1278</v>
      </c>
      <c r="E68" s="5">
        <v>212.3</v>
      </c>
      <c r="F68" t="str">
        <f t="shared" ref="F68:F126" si="2">+B68&amp;"-"&amp;C68&amp;"-"&amp;D68</f>
        <v>63-J348-J353</v>
      </c>
      <c r="H68" s="92">
        <v>63</v>
      </c>
      <c r="I68" s="95" t="s">
        <v>256</v>
      </c>
      <c r="J68" s="95" t="s">
        <v>360</v>
      </c>
      <c r="K68" s="92">
        <v>78.3</v>
      </c>
      <c r="L68" t="str">
        <f t="shared" si="1"/>
        <v>63-J76-J96</v>
      </c>
    </row>
    <row r="69" spans="2:12" ht="15.75">
      <c r="B69" s="5">
        <v>63</v>
      </c>
      <c r="C69" s="5" t="s">
        <v>1274</v>
      </c>
      <c r="D69" s="5" t="s">
        <v>1279</v>
      </c>
      <c r="E69" s="5">
        <v>20.8</v>
      </c>
      <c r="F69" t="str">
        <f t="shared" si="2"/>
        <v>63-J348-J359</v>
      </c>
      <c r="H69" s="92">
        <v>110</v>
      </c>
      <c r="I69" s="98" t="s">
        <v>426</v>
      </c>
      <c r="J69" s="98" t="s">
        <v>398</v>
      </c>
      <c r="K69" s="92">
        <v>120.1</v>
      </c>
      <c r="L69" t="str">
        <f t="shared" ref="L69:L127" si="3">+H69&amp;"-"&amp;I69&amp;"-"&amp;J69</f>
        <v>110-J70-J68</v>
      </c>
    </row>
    <row r="70" spans="2:12" ht="15.75">
      <c r="B70" s="5">
        <v>63</v>
      </c>
      <c r="C70" s="5" t="s">
        <v>1279</v>
      </c>
      <c r="D70" s="5" t="s">
        <v>1280</v>
      </c>
      <c r="E70" s="5">
        <v>119.9</v>
      </c>
      <c r="F70" t="str">
        <f t="shared" si="2"/>
        <v>63-J359-J367</v>
      </c>
      <c r="H70" s="92">
        <v>110</v>
      </c>
      <c r="I70" s="98" t="s">
        <v>398</v>
      </c>
      <c r="J70" s="98" t="s">
        <v>262</v>
      </c>
      <c r="K70" s="92">
        <v>32.9</v>
      </c>
      <c r="L70" t="str">
        <f t="shared" si="3"/>
        <v>110-J68-J58</v>
      </c>
    </row>
    <row r="71" spans="2:12" ht="15.75">
      <c r="B71" s="5">
        <v>63</v>
      </c>
      <c r="C71" s="5" t="s">
        <v>1280</v>
      </c>
      <c r="D71" s="5" t="s">
        <v>1281</v>
      </c>
      <c r="E71" s="5">
        <v>44.9</v>
      </c>
      <c r="F71" t="str">
        <f t="shared" si="2"/>
        <v>63-J367-J354</v>
      </c>
      <c r="H71" s="92">
        <v>75</v>
      </c>
      <c r="I71" s="94" t="s">
        <v>262</v>
      </c>
      <c r="J71" s="94" t="s">
        <v>316</v>
      </c>
      <c r="K71" s="92">
        <v>151.19999999999999</v>
      </c>
      <c r="L71" t="str">
        <f t="shared" si="3"/>
        <v>75-J58-J38</v>
      </c>
    </row>
    <row r="72" spans="2:12" ht="15.75">
      <c r="B72" s="5">
        <v>63</v>
      </c>
      <c r="C72" s="5" t="s">
        <v>1281</v>
      </c>
      <c r="D72" s="5" t="s">
        <v>1282</v>
      </c>
      <c r="E72" s="5">
        <v>96.3</v>
      </c>
      <c r="F72" t="str">
        <f t="shared" si="2"/>
        <v>63-J354-J334</v>
      </c>
      <c r="H72" s="92">
        <v>75</v>
      </c>
      <c r="I72" s="94" t="s">
        <v>316</v>
      </c>
      <c r="J72" s="94" t="s">
        <v>246</v>
      </c>
      <c r="K72" s="92">
        <v>582</v>
      </c>
      <c r="L72" t="str">
        <f t="shared" si="3"/>
        <v>75-J38-J95</v>
      </c>
    </row>
    <row r="73" spans="2:12" ht="15.75">
      <c r="B73" s="5">
        <v>63</v>
      </c>
      <c r="C73" s="5" t="s">
        <v>1283</v>
      </c>
      <c r="D73" s="5" t="s">
        <v>1284</v>
      </c>
      <c r="E73" s="5">
        <v>224.8</v>
      </c>
      <c r="F73" t="str">
        <f t="shared" si="2"/>
        <v>63-J344-J371</v>
      </c>
      <c r="H73" s="92">
        <v>125</v>
      </c>
      <c r="I73" s="99" t="s">
        <v>246</v>
      </c>
      <c r="J73" s="99" t="s">
        <v>307</v>
      </c>
      <c r="K73" s="92">
        <v>65.099999999999994</v>
      </c>
      <c r="L73" t="str">
        <f t="shared" si="3"/>
        <v>125-J95-J99</v>
      </c>
    </row>
    <row r="74" spans="2:12" ht="15.75">
      <c r="B74" s="5">
        <v>63</v>
      </c>
      <c r="C74" s="5" t="s">
        <v>1284</v>
      </c>
      <c r="D74" s="5" t="s">
        <v>1285</v>
      </c>
      <c r="E74" s="5">
        <v>11</v>
      </c>
      <c r="F74" t="str">
        <f t="shared" si="2"/>
        <v>63-J371-J369</v>
      </c>
      <c r="H74" s="92">
        <v>90</v>
      </c>
      <c r="I74" s="100" t="s">
        <v>307</v>
      </c>
      <c r="J74" s="100" t="s">
        <v>347</v>
      </c>
      <c r="K74" s="92">
        <v>25</v>
      </c>
      <c r="L74" t="str">
        <f t="shared" si="3"/>
        <v>90-J99-J104</v>
      </c>
    </row>
    <row r="75" spans="2:12" ht="15.75">
      <c r="B75" s="5">
        <v>63</v>
      </c>
      <c r="C75" s="5" t="s">
        <v>1281</v>
      </c>
      <c r="D75" s="5" t="s">
        <v>1286</v>
      </c>
      <c r="E75" s="5">
        <v>89.3</v>
      </c>
      <c r="F75" t="str">
        <f t="shared" si="2"/>
        <v>63-J354-J347</v>
      </c>
      <c r="H75" s="92">
        <v>90</v>
      </c>
      <c r="I75" s="100" t="s">
        <v>347</v>
      </c>
      <c r="J75" s="100" t="s">
        <v>190</v>
      </c>
      <c r="K75" s="92">
        <v>172</v>
      </c>
      <c r="L75" t="str">
        <f t="shared" si="3"/>
        <v>90-J104-J154</v>
      </c>
    </row>
    <row r="76" spans="2:12" ht="15.75">
      <c r="B76" s="5">
        <v>63</v>
      </c>
      <c r="C76" s="5" t="s">
        <v>1286</v>
      </c>
      <c r="D76" s="5" t="s">
        <v>1287</v>
      </c>
      <c r="E76" s="5">
        <v>29.9</v>
      </c>
      <c r="F76" t="str">
        <f t="shared" si="2"/>
        <v>63-J347-J370</v>
      </c>
      <c r="H76" s="92">
        <v>110</v>
      </c>
      <c r="I76" s="98" t="s">
        <v>575</v>
      </c>
      <c r="J76" s="98" t="s">
        <v>339</v>
      </c>
      <c r="K76" s="92">
        <v>186.9</v>
      </c>
      <c r="L76" t="str">
        <f t="shared" si="3"/>
        <v>110-J199-J123</v>
      </c>
    </row>
    <row r="77" spans="2:12" ht="15.75">
      <c r="B77" s="5">
        <v>63</v>
      </c>
      <c r="C77" s="5" t="s">
        <v>1287</v>
      </c>
      <c r="D77" s="5" t="s">
        <v>1288</v>
      </c>
      <c r="E77" s="5">
        <v>100.3</v>
      </c>
      <c r="F77" t="str">
        <f t="shared" si="2"/>
        <v>63-J370-J365</v>
      </c>
      <c r="H77" s="92">
        <v>110</v>
      </c>
      <c r="I77" s="98" t="s">
        <v>339</v>
      </c>
      <c r="J77" s="98" t="s">
        <v>662</v>
      </c>
      <c r="K77" s="92">
        <v>79.8</v>
      </c>
      <c r="L77" t="str">
        <f t="shared" si="3"/>
        <v>110-J123-J148</v>
      </c>
    </row>
    <row r="78" spans="2:12" ht="15.75">
      <c r="B78" s="5">
        <v>63</v>
      </c>
      <c r="C78" s="5" t="s">
        <v>256</v>
      </c>
      <c r="D78" s="5" t="s">
        <v>360</v>
      </c>
      <c r="E78" s="5">
        <v>78.3</v>
      </c>
      <c r="F78" t="str">
        <f t="shared" si="2"/>
        <v>63-J76-J96</v>
      </c>
      <c r="H78" s="92">
        <v>110</v>
      </c>
      <c r="I78" s="98" t="s">
        <v>662</v>
      </c>
      <c r="J78" s="98" t="s">
        <v>345</v>
      </c>
      <c r="K78" s="92">
        <v>160.1</v>
      </c>
      <c r="L78" t="str">
        <f t="shared" si="3"/>
        <v>110-J148-J112</v>
      </c>
    </row>
    <row r="79" spans="2:12" ht="15.75">
      <c r="B79" s="5">
        <v>63</v>
      </c>
      <c r="C79" s="5" t="s">
        <v>345</v>
      </c>
      <c r="D79" s="5" t="s">
        <v>239</v>
      </c>
      <c r="E79" s="5">
        <v>85.9</v>
      </c>
      <c r="F79" t="str">
        <f t="shared" si="2"/>
        <v>63-J112-J116</v>
      </c>
      <c r="H79" s="92">
        <v>90</v>
      </c>
      <c r="I79" s="100" t="s">
        <v>345</v>
      </c>
      <c r="J79" s="100" t="s">
        <v>847</v>
      </c>
      <c r="K79" s="92">
        <v>25</v>
      </c>
      <c r="L79" t="str">
        <f t="shared" si="3"/>
        <v>90-J112-J145</v>
      </c>
    </row>
    <row r="80" spans="2:12" ht="15.75">
      <c r="B80" s="5">
        <v>63</v>
      </c>
      <c r="C80" s="5" t="s">
        <v>847</v>
      </c>
      <c r="D80" s="5" t="s">
        <v>243</v>
      </c>
      <c r="E80" s="5">
        <v>29</v>
      </c>
      <c r="F80" t="str">
        <f t="shared" si="2"/>
        <v>63-J145-J107</v>
      </c>
      <c r="H80" s="92">
        <v>63</v>
      </c>
      <c r="I80" s="95" t="s">
        <v>345</v>
      </c>
      <c r="J80" s="95" t="s">
        <v>239</v>
      </c>
      <c r="K80" s="92">
        <v>85.9</v>
      </c>
      <c r="L80" t="str">
        <f t="shared" si="3"/>
        <v>63-J112-J116</v>
      </c>
    </row>
    <row r="81" spans="2:14" ht="15.75">
      <c r="B81" s="5">
        <v>63</v>
      </c>
      <c r="C81" s="5" t="s">
        <v>243</v>
      </c>
      <c r="D81" s="5" t="s">
        <v>336</v>
      </c>
      <c r="E81" s="5">
        <v>35.700000000000003</v>
      </c>
      <c r="F81" t="str">
        <f t="shared" si="2"/>
        <v>63-J107-J131</v>
      </c>
      <c r="H81" s="92">
        <v>63</v>
      </c>
      <c r="I81" s="95" t="s">
        <v>847</v>
      </c>
      <c r="J81" s="95" t="s">
        <v>243</v>
      </c>
      <c r="K81" s="92">
        <v>29</v>
      </c>
      <c r="L81" t="str">
        <f t="shared" si="3"/>
        <v>63-J145-J107</v>
      </c>
    </row>
    <row r="82" spans="2:14" ht="15.75">
      <c r="B82" s="5">
        <v>63</v>
      </c>
      <c r="C82" s="5" t="s">
        <v>239</v>
      </c>
      <c r="D82" s="5" t="s">
        <v>188</v>
      </c>
      <c r="E82" s="5">
        <v>41.5</v>
      </c>
      <c r="F82" t="str">
        <f t="shared" si="2"/>
        <v>63-J116-J142</v>
      </c>
      <c r="H82" s="92">
        <v>63</v>
      </c>
      <c r="I82" s="95" t="s">
        <v>243</v>
      </c>
      <c r="J82" s="95" t="s">
        <v>336</v>
      </c>
      <c r="K82" s="92">
        <v>35.700000000000003</v>
      </c>
      <c r="L82" t="str">
        <f t="shared" si="3"/>
        <v>63-J107-J131</v>
      </c>
      <c r="N82" s="101"/>
    </row>
    <row r="83" spans="2:14" ht="15.75">
      <c r="B83" s="5">
        <v>63</v>
      </c>
      <c r="C83" s="5" t="s">
        <v>188</v>
      </c>
      <c r="D83" s="5" t="s">
        <v>341</v>
      </c>
      <c r="E83" s="5">
        <v>40.5</v>
      </c>
      <c r="F83" t="str">
        <f t="shared" si="2"/>
        <v>63-J142-J119</v>
      </c>
      <c r="H83" s="92">
        <v>63</v>
      </c>
      <c r="I83" s="95" t="s">
        <v>239</v>
      </c>
      <c r="J83" s="95" t="s">
        <v>188</v>
      </c>
      <c r="K83" s="92">
        <v>41.5</v>
      </c>
      <c r="L83" t="str">
        <f t="shared" si="3"/>
        <v>63-J116-J142</v>
      </c>
    </row>
    <row r="84" spans="2:14" ht="15.75">
      <c r="B84" s="5">
        <v>63</v>
      </c>
      <c r="C84" s="5" t="s">
        <v>248</v>
      </c>
      <c r="D84" s="5" t="s">
        <v>418</v>
      </c>
      <c r="E84" s="18">
        <v>20</v>
      </c>
      <c r="F84" t="str">
        <f t="shared" si="2"/>
        <v>63-J40-J32</v>
      </c>
      <c r="H84" s="92">
        <v>63</v>
      </c>
      <c r="I84" s="95" t="s">
        <v>188</v>
      </c>
      <c r="J84" s="95" t="s">
        <v>341</v>
      </c>
      <c r="K84" s="92">
        <v>40.5</v>
      </c>
      <c r="L84" t="str">
        <f t="shared" si="3"/>
        <v>63-J142-J119</v>
      </c>
    </row>
    <row r="85" spans="2:14" ht="15.75">
      <c r="B85" s="5">
        <v>63</v>
      </c>
      <c r="C85" s="5" t="s">
        <v>418</v>
      </c>
      <c r="D85" s="5" t="s">
        <v>362</v>
      </c>
      <c r="E85" s="18">
        <v>106</v>
      </c>
      <c r="F85" t="str">
        <f t="shared" si="2"/>
        <v>63-J32-J1</v>
      </c>
      <c r="H85" s="92">
        <v>63</v>
      </c>
      <c r="I85" s="95" t="s">
        <v>239</v>
      </c>
      <c r="J85" s="95" t="s">
        <v>1261</v>
      </c>
      <c r="K85" s="92">
        <v>229.8</v>
      </c>
      <c r="L85" t="str">
        <f t="shared" si="3"/>
        <v>63-J116-J281</v>
      </c>
    </row>
    <row r="86" spans="2:14" ht="15.75">
      <c r="B86" s="5">
        <v>63</v>
      </c>
      <c r="C86" s="5" t="s">
        <v>418</v>
      </c>
      <c r="D86" s="5" t="s">
        <v>403</v>
      </c>
      <c r="E86" s="18">
        <v>144.30000000000001</v>
      </c>
      <c r="F86" t="str">
        <f t="shared" si="2"/>
        <v>63-J32-J27</v>
      </c>
      <c r="H86" s="92">
        <v>63</v>
      </c>
      <c r="I86" s="95" t="s">
        <v>1261</v>
      </c>
      <c r="J86" s="95" t="s">
        <v>1003</v>
      </c>
      <c r="K86" s="92">
        <v>307.5</v>
      </c>
      <c r="L86" t="str">
        <f t="shared" si="3"/>
        <v>63-J281-J368</v>
      </c>
    </row>
    <row r="87" spans="2:14" ht="15.75">
      <c r="B87" s="5">
        <v>63</v>
      </c>
      <c r="C87" s="5" t="s">
        <v>403</v>
      </c>
      <c r="D87" s="5" t="s">
        <v>402</v>
      </c>
      <c r="E87" s="18">
        <v>52.8</v>
      </c>
      <c r="F87" t="str">
        <f t="shared" si="2"/>
        <v>63-J27-J28</v>
      </c>
      <c r="H87" s="92">
        <v>63</v>
      </c>
      <c r="I87" s="95" t="s">
        <v>1261</v>
      </c>
      <c r="J87" s="95" t="s">
        <v>1323</v>
      </c>
      <c r="K87" s="92">
        <v>147.6</v>
      </c>
      <c r="L87" t="str">
        <f t="shared" si="3"/>
        <v>63-J281-J297</v>
      </c>
    </row>
    <row r="88" spans="2:14" ht="15.75">
      <c r="B88" s="5">
        <v>63</v>
      </c>
      <c r="C88" s="5" t="s">
        <v>403</v>
      </c>
      <c r="D88" s="5" t="s">
        <v>507</v>
      </c>
      <c r="E88" s="18">
        <v>12.5</v>
      </c>
      <c r="F88" t="str">
        <f t="shared" si="2"/>
        <v>63-J27-J41</v>
      </c>
      <c r="H88" s="92">
        <v>63</v>
      </c>
      <c r="I88" s="95" t="s">
        <v>1323</v>
      </c>
      <c r="J88" s="95" t="s">
        <v>1325</v>
      </c>
      <c r="K88" s="92">
        <v>51.5</v>
      </c>
      <c r="L88" t="str">
        <f t="shared" si="3"/>
        <v>63-J297-J290</v>
      </c>
    </row>
    <row r="89" spans="2:14" ht="15.75">
      <c r="B89" s="5">
        <v>63</v>
      </c>
      <c r="C89" s="5" t="s">
        <v>403</v>
      </c>
      <c r="D89" s="5" t="s">
        <v>395</v>
      </c>
      <c r="E89" s="18">
        <v>11.5</v>
      </c>
      <c r="F89" t="str">
        <f t="shared" si="2"/>
        <v>63-J27-J62</v>
      </c>
      <c r="H89" s="92">
        <v>75</v>
      </c>
      <c r="I89" s="94" t="s">
        <v>1323</v>
      </c>
      <c r="J89" s="94" t="s">
        <v>1255</v>
      </c>
      <c r="K89" s="92">
        <f>67.6+7</f>
        <v>74.599999999999994</v>
      </c>
      <c r="L89" t="str">
        <f t="shared" si="3"/>
        <v>75-J297-J292</v>
      </c>
    </row>
    <row r="90" spans="2:14" ht="15.75">
      <c r="B90" s="5">
        <v>63</v>
      </c>
      <c r="C90" s="5" t="s">
        <v>395</v>
      </c>
      <c r="D90" s="5" t="s">
        <v>524</v>
      </c>
      <c r="E90" s="18">
        <v>41.5</v>
      </c>
      <c r="F90" t="str">
        <f t="shared" si="2"/>
        <v>63-J62-J67</v>
      </c>
      <c r="H90" s="92">
        <v>63</v>
      </c>
      <c r="I90" s="95" t="s">
        <v>1262</v>
      </c>
      <c r="J90" s="95" t="s">
        <v>1263</v>
      </c>
      <c r="K90" s="92">
        <v>287.5</v>
      </c>
      <c r="L90" t="str">
        <f t="shared" si="3"/>
        <v>63-J306-J305</v>
      </c>
    </row>
    <row r="91" spans="2:14" ht="15.75">
      <c r="B91" s="5">
        <v>63</v>
      </c>
      <c r="C91" s="5" t="s">
        <v>524</v>
      </c>
      <c r="D91" s="5" t="s">
        <v>268</v>
      </c>
      <c r="E91" s="18">
        <v>23.4</v>
      </c>
      <c r="F91" t="str">
        <f t="shared" si="2"/>
        <v>63-J67-J46</v>
      </c>
      <c r="H91" s="92">
        <v>63</v>
      </c>
      <c r="I91" s="95" t="s">
        <v>1262</v>
      </c>
      <c r="J91" s="95" t="s">
        <v>1264</v>
      </c>
      <c r="K91" s="92">
        <v>561.5</v>
      </c>
      <c r="L91" t="str">
        <f t="shared" si="3"/>
        <v>63-J306-J340</v>
      </c>
    </row>
    <row r="92" spans="2:14" ht="15.75">
      <c r="B92" s="5">
        <v>63</v>
      </c>
      <c r="C92" s="5" t="s">
        <v>524</v>
      </c>
      <c r="D92" s="5" t="s">
        <v>417</v>
      </c>
      <c r="E92" s="18">
        <v>37</v>
      </c>
      <c r="F92" t="str">
        <f t="shared" si="2"/>
        <v>63-J67-J33</v>
      </c>
      <c r="H92" s="92">
        <v>63</v>
      </c>
      <c r="I92" s="95" t="s">
        <v>1264</v>
      </c>
      <c r="J92" s="95" t="s">
        <v>1265</v>
      </c>
      <c r="K92" s="92">
        <v>88.9</v>
      </c>
      <c r="L92" t="str">
        <f t="shared" si="3"/>
        <v>63-J340-J335</v>
      </c>
    </row>
    <row r="93" spans="2:14" ht="15.75">
      <c r="B93" s="5">
        <v>63</v>
      </c>
      <c r="C93" s="5" t="s">
        <v>417</v>
      </c>
      <c r="D93" s="5" t="s">
        <v>315</v>
      </c>
      <c r="E93" s="18">
        <v>22</v>
      </c>
      <c r="F93" t="str">
        <f t="shared" si="2"/>
        <v>63-J33-J11</v>
      </c>
      <c r="H93" s="92">
        <v>63</v>
      </c>
      <c r="I93" s="95" t="s">
        <v>1264</v>
      </c>
      <c r="J93" s="95" t="s">
        <v>1128</v>
      </c>
      <c r="K93" s="92">
        <v>203</v>
      </c>
      <c r="L93" t="str">
        <f t="shared" si="3"/>
        <v>63-J340-J311</v>
      </c>
    </row>
    <row r="94" spans="2:14" ht="15.75">
      <c r="B94" s="5">
        <v>63</v>
      </c>
      <c r="C94" s="5" t="s">
        <v>417</v>
      </c>
      <c r="D94" s="5" t="s">
        <v>540</v>
      </c>
      <c r="E94" s="18">
        <v>24</v>
      </c>
      <c r="F94" t="str">
        <f t="shared" si="2"/>
        <v>63-J33-J15</v>
      </c>
      <c r="H94" s="92">
        <v>63</v>
      </c>
      <c r="I94" s="95" t="s">
        <v>1263</v>
      </c>
      <c r="J94" s="95" t="s">
        <v>1266</v>
      </c>
      <c r="K94" s="92">
        <v>60</v>
      </c>
      <c r="L94" t="str">
        <f t="shared" si="3"/>
        <v>63-J305-J319</v>
      </c>
    </row>
    <row r="95" spans="2:14" ht="15.75">
      <c r="B95" s="5">
        <v>63</v>
      </c>
      <c r="C95" s="5" t="s">
        <v>540</v>
      </c>
      <c r="D95" s="5" t="s">
        <v>267</v>
      </c>
      <c r="E95" s="18">
        <v>30.4</v>
      </c>
      <c r="F95" t="str">
        <f t="shared" si="2"/>
        <v>63-J15-J45</v>
      </c>
      <c r="H95" s="92">
        <v>63</v>
      </c>
      <c r="I95" s="95" t="s">
        <v>1263</v>
      </c>
      <c r="J95" s="95" t="s">
        <v>1267</v>
      </c>
      <c r="K95" s="92">
        <v>138.30000000000001</v>
      </c>
      <c r="L95" t="str">
        <f t="shared" si="3"/>
        <v>63-J305-J315</v>
      </c>
    </row>
    <row r="96" spans="2:14" ht="15.75">
      <c r="B96" s="5">
        <v>63</v>
      </c>
      <c r="C96" s="5" t="s">
        <v>267</v>
      </c>
      <c r="D96" s="5" t="s">
        <v>414</v>
      </c>
      <c r="E96" s="18">
        <v>67.400000000000006</v>
      </c>
      <c r="F96" t="str">
        <f t="shared" si="2"/>
        <v>63-J45-J50</v>
      </c>
      <c r="H96" s="92">
        <v>63</v>
      </c>
      <c r="I96" s="95" t="s">
        <v>1267</v>
      </c>
      <c r="J96" s="95" t="s">
        <v>1268</v>
      </c>
      <c r="K96" s="92">
        <v>87.6</v>
      </c>
      <c r="L96" t="str">
        <f t="shared" si="3"/>
        <v>63-J315-J333</v>
      </c>
    </row>
    <row r="97" spans="2:12" ht="15.75">
      <c r="B97" s="5">
        <v>63</v>
      </c>
      <c r="C97" s="5" t="s">
        <v>414</v>
      </c>
      <c r="D97" s="5" t="s">
        <v>521</v>
      </c>
      <c r="E97" s="18">
        <v>34.1</v>
      </c>
      <c r="F97" t="str">
        <f t="shared" si="2"/>
        <v>63-J50-J51</v>
      </c>
      <c r="H97" s="92">
        <v>63</v>
      </c>
      <c r="I97" s="95" t="s">
        <v>1267</v>
      </c>
      <c r="J97" s="95" t="s">
        <v>1269</v>
      </c>
      <c r="K97" s="92">
        <v>26.8</v>
      </c>
      <c r="L97" t="str">
        <f t="shared" si="3"/>
        <v>63-J315-J326</v>
      </c>
    </row>
    <row r="98" spans="2:12" ht="15.75">
      <c r="B98" s="5">
        <v>63</v>
      </c>
      <c r="C98" s="5" t="s">
        <v>315</v>
      </c>
      <c r="D98" s="5" t="s">
        <v>414</v>
      </c>
      <c r="E98" s="18">
        <v>137.1</v>
      </c>
      <c r="F98" t="str">
        <f t="shared" si="2"/>
        <v>63-J11-J50</v>
      </c>
      <c r="H98" s="92">
        <v>63</v>
      </c>
      <c r="I98" s="95" t="s">
        <v>1269</v>
      </c>
      <c r="J98" s="95" t="s">
        <v>1270</v>
      </c>
      <c r="K98" s="92">
        <v>25</v>
      </c>
      <c r="L98" t="str">
        <f t="shared" si="3"/>
        <v>63-J326-J317</v>
      </c>
    </row>
    <row r="99" spans="2:12" ht="15.75">
      <c r="B99" s="5">
        <v>63</v>
      </c>
      <c r="C99" s="5" t="s">
        <v>267</v>
      </c>
      <c r="D99" s="5" t="s">
        <v>318</v>
      </c>
      <c r="E99" s="18">
        <v>77</v>
      </c>
      <c r="F99" t="str">
        <f t="shared" si="2"/>
        <v>63-J45-J52</v>
      </c>
      <c r="H99" s="92">
        <v>63</v>
      </c>
      <c r="I99" s="95" t="s">
        <v>1269</v>
      </c>
      <c r="J99" s="95" t="s">
        <v>1000</v>
      </c>
      <c r="K99" s="92">
        <v>149</v>
      </c>
      <c r="L99" t="str">
        <f t="shared" si="3"/>
        <v>63-J326-J349</v>
      </c>
    </row>
    <row r="100" spans="2:12" ht="15.75">
      <c r="B100" s="5">
        <v>63</v>
      </c>
      <c r="C100" s="5" t="s">
        <v>281</v>
      </c>
      <c r="D100" s="5" t="s">
        <v>416</v>
      </c>
      <c r="E100" s="18">
        <v>21</v>
      </c>
      <c r="F100" t="str">
        <f t="shared" si="2"/>
        <v>63-J23-J37</v>
      </c>
      <c r="H100" s="92">
        <v>63</v>
      </c>
      <c r="I100" s="95" t="s">
        <v>1000</v>
      </c>
      <c r="J100" s="95" t="s">
        <v>1271</v>
      </c>
      <c r="K100" s="92">
        <v>38.5</v>
      </c>
      <c r="L100" t="str">
        <f t="shared" si="3"/>
        <v>63-J349-J366</v>
      </c>
    </row>
    <row r="101" spans="2:12" ht="15.75">
      <c r="B101" s="5">
        <v>63</v>
      </c>
      <c r="C101" s="5" t="s">
        <v>506</v>
      </c>
      <c r="D101" s="5" t="s">
        <v>375</v>
      </c>
      <c r="E101" s="18">
        <v>37</v>
      </c>
      <c r="F101" t="str">
        <f t="shared" si="2"/>
        <v>63-J29-J7</v>
      </c>
      <c r="H101" s="92">
        <v>75</v>
      </c>
      <c r="I101" s="94" t="s">
        <v>1266</v>
      </c>
      <c r="J101" s="94" t="s">
        <v>1018</v>
      </c>
      <c r="K101" s="92">
        <v>91</v>
      </c>
      <c r="L101" t="str">
        <f t="shared" si="3"/>
        <v>75-J319-J339</v>
      </c>
    </row>
    <row r="102" spans="2:12" ht="15.75">
      <c r="B102" s="5">
        <v>63</v>
      </c>
      <c r="C102" s="5" t="s">
        <v>375</v>
      </c>
      <c r="D102" s="5" t="s">
        <v>350</v>
      </c>
      <c r="E102" s="18">
        <v>59.8</v>
      </c>
      <c r="F102" t="str">
        <f t="shared" si="2"/>
        <v>63-J7-J24</v>
      </c>
      <c r="H102" s="92">
        <v>75</v>
      </c>
      <c r="I102" s="94" t="s">
        <v>1018</v>
      </c>
      <c r="J102" s="94" t="s">
        <v>1322</v>
      </c>
      <c r="K102" s="92">
        <v>18</v>
      </c>
      <c r="L102" t="str">
        <f t="shared" si="3"/>
        <v>75-J339-J343</v>
      </c>
    </row>
    <row r="103" spans="2:12" ht="15.75">
      <c r="B103" s="5">
        <v>63</v>
      </c>
      <c r="C103" s="5" t="s">
        <v>350</v>
      </c>
      <c r="D103" s="5" t="s">
        <v>398</v>
      </c>
      <c r="E103" s="18">
        <v>105</v>
      </c>
      <c r="F103" t="str">
        <f t="shared" si="2"/>
        <v>63-J24-J68</v>
      </c>
      <c r="H103" s="92">
        <v>75</v>
      </c>
      <c r="I103" s="94" t="s">
        <v>1322</v>
      </c>
      <c r="J103" s="94" t="s">
        <v>1268</v>
      </c>
      <c r="K103" s="92">
        <v>31</v>
      </c>
      <c r="L103" t="str">
        <f t="shared" si="3"/>
        <v>75-J343-J333</v>
      </c>
    </row>
    <row r="104" spans="2:12" ht="15.75">
      <c r="B104" s="5">
        <v>63</v>
      </c>
      <c r="C104" s="5" t="s">
        <v>391</v>
      </c>
      <c r="D104" s="5" t="s">
        <v>282</v>
      </c>
      <c r="E104" s="18">
        <v>32</v>
      </c>
      <c r="F104" t="str">
        <f t="shared" si="2"/>
        <v>63-J25-J21</v>
      </c>
      <c r="H104" s="92">
        <v>75</v>
      </c>
      <c r="I104" s="94" t="s">
        <v>1268</v>
      </c>
      <c r="J104" s="94" t="s">
        <v>1077</v>
      </c>
      <c r="K104" s="92">
        <v>82.4</v>
      </c>
      <c r="L104" t="str">
        <f t="shared" si="3"/>
        <v>75-J333-J358</v>
      </c>
    </row>
    <row r="105" spans="2:12" ht="15.75">
      <c r="B105" s="5">
        <v>63</v>
      </c>
      <c r="C105" s="5" t="s">
        <v>391</v>
      </c>
      <c r="D105" s="5" t="s">
        <v>317</v>
      </c>
      <c r="E105" s="18">
        <v>55</v>
      </c>
      <c r="F105" t="str">
        <f t="shared" si="2"/>
        <v>63-J25-J47</v>
      </c>
      <c r="H105" s="92">
        <v>63</v>
      </c>
      <c r="I105" s="95" t="s">
        <v>1272</v>
      </c>
      <c r="J105" s="95" t="s">
        <v>1017</v>
      </c>
      <c r="K105" s="92">
        <v>91</v>
      </c>
      <c r="L105" t="str">
        <f t="shared" si="3"/>
        <v>63-J360-J328</v>
      </c>
    </row>
    <row r="106" spans="2:12" ht="15.75">
      <c r="B106" s="5">
        <v>63</v>
      </c>
      <c r="C106" s="5" t="s">
        <v>416</v>
      </c>
      <c r="D106" s="5" t="s">
        <v>265</v>
      </c>
      <c r="E106" s="18">
        <v>60.2</v>
      </c>
      <c r="F106" t="str">
        <f t="shared" si="2"/>
        <v>63-J37-J36</v>
      </c>
      <c r="H106" s="92">
        <v>63</v>
      </c>
      <c r="I106" s="95" t="s">
        <v>977</v>
      </c>
      <c r="J106" s="95" t="s">
        <v>1273</v>
      </c>
      <c r="K106" s="92">
        <v>41</v>
      </c>
      <c r="L106" t="str">
        <f t="shared" si="3"/>
        <v>63-J318-J321</v>
      </c>
    </row>
    <row r="107" spans="2:12" ht="15.75">
      <c r="B107" s="5">
        <v>63</v>
      </c>
      <c r="C107" s="5" t="s">
        <v>265</v>
      </c>
      <c r="D107" s="5" t="s">
        <v>247</v>
      </c>
      <c r="E107" s="18">
        <v>31.4</v>
      </c>
      <c r="F107" t="str">
        <f t="shared" si="2"/>
        <v>63-J36-J39</v>
      </c>
      <c r="H107" s="92">
        <v>63</v>
      </c>
      <c r="I107" s="95" t="s">
        <v>1273</v>
      </c>
      <c r="J107" s="95" t="s">
        <v>1137</v>
      </c>
      <c r="K107" s="92">
        <v>87.3</v>
      </c>
      <c r="L107" t="str">
        <f t="shared" si="3"/>
        <v>63-J321-J341</v>
      </c>
    </row>
    <row r="108" spans="2:12" ht="15.75">
      <c r="B108" s="5">
        <v>63</v>
      </c>
      <c r="C108" s="5" t="s">
        <v>247</v>
      </c>
      <c r="D108" s="5" t="s">
        <v>412</v>
      </c>
      <c r="E108" s="18">
        <v>25</v>
      </c>
      <c r="F108" t="str">
        <f t="shared" si="2"/>
        <v>63-J39-J43</v>
      </c>
      <c r="H108" s="92">
        <v>63</v>
      </c>
      <c r="I108" s="95" t="s">
        <v>977</v>
      </c>
      <c r="J108" s="95" t="s">
        <v>1017</v>
      </c>
      <c r="K108" s="92">
        <v>86.3</v>
      </c>
      <c r="L108" t="str">
        <f t="shared" si="3"/>
        <v>63-J318-J328</v>
      </c>
    </row>
    <row r="109" spans="2:12" ht="15.75">
      <c r="B109" s="5">
        <v>63</v>
      </c>
      <c r="C109" s="5" t="s">
        <v>317</v>
      </c>
      <c r="D109" s="5" t="s">
        <v>264</v>
      </c>
      <c r="E109" s="18">
        <v>67</v>
      </c>
      <c r="F109" t="str">
        <f t="shared" si="2"/>
        <v>63-J47-J55</v>
      </c>
      <c r="H109" s="92">
        <v>63</v>
      </c>
      <c r="I109" s="95" t="s">
        <v>1017</v>
      </c>
      <c r="J109" s="95" t="s">
        <v>1077</v>
      </c>
      <c r="K109" s="92">
        <v>87</v>
      </c>
      <c r="L109" t="str">
        <f t="shared" si="3"/>
        <v>63-J328-J358</v>
      </c>
    </row>
    <row r="110" spans="2:12" ht="15.75">
      <c r="B110" s="5">
        <v>63</v>
      </c>
      <c r="C110" s="5" t="s">
        <v>264</v>
      </c>
      <c r="D110" s="5" t="s">
        <v>628</v>
      </c>
      <c r="E110" s="18">
        <v>17</v>
      </c>
      <c r="F110" t="str">
        <f t="shared" si="2"/>
        <v>63-J55-J16</v>
      </c>
      <c r="H110" s="92">
        <v>75</v>
      </c>
      <c r="I110" s="94" t="s">
        <v>1271</v>
      </c>
      <c r="J110" s="94" t="s">
        <v>1274</v>
      </c>
      <c r="K110" s="92">
        <v>105.8</v>
      </c>
      <c r="L110" t="str">
        <f t="shared" si="3"/>
        <v>75-J366-J348</v>
      </c>
    </row>
    <row r="111" spans="2:12" ht="15.75">
      <c r="B111" s="5">
        <v>63</v>
      </c>
      <c r="C111" s="5" t="s">
        <v>264</v>
      </c>
      <c r="D111" s="5" t="s">
        <v>261</v>
      </c>
      <c r="E111" s="18">
        <v>45</v>
      </c>
      <c r="F111" t="str">
        <f t="shared" si="2"/>
        <v>63-J55-J57</v>
      </c>
      <c r="H111" s="92">
        <v>63</v>
      </c>
      <c r="I111" s="95" t="s">
        <v>1274</v>
      </c>
      <c r="J111" s="95" t="s">
        <v>1275</v>
      </c>
      <c r="K111" s="92">
        <v>105</v>
      </c>
      <c r="L111" t="str">
        <f t="shared" si="3"/>
        <v>63-J348-J345</v>
      </c>
    </row>
    <row r="112" spans="2:12" ht="15.75">
      <c r="B112" s="5">
        <v>63</v>
      </c>
      <c r="C112" s="5" t="s">
        <v>261</v>
      </c>
      <c r="D112" s="5" t="s">
        <v>316</v>
      </c>
      <c r="E112" s="18">
        <v>194.2</v>
      </c>
      <c r="F112" t="str">
        <f t="shared" si="2"/>
        <v>63-J57-J38</v>
      </c>
      <c r="H112" s="92">
        <v>63</v>
      </c>
      <c r="I112" s="95" t="s">
        <v>1275</v>
      </c>
      <c r="J112" s="95" t="s">
        <v>1276</v>
      </c>
      <c r="K112" s="92">
        <v>22</v>
      </c>
      <c r="L112" t="str">
        <f t="shared" si="3"/>
        <v>63-J345-J327</v>
      </c>
    </row>
    <row r="113" spans="2:12" ht="15.75">
      <c r="B113" s="5">
        <v>63</v>
      </c>
      <c r="C113" s="5" t="s">
        <v>247</v>
      </c>
      <c r="D113" s="5" t="s">
        <v>317</v>
      </c>
      <c r="E113" s="18">
        <v>9.6</v>
      </c>
      <c r="F113" t="str">
        <f t="shared" si="2"/>
        <v>63-J39-J47</v>
      </c>
      <c r="H113" s="92">
        <v>63</v>
      </c>
      <c r="I113" s="95" t="s">
        <v>1275</v>
      </c>
      <c r="J113" s="95" t="s">
        <v>1277</v>
      </c>
      <c r="K113" s="92">
        <v>41.5</v>
      </c>
      <c r="L113" t="str">
        <f t="shared" si="3"/>
        <v>63-J345-J342</v>
      </c>
    </row>
    <row r="114" spans="2:12" ht="15.75">
      <c r="B114" s="5">
        <v>63</v>
      </c>
      <c r="C114" s="5" t="s">
        <v>316</v>
      </c>
      <c r="D114" s="5" t="s">
        <v>382</v>
      </c>
      <c r="E114" s="5">
        <v>62.4</v>
      </c>
      <c r="F114" t="str">
        <f t="shared" si="2"/>
        <v>63-J38-J8</v>
      </c>
      <c r="H114" s="95">
        <v>63</v>
      </c>
      <c r="I114" s="95" t="s">
        <v>1274</v>
      </c>
      <c r="J114" s="95" t="s">
        <v>1278</v>
      </c>
      <c r="K114" s="92">
        <v>34.799999999999997</v>
      </c>
      <c r="L114" t="str">
        <f t="shared" si="3"/>
        <v>63-J348-J353</v>
      </c>
    </row>
    <row r="115" spans="2:12" ht="15.75">
      <c r="B115" s="5">
        <v>63</v>
      </c>
      <c r="C115" s="5" t="s">
        <v>550</v>
      </c>
      <c r="D115" s="5" t="s">
        <v>615</v>
      </c>
      <c r="E115" s="5">
        <v>37.5</v>
      </c>
      <c r="F115" t="str">
        <f t="shared" si="2"/>
        <v>63-J289-J239</v>
      </c>
      <c r="H115" s="92">
        <v>63</v>
      </c>
      <c r="I115" s="95" t="s">
        <v>1274</v>
      </c>
      <c r="J115" s="95" t="s">
        <v>1279</v>
      </c>
      <c r="K115" s="92">
        <v>212.3</v>
      </c>
      <c r="L115" t="str">
        <f t="shared" si="3"/>
        <v>63-J348-J359</v>
      </c>
    </row>
    <row r="116" spans="2:12" ht="15.75">
      <c r="B116" s="5">
        <v>63</v>
      </c>
      <c r="C116" s="5" t="s">
        <v>615</v>
      </c>
      <c r="D116" s="5" t="s">
        <v>561</v>
      </c>
      <c r="E116" s="5">
        <v>11.3</v>
      </c>
      <c r="F116" t="str">
        <f t="shared" si="2"/>
        <v>63-J239-J294</v>
      </c>
      <c r="H116" s="92">
        <v>63</v>
      </c>
      <c r="I116" s="95" t="s">
        <v>1279</v>
      </c>
      <c r="J116" s="95" t="s">
        <v>1280</v>
      </c>
      <c r="K116" s="92">
        <v>20.8</v>
      </c>
      <c r="L116" t="str">
        <f t="shared" si="3"/>
        <v>63-J359-J367</v>
      </c>
    </row>
    <row r="117" spans="2:12" ht="15.75">
      <c r="B117" s="5">
        <v>63</v>
      </c>
      <c r="C117" s="5" t="s">
        <v>615</v>
      </c>
      <c r="D117" s="5" t="s">
        <v>1289</v>
      </c>
      <c r="E117" s="5">
        <v>27.8</v>
      </c>
      <c r="F117" t="str">
        <f t="shared" si="2"/>
        <v>63-J239-J301</v>
      </c>
      <c r="H117" s="92">
        <v>63</v>
      </c>
      <c r="I117" s="95" t="s">
        <v>1280</v>
      </c>
      <c r="J117" s="95" t="s">
        <v>1281</v>
      </c>
      <c r="K117" s="92">
        <v>119.9</v>
      </c>
      <c r="L117" t="str">
        <f t="shared" si="3"/>
        <v>63-J367-J354</v>
      </c>
    </row>
    <row r="118" spans="2:12" ht="15.75">
      <c r="B118" s="5">
        <v>63</v>
      </c>
      <c r="C118" s="5" t="s">
        <v>554</v>
      </c>
      <c r="D118" s="5" t="s">
        <v>571</v>
      </c>
      <c r="E118" s="5">
        <v>64.7</v>
      </c>
      <c r="F118" t="str">
        <f t="shared" si="2"/>
        <v>63-J264-J273</v>
      </c>
      <c r="H118" s="92">
        <v>63</v>
      </c>
      <c r="I118" s="95" t="s">
        <v>1281</v>
      </c>
      <c r="J118" s="95" t="s">
        <v>1282</v>
      </c>
      <c r="K118" s="92">
        <v>96.3</v>
      </c>
      <c r="L118" t="str">
        <f t="shared" si="3"/>
        <v>63-J354-J334</v>
      </c>
    </row>
    <row r="119" spans="2:12" ht="15.75">
      <c r="B119" s="5">
        <v>63</v>
      </c>
      <c r="C119" s="5" t="s">
        <v>571</v>
      </c>
      <c r="D119" s="5" t="s">
        <v>1257</v>
      </c>
      <c r="E119" s="5">
        <v>66</v>
      </c>
      <c r="F119" t="str">
        <f t="shared" si="2"/>
        <v>63-J273-J308</v>
      </c>
      <c r="H119" s="92">
        <v>63</v>
      </c>
      <c r="I119" s="95" t="s">
        <v>1283</v>
      </c>
      <c r="J119" s="95" t="s">
        <v>1284</v>
      </c>
      <c r="K119" s="92">
        <v>224.8</v>
      </c>
      <c r="L119" t="str">
        <f t="shared" si="3"/>
        <v>63-J344-J371</v>
      </c>
    </row>
    <row r="120" spans="2:12" ht="15.75">
      <c r="B120" s="5">
        <v>63</v>
      </c>
      <c r="C120" s="5" t="s">
        <v>1240</v>
      </c>
      <c r="D120" s="5" t="s">
        <v>1108</v>
      </c>
      <c r="E120" s="5">
        <v>36</v>
      </c>
      <c r="F120" t="str">
        <f t="shared" si="2"/>
        <v>63-J280-J286</v>
      </c>
      <c r="H120" s="92">
        <v>63</v>
      </c>
      <c r="I120" s="95" t="s">
        <v>1281</v>
      </c>
      <c r="J120" s="95" t="s">
        <v>1286</v>
      </c>
      <c r="K120" s="92">
        <v>29.8</v>
      </c>
      <c r="L120" t="str">
        <f t="shared" si="3"/>
        <v>63-J354-J347</v>
      </c>
    </row>
    <row r="121" spans="2:12" ht="15.75">
      <c r="B121" s="5">
        <v>63</v>
      </c>
      <c r="C121" s="5" t="s">
        <v>1108</v>
      </c>
      <c r="D121" s="5" t="s">
        <v>1124</v>
      </c>
      <c r="E121" s="5">
        <v>27</v>
      </c>
      <c r="F121" t="str">
        <f t="shared" si="2"/>
        <v>63-J286-J277</v>
      </c>
      <c r="H121" s="92">
        <v>63</v>
      </c>
      <c r="I121" s="95" t="s">
        <v>1286</v>
      </c>
      <c r="J121" s="95" t="s">
        <v>1287</v>
      </c>
      <c r="K121" s="92">
        <v>29.9</v>
      </c>
      <c r="L121" t="str">
        <f t="shared" si="3"/>
        <v>63-J347-J370</v>
      </c>
    </row>
    <row r="122" spans="2:12" ht="15.75">
      <c r="B122" s="5">
        <v>63</v>
      </c>
      <c r="C122" s="5" t="s">
        <v>1124</v>
      </c>
      <c r="D122" s="5" t="s">
        <v>571</v>
      </c>
      <c r="E122" s="5">
        <v>77.099999999999994</v>
      </c>
      <c r="F122" t="str">
        <f t="shared" si="2"/>
        <v>63-J277-J273</v>
      </c>
      <c r="H122" s="92">
        <v>63</v>
      </c>
      <c r="I122" s="95" t="s">
        <v>1287</v>
      </c>
      <c r="J122" s="95" t="s">
        <v>1288</v>
      </c>
      <c r="K122" s="92">
        <v>100.3</v>
      </c>
      <c r="L122" t="str">
        <f t="shared" si="3"/>
        <v>63-J370-J365</v>
      </c>
    </row>
    <row r="123" spans="2:12" ht="15.75">
      <c r="B123" s="5">
        <v>63</v>
      </c>
      <c r="C123" s="5" t="s">
        <v>530</v>
      </c>
      <c r="D123" s="5" t="s">
        <v>1124</v>
      </c>
      <c r="E123" s="5">
        <v>82</v>
      </c>
      <c r="F123" t="str">
        <f t="shared" si="2"/>
        <v>63-J293-J277</v>
      </c>
      <c r="H123" s="92">
        <v>75</v>
      </c>
      <c r="I123" s="94" t="s">
        <v>1266</v>
      </c>
      <c r="J123" s="94" t="s">
        <v>978</v>
      </c>
      <c r="K123" s="92">
        <v>28.6</v>
      </c>
      <c r="L123" t="str">
        <f t="shared" si="3"/>
        <v>75-J319-J323</v>
      </c>
    </row>
    <row r="124" spans="2:12" ht="15.75">
      <c r="B124" s="5">
        <v>63</v>
      </c>
      <c r="C124" s="6" t="s">
        <v>210</v>
      </c>
      <c r="D124" s="6" t="s">
        <v>1291</v>
      </c>
      <c r="E124" s="5">
        <v>120.4</v>
      </c>
      <c r="F124" t="str">
        <f t="shared" si="2"/>
        <v>63-J196-J303</v>
      </c>
      <c r="H124" s="92">
        <v>63</v>
      </c>
      <c r="I124" s="95" t="s">
        <v>978</v>
      </c>
      <c r="J124" s="95" t="s">
        <v>1250</v>
      </c>
      <c r="K124" s="92">
        <v>41.9</v>
      </c>
      <c r="L124" t="str">
        <f t="shared" si="3"/>
        <v>63-J323-J331</v>
      </c>
    </row>
    <row r="125" spans="2:12" ht="15.75">
      <c r="B125" s="5">
        <v>63</v>
      </c>
      <c r="C125" s="6" t="s">
        <v>1291</v>
      </c>
      <c r="D125" s="6" t="s">
        <v>1292</v>
      </c>
      <c r="E125" s="5">
        <v>114.1</v>
      </c>
      <c r="F125" t="str">
        <f t="shared" si="2"/>
        <v>63-J303-J320</v>
      </c>
      <c r="H125" s="92">
        <v>75</v>
      </c>
      <c r="I125" s="94" t="s">
        <v>978</v>
      </c>
      <c r="J125" s="94" t="s">
        <v>551</v>
      </c>
      <c r="K125" s="92">
        <v>135.9</v>
      </c>
      <c r="L125" t="str">
        <f t="shared" si="3"/>
        <v>75-J323-J295</v>
      </c>
    </row>
    <row r="126" spans="2:12" ht="15.75">
      <c r="B126" s="5">
        <v>63</v>
      </c>
      <c r="C126" s="6" t="s">
        <v>1291</v>
      </c>
      <c r="D126" s="6" t="s">
        <v>1290</v>
      </c>
      <c r="E126" s="5">
        <v>117.1</v>
      </c>
      <c r="F126" t="str">
        <f t="shared" si="2"/>
        <v>63-J303-J285</v>
      </c>
      <c r="H126" s="92">
        <v>63</v>
      </c>
      <c r="I126" s="95" t="s">
        <v>551</v>
      </c>
      <c r="J126" s="95" t="s">
        <v>701</v>
      </c>
      <c r="K126" s="92">
        <v>44.1</v>
      </c>
      <c r="L126" t="str">
        <f t="shared" si="3"/>
        <v>63-J295-J259</v>
      </c>
    </row>
    <row r="127" spans="2:12" ht="15.75">
      <c r="B127" s="5">
        <v>63</v>
      </c>
      <c r="C127" s="6" t="s">
        <v>1024</v>
      </c>
      <c r="D127" s="6" t="s">
        <v>530</v>
      </c>
      <c r="E127" s="5">
        <v>17.399999999999999</v>
      </c>
      <c r="F127" t="str">
        <f t="shared" ref="F127:F187" si="4">+B127&amp;"-"&amp;C127&amp;"-"&amp;D127</f>
        <v>63-J299-J293</v>
      </c>
      <c r="H127" s="92">
        <v>63</v>
      </c>
      <c r="I127" s="95" t="s">
        <v>701</v>
      </c>
      <c r="J127" s="95" t="s">
        <v>1251</v>
      </c>
      <c r="K127" s="92">
        <v>33.4</v>
      </c>
      <c r="L127" t="str">
        <f t="shared" si="3"/>
        <v>63-J259-J291</v>
      </c>
    </row>
    <row r="128" spans="2:12" ht="15.75">
      <c r="B128" s="5">
        <v>63</v>
      </c>
      <c r="C128" s="6" t="s">
        <v>1024</v>
      </c>
      <c r="D128" s="6" t="s">
        <v>1293</v>
      </c>
      <c r="E128" s="5">
        <v>84.4</v>
      </c>
      <c r="F128" t="str">
        <f t="shared" si="4"/>
        <v>63-J299-J298</v>
      </c>
      <c r="H128" s="92">
        <v>63</v>
      </c>
      <c r="I128" s="95" t="s">
        <v>551</v>
      </c>
      <c r="J128" s="95" t="s">
        <v>1086</v>
      </c>
      <c r="K128" s="92">
        <v>52.2</v>
      </c>
      <c r="L128" t="str">
        <f t="shared" ref="L128:L188" si="5">+H128&amp;"-"&amp;I128&amp;"-"&amp;J128</f>
        <v>63-J295-J266</v>
      </c>
    </row>
    <row r="129" spans="2:12" ht="15.75">
      <c r="B129" s="5">
        <v>63</v>
      </c>
      <c r="C129" s="6" t="s">
        <v>530</v>
      </c>
      <c r="D129" s="6" t="s">
        <v>1256</v>
      </c>
      <c r="E129" s="5">
        <v>44.9</v>
      </c>
      <c r="F129" t="str">
        <f t="shared" si="4"/>
        <v>63-J293-J332</v>
      </c>
      <c r="H129" s="92">
        <v>63</v>
      </c>
      <c r="I129" s="95" t="s">
        <v>1086</v>
      </c>
      <c r="J129" s="95" t="s">
        <v>701</v>
      </c>
      <c r="K129" s="92">
        <v>63.1</v>
      </c>
      <c r="L129" t="str">
        <f t="shared" si="5"/>
        <v>63-J266-J259</v>
      </c>
    </row>
    <row r="130" spans="2:12" ht="15.75">
      <c r="B130" s="5">
        <v>63</v>
      </c>
      <c r="C130" s="5" t="s">
        <v>1293</v>
      </c>
      <c r="D130" s="5" t="s">
        <v>1294</v>
      </c>
      <c r="E130" s="5">
        <v>43.2</v>
      </c>
      <c r="F130" t="str">
        <f t="shared" si="4"/>
        <v>63-J298-J302</v>
      </c>
      <c r="H130" s="92">
        <v>90</v>
      </c>
      <c r="I130" s="100" t="s">
        <v>1003</v>
      </c>
      <c r="J130" s="100" t="s">
        <v>1086</v>
      </c>
      <c r="K130" s="92">
        <f>7+188</f>
        <v>195</v>
      </c>
      <c r="L130" t="str">
        <f t="shared" si="5"/>
        <v>90-J368-J266</v>
      </c>
    </row>
    <row r="131" spans="2:12" ht="15.75">
      <c r="B131" s="5">
        <v>63</v>
      </c>
      <c r="C131" s="5" t="s">
        <v>1294</v>
      </c>
      <c r="D131" s="5" t="s">
        <v>562</v>
      </c>
      <c r="E131" s="5">
        <v>62.9</v>
      </c>
      <c r="F131" t="str">
        <f t="shared" si="4"/>
        <v>63-J302-J288</v>
      </c>
      <c r="H131" s="92">
        <v>90</v>
      </c>
      <c r="I131" s="100" t="s">
        <v>1003</v>
      </c>
      <c r="J131" s="100" t="s">
        <v>1051</v>
      </c>
      <c r="K131" s="92">
        <v>28.7</v>
      </c>
      <c r="L131" t="str">
        <f t="shared" si="5"/>
        <v>90-J368-J310</v>
      </c>
    </row>
    <row r="132" spans="2:12" ht="15.75">
      <c r="B132" s="5">
        <v>63</v>
      </c>
      <c r="C132" s="5" t="s">
        <v>562</v>
      </c>
      <c r="D132" s="5" t="s">
        <v>555</v>
      </c>
      <c r="E132" s="5">
        <v>23</v>
      </c>
      <c r="F132" t="str">
        <f t="shared" si="4"/>
        <v>63-J288-J256</v>
      </c>
      <c r="H132" s="92">
        <v>63</v>
      </c>
      <c r="I132" s="95" t="s">
        <v>1051</v>
      </c>
      <c r="J132" s="95" t="s">
        <v>1110</v>
      </c>
      <c r="K132" s="92">
        <v>69.400000000000006</v>
      </c>
      <c r="L132" t="str">
        <f t="shared" si="5"/>
        <v>63-J310-J300</v>
      </c>
    </row>
    <row r="133" spans="2:12" ht="15.75">
      <c r="B133" s="5">
        <v>63</v>
      </c>
      <c r="C133" s="5" t="s">
        <v>562</v>
      </c>
      <c r="D133" s="5" t="s">
        <v>1258</v>
      </c>
      <c r="E133" s="5">
        <v>167.6</v>
      </c>
      <c r="F133" t="str">
        <f t="shared" si="4"/>
        <v>63-J288-J314</v>
      </c>
      <c r="H133" s="92">
        <v>90</v>
      </c>
      <c r="I133" s="100" t="s">
        <v>1051</v>
      </c>
      <c r="J133" s="100" t="s">
        <v>680</v>
      </c>
      <c r="K133" s="92">
        <v>154.6</v>
      </c>
      <c r="L133" t="str">
        <f t="shared" si="5"/>
        <v>90-J310-J223</v>
      </c>
    </row>
    <row r="134" spans="2:12" ht="15.75">
      <c r="B134" s="5">
        <v>63</v>
      </c>
      <c r="C134" s="5" t="s">
        <v>562</v>
      </c>
      <c r="D134" s="5" t="s">
        <v>1022</v>
      </c>
      <c r="E134" s="5">
        <v>135.69999999999999</v>
      </c>
      <c r="F134" t="str">
        <f t="shared" si="4"/>
        <v>63-J288-J269</v>
      </c>
      <c r="H134" s="92">
        <v>90</v>
      </c>
      <c r="I134" s="100" t="s">
        <v>680</v>
      </c>
      <c r="J134" s="100" t="s">
        <v>847</v>
      </c>
      <c r="K134" s="92">
        <v>95.6</v>
      </c>
      <c r="L134" t="str">
        <f t="shared" si="5"/>
        <v>90-J223-J145</v>
      </c>
    </row>
    <row r="135" spans="2:12" ht="15.75">
      <c r="B135" s="5">
        <v>63</v>
      </c>
      <c r="C135" s="5" t="s">
        <v>1254</v>
      </c>
      <c r="D135" s="5" t="s">
        <v>558</v>
      </c>
      <c r="E135" s="5">
        <v>158.9</v>
      </c>
      <c r="F135" t="str">
        <f t="shared" si="4"/>
        <v>63-J356-J271</v>
      </c>
      <c r="H135" s="92">
        <v>63</v>
      </c>
      <c r="I135" s="95" t="s">
        <v>680</v>
      </c>
      <c r="J135" s="95" t="s">
        <v>550</v>
      </c>
      <c r="K135" s="92">
        <v>122.3</v>
      </c>
      <c r="L135" t="str">
        <f t="shared" si="5"/>
        <v>63-J223-J289</v>
      </c>
    </row>
    <row r="136" spans="2:12" ht="15.75">
      <c r="B136" s="5">
        <v>63</v>
      </c>
      <c r="C136" s="5" t="s">
        <v>558</v>
      </c>
      <c r="D136" s="5" t="s">
        <v>1255</v>
      </c>
      <c r="E136" s="5">
        <v>115.4</v>
      </c>
      <c r="F136" t="str">
        <f t="shared" si="4"/>
        <v>63-J271-J292</v>
      </c>
      <c r="H136" s="92">
        <v>63</v>
      </c>
      <c r="I136" s="95" t="s">
        <v>550</v>
      </c>
      <c r="J136" s="95" t="s">
        <v>559</v>
      </c>
      <c r="K136" s="92">
        <v>107.1</v>
      </c>
      <c r="L136" t="str">
        <f t="shared" si="5"/>
        <v>63-J289-J242</v>
      </c>
    </row>
    <row r="137" spans="2:12" ht="15.75">
      <c r="B137" s="5">
        <v>63</v>
      </c>
      <c r="C137" s="5" t="s">
        <v>558</v>
      </c>
      <c r="D137" s="5" t="s">
        <v>547</v>
      </c>
      <c r="E137" s="5">
        <v>100.5</v>
      </c>
      <c r="F137" t="str">
        <f t="shared" si="4"/>
        <v>63-J271-J265</v>
      </c>
      <c r="H137" s="92">
        <v>63</v>
      </c>
      <c r="I137" s="95" t="s">
        <v>559</v>
      </c>
      <c r="J137" s="95" t="s">
        <v>289</v>
      </c>
      <c r="K137" s="92">
        <v>53.4</v>
      </c>
      <c r="L137" t="str">
        <f t="shared" si="5"/>
        <v>63-J242-J180</v>
      </c>
    </row>
    <row r="138" spans="2:12" ht="15.75">
      <c r="B138" s="5">
        <v>63</v>
      </c>
      <c r="C138" s="5" t="s">
        <v>995</v>
      </c>
      <c r="D138" s="5" t="s">
        <v>1286</v>
      </c>
      <c r="E138" s="5">
        <v>29.8</v>
      </c>
      <c r="F138" t="str">
        <f t="shared" si="4"/>
        <v>63-J357-J347</v>
      </c>
      <c r="H138" s="92">
        <v>63</v>
      </c>
      <c r="I138" s="95" t="s">
        <v>289</v>
      </c>
      <c r="J138" s="95" t="s">
        <v>662</v>
      </c>
      <c r="K138" s="92">
        <v>63.4</v>
      </c>
      <c r="L138" t="str">
        <f t="shared" si="5"/>
        <v>63-J180-J148</v>
      </c>
    </row>
    <row r="139" spans="2:12" ht="15.75">
      <c r="B139" s="5">
        <v>63</v>
      </c>
      <c r="C139" s="5" t="s">
        <v>1256</v>
      </c>
      <c r="D139" s="5" t="s">
        <v>1257</v>
      </c>
      <c r="E139" s="5">
        <v>156.9</v>
      </c>
      <c r="F139" t="str">
        <f t="shared" si="4"/>
        <v>63-J332-J308</v>
      </c>
      <c r="H139" s="92">
        <v>63</v>
      </c>
      <c r="I139" s="95" t="s">
        <v>559</v>
      </c>
      <c r="J139" s="95" t="s">
        <v>298</v>
      </c>
      <c r="K139" s="92">
        <v>64.8</v>
      </c>
      <c r="L139" t="str">
        <f t="shared" si="5"/>
        <v>63-J242-J167</v>
      </c>
    </row>
    <row r="140" spans="2:12" ht="15.75">
      <c r="B140" s="5">
        <v>63</v>
      </c>
      <c r="C140" s="5" t="s">
        <v>1254</v>
      </c>
      <c r="D140" s="5" t="s">
        <v>995</v>
      </c>
      <c r="E140" s="5">
        <v>55</v>
      </c>
      <c r="F140" t="str">
        <f t="shared" si="4"/>
        <v>63-J356-J357</v>
      </c>
      <c r="H140" s="92">
        <v>63</v>
      </c>
      <c r="I140" s="95" t="s">
        <v>298</v>
      </c>
      <c r="J140" s="95" t="s">
        <v>612</v>
      </c>
      <c r="K140" s="92">
        <v>21</v>
      </c>
      <c r="L140" t="str">
        <f t="shared" si="5"/>
        <v>63-J167-J212</v>
      </c>
    </row>
    <row r="141" spans="2:12" ht="15.75">
      <c r="B141" s="5">
        <v>63</v>
      </c>
      <c r="C141" s="5" t="s">
        <v>1258</v>
      </c>
      <c r="D141" s="5" t="s">
        <v>1259</v>
      </c>
      <c r="E141" s="5">
        <v>41</v>
      </c>
      <c r="F141" t="str">
        <f t="shared" si="4"/>
        <v>63-J314-J268</v>
      </c>
      <c r="H141" s="92">
        <v>63</v>
      </c>
      <c r="I141" s="95" t="s">
        <v>612</v>
      </c>
      <c r="J141" s="95" t="s">
        <v>553</v>
      </c>
      <c r="K141" s="92">
        <v>15.7</v>
      </c>
      <c r="L141" t="str">
        <f t="shared" si="5"/>
        <v>63-J212-J262</v>
      </c>
    </row>
    <row r="142" spans="2:12" ht="15.75">
      <c r="B142" s="5">
        <v>63</v>
      </c>
      <c r="C142" s="5" t="s">
        <v>1259</v>
      </c>
      <c r="D142" s="5" t="s">
        <v>1260</v>
      </c>
      <c r="E142" s="5">
        <v>7.8</v>
      </c>
      <c r="F142" t="str">
        <f t="shared" si="4"/>
        <v>63-J268-J283</v>
      </c>
      <c r="H142" s="92">
        <v>63</v>
      </c>
      <c r="I142" s="95" t="s">
        <v>612</v>
      </c>
      <c r="J142" s="95" t="s">
        <v>569</v>
      </c>
      <c r="K142" s="92">
        <v>12</v>
      </c>
      <c r="L142" t="str">
        <f t="shared" si="5"/>
        <v>63-J212-J252</v>
      </c>
    </row>
    <row r="143" spans="2:12" ht="15.75">
      <c r="B143" s="5">
        <v>63</v>
      </c>
      <c r="C143" s="5" t="s">
        <v>1260</v>
      </c>
      <c r="D143" s="5" t="s">
        <v>618</v>
      </c>
      <c r="E143" s="5">
        <v>58.5</v>
      </c>
      <c r="F143" t="str">
        <f t="shared" si="4"/>
        <v>63-J283-J233</v>
      </c>
      <c r="H143" s="92">
        <v>63</v>
      </c>
      <c r="I143" s="95" t="s">
        <v>298</v>
      </c>
      <c r="J143" s="95" t="s">
        <v>292</v>
      </c>
      <c r="K143" s="92">
        <v>89.2</v>
      </c>
      <c r="L143" t="str">
        <f t="shared" si="5"/>
        <v>63-J167-J160</v>
      </c>
    </row>
    <row r="144" spans="2:12" ht="15.75">
      <c r="B144" s="5">
        <v>63</v>
      </c>
      <c r="C144" s="5" t="s">
        <v>618</v>
      </c>
      <c r="D144" s="5" t="s">
        <v>233</v>
      </c>
      <c r="E144" s="5">
        <v>28.2</v>
      </c>
      <c r="F144" t="str">
        <f t="shared" si="4"/>
        <v>63-J233-J192</v>
      </c>
      <c r="H144" s="92">
        <v>63</v>
      </c>
      <c r="I144" s="95" t="s">
        <v>292</v>
      </c>
      <c r="J144" s="95" t="s">
        <v>311</v>
      </c>
      <c r="K144" s="92">
        <v>40.4</v>
      </c>
      <c r="L144" t="str">
        <f t="shared" si="5"/>
        <v>63-J160-J141</v>
      </c>
    </row>
    <row r="145" spans="2:14" ht="15.75">
      <c r="B145" s="5">
        <v>63</v>
      </c>
      <c r="C145" s="5" t="s">
        <v>1260</v>
      </c>
      <c r="D145" s="5" t="s">
        <v>204</v>
      </c>
      <c r="E145" s="5">
        <v>149.80000000000001</v>
      </c>
      <c r="F145" t="str">
        <f t="shared" si="4"/>
        <v>63-J283-J198</v>
      </c>
      <c r="H145" s="92">
        <v>63</v>
      </c>
      <c r="I145" s="95" t="s">
        <v>292</v>
      </c>
      <c r="J145" s="95" t="s">
        <v>210</v>
      </c>
      <c r="K145" s="92">
        <v>45.7</v>
      </c>
      <c r="L145" t="str">
        <f t="shared" si="5"/>
        <v>63-J160-J196</v>
      </c>
    </row>
    <row r="146" spans="2:14" ht="15.75">
      <c r="B146" s="5">
        <v>63</v>
      </c>
      <c r="C146" s="5" t="s">
        <v>204</v>
      </c>
      <c r="D146" s="5" t="s">
        <v>570</v>
      </c>
      <c r="E146" s="5">
        <v>69</v>
      </c>
      <c r="F146" t="str">
        <f t="shared" si="4"/>
        <v>63-J198-J215</v>
      </c>
      <c r="H146" s="92">
        <v>90</v>
      </c>
      <c r="I146" s="100" t="s">
        <v>210</v>
      </c>
      <c r="J146" s="100" t="s">
        <v>190</v>
      </c>
      <c r="K146" s="92">
        <v>269.10000000000002</v>
      </c>
      <c r="L146" t="str">
        <f t="shared" si="5"/>
        <v>90-J196-J154</v>
      </c>
    </row>
    <row r="147" spans="2:14" ht="15.75">
      <c r="B147" s="5">
        <v>63</v>
      </c>
      <c r="C147" s="5" t="s">
        <v>570</v>
      </c>
      <c r="D147" s="5" t="s">
        <v>210</v>
      </c>
      <c r="E147" s="5">
        <v>16.3</v>
      </c>
      <c r="F147" t="str">
        <f t="shared" si="4"/>
        <v>63-J215-J196</v>
      </c>
      <c r="H147" s="92">
        <v>63</v>
      </c>
      <c r="I147" s="95" t="s">
        <v>550</v>
      </c>
      <c r="J147" s="95" t="s">
        <v>615</v>
      </c>
      <c r="K147" s="92">
        <v>37.5</v>
      </c>
      <c r="L147" t="str">
        <f t="shared" si="5"/>
        <v>63-J289-J239</v>
      </c>
    </row>
    <row r="148" spans="2:14" ht="15.75">
      <c r="B148" s="5">
        <v>63</v>
      </c>
      <c r="C148" s="5" t="s">
        <v>190</v>
      </c>
      <c r="D148" s="5" t="s">
        <v>352</v>
      </c>
      <c r="E148" s="5">
        <v>65</v>
      </c>
      <c r="F148" t="str">
        <f t="shared" si="4"/>
        <v>63-J154-J103</v>
      </c>
      <c r="H148" s="92">
        <v>63</v>
      </c>
      <c r="I148" s="95" t="s">
        <v>615</v>
      </c>
      <c r="J148" s="95" t="s">
        <v>561</v>
      </c>
      <c r="K148" s="92">
        <v>11.3</v>
      </c>
      <c r="L148" t="str">
        <f t="shared" si="5"/>
        <v>63-J239-J294</v>
      </c>
    </row>
    <row r="149" spans="2:14" ht="15.75">
      <c r="B149" s="5">
        <v>63</v>
      </c>
      <c r="C149" s="5" t="s">
        <v>352</v>
      </c>
      <c r="D149" s="5" t="s">
        <v>225</v>
      </c>
      <c r="E149" s="5">
        <v>128.4</v>
      </c>
      <c r="F149" t="str">
        <f t="shared" si="4"/>
        <v>63-J103-J150</v>
      </c>
      <c r="H149" s="92">
        <v>63</v>
      </c>
      <c r="I149" s="95" t="s">
        <v>615</v>
      </c>
      <c r="J149" s="95" t="s">
        <v>1289</v>
      </c>
      <c r="K149" s="92">
        <v>27.8</v>
      </c>
      <c r="L149" t="str">
        <f t="shared" si="5"/>
        <v>63-J239-J301</v>
      </c>
    </row>
    <row r="150" spans="2:14" ht="15.75">
      <c r="B150" s="5">
        <v>63</v>
      </c>
      <c r="C150" s="5" t="s">
        <v>1295</v>
      </c>
      <c r="D150" s="5" t="s">
        <v>1296</v>
      </c>
      <c r="E150" s="5">
        <v>305.7</v>
      </c>
      <c r="F150" t="str">
        <f t="shared" si="4"/>
        <v>63-J279-J274</v>
      </c>
      <c r="H150" s="92">
        <v>63</v>
      </c>
      <c r="I150" s="95" t="s">
        <v>1289</v>
      </c>
      <c r="J150" s="95" t="s">
        <v>554</v>
      </c>
      <c r="K150" s="92">
        <v>26</v>
      </c>
      <c r="L150" t="str">
        <f t="shared" si="5"/>
        <v>63-J301-J264</v>
      </c>
    </row>
    <row r="151" spans="2:14" ht="15.75">
      <c r="B151" s="5">
        <v>63</v>
      </c>
      <c r="C151" s="5" t="s">
        <v>1296</v>
      </c>
      <c r="D151" s="5" t="s">
        <v>711</v>
      </c>
      <c r="E151" s="5">
        <v>133.4</v>
      </c>
      <c r="F151" t="str">
        <f t="shared" si="4"/>
        <v>63-J274-J211</v>
      </c>
      <c r="H151" s="92">
        <v>63</v>
      </c>
      <c r="I151" s="95" t="s">
        <v>554</v>
      </c>
      <c r="J151" s="95" t="s">
        <v>571</v>
      </c>
      <c r="K151" s="92">
        <v>64.7</v>
      </c>
      <c r="L151" t="str">
        <f t="shared" si="5"/>
        <v>63-J264-J273</v>
      </c>
    </row>
    <row r="152" spans="2:14" ht="15.75">
      <c r="B152" s="5">
        <v>63</v>
      </c>
      <c r="C152" s="5" t="s">
        <v>1296</v>
      </c>
      <c r="D152" s="5" t="s">
        <v>702</v>
      </c>
      <c r="E152" s="5">
        <v>195.1</v>
      </c>
      <c r="F152" t="str">
        <f t="shared" si="4"/>
        <v>63-J274-J263</v>
      </c>
      <c r="H152" s="92">
        <v>63</v>
      </c>
      <c r="I152" s="95" t="s">
        <v>571</v>
      </c>
      <c r="J152" s="95" t="s">
        <v>1257</v>
      </c>
      <c r="K152" s="92">
        <v>66</v>
      </c>
      <c r="L152" t="str">
        <f t="shared" si="5"/>
        <v>63-J273-J308</v>
      </c>
    </row>
    <row r="153" spans="2:14" ht="15.75">
      <c r="B153" s="5">
        <v>63</v>
      </c>
      <c r="C153" s="5" t="s">
        <v>702</v>
      </c>
      <c r="D153" s="5" t="s">
        <v>712</v>
      </c>
      <c r="E153" s="5">
        <v>28.6</v>
      </c>
      <c r="F153" t="str">
        <f t="shared" si="4"/>
        <v>63-J263-J246</v>
      </c>
      <c r="H153" s="92">
        <v>63</v>
      </c>
      <c r="I153" s="95" t="s">
        <v>1290</v>
      </c>
      <c r="J153" s="95" t="s">
        <v>1240</v>
      </c>
      <c r="K153" s="92">
        <v>80.900000000000006</v>
      </c>
      <c r="L153" t="str">
        <f t="shared" si="5"/>
        <v>63-J285-J280</v>
      </c>
    </row>
    <row r="154" spans="2:14" ht="15.75">
      <c r="B154" s="5">
        <v>63</v>
      </c>
      <c r="C154" s="5" t="s">
        <v>712</v>
      </c>
      <c r="D154" s="5" t="s">
        <v>617</v>
      </c>
      <c r="E154" s="5">
        <v>145.1</v>
      </c>
      <c r="F154" t="str">
        <f t="shared" si="4"/>
        <v>63-J246-J227</v>
      </c>
      <c r="H154" s="92">
        <v>63</v>
      </c>
      <c r="I154" s="95" t="s">
        <v>1240</v>
      </c>
      <c r="J154" s="95" t="s">
        <v>1108</v>
      </c>
      <c r="K154" s="92">
        <v>36</v>
      </c>
      <c r="L154" t="str">
        <f t="shared" si="5"/>
        <v>63-J280-J286</v>
      </c>
      <c r="N154" s="101"/>
    </row>
    <row r="155" spans="2:14" ht="15.75">
      <c r="B155" s="5">
        <v>63</v>
      </c>
      <c r="C155" s="5" t="s">
        <v>712</v>
      </c>
      <c r="D155" s="5" t="s">
        <v>617</v>
      </c>
      <c r="E155" s="5">
        <v>4</v>
      </c>
      <c r="F155" t="str">
        <f t="shared" si="4"/>
        <v>63-J246-J227</v>
      </c>
      <c r="H155" s="92">
        <v>63</v>
      </c>
      <c r="I155" s="95" t="s">
        <v>1108</v>
      </c>
      <c r="J155" s="95" t="s">
        <v>1124</v>
      </c>
      <c r="K155" s="92">
        <v>27</v>
      </c>
      <c r="L155" t="str">
        <f t="shared" si="5"/>
        <v>63-J286-J277</v>
      </c>
    </row>
    <row r="156" spans="2:14" ht="15.75">
      <c r="B156" s="5">
        <v>63</v>
      </c>
      <c r="C156" s="5" t="s">
        <v>225</v>
      </c>
      <c r="D156" s="5" t="s">
        <v>639</v>
      </c>
      <c r="E156" s="5">
        <v>251.7</v>
      </c>
      <c r="F156" t="str">
        <f t="shared" si="4"/>
        <v>63-J150-J110</v>
      </c>
      <c r="H156" s="92">
        <v>63</v>
      </c>
      <c r="I156" s="95" t="s">
        <v>1124</v>
      </c>
      <c r="J156" s="95" t="s">
        <v>571</v>
      </c>
      <c r="K156" s="92">
        <v>77.099999999999994</v>
      </c>
      <c r="L156" t="str">
        <f t="shared" si="5"/>
        <v>63-J277-J273</v>
      </c>
    </row>
    <row r="157" spans="2:14" ht="15.75">
      <c r="B157" s="5">
        <v>63</v>
      </c>
      <c r="C157" s="5" t="s">
        <v>639</v>
      </c>
      <c r="D157" s="5" t="s">
        <v>270</v>
      </c>
      <c r="E157" s="5">
        <v>101.6</v>
      </c>
      <c r="F157" t="str">
        <f t="shared" si="4"/>
        <v>63-J110-J82</v>
      </c>
      <c r="H157" s="92">
        <v>63</v>
      </c>
      <c r="I157" s="95" t="s">
        <v>530</v>
      </c>
      <c r="J157" s="95" t="s">
        <v>1124</v>
      </c>
      <c r="K157" s="92">
        <v>82</v>
      </c>
      <c r="L157" t="str">
        <f t="shared" si="5"/>
        <v>63-J293-J277</v>
      </c>
    </row>
    <row r="158" spans="2:14" ht="15.75">
      <c r="B158" s="5">
        <v>63</v>
      </c>
      <c r="C158" s="5" t="s">
        <v>270</v>
      </c>
      <c r="D158" s="5" t="s">
        <v>352</v>
      </c>
      <c r="E158" s="5">
        <v>106.6</v>
      </c>
      <c r="F158" t="str">
        <f t="shared" si="4"/>
        <v>63-J82-J103</v>
      </c>
      <c r="H158" s="92">
        <v>63</v>
      </c>
      <c r="I158" s="95" t="s">
        <v>210</v>
      </c>
      <c r="J158" s="95" t="s">
        <v>1291</v>
      </c>
      <c r="K158" s="92">
        <v>120.4</v>
      </c>
      <c r="L158" t="str">
        <f t="shared" si="5"/>
        <v>63-J196-J303</v>
      </c>
    </row>
    <row r="159" spans="2:14" ht="15.75">
      <c r="B159" s="5">
        <v>63</v>
      </c>
      <c r="C159" s="5" t="s">
        <v>246</v>
      </c>
      <c r="D159" s="5" t="s">
        <v>306</v>
      </c>
      <c r="E159" s="5">
        <v>8.1999999999999993</v>
      </c>
      <c r="F159" t="str">
        <f t="shared" si="4"/>
        <v>63-J95-J93</v>
      </c>
      <c r="H159" s="92">
        <v>63</v>
      </c>
      <c r="I159" s="95" t="s">
        <v>1291</v>
      </c>
      <c r="J159" s="95" t="s">
        <v>1292</v>
      </c>
      <c r="K159" s="92">
        <v>114.1</v>
      </c>
      <c r="L159" t="str">
        <f t="shared" si="5"/>
        <v>63-J303-J320</v>
      </c>
    </row>
    <row r="160" spans="2:14" ht="15.75">
      <c r="B160" s="5">
        <v>63</v>
      </c>
      <c r="C160" s="5" t="s">
        <v>306</v>
      </c>
      <c r="D160" s="5" t="s">
        <v>244</v>
      </c>
      <c r="E160" s="5">
        <v>131</v>
      </c>
      <c r="F160" t="str">
        <f t="shared" si="4"/>
        <v>63-J93-J108</v>
      </c>
      <c r="H160" s="92">
        <v>63</v>
      </c>
      <c r="I160" s="95" t="s">
        <v>1291</v>
      </c>
      <c r="J160" s="95" t="s">
        <v>1290</v>
      </c>
      <c r="K160" s="92">
        <v>117.1</v>
      </c>
      <c r="L160" t="str">
        <f t="shared" si="5"/>
        <v>63-J303-J285</v>
      </c>
    </row>
    <row r="161" spans="2:12" ht="15.75">
      <c r="B161" s="5">
        <v>63</v>
      </c>
      <c r="C161" s="5" t="s">
        <v>359</v>
      </c>
      <c r="D161" s="5" t="s">
        <v>435</v>
      </c>
      <c r="E161" s="5">
        <v>93</v>
      </c>
      <c r="F161" t="str">
        <f t="shared" si="4"/>
        <v>63-J98-J133</v>
      </c>
      <c r="H161" s="92">
        <v>63</v>
      </c>
      <c r="I161" s="95" t="s">
        <v>1024</v>
      </c>
      <c r="J161" s="95" t="s">
        <v>530</v>
      </c>
      <c r="K161" s="92">
        <v>17.399999999999999</v>
      </c>
      <c r="L161" t="str">
        <f t="shared" si="5"/>
        <v>63-J299-J293</v>
      </c>
    </row>
    <row r="162" spans="2:12" ht="15.75">
      <c r="B162" s="5">
        <v>63</v>
      </c>
      <c r="C162" s="5" t="s">
        <v>262</v>
      </c>
      <c r="D162" s="5" t="s">
        <v>516</v>
      </c>
      <c r="E162" s="5">
        <v>452.4</v>
      </c>
      <c r="F162" t="str">
        <f t="shared" si="4"/>
        <v>63-J58-J90</v>
      </c>
      <c r="H162" s="92">
        <v>63</v>
      </c>
      <c r="I162" s="95" t="s">
        <v>1024</v>
      </c>
      <c r="J162" s="95" t="s">
        <v>1293</v>
      </c>
      <c r="K162" s="92">
        <v>84.4</v>
      </c>
      <c r="L162" t="str">
        <f t="shared" si="5"/>
        <v>63-J299-J298</v>
      </c>
    </row>
    <row r="163" spans="2:12" ht="15.75">
      <c r="B163" s="5">
        <v>63</v>
      </c>
      <c r="C163" s="5" t="s">
        <v>516</v>
      </c>
      <c r="D163" s="5" t="s">
        <v>276</v>
      </c>
      <c r="E163" s="5">
        <v>72.3</v>
      </c>
      <c r="F163" t="str">
        <f t="shared" si="4"/>
        <v>63-J90-J79</v>
      </c>
      <c r="H163" s="92">
        <v>63</v>
      </c>
      <c r="I163" s="95" t="s">
        <v>530</v>
      </c>
      <c r="J163" s="95" t="s">
        <v>1256</v>
      </c>
      <c r="K163" s="92">
        <v>44.9</v>
      </c>
      <c r="L163" t="str">
        <f t="shared" si="5"/>
        <v>63-J293-J332</v>
      </c>
    </row>
    <row r="164" spans="2:12" ht="15.75">
      <c r="B164" s="5">
        <v>63</v>
      </c>
      <c r="C164" s="5" t="s">
        <v>516</v>
      </c>
      <c r="D164" s="5" t="s">
        <v>446</v>
      </c>
      <c r="E164" s="5">
        <v>108.5</v>
      </c>
      <c r="F164" t="str">
        <f t="shared" si="4"/>
        <v>63-J90-J102</v>
      </c>
      <c r="H164" s="92">
        <v>63</v>
      </c>
      <c r="I164" s="95" t="s">
        <v>1293</v>
      </c>
      <c r="J164" s="95" t="s">
        <v>1294</v>
      </c>
      <c r="K164" s="92">
        <v>43.2</v>
      </c>
      <c r="L164" t="str">
        <f t="shared" si="5"/>
        <v>63-J298-J302</v>
      </c>
    </row>
    <row r="165" spans="2:12" ht="15.75">
      <c r="B165" s="5">
        <v>63</v>
      </c>
      <c r="C165" s="5" t="s">
        <v>237</v>
      </c>
      <c r="D165" s="5" t="s">
        <v>244</v>
      </c>
      <c r="E165" s="5">
        <v>56</v>
      </c>
      <c r="F165" t="str">
        <f t="shared" si="4"/>
        <v>63-J121-J108</v>
      </c>
      <c r="H165" s="92">
        <v>63</v>
      </c>
      <c r="I165" s="95" t="s">
        <v>1294</v>
      </c>
      <c r="J165" s="95" t="s">
        <v>562</v>
      </c>
      <c r="K165" s="92">
        <v>62.9</v>
      </c>
      <c r="L165" t="str">
        <f t="shared" si="5"/>
        <v>63-J302-J288</v>
      </c>
    </row>
    <row r="166" spans="2:12" ht="15.75">
      <c r="B166" s="5">
        <v>63</v>
      </c>
      <c r="C166" s="5" t="s">
        <v>237</v>
      </c>
      <c r="D166" s="5" t="s">
        <v>198</v>
      </c>
      <c r="E166" s="5">
        <v>119.3</v>
      </c>
      <c r="F166" t="str">
        <f t="shared" si="4"/>
        <v>63-J121-J78</v>
      </c>
      <c r="H166" s="92">
        <v>63</v>
      </c>
      <c r="I166" s="95" t="s">
        <v>562</v>
      </c>
      <c r="J166" s="95" t="s">
        <v>555</v>
      </c>
      <c r="K166" s="92">
        <v>23</v>
      </c>
      <c r="L166" t="str">
        <f t="shared" si="5"/>
        <v>63-J288-J256</v>
      </c>
    </row>
    <row r="167" spans="2:12" ht="15.75">
      <c r="B167" s="5">
        <v>63</v>
      </c>
      <c r="C167" s="5" t="s">
        <v>198</v>
      </c>
      <c r="D167" s="5" t="s">
        <v>396</v>
      </c>
      <c r="E167" s="5">
        <v>64.400000000000006</v>
      </c>
      <c r="F167" t="str">
        <f t="shared" si="4"/>
        <v>63-J78-J77</v>
      </c>
      <c r="H167" s="92">
        <v>63</v>
      </c>
      <c r="I167" s="95" t="s">
        <v>1293</v>
      </c>
      <c r="J167" s="95" t="s">
        <v>1258</v>
      </c>
      <c r="K167" s="92">
        <v>167.6</v>
      </c>
      <c r="L167" t="str">
        <f t="shared" si="5"/>
        <v>63-J298-J314</v>
      </c>
    </row>
    <row r="168" spans="2:12" ht="15.75">
      <c r="B168" s="5">
        <v>63</v>
      </c>
      <c r="C168" s="5" t="s">
        <v>198</v>
      </c>
      <c r="D168" s="5" t="s">
        <v>274</v>
      </c>
      <c r="E168" s="5">
        <v>91.3</v>
      </c>
      <c r="F168" t="str">
        <f t="shared" si="4"/>
        <v>63-J78-J88</v>
      </c>
      <c r="H168" s="92">
        <v>63</v>
      </c>
      <c r="I168" s="95" t="s">
        <v>562</v>
      </c>
      <c r="J168" s="95" t="s">
        <v>1022</v>
      </c>
      <c r="K168" s="92">
        <v>135.69999999999999</v>
      </c>
      <c r="L168" t="str">
        <f t="shared" si="5"/>
        <v>63-J288-J269</v>
      </c>
    </row>
    <row r="169" spans="2:12" ht="15.75">
      <c r="B169" s="5">
        <v>63</v>
      </c>
      <c r="C169" s="5" t="s">
        <v>274</v>
      </c>
      <c r="D169" s="5" t="s">
        <v>386</v>
      </c>
      <c r="E169" s="5">
        <v>53.3</v>
      </c>
      <c r="F169" t="str">
        <f t="shared" si="4"/>
        <v>63-J88-J92</v>
      </c>
      <c r="H169" s="92">
        <v>63</v>
      </c>
      <c r="I169" s="95" t="s">
        <v>1254</v>
      </c>
      <c r="J169" s="95" t="s">
        <v>558</v>
      </c>
      <c r="K169" s="92">
        <v>158.9</v>
      </c>
      <c r="L169" t="str">
        <f t="shared" si="5"/>
        <v>63-J356-J271</v>
      </c>
    </row>
    <row r="170" spans="2:12" ht="15.75">
      <c r="B170" s="5">
        <v>63</v>
      </c>
      <c r="C170" s="5" t="s">
        <v>386</v>
      </c>
      <c r="D170" s="5" t="s">
        <v>308</v>
      </c>
      <c r="E170" s="5">
        <v>60.9</v>
      </c>
      <c r="F170" t="str">
        <f t="shared" si="4"/>
        <v>63-J92-J100</v>
      </c>
      <c r="H170" s="92">
        <v>63</v>
      </c>
      <c r="I170" s="95" t="s">
        <v>558</v>
      </c>
      <c r="J170" s="95" t="s">
        <v>1255</v>
      </c>
      <c r="K170" s="92">
        <v>115.4</v>
      </c>
      <c r="L170" t="str">
        <f t="shared" si="5"/>
        <v>63-J271-J292</v>
      </c>
    </row>
    <row r="171" spans="2:12" ht="15.75">
      <c r="B171" s="5">
        <v>63</v>
      </c>
      <c r="C171" s="5" t="s">
        <v>386</v>
      </c>
      <c r="D171" s="5">
        <v>87</v>
      </c>
      <c r="E171" s="5">
        <v>47</v>
      </c>
      <c r="F171" t="str">
        <f t="shared" si="4"/>
        <v>63-J92-87</v>
      </c>
      <c r="H171" s="92">
        <v>63</v>
      </c>
      <c r="I171" s="95" t="s">
        <v>558</v>
      </c>
      <c r="J171" s="95" t="s">
        <v>547</v>
      </c>
      <c r="K171" s="92">
        <v>100.5</v>
      </c>
      <c r="L171" t="str">
        <f t="shared" si="5"/>
        <v>63-J271-J265</v>
      </c>
    </row>
    <row r="172" spans="2:12" ht="15.75">
      <c r="B172" s="5">
        <v>63</v>
      </c>
      <c r="C172" s="5" t="s">
        <v>509</v>
      </c>
      <c r="D172" s="5" t="s">
        <v>323</v>
      </c>
      <c r="E172" s="5">
        <v>88</v>
      </c>
      <c r="F172" t="str">
        <f t="shared" si="4"/>
        <v>63-J87-J106</v>
      </c>
      <c r="H172" s="92">
        <v>63</v>
      </c>
      <c r="I172" s="95" t="s">
        <v>995</v>
      </c>
      <c r="J172" s="95" t="s">
        <v>1256</v>
      </c>
      <c r="K172" s="92">
        <v>143.4</v>
      </c>
      <c r="L172" t="str">
        <f t="shared" si="5"/>
        <v>63-J357-J332</v>
      </c>
    </row>
    <row r="173" spans="2:12" ht="15.75">
      <c r="B173" s="5">
        <v>63</v>
      </c>
      <c r="C173" s="5" t="s">
        <v>509</v>
      </c>
      <c r="D173" s="5" t="s">
        <v>306</v>
      </c>
      <c r="E173" s="5">
        <v>18</v>
      </c>
      <c r="F173" t="str">
        <f t="shared" si="4"/>
        <v>63-J87-J93</v>
      </c>
      <c r="H173" s="92">
        <v>63</v>
      </c>
      <c r="I173" s="95" t="s">
        <v>1256</v>
      </c>
      <c r="J173" s="95" t="s">
        <v>1257</v>
      </c>
      <c r="K173" s="92">
        <v>156.9</v>
      </c>
      <c r="L173" t="str">
        <f t="shared" si="5"/>
        <v>63-J332-J308</v>
      </c>
    </row>
    <row r="174" spans="2:12" ht="15.75">
      <c r="B174" s="5">
        <v>63</v>
      </c>
      <c r="C174" s="5" t="s">
        <v>274</v>
      </c>
      <c r="D174" s="5" t="s">
        <v>245</v>
      </c>
      <c r="E174" s="5">
        <v>98</v>
      </c>
      <c r="F174" t="str">
        <f t="shared" si="4"/>
        <v>63-J88-J94</v>
      </c>
      <c r="H174" s="92">
        <v>63</v>
      </c>
      <c r="I174" s="95" t="s">
        <v>1254</v>
      </c>
      <c r="J174" s="95" t="s">
        <v>995</v>
      </c>
      <c r="K174" s="92">
        <v>55</v>
      </c>
      <c r="L174" t="str">
        <f t="shared" si="5"/>
        <v>63-J356-J357</v>
      </c>
    </row>
    <row r="175" spans="2:12" ht="15.75">
      <c r="B175" s="5">
        <v>63</v>
      </c>
      <c r="C175" s="5" t="s">
        <v>245</v>
      </c>
      <c r="D175" s="5" t="s">
        <v>846</v>
      </c>
      <c r="E175" s="5">
        <v>64</v>
      </c>
      <c r="F175" t="str">
        <f t="shared" si="4"/>
        <v>63-J94-J144</v>
      </c>
      <c r="H175" s="92">
        <v>63</v>
      </c>
      <c r="I175" s="95" t="s">
        <v>1258</v>
      </c>
      <c r="J175" s="95" t="s">
        <v>1259</v>
      </c>
      <c r="K175" s="92">
        <v>41</v>
      </c>
      <c r="L175" t="str">
        <f t="shared" si="5"/>
        <v>63-J314-J268</v>
      </c>
    </row>
    <row r="176" spans="2:12" ht="15.75">
      <c r="B176" s="5">
        <v>63</v>
      </c>
      <c r="C176" s="5" t="s">
        <v>270</v>
      </c>
      <c r="D176" s="5" t="s">
        <v>244</v>
      </c>
      <c r="E176" s="5">
        <v>24.5</v>
      </c>
      <c r="F176" t="str">
        <f t="shared" si="4"/>
        <v>63-J82-J108</v>
      </c>
      <c r="H176" s="92">
        <v>63</v>
      </c>
      <c r="I176" s="95" t="s">
        <v>1259</v>
      </c>
      <c r="J176" s="95" t="s">
        <v>1260</v>
      </c>
      <c r="K176" s="92">
        <v>7.8</v>
      </c>
      <c r="L176" t="str">
        <f t="shared" si="5"/>
        <v>63-J268-J283</v>
      </c>
    </row>
    <row r="177" spans="2:12" ht="15.75">
      <c r="B177" s="5">
        <v>63</v>
      </c>
      <c r="C177" s="5" t="s">
        <v>846</v>
      </c>
      <c r="D177" s="5" t="s">
        <v>310</v>
      </c>
      <c r="E177" s="5">
        <v>70.599999999999994</v>
      </c>
      <c r="F177" t="str">
        <f t="shared" si="4"/>
        <v>63-J144-J140</v>
      </c>
      <c r="H177" s="92">
        <v>63</v>
      </c>
      <c r="I177" s="95" t="s">
        <v>1260</v>
      </c>
      <c r="J177" s="95" t="s">
        <v>618</v>
      </c>
      <c r="K177" s="92">
        <v>58.5</v>
      </c>
      <c r="L177" t="str">
        <f t="shared" si="5"/>
        <v>63-J283-J233</v>
      </c>
    </row>
    <row r="178" spans="2:12" ht="15.75">
      <c r="B178" s="5">
        <v>63</v>
      </c>
      <c r="C178" s="5" t="s">
        <v>310</v>
      </c>
      <c r="D178" s="5" t="s">
        <v>434</v>
      </c>
      <c r="E178" s="5">
        <v>111.4</v>
      </c>
      <c r="F178" t="str">
        <f t="shared" si="4"/>
        <v>63-J140-J152</v>
      </c>
      <c r="H178" s="92">
        <v>63</v>
      </c>
      <c r="I178" s="95" t="s">
        <v>618</v>
      </c>
      <c r="J178" s="95" t="s">
        <v>233</v>
      </c>
      <c r="K178" s="92">
        <v>28.2</v>
      </c>
      <c r="L178" t="str">
        <f t="shared" si="5"/>
        <v>63-J233-J192</v>
      </c>
    </row>
    <row r="179" spans="2:12" ht="15.75">
      <c r="B179" s="5">
        <v>63</v>
      </c>
      <c r="C179" s="5" t="s">
        <v>274</v>
      </c>
      <c r="D179" s="5" t="s">
        <v>310</v>
      </c>
      <c r="E179" s="5">
        <v>117</v>
      </c>
      <c r="F179" t="str">
        <f t="shared" si="4"/>
        <v>63-J88-J140</v>
      </c>
      <c r="H179" s="92">
        <v>63</v>
      </c>
      <c r="I179" s="95" t="s">
        <v>1260</v>
      </c>
      <c r="J179" s="95" t="s">
        <v>204</v>
      </c>
      <c r="K179" s="92">
        <v>149.80000000000001</v>
      </c>
      <c r="L179" t="str">
        <f t="shared" si="5"/>
        <v>63-J283-J198</v>
      </c>
    </row>
    <row r="180" spans="2:12" ht="15.75">
      <c r="B180" s="5">
        <v>63</v>
      </c>
      <c r="C180" s="5" t="s">
        <v>846</v>
      </c>
      <c r="D180" s="5" t="s">
        <v>639</v>
      </c>
      <c r="E180" s="5">
        <v>31.3</v>
      </c>
      <c r="F180" t="str">
        <f t="shared" si="4"/>
        <v>63-J144-J110</v>
      </c>
      <c r="H180" s="92">
        <v>63</v>
      </c>
      <c r="I180" s="95" t="s">
        <v>204</v>
      </c>
      <c r="J180" s="95" t="s">
        <v>570</v>
      </c>
      <c r="K180" s="92">
        <v>69</v>
      </c>
      <c r="L180" t="str">
        <f t="shared" si="5"/>
        <v>63-J198-J215</v>
      </c>
    </row>
    <row r="181" spans="2:12" ht="15.75">
      <c r="B181" s="5">
        <v>63</v>
      </c>
      <c r="C181" s="5" t="s">
        <v>150</v>
      </c>
      <c r="D181" s="5" t="s">
        <v>132</v>
      </c>
      <c r="E181" s="5">
        <v>80.5</v>
      </c>
      <c r="F181" t="str">
        <f t="shared" si="4"/>
        <v>63-j81-j146</v>
      </c>
      <c r="H181" s="92">
        <v>63</v>
      </c>
      <c r="I181" s="95" t="s">
        <v>570</v>
      </c>
      <c r="J181" s="95" t="s">
        <v>210</v>
      </c>
      <c r="K181" s="92">
        <v>16.3</v>
      </c>
      <c r="L181" t="str">
        <f t="shared" si="5"/>
        <v>63-J215-J196</v>
      </c>
    </row>
    <row r="182" spans="2:12" ht="15.75">
      <c r="B182" s="5">
        <v>63</v>
      </c>
      <c r="C182" s="5" t="s">
        <v>1238</v>
      </c>
      <c r="D182" s="5" t="s">
        <v>132</v>
      </c>
      <c r="E182" s="5">
        <v>141.9</v>
      </c>
      <c r="F182" t="str">
        <f t="shared" si="4"/>
        <v>63-j101-j146</v>
      </c>
      <c r="H182" s="92">
        <v>63</v>
      </c>
      <c r="I182" s="95" t="s">
        <v>190</v>
      </c>
      <c r="J182" s="95" t="s">
        <v>352</v>
      </c>
      <c r="K182" s="92">
        <v>65</v>
      </c>
      <c r="L182" t="str">
        <f t="shared" si="5"/>
        <v>63-J154-J103</v>
      </c>
    </row>
    <row r="183" spans="2:12" ht="15.75">
      <c r="B183" s="5">
        <v>63</v>
      </c>
      <c r="C183" s="5" t="s">
        <v>132</v>
      </c>
      <c r="D183" s="5" t="s">
        <v>1297</v>
      </c>
      <c r="E183" s="5">
        <v>18</v>
      </c>
      <c r="F183" t="str">
        <f t="shared" si="4"/>
        <v>63-j146-j200</v>
      </c>
      <c r="H183" s="92">
        <v>63</v>
      </c>
      <c r="I183" s="95" t="s">
        <v>352</v>
      </c>
      <c r="J183" s="95" t="s">
        <v>225</v>
      </c>
      <c r="K183" s="92">
        <v>128.4</v>
      </c>
      <c r="L183" t="str">
        <f t="shared" si="5"/>
        <v>63-J103-J150</v>
      </c>
    </row>
    <row r="184" spans="2:12" ht="15.75">
      <c r="B184" s="5">
        <v>63</v>
      </c>
      <c r="C184" s="5" t="s">
        <v>1297</v>
      </c>
      <c r="D184" s="5" t="s">
        <v>1298</v>
      </c>
      <c r="E184" s="5">
        <v>25.7</v>
      </c>
      <c r="F184" t="str">
        <f t="shared" si="4"/>
        <v>63-j200-j187</v>
      </c>
      <c r="H184" s="92">
        <v>63</v>
      </c>
      <c r="I184" s="95" t="s">
        <v>225</v>
      </c>
      <c r="J184" s="95" t="s">
        <v>1295</v>
      </c>
      <c r="K184" s="92">
        <f>6+181.7</f>
        <v>187.7</v>
      </c>
      <c r="L184" t="str">
        <f t="shared" si="5"/>
        <v>63-J150-J279</v>
      </c>
    </row>
    <row r="185" spans="2:12" ht="15.75">
      <c r="B185" s="5">
        <v>63</v>
      </c>
      <c r="C185" s="5" t="s">
        <v>1298</v>
      </c>
      <c r="D185" s="5" t="s">
        <v>46</v>
      </c>
      <c r="E185" s="5">
        <v>10</v>
      </c>
      <c r="F185" t="str">
        <f t="shared" si="4"/>
        <v>63-j187-j91</v>
      </c>
      <c r="H185" s="92">
        <v>63</v>
      </c>
      <c r="I185" s="95" t="s">
        <v>1295</v>
      </c>
      <c r="J185" s="95" t="s">
        <v>584</v>
      </c>
      <c r="K185" s="92">
        <v>198.9</v>
      </c>
      <c r="L185" t="str">
        <f t="shared" si="5"/>
        <v>63-J279-J224</v>
      </c>
    </row>
    <row r="186" spans="2:12" ht="15.75">
      <c r="B186" s="5">
        <v>63</v>
      </c>
      <c r="C186" s="5" t="s">
        <v>1298</v>
      </c>
      <c r="D186" s="5" t="s">
        <v>929</v>
      </c>
      <c r="E186" s="5">
        <v>10</v>
      </c>
      <c r="F186" t="str">
        <f t="shared" si="4"/>
        <v>63-j187-j195</v>
      </c>
      <c r="H186" s="92">
        <v>63</v>
      </c>
      <c r="I186" s="95" t="s">
        <v>1295</v>
      </c>
      <c r="J186" s="95" t="s">
        <v>1296</v>
      </c>
      <c r="K186" s="92">
        <v>305.7</v>
      </c>
      <c r="L186" t="str">
        <f t="shared" si="5"/>
        <v>63-J279-J274</v>
      </c>
    </row>
    <row r="187" spans="2:12" ht="15.75">
      <c r="B187" s="5">
        <v>63</v>
      </c>
      <c r="C187" s="5" t="s">
        <v>929</v>
      </c>
      <c r="D187" s="5" t="s">
        <v>103</v>
      </c>
      <c r="E187" s="5">
        <v>46.7</v>
      </c>
      <c r="F187" t="str">
        <f t="shared" si="4"/>
        <v>63-j195-j164</v>
      </c>
      <c r="H187" s="92">
        <v>63</v>
      </c>
      <c r="I187" s="95" t="s">
        <v>1296</v>
      </c>
      <c r="J187" s="95" t="s">
        <v>711</v>
      </c>
      <c r="K187" s="92">
        <v>133.4</v>
      </c>
      <c r="L187" t="str">
        <f t="shared" si="5"/>
        <v>63-J274-J211</v>
      </c>
    </row>
    <row r="188" spans="2:12" ht="15.75">
      <c r="B188" s="5">
        <v>63</v>
      </c>
      <c r="C188" s="5" t="s">
        <v>103</v>
      </c>
      <c r="D188" s="5" t="s">
        <v>83</v>
      </c>
      <c r="E188" s="5">
        <v>13.5</v>
      </c>
      <c r="F188" t="str">
        <f t="shared" ref="F188:F247" si="6">+B188&amp;"-"&amp;C188&amp;"-"&amp;D188</f>
        <v>63-j164-j177</v>
      </c>
      <c r="H188" s="92">
        <v>63</v>
      </c>
      <c r="I188" s="95" t="s">
        <v>1296</v>
      </c>
      <c r="J188" s="95" t="s">
        <v>702</v>
      </c>
      <c r="K188" s="92">
        <v>195.1</v>
      </c>
      <c r="L188" t="str">
        <f t="shared" si="5"/>
        <v>63-J274-J263</v>
      </c>
    </row>
    <row r="189" spans="2:12" ht="15.75">
      <c r="B189" s="5">
        <v>63</v>
      </c>
      <c r="C189" s="5" t="s">
        <v>103</v>
      </c>
      <c r="D189" s="5" t="s">
        <v>77</v>
      </c>
      <c r="E189" s="5">
        <v>9.5</v>
      </c>
      <c r="F189" t="str">
        <f t="shared" si="6"/>
        <v>63-j164-j158</v>
      </c>
      <c r="H189" s="92">
        <v>63</v>
      </c>
      <c r="I189" s="95" t="s">
        <v>702</v>
      </c>
      <c r="J189" s="95" t="s">
        <v>712</v>
      </c>
      <c r="K189" s="92">
        <v>28.6</v>
      </c>
      <c r="L189" t="str">
        <f t="shared" ref="L189:L248" si="7">+H189&amp;"-"&amp;I189&amp;"-"&amp;J189</f>
        <v>63-J263-J246</v>
      </c>
    </row>
    <row r="190" spans="2:12" ht="15.75">
      <c r="B190" s="5">
        <v>63</v>
      </c>
      <c r="C190" s="5" t="s">
        <v>74</v>
      </c>
      <c r="D190" s="5" t="s">
        <v>90</v>
      </c>
      <c r="E190" s="5">
        <v>34.4</v>
      </c>
      <c r="F190" t="str">
        <f t="shared" si="6"/>
        <v>63-j147-j161</v>
      </c>
      <c r="H190" s="92">
        <v>63</v>
      </c>
      <c r="I190" s="95" t="s">
        <v>712</v>
      </c>
      <c r="J190" s="95" t="s">
        <v>617</v>
      </c>
      <c r="K190" s="92">
        <f>4+145.1</f>
        <v>149.1</v>
      </c>
      <c r="L190" t="str">
        <f t="shared" si="7"/>
        <v>63-J246-J227</v>
      </c>
    </row>
    <row r="191" spans="2:12" ht="15.75">
      <c r="B191" s="5">
        <v>63</v>
      </c>
      <c r="C191" s="5" t="s">
        <v>90</v>
      </c>
      <c r="D191" s="5" t="s">
        <v>105</v>
      </c>
      <c r="E191" s="5">
        <v>66.400000000000006</v>
      </c>
      <c r="F191" t="str">
        <f t="shared" si="6"/>
        <v>63-j161-j166</v>
      </c>
      <c r="H191" s="92">
        <v>63</v>
      </c>
      <c r="I191" s="95" t="s">
        <v>225</v>
      </c>
      <c r="J191" s="95" t="s">
        <v>639</v>
      </c>
      <c r="K191" s="92">
        <v>251.7</v>
      </c>
      <c r="L191" t="str">
        <f t="shared" si="7"/>
        <v>63-J150-J110</v>
      </c>
    </row>
    <row r="192" spans="2:12" ht="15.75">
      <c r="B192" s="5">
        <v>63</v>
      </c>
      <c r="C192" s="5" t="s">
        <v>105</v>
      </c>
      <c r="D192" s="5" t="s">
        <v>88</v>
      </c>
      <c r="E192" s="5">
        <v>46.7</v>
      </c>
      <c r="F192" t="str">
        <f t="shared" si="6"/>
        <v>63-j166-j151</v>
      </c>
      <c r="H192" s="92">
        <v>63</v>
      </c>
      <c r="I192" s="95" t="s">
        <v>639</v>
      </c>
      <c r="J192" s="95" t="s">
        <v>270</v>
      </c>
      <c r="K192" s="92">
        <v>101.6</v>
      </c>
      <c r="L192" t="str">
        <f t="shared" si="7"/>
        <v>63-J110-J82</v>
      </c>
    </row>
    <row r="193" spans="2:12" ht="15.75">
      <c r="B193" s="5">
        <v>63</v>
      </c>
      <c r="C193" s="5" t="s">
        <v>105</v>
      </c>
      <c r="D193" s="5" t="s">
        <v>79</v>
      </c>
      <c r="E193" s="5">
        <v>24.2</v>
      </c>
      <c r="F193" t="str">
        <f t="shared" si="6"/>
        <v>63-j166-j174</v>
      </c>
      <c r="H193" s="92">
        <v>63</v>
      </c>
      <c r="I193" s="95" t="s">
        <v>270</v>
      </c>
      <c r="J193" s="95" t="s">
        <v>352</v>
      </c>
      <c r="K193" s="92">
        <v>106.6</v>
      </c>
      <c r="L193" t="str">
        <f t="shared" si="7"/>
        <v>63-J82-J103</v>
      </c>
    </row>
    <row r="194" spans="2:12" ht="15.75">
      <c r="B194" s="5">
        <v>63</v>
      </c>
      <c r="C194" s="5" t="s">
        <v>79</v>
      </c>
      <c r="D194" s="5" t="s">
        <v>131</v>
      </c>
      <c r="E194" s="5">
        <v>20</v>
      </c>
      <c r="F194" t="str">
        <f t="shared" si="6"/>
        <v>63-j174-j135</v>
      </c>
      <c r="H194" s="92">
        <v>63</v>
      </c>
      <c r="I194" s="95" t="s">
        <v>246</v>
      </c>
      <c r="J194" s="95" t="s">
        <v>306</v>
      </c>
      <c r="K194" s="92">
        <v>8.1999999999999993</v>
      </c>
      <c r="L194" t="str">
        <f t="shared" si="7"/>
        <v>63-J95-J93</v>
      </c>
    </row>
    <row r="195" spans="2:12" ht="15.75">
      <c r="B195" s="5">
        <v>63</v>
      </c>
      <c r="C195" s="5" t="s">
        <v>79</v>
      </c>
      <c r="D195" s="5" t="s">
        <v>1299</v>
      </c>
      <c r="E195" s="5">
        <v>122.6</v>
      </c>
      <c r="F195" t="str">
        <f t="shared" si="6"/>
        <v>63-j174-j221</v>
      </c>
      <c r="H195" s="92">
        <v>63</v>
      </c>
      <c r="I195" s="95" t="s">
        <v>306</v>
      </c>
      <c r="J195" s="95" t="s">
        <v>244</v>
      </c>
      <c r="K195" s="92">
        <v>131</v>
      </c>
      <c r="L195" t="str">
        <f t="shared" si="7"/>
        <v>63-J93-J108</v>
      </c>
    </row>
    <row r="196" spans="2:12" ht="15.75">
      <c r="B196" s="5">
        <v>63</v>
      </c>
      <c r="C196" s="5" t="s">
        <v>131</v>
      </c>
      <c r="D196" s="5" t="s">
        <v>73</v>
      </c>
      <c r="E196" s="5">
        <v>68</v>
      </c>
      <c r="F196" t="str">
        <f t="shared" si="6"/>
        <v>63-j135-j139</v>
      </c>
      <c r="H196" s="92">
        <v>63</v>
      </c>
      <c r="I196" s="95" t="s">
        <v>359</v>
      </c>
      <c r="J196" s="95" t="s">
        <v>435</v>
      </c>
      <c r="K196" s="92">
        <v>93</v>
      </c>
      <c r="L196" t="str">
        <f t="shared" si="7"/>
        <v>63-J98-J133</v>
      </c>
    </row>
    <row r="197" spans="2:12" ht="15.75">
      <c r="B197" s="5">
        <v>63</v>
      </c>
      <c r="C197" s="5" t="s">
        <v>95</v>
      </c>
      <c r="D197" s="5" t="s">
        <v>107</v>
      </c>
      <c r="E197" s="5">
        <v>273.3</v>
      </c>
      <c r="F197" t="str">
        <f t="shared" si="6"/>
        <v>63-j179-j169</v>
      </c>
      <c r="H197" s="92">
        <v>63</v>
      </c>
      <c r="I197" s="95" t="s">
        <v>262</v>
      </c>
      <c r="J197" s="95" t="s">
        <v>516</v>
      </c>
      <c r="K197" s="92">
        <v>452.4</v>
      </c>
      <c r="L197" t="str">
        <f t="shared" si="7"/>
        <v>63-J58-J90</v>
      </c>
    </row>
    <row r="198" spans="2:12" ht="15.75">
      <c r="B198" s="5">
        <v>63</v>
      </c>
      <c r="C198" s="5" t="s">
        <v>128</v>
      </c>
      <c r="D198" s="5" t="s">
        <v>52</v>
      </c>
      <c r="E198" s="5">
        <v>54.7</v>
      </c>
      <c r="F198" t="str">
        <f t="shared" si="6"/>
        <v>63-j138-j124</v>
      </c>
      <c r="H198" s="92">
        <v>63</v>
      </c>
      <c r="I198" s="95" t="s">
        <v>516</v>
      </c>
      <c r="J198" s="95" t="s">
        <v>276</v>
      </c>
      <c r="K198" s="92">
        <v>72.3</v>
      </c>
      <c r="L198" t="str">
        <f t="shared" si="7"/>
        <v>63-J90-J79</v>
      </c>
    </row>
    <row r="199" spans="2:12" ht="15.75">
      <c r="B199" s="5">
        <v>63</v>
      </c>
      <c r="C199" s="5" t="s">
        <v>52</v>
      </c>
      <c r="D199" s="5" t="s">
        <v>68</v>
      </c>
      <c r="E199" s="5">
        <v>80</v>
      </c>
      <c r="F199" t="str">
        <f t="shared" si="6"/>
        <v>63-j124-j136</v>
      </c>
      <c r="H199" s="92">
        <v>63</v>
      </c>
      <c r="I199" s="95" t="s">
        <v>516</v>
      </c>
      <c r="J199" s="95" t="s">
        <v>446</v>
      </c>
      <c r="K199" s="92">
        <v>108.5</v>
      </c>
      <c r="L199" t="str">
        <f t="shared" si="7"/>
        <v>63-J90-J102</v>
      </c>
    </row>
    <row r="200" spans="2:12" ht="15.75">
      <c r="B200" s="5">
        <v>63</v>
      </c>
      <c r="C200" s="5" t="s">
        <v>52</v>
      </c>
      <c r="D200" s="5" t="s">
        <v>85</v>
      </c>
      <c r="E200" s="5">
        <v>112.3</v>
      </c>
      <c r="F200" t="str">
        <f t="shared" si="6"/>
        <v>63-j124-j127</v>
      </c>
      <c r="H200" s="92">
        <v>75</v>
      </c>
      <c r="I200" s="94" t="s">
        <v>435</v>
      </c>
      <c r="J200" s="94" t="s">
        <v>237</v>
      </c>
      <c r="K200" s="92">
        <v>45.7</v>
      </c>
      <c r="L200" t="str">
        <f t="shared" si="7"/>
        <v>75-J133-J121</v>
      </c>
    </row>
    <row r="201" spans="2:12" ht="15.75">
      <c r="B201" s="5">
        <v>63</v>
      </c>
      <c r="C201" s="5" t="s">
        <v>85</v>
      </c>
      <c r="D201" s="5" t="s">
        <v>930</v>
      </c>
      <c r="E201" s="5">
        <v>39.6</v>
      </c>
      <c r="F201" t="str">
        <f t="shared" si="6"/>
        <v>63-j127-j118</v>
      </c>
      <c r="H201" s="92">
        <v>63</v>
      </c>
      <c r="I201" s="95" t="s">
        <v>237</v>
      </c>
      <c r="J201" s="95" t="s">
        <v>244</v>
      </c>
      <c r="K201" s="92">
        <v>56</v>
      </c>
      <c r="L201" t="str">
        <f t="shared" si="7"/>
        <v>63-J121-J108</v>
      </c>
    </row>
    <row r="202" spans="2:12" ht="15.75">
      <c r="B202" s="5">
        <v>63</v>
      </c>
      <c r="C202" s="5" t="s">
        <v>930</v>
      </c>
      <c r="D202" s="5" t="s">
        <v>51</v>
      </c>
      <c r="E202" s="5">
        <v>41.5</v>
      </c>
      <c r="F202" t="str">
        <f t="shared" si="6"/>
        <v>63-j118-j111</v>
      </c>
      <c r="H202" s="92">
        <v>125</v>
      </c>
      <c r="I202" s="99" t="s">
        <v>435</v>
      </c>
      <c r="J202" s="99" t="s">
        <v>306</v>
      </c>
      <c r="K202" s="92">
        <v>128.9</v>
      </c>
      <c r="L202" t="str">
        <f t="shared" si="7"/>
        <v>125-J133-J93</v>
      </c>
    </row>
    <row r="203" spans="2:12" ht="15.75">
      <c r="B203" s="5">
        <v>63</v>
      </c>
      <c r="C203" s="5" t="s">
        <v>85</v>
      </c>
      <c r="D203" s="5" t="s">
        <v>731</v>
      </c>
      <c r="E203" s="5">
        <v>104.2</v>
      </c>
      <c r="F203" t="str">
        <f t="shared" si="6"/>
        <v>63-j127-j117</v>
      </c>
      <c r="H203" s="92">
        <v>63</v>
      </c>
      <c r="I203" s="95" t="s">
        <v>237</v>
      </c>
      <c r="J203" s="95" t="s">
        <v>198</v>
      </c>
      <c r="K203" s="92">
        <v>119.3</v>
      </c>
      <c r="L203" t="str">
        <f t="shared" si="7"/>
        <v>63-J121-J78</v>
      </c>
    </row>
    <row r="204" spans="2:12" ht="15.75">
      <c r="B204" s="5">
        <v>63</v>
      </c>
      <c r="C204" s="5" t="s">
        <v>731</v>
      </c>
      <c r="D204" s="5" t="s">
        <v>894</v>
      </c>
      <c r="E204" s="5">
        <v>40.200000000000003</v>
      </c>
      <c r="F204" t="str">
        <f t="shared" si="6"/>
        <v>63-j117-j97</v>
      </c>
      <c r="H204" s="92">
        <v>63</v>
      </c>
      <c r="I204" s="95" t="s">
        <v>198</v>
      </c>
      <c r="J204" s="95" t="s">
        <v>396</v>
      </c>
      <c r="K204" s="92">
        <v>64.400000000000006</v>
      </c>
      <c r="L204" t="str">
        <f t="shared" si="7"/>
        <v>63-J78-J77</v>
      </c>
    </row>
    <row r="205" spans="2:12" ht="15.75">
      <c r="B205" s="5">
        <v>63</v>
      </c>
      <c r="C205" s="5" t="s">
        <v>731</v>
      </c>
      <c r="D205" s="5" t="s">
        <v>130</v>
      </c>
      <c r="E205" s="5">
        <v>42</v>
      </c>
      <c r="F205" t="str">
        <f t="shared" si="6"/>
        <v>63-j117-j134</v>
      </c>
      <c r="H205" s="92">
        <v>63</v>
      </c>
      <c r="I205" s="95" t="s">
        <v>198</v>
      </c>
      <c r="J205" s="95" t="s">
        <v>274</v>
      </c>
      <c r="K205" s="92">
        <v>91.3</v>
      </c>
      <c r="L205" t="str">
        <f t="shared" si="7"/>
        <v>63-J78-J88</v>
      </c>
    </row>
    <row r="206" spans="2:12" ht="15.75">
      <c r="B206" s="5">
        <v>63</v>
      </c>
      <c r="C206" s="5" t="s">
        <v>95</v>
      </c>
      <c r="D206" s="5" t="s">
        <v>124</v>
      </c>
      <c r="E206" s="5">
        <v>80.7</v>
      </c>
      <c r="F206" t="str">
        <f t="shared" si="6"/>
        <v>63-j179-j137</v>
      </c>
      <c r="H206" s="92">
        <v>63</v>
      </c>
      <c r="I206" s="95" t="s">
        <v>274</v>
      </c>
      <c r="J206" s="95" t="s">
        <v>386</v>
      </c>
      <c r="K206" s="92">
        <v>53.3</v>
      </c>
      <c r="L206" t="str">
        <f t="shared" si="7"/>
        <v>63-J88-J92</v>
      </c>
    </row>
    <row r="207" spans="2:12" ht="15.75">
      <c r="B207" s="5">
        <v>63</v>
      </c>
      <c r="C207" s="5" t="s">
        <v>124</v>
      </c>
      <c r="D207" s="5" t="s">
        <v>107</v>
      </c>
      <c r="E207" s="5">
        <v>133.6</v>
      </c>
      <c r="F207" t="str">
        <f t="shared" si="6"/>
        <v>63-j137-j169</v>
      </c>
      <c r="H207" s="92">
        <v>63</v>
      </c>
      <c r="I207" s="95" t="s">
        <v>386</v>
      </c>
      <c r="J207" s="95" t="s">
        <v>308</v>
      </c>
      <c r="K207" s="92">
        <v>60.9</v>
      </c>
      <c r="L207" t="str">
        <f t="shared" si="7"/>
        <v>63-J92-J100</v>
      </c>
    </row>
    <row r="208" spans="2:12" ht="15.75">
      <c r="B208" s="5">
        <v>63</v>
      </c>
      <c r="C208" s="5" t="s">
        <v>124</v>
      </c>
      <c r="D208" s="5" t="s">
        <v>67</v>
      </c>
      <c r="E208" s="5">
        <v>172.3</v>
      </c>
      <c r="F208" t="str">
        <f t="shared" si="6"/>
        <v>63-j137-j128</v>
      </c>
      <c r="H208" s="92">
        <v>63</v>
      </c>
      <c r="I208" s="95" t="s">
        <v>386</v>
      </c>
      <c r="J208" s="95" t="s">
        <v>359</v>
      </c>
      <c r="K208" s="92">
        <v>47</v>
      </c>
      <c r="L208" t="str">
        <f t="shared" si="7"/>
        <v>63-J92-J98</v>
      </c>
    </row>
    <row r="209" spans="2:12" ht="15.75">
      <c r="B209" s="5">
        <v>63</v>
      </c>
      <c r="C209" s="5" t="s">
        <v>67</v>
      </c>
      <c r="D209" s="5" t="s">
        <v>92</v>
      </c>
      <c r="E209" s="5">
        <v>30.6</v>
      </c>
      <c r="F209" t="str">
        <f t="shared" si="6"/>
        <v>63-j128-j184</v>
      </c>
      <c r="H209" s="92">
        <v>63</v>
      </c>
      <c r="I209" s="95" t="s">
        <v>509</v>
      </c>
      <c r="J209" s="95" t="s">
        <v>323</v>
      </c>
      <c r="K209" s="92">
        <v>88</v>
      </c>
      <c r="L209" t="str">
        <f t="shared" si="7"/>
        <v>63-J87-J106</v>
      </c>
    </row>
    <row r="210" spans="2:12" ht="15.75">
      <c r="B210" s="5">
        <v>63</v>
      </c>
      <c r="C210" s="5" t="s">
        <v>67</v>
      </c>
      <c r="D210" s="5" t="s">
        <v>94</v>
      </c>
      <c r="E210" s="5">
        <v>40.6</v>
      </c>
      <c r="F210" t="str">
        <f t="shared" si="6"/>
        <v>63-j128-j182</v>
      </c>
      <c r="H210" s="92">
        <v>63</v>
      </c>
      <c r="I210" s="95" t="s">
        <v>509</v>
      </c>
      <c r="J210" s="95" t="s">
        <v>272</v>
      </c>
      <c r="K210" s="92">
        <v>18</v>
      </c>
      <c r="L210" t="str">
        <f t="shared" si="7"/>
        <v>63-J87-J83</v>
      </c>
    </row>
    <row r="211" spans="2:12" ht="15.75">
      <c r="B211" s="5">
        <v>63</v>
      </c>
      <c r="C211" s="5" t="s">
        <v>1300</v>
      </c>
      <c r="D211" s="5" t="s">
        <v>1301</v>
      </c>
      <c r="E211" s="5">
        <v>33.200000000000003</v>
      </c>
      <c r="F211" t="str">
        <f t="shared" si="6"/>
        <v>63-j168-j225</v>
      </c>
      <c r="H211" s="92">
        <v>63</v>
      </c>
      <c r="I211" s="95" t="s">
        <v>274</v>
      </c>
      <c r="J211" s="95" t="s">
        <v>245</v>
      </c>
      <c r="K211" s="92">
        <v>98</v>
      </c>
      <c r="L211" t="str">
        <f t="shared" si="7"/>
        <v>63-J88-J94</v>
      </c>
    </row>
    <row r="212" spans="2:12" ht="15.75">
      <c r="B212" s="5">
        <v>63</v>
      </c>
      <c r="C212" s="5" t="s">
        <v>1301</v>
      </c>
      <c r="D212" s="5" t="s">
        <v>1302</v>
      </c>
      <c r="E212" s="5">
        <v>23.2</v>
      </c>
      <c r="F212" t="str">
        <f t="shared" si="6"/>
        <v>63-j225-j190</v>
      </c>
      <c r="H212" s="92">
        <v>63</v>
      </c>
      <c r="I212" s="95" t="s">
        <v>245</v>
      </c>
      <c r="J212" s="95" t="s">
        <v>846</v>
      </c>
      <c r="K212" s="92">
        <v>64</v>
      </c>
      <c r="L212" t="str">
        <f t="shared" si="7"/>
        <v>63-J94-J144</v>
      </c>
    </row>
    <row r="213" spans="2:12" ht="15.75">
      <c r="B213" s="5">
        <v>63</v>
      </c>
      <c r="C213" s="5" t="s">
        <v>1302</v>
      </c>
      <c r="D213" s="5" t="s">
        <v>1303</v>
      </c>
      <c r="E213" s="5">
        <v>16.899999999999999</v>
      </c>
      <c r="F213" t="str">
        <f t="shared" si="6"/>
        <v>63-j190-j257</v>
      </c>
      <c r="H213" s="92">
        <v>63</v>
      </c>
      <c r="I213" s="95" t="s">
        <v>270</v>
      </c>
      <c r="J213" s="95" t="s">
        <v>244</v>
      </c>
      <c r="K213" s="92">
        <v>24.5</v>
      </c>
      <c r="L213" t="str">
        <f t="shared" si="7"/>
        <v>63-J82-J108</v>
      </c>
    </row>
    <row r="214" spans="2:12" ht="15.75">
      <c r="B214" s="5">
        <v>63</v>
      </c>
      <c r="C214" s="5" t="s">
        <v>1304</v>
      </c>
      <c r="D214" s="5" t="s">
        <v>86</v>
      </c>
      <c r="E214" s="5">
        <v>91.4</v>
      </c>
      <c r="F214" t="str">
        <f t="shared" si="6"/>
        <v>63-j199-j129</v>
      </c>
      <c r="H214" s="92">
        <v>63</v>
      </c>
      <c r="I214" s="95" t="s">
        <v>846</v>
      </c>
      <c r="J214" s="95" t="s">
        <v>310</v>
      </c>
      <c r="K214" s="92">
        <v>70.599999999999994</v>
      </c>
      <c r="L214" t="str">
        <f t="shared" si="7"/>
        <v>63-J144-J140</v>
      </c>
    </row>
    <row r="215" spans="2:12" ht="15.75">
      <c r="B215" s="5">
        <v>63</v>
      </c>
      <c r="C215" s="5" t="s">
        <v>86</v>
      </c>
      <c r="D215" s="5" t="s">
        <v>1297</v>
      </c>
      <c r="E215" s="5">
        <v>46.1</v>
      </c>
      <c r="F215" t="str">
        <f t="shared" si="6"/>
        <v>63-j129-j200</v>
      </c>
      <c r="H215" s="92">
        <v>63</v>
      </c>
      <c r="I215" s="95" t="s">
        <v>310</v>
      </c>
      <c r="J215" s="95" t="s">
        <v>434</v>
      </c>
      <c r="K215" s="92">
        <v>111.4</v>
      </c>
      <c r="L215" t="str">
        <f t="shared" si="7"/>
        <v>63-J140-J152</v>
      </c>
    </row>
    <row r="216" spans="2:12" ht="15.75">
      <c r="B216" s="5">
        <v>63</v>
      </c>
      <c r="C216" s="5" t="s">
        <v>1299</v>
      </c>
      <c r="D216" s="5" t="s">
        <v>1306</v>
      </c>
      <c r="E216" s="5">
        <v>228.9</v>
      </c>
      <c r="F216" t="str">
        <f t="shared" si="6"/>
        <v>63-j221-j239</v>
      </c>
      <c r="H216" s="92">
        <v>63</v>
      </c>
      <c r="I216" s="95" t="s">
        <v>274</v>
      </c>
      <c r="J216" s="95" t="s">
        <v>310</v>
      </c>
      <c r="K216" s="92">
        <v>117</v>
      </c>
      <c r="L216" t="str">
        <f t="shared" si="7"/>
        <v>63-J88-J140</v>
      </c>
    </row>
    <row r="217" spans="2:12" ht="15.75">
      <c r="B217" s="5">
        <v>63</v>
      </c>
      <c r="C217" s="5" t="s">
        <v>1307</v>
      </c>
      <c r="D217" s="5" t="s">
        <v>1133</v>
      </c>
      <c r="E217" s="5">
        <v>59.4</v>
      </c>
      <c r="F217" t="str">
        <f t="shared" si="6"/>
        <v>63-j238-j201</v>
      </c>
      <c r="H217" s="92">
        <v>63</v>
      </c>
      <c r="I217" s="95" t="s">
        <v>846</v>
      </c>
      <c r="J217" s="95" t="s">
        <v>639</v>
      </c>
      <c r="K217" s="92">
        <v>31.3</v>
      </c>
      <c r="L217" t="str">
        <f t="shared" si="7"/>
        <v>63-J144-J110</v>
      </c>
    </row>
    <row r="218" spans="2:12" ht="15.75">
      <c r="B218" s="5">
        <v>63</v>
      </c>
      <c r="C218" s="5" t="s">
        <v>1307</v>
      </c>
      <c r="D218" s="5" t="s">
        <v>1308</v>
      </c>
      <c r="E218" s="5">
        <v>251</v>
      </c>
      <c r="F218" t="str">
        <f t="shared" si="6"/>
        <v>63-j238-j247</v>
      </c>
      <c r="H218" s="92">
        <v>125</v>
      </c>
      <c r="I218" s="99" t="s">
        <v>258</v>
      </c>
      <c r="J218" s="99" t="s">
        <v>255</v>
      </c>
      <c r="K218" s="92">
        <v>65.7</v>
      </c>
      <c r="L218" t="str">
        <f t="shared" si="7"/>
        <v>125-J72-J74</v>
      </c>
    </row>
    <row r="219" spans="2:12" ht="15.75">
      <c r="B219" s="5">
        <v>63</v>
      </c>
      <c r="C219" s="5" t="s">
        <v>1308</v>
      </c>
      <c r="D219" s="5" t="s">
        <v>1303</v>
      </c>
      <c r="E219" s="5">
        <v>5</v>
      </c>
      <c r="F219" t="str">
        <f t="shared" si="6"/>
        <v>63-j247-j257</v>
      </c>
      <c r="H219" s="92">
        <v>63</v>
      </c>
      <c r="I219" s="95" t="s">
        <v>255</v>
      </c>
      <c r="J219" s="95" t="s">
        <v>359</v>
      </c>
      <c r="K219" s="92">
        <v>19.100000000000001</v>
      </c>
      <c r="L219" t="str">
        <f t="shared" si="7"/>
        <v>63-J74-J98</v>
      </c>
    </row>
    <row r="220" spans="2:12" ht="15.75">
      <c r="B220" s="5">
        <v>63</v>
      </c>
      <c r="C220" s="5" t="s">
        <v>1308</v>
      </c>
      <c r="D220" s="5" t="s">
        <v>1303</v>
      </c>
      <c r="E220" s="5">
        <v>104.1</v>
      </c>
      <c r="F220" t="str">
        <f t="shared" si="6"/>
        <v>63-j247-j257</v>
      </c>
      <c r="H220" s="92">
        <v>125</v>
      </c>
      <c r="I220" s="99" t="s">
        <v>255</v>
      </c>
      <c r="J220" s="99" t="s">
        <v>359</v>
      </c>
      <c r="K220" s="92">
        <v>73.2</v>
      </c>
      <c r="L220" t="str">
        <f t="shared" si="7"/>
        <v>125-J74-J98</v>
      </c>
    </row>
    <row r="221" spans="2:12" ht="15.75">
      <c r="B221" s="5">
        <v>63</v>
      </c>
      <c r="C221" s="5" t="s">
        <v>1303</v>
      </c>
      <c r="D221" s="5" t="s">
        <v>1309</v>
      </c>
      <c r="E221" s="5">
        <v>6</v>
      </c>
      <c r="F221" t="str">
        <f t="shared" si="6"/>
        <v>63-j257-j272</v>
      </c>
      <c r="H221" s="92">
        <v>110</v>
      </c>
      <c r="I221" s="98" t="s">
        <v>258</v>
      </c>
      <c r="J221" s="98" t="s">
        <v>269</v>
      </c>
      <c r="K221" s="92">
        <v>134.4</v>
      </c>
      <c r="L221" t="str">
        <f t="shared" si="7"/>
        <v>110-J72-J81</v>
      </c>
    </row>
    <row r="222" spans="2:12" ht="15.75">
      <c r="B222" s="5">
        <v>63</v>
      </c>
      <c r="C222" s="5" t="s">
        <v>1303</v>
      </c>
      <c r="D222" s="5" t="s">
        <v>1309</v>
      </c>
      <c r="E222" s="5">
        <v>33</v>
      </c>
      <c r="F222" t="str">
        <f t="shared" si="6"/>
        <v>63-j257-j272</v>
      </c>
      <c r="H222" s="92">
        <v>110</v>
      </c>
      <c r="I222" s="98" t="s">
        <v>269</v>
      </c>
      <c r="J222" s="98" t="s">
        <v>358</v>
      </c>
      <c r="K222" s="92">
        <v>50.4</v>
      </c>
      <c r="L222" t="str">
        <f t="shared" si="7"/>
        <v>110-J81-J101</v>
      </c>
    </row>
    <row r="223" spans="2:12" ht="15.75">
      <c r="B223" s="5">
        <v>63</v>
      </c>
      <c r="C223" s="5" t="s">
        <v>1309</v>
      </c>
      <c r="D223" s="5" t="s">
        <v>1310</v>
      </c>
      <c r="E223" s="5">
        <v>43.4</v>
      </c>
      <c r="F223" t="str">
        <f t="shared" si="6"/>
        <v>63-j272-j237</v>
      </c>
      <c r="H223" s="92">
        <v>63</v>
      </c>
      <c r="I223" s="95" t="s">
        <v>358</v>
      </c>
      <c r="J223" s="95" t="s">
        <v>432</v>
      </c>
      <c r="K223" s="92">
        <v>141.9</v>
      </c>
      <c r="L223" t="str">
        <f t="shared" si="7"/>
        <v>63-J101-J146</v>
      </c>
    </row>
    <row r="224" spans="2:12" ht="15.75">
      <c r="B224" s="5">
        <v>63</v>
      </c>
      <c r="C224" s="5" t="s">
        <v>1310</v>
      </c>
      <c r="D224" s="5" t="s">
        <v>1311</v>
      </c>
      <c r="E224" s="5">
        <v>29.3</v>
      </c>
      <c r="F224" t="str">
        <f t="shared" si="6"/>
        <v>63-j237-j236</v>
      </c>
      <c r="H224" s="92">
        <v>63</v>
      </c>
      <c r="I224" s="95" t="s">
        <v>432</v>
      </c>
      <c r="J224" s="95" t="s">
        <v>932</v>
      </c>
      <c r="K224" s="92">
        <v>18</v>
      </c>
      <c r="L224" t="str">
        <f t="shared" si="7"/>
        <v>63-J146-J200</v>
      </c>
    </row>
    <row r="225" spans="2:12" ht="15.75">
      <c r="B225" s="5">
        <v>63</v>
      </c>
      <c r="C225" s="5" t="s">
        <v>1311</v>
      </c>
      <c r="D225" s="5" t="s">
        <v>1173</v>
      </c>
      <c r="E225" s="5">
        <v>13.5</v>
      </c>
      <c r="F225" t="str">
        <f t="shared" si="6"/>
        <v>63-j236-j216</v>
      </c>
      <c r="H225" s="92">
        <v>63</v>
      </c>
      <c r="I225" s="95" t="s">
        <v>932</v>
      </c>
      <c r="J225" s="95" t="s">
        <v>218</v>
      </c>
      <c r="K225" s="92">
        <v>25.7</v>
      </c>
      <c r="L225" t="str">
        <f t="shared" si="7"/>
        <v>63-J200-J187</v>
      </c>
    </row>
    <row r="226" spans="2:12" ht="15.75">
      <c r="B226" s="5">
        <v>63</v>
      </c>
      <c r="C226" s="5" t="s">
        <v>1310</v>
      </c>
      <c r="D226" s="5" t="s">
        <v>1312</v>
      </c>
      <c r="E226" s="5">
        <v>80</v>
      </c>
      <c r="F226" t="str">
        <f t="shared" si="6"/>
        <v>63-j237-j172</v>
      </c>
      <c r="H226" s="92">
        <v>63</v>
      </c>
      <c r="I226" s="95" t="s">
        <v>218</v>
      </c>
      <c r="J226" s="95" t="s">
        <v>361</v>
      </c>
      <c r="K226" s="92">
        <v>10</v>
      </c>
      <c r="L226" t="str">
        <f t="shared" si="7"/>
        <v>63-J187-J91</v>
      </c>
    </row>
    <row r="227" spans="2:12" ht="15.75">
      <c r="B227" s="5">
        <v>63</v>
      </c>
      <c r="C227" s="5" t="s">
        <v>1173</v>
      </c>
      <c r="D227" s="5" t="s">
        <v>1312</v>
      </c>
      <c r="E227" s="5">
        <v>47.6</v>
      </c>
      <c r="F227" t="str">
        <f t="shared" si="6"/>
        <v>63-j216-j172</v>
      </c>
      <c r="H227" s="92">
        <v>63</v>
      </c>
      <c r="I227" s="95" t="s">
        <v>218</v>
      </c>
      <c r="J227" s="95" t="s">
        <v>213</v>
      </c>
      <c r="K227" s="92">
        <v>10</v>
      </c>
      <c r="L227" t="str">
        <f t="shared" si="7"/>
        <v>63-J187-J195</v>
      </c>
    </row>
    <row r="228" spans="2:12" ht="15.75">
      <c r="B228" s="5">
        <v>63</v>
      </c>
      <c r="C228" s="5" t="s">
        <v>1173</v>
      </c>
      <c r="D228" s="5" t="s">
        <v>1313</v>
      </c>
      <c r="E228" s="5">
        <v>51.6</v>
      </c>
      <c r="F228" t="str">
        <f t="shared" si="6"/>
        <v>63-j216-j255</v>
      </c>
      <c r="H228" s="92">
        <v>63</v>
      </c>
      <c r="I228" s="95" t="s">
        <v>213</v>
      </c>
      <c r="J228" s="95" t="s">
        <v>297</v>
      </c>
      <c r="K228" s="92">
        <v>46.7</v>
      </c>
      <c r="L228" t="str">
        <f t="shared" si="7"/>
        <v>63-J195-J164</v>
      </c>
    </row>
    <row r="229" spans="2:12" ht="15.75">
      <c r="B229" s="5">
        <v>63</v>
      </c>
      <c r="C229" s="5" t="s">
        <v>1313</v>
      </c>
      <c r="D229" s="5" t="s">
        <v>1314</v>
      </c>
      <c r="E229" s="5">
        <v>24.9</v>
      </c>
      <c r="F229" t="str">
        <f t="shared" si="6"/>
        <v>63-j255-j244</v>
      </c>
      <c r="H229" s="92">
        <v>63</v>
      </c>
      <c r="I229" s="95" t="s">
        <v>297</v>
      </c>
      <c r="J229" s="95" t="s">
        <v>303</v>
      </c>
      <c r="K229" s="92">
        <v>13.5</v>
      </c>
      <c r="L229" t="str">
        <f t="shared" si="7"/>
        <v>63-J164-J177</v>
      </c>
    </row>
    <row r="230" spans="2:12" ht="15.75">
      <c r="B230" s="5">
        <v>63</v>
      </c>
      <c r="C230" s="5" t="s">
        <v>1314</v>
      </c>
      <c r="D230" s="5" t="s">
        <v>1315</v>
      </c>
      <c r="E230" s="5">
        <v>29.1</v>
      </c>
      <c r="F230" t="str">
        <f t="shared" si="6"/>
        <v>63-j244-j245</v>
      </c>
      <c r="H230" s="92">
        <v>63</v>
      </c>
      <c r="I230" s="95" t="s">
        <v>297</v>
      </c>
      <c r="J230" s="95" t="s">
        <v>862</v>
      </c>
      <c r="K230" s="92">
        <v>9.5</v>
      </c>
      <c r="L230" t="str">
        <f t="shared" si="7"/>
        <v>63-J164-J158</v>
      </c>
    </row>
    <row r="231" spans="2:12" ht="15.75">
      <c r="B231" s="5">
        <v>63</v>
      </c>
      <c r="C231" s="5" t="s">
        <v>1316</v>
      </c>
      <c r="D231" s="5" t="s">
        <v>1311</v>
      </c>
      <c r="E231" s="5">
        <v>62.9</v>
      </c>
      <c r="F231" t="str">
        <f t="shared" si="6"/>
        <v>63-j250-j236</v>
      </c>
      <c r="H231" s="92">
        <v>63</v>
      </c>
      <c r="I231" s="95" t="s">
        <v>334</v>
      </c>
      <c r="J231" s="95" t="s">
        <v>294</v>
      </c>
      <c r="K231" s="92">
        <v>34.4</v>
      </c>
      <c r="L231" t="str">
        <f t="shared" si="7"/>
        <v>63-J147-J161</v>
      </c>
    </row>
    <row r="232" spans="2:12" ht="15.75">
      <c r="B232" s="5">
        <v>63</v>
      </c>
      <c r="C232" s="5" t="s">
        <v>1309</v>
      </c>
      <c r="D232" s="5" t="s">
        <v>1317</v>
      </c>
      <c r="E232" s="5">
        <v>38.299999999999997</v>
      </c>
      <c r="F232" t="str">
        <f t="shared" si="6"/>
        <v>63-j272-j256</v>
      </c>
      <c r="H232" s="92">
        <v>63</v>
      </c>
      <c r="I232" s="95" t="s">
        <v>294</v>
      </c>
      <c r="J232" s="95" t="s">
        <v>549</v>
      </c>
      <c r="K232" s="92">
        <v>66.400000000000006</v>
      </c>
      <c r="L232" t="str">
        <f t="shared" si="7"/>
        <v>63-J161-J166</v>
      </c>
    </row>
    <row r="233" spans="2:12" ht="15.75">
      <c r="B233" s="5">
        <v>63</v>
      </c>
      <c r="C233" s="5" t="s">
        <v>1317</v>
      </c>
      <c r="D233" s="5" t="s">
        <v>1316</v>
      </c>
      <c r="E233" s="5">
        <v>41</v>
      </c>
      <c r="F233" t="str">
        <f t="shared" si="6"/>
        <v>63-j256-j250</v>
      </c>
      <c r="H233" s="92">
        <v>63</v>
      </c>
      <c r="I233" s="95" t="s">
        <v>549</v>
      </c>
      <c r="J233" s="95" t="s">
        <v>226</v>
      </c>
      <c r="K233" s="92">
        <v>46.7</v>
      </c>
      <c r="L233" t="str">
        <f t="shared" si="7"/>
        <v>63-J166-J151</v>
      </c>
    </row>
    <row r="234" spans="2:12" ht="15.75">
      <c r="B234" s="5">
        <v>63</v>
      </c>
      <c r="C234" s="5" t="s">
        <v>1316</v>
      </c>
      <c r="D234" s="5" t="s">
        <v>93</v>
      </c>
      <c r="E234" s="5">
        <v>57.9</v>
      </c>
      <c r="F234" t="str">
        <f t="shared" si="6"/>
        <v>63-j250-j181</v>
      </c>
      <c r="H234" s="92">
        <v>63</v>
      </c>
      <c r="I234" s="95" t="s">
        <v>549</v>
      </c>
      <c r="J234" s="95" t="s">
        <v>591</v>
      </c>
      <c r="K234" s="92">
        <v>24.2</v>
      </c>
      <c r="L234" t="str">
        <f t="shared" si="7"/>
        <v>63-J166-J174</v>
      </c>
    </row>
    <row r="235" spans="2:12" ht="15.75">
      <c r="B235" s="5">
        <v>63</v>
      </c>
      <c r="C235" s="5" t="s">
        <v>93</v>
      </c>
      <c r="D235" s="5" t="s">
        <v>716</v>
      </c>
      <c r="E235" s="5">
        <v>109</v>
      </c>
      <c r="F235" t="str">
        <f t="shared" si="6"/>
        <v>63-j181-j202</v>
      </c>
      <c r="H235" s="92">
        <v>63</v>
      </c>
      <c r="I235" s="95" t="s">
        <v>591</v>
      </c>
      <c r="J235" s="95" t="s">
        <v>337</v>
      </c>
      <c r="K235" s="92">
        <v>20</v>
      </c>
      <c r="L235" t="str">
        <f t="shared" si="7"/>
        <v>63-J174-J135</v>
      </c>
    </row>
    <row r="236" spans="2:12" ht="15.75">
      <c r="B236" s="5">
        <v>63</v>
      </c>
      <c r="C236" s="5" t="s">
        <v>93</v>
      </c>
      <c r="D236" s="5" t="s">
        <v>75</v>
      </c>
      <c r="E236" s="5">
        <v>44</v>
      </c>
      <c r="F236" t="str">
        <f t="shared" si="6"/>
        <v>63-j181-j153</v>
      </c>
      <c r="H236" s="92">
        <v>63</v>
      </c>
      <c r="I236" s="95" t="s">
        <v>591</v>
      </c>
      <c r="J236" s="95" t="s">
        <v>683</v>
      </c>
      <c r="K236" s="92">
        <v>122.6</v>
      </c>
      <c r="L236" t="str">
        <f t="shared" si="7"/>
        <v>63-J174-J221</v>
      </c>
    </row>
    <row r="237" spans="2:12" ht="15.75">
      <c r="B237" s="5">
        <v>63</v>
      </c>
      <c r="C237" s="5" t="s">
        <v>75</v>
      </c>
      <c r="D237" s="5" t="s">
        <v>91</v>
      </c>
      <c r="E237" s="5">
        <v>86.4</v>
      </c>
      <c r="F237" t="str">
        <f t="shared" si="6"/>
        <v>63-j153-j162</v>
      </c>
      <c r="H237" s="92">
        <v>63</v>
      </c>
      <c r="I237" s="95" t="s">
        <v>337</v>
      </c>
      <c r="J237" s="95" t="s">
        <v>242</v>
      </c>
      <c r="K237" s="92">
        <v>68</v>
      </c>
      <c r="L237" t="str">
        <f t="shared" ref="L237:L243" si="8">+H237&amp;"-"&amp;I237&amp;"-"&amp;J237</f>
        <v>63-J135-J139</v>
      </c>
    </row>
    <row r="238" spans="2:12" ht="15.75">
      <c r="B238" s="5">
        <v>63</v>
      </c>
      <c r="C238" s="5" t="s">
        <v>1308</v>
      </c>
      <c r="D238" s="5" t="s">
        <v>1318</v>
      </c>
      <c r="E238" s="5">
        <v>37.1</v>
      </c>
      <c r="F238" t="str">
        <f t="shared" si="6"/>
        <v>63-j247-j253</v>
      </c>
      <c r="H238" s="92">
        <v>90</v>
      </c>
      <c r="I238" s="100" t="s">
        <v>358</v>
      </c>
      <c r="J238" s="100" t="s">
        <v>290</v>
      </c>
      <c r="K238" s="92">
        <f>35.5+4.3</f>
        <v>39.799999999999997</v>
      </c>
      <c r="L238" t="str">
        <f t="shared" si="8"/>
        <v>90-J101-J179</v>
      </c>
    </row>
    <row r="239" spans="2:12" ht="15.75">
      <c r="B239" s="5">
        <v>63</v>
      </c>
      <c r="C239" s="5" t="s">
        <v>1318</v>
      </c>
      <c r="D239" s="5" t="s">
        <v>1319</v>
      </c>
      <c r="E239" s="5">
        <v>94.7</v>
      </c>
      <c r="F239" t="str">
        <f t="shared" si="6"/>
        <v>63-j253-j248</v>
      </c>
      <c r="H239" s="92">
        <v>63</v>
      </c>
      <c r="I239" s="95" t="s">
        <v>290</v>
      </c>
      <c r="J239" s="95" t="s">
        <v>456</v>
      </c>
      <c r="K239" s="92">
        <v>273.3</v>
      </c>
      <c r="L239" t="str">
        <f t="shared" si="8"/>
        <v>63-J179-J169</v>
      </c>
    </row>
    <row r="240" spans="2:12" ht="15.75">
      <c r="B240" s="5">
        <v>63</v>
      </c>
      <c r="C240" s="6" t="s">
        <v>1318</v>
      </c>
      <c r="D240" s="6" t="s">
        <v>1319</v>
      </c>
      <c r="E240" s="5">
        <v>40</v>
      </c>
      <c r="F240" t="str">
        <f t="shared" si="6"/>
        <v>63-j253-j248</v>
      </c>
      <c r="H240" s="92">
        <v>63</v>
      </c>
      <c r="I240" s="95" t="s">
        <v>229</v>
      </c>
      <c r="J240" s="95" t="s">
        <v>340</v>
      </c>
      <c r="K240" s="92">
        <v>54.7</v>
      </c>
      <c r="L240" t="str">
        <f t="shared" si="8"/>
        <v>63-J138-J124</v>
      </c>
    </row>
    <row r="241" spans="2:12" ht="15.75">
      <c r="B241" s="5">
        <v>63</v>
      </c>
      <c r="C241" s="6" t="s">
        <v>1319</v>
      </c>
      <c r="D241" s="6" t="s">
        <v>1156</v>
      </c>
      <c r="E241" s="5">
        <v>34</v>
      </c>
      <c r="F241" t="str">
        <f t="shared" si="6"/>
        <v>63-j248-j270</v>
      </c>
      <c r="H241" s="92">
        <v>63</v>
      </c>
      <c r="I241" s="95" t="s">
        <v>340</v>
      </c>
      <c r="J241" s="95" t="s">
        <v>240</v>
      </c>
      <c r="K241" s="92">
        <v>80</v>
      </c>
      <c r="L241" t="str">
        <f t="shared" si="8"/>
        <v>63-J124-J136</v>
      </c>
    </row>
    <row r="242" spans="2:12" ht="15.75">
      <c r="B242" s="5">
        <v>63</v>
      </c>
      <c r="C242" s="6" t="s">
        <v>1107</v>
      </c>
      <c r="D242" s="6" t="s">
        <v>1320</v>
      </c>
      <c r="E242" s="5">
        <v>21.3</v>
      </c>
      <c r="F242" t="str">
        <f t="shared" si="6"/>
        <v>63-J270-J278</v>
      </c>
      <c r="H242" s="92">
        <v>63</v>
      </c>
      <c r="I242" s="95" t="s">
        <v>340</v>
      </c>
      <c r="J242" s="95" t="s">
        <v>309</v>
      </c>
      <c r="K242" s="92">
        <v>112.3</v>
      </c>
      <c r="L242" t="str">
        <f t="shared" si="8"/>
        <v>63-J124-J127</v>
      </c>
    </row>
    <row r="243" spans="2:12" ht="15.75">
      <c r="B243" s="5">
        <v>63</v>
      </c>
      <c r="C243" s="5" t="s">
        <v>1321</v>
      </c>
      <c r="D243" s="5" t="s">
        <v>580</v>
      </c>
      <c r="E243" s="5">
        <v>45.8</v>
      </c>
      <c r="F243" t="str">
        <f t="shared" si="6"/>
        <v>63-J226-J203</v>
      </c>
      <c r="H243" s="92">
        <v>63</v>
      </c>
      <c r="I243" s="95" t="s">
        <v>309</v>
      </c>
      <c r="J243" s="95" t="s">
        <v>343</v>
      </c>
      <c r="K243" s="92">
        <v>39.6</v>
      </c>
      <c r="L243" t="str">
        <f t="shared" si="8"/>
        <v>63-J127-J118</v>
      </c>
    </row>
    <row r="244" spans="2:12" ht="15.75">
      <c r="B244" s="5">
        <v>63</v>
      </c>
      <c r="C244" s="5" t="s">
        <v>580</v>
      </c>
      <c r="D244" s="5" t="s">
        <v>1129</v>
      </c>
      <c r="E244" s="5">
        <v>125.3</v>
      </c>
      <c r="F244" t="str">
        <f t="shared" si="6"/>
        <v>63-J203-J287</v>
      </c>
      <c r="H244" s="92">
        <v>63</v>
      </c>
      <c r="I244" s="95" t="s">
        <v>343</v>
      </c>
      <c r="J244" s="95" t="s">
        <v>346</v>
      </c>
      <c r="K244" s="92">
        <v>41.5</v>
      </c>
      <c r="L244" t="str">
        <f t="shared" si="7"/>
        <v>63-J118-J111</v>
      </c>
    </row>
    <row r="245" spans="2:12" ht="15.75">
      <c r="B245" s="5">
        <v>63</v>
      </c>
      <c r="C245" s="5" t="s">
        <v>580</v>
      </c>
      <c r="D245" s="5" t="s">
        <v>214</v>
      </c>
      <c r="E245" s="18">
        <v>22</v>
      </c>
      <c r="F245" t="str">
        <f t="shared" si="6"/>
        <v>63-J203-J189</v>
      </c>
      <c r="H245" s="92">
        <v>63</v>
      </c>
      <c r="I245" s="95" t="s">
        <v>309</v>
      </c>
      <c r="J245" s="95" t="s">
        <v>640</v>
      </c>
      <c r="K245" s="92">
        <v>104.2</v>
      </c>
      <c r="L245" t="str">
        <f t="shared" si="7"/>
        <v>63-J127-J117</v>
      </c>
    </row>
    <row r="246" spans="2:12" ht="15.75">
      <c r="B246" s="5">
        <v>63</v>
      </c>
      <c r="C246" s="5" t="s">
        <v>590</v>
      </c>
      <c r="D246" s="5" t="s">
        <v>464</v>
      </c>
      <c r="E246" s="5">
        <v>16</v>
      </c>
      <c r="F246" t="str">
        <f t="shared" si="6"/>
        <v>63-J207-J230</v>
      </c>
      <c r="H246" s="92">
        <v>63</v>
      </c>
      <c r="I246" s="95" t="s">
        <v>640</v>
      </c>
      <c r="J246" s="95" t="s">
        <v>537</v>
      </c>
      <c r="K246" s="92">
        <v>40.200000000000003</v>
      </c>
      <c r="L246" t="str">
        <f t="shared" si="7"/>
        <v>63-J117-J97</v>
      </c>
    </row>
    <row r="247" spans="2:12" ht="15.75">
      <c r="B247" s="5">
        <v>63</v>
      </c>
      <c r="C247" s="5" t="s">
        <v>1129</v>
      </c>
      <c r="D247" s="5" t="s">
        <v>952</v>
      </c>
      <c r="E247" s="5">
        <v>52.6</v>
      </c>
      <c r="F247" t="str">
        <f t="shared" si="6"/>
        <v>63-J287-J322</v>
      </c>
      <c r="H247" s="92">
        <v>63</v>
      </c>
      <c r="I247" s="95" t="s">
        <v>640</v>
      </c>
      <c r="J247" s="95" t="s">
        <v>436</v>
      </c>
      <c r="K247" s="92">
        <v>42</v>
      </c>
      <c r="L247" t="str">
        <f t="shared" si="7"/>
        <v>63-J117-J134</v>
      </c>
    </row>
    <row r="248" spans="2:12" ht="15.75">
      <c r="B248" s="5">
        <v>63</v>
      </c>
      <c r="C248" s="5" t="s">
        <v>952</v>
      </c>
      <c r="D248" s="5" t="s">
        <v>990</v>
      </c>
      <c r="E248" s="5">
        <v>18.899999999999999</v>
      </c>
      <c r="F248" t="str">
        <f t="shared" ref="F248:F297" si="9">+B248&amp;"-"&amp;C248&amp;"-"&amp;D248</f>
        <v>63-J322-J304</v>
      </c>
      <c r="H248" s="92">
        <v>63</v>
      </c>
      <c r="I248" s="95" t="s">
        <v>290</v>
      </c>
      <c r="J248" s="95" t="s">
        <v>241</v>
      </c>
      <c r="K248" s="92">
        <v>80.7</v>
      </c>
      <c r="L248" t="str">
        <f t="shared" si="7"/>
        <v>63-J179-J137</v>
      </c>
    </row>
    <row r="249" spans="2:12" ht="15.75">
      <c r="B249" s="5">
        <v>63</v>
      </c>
      <c r="C249" s="5" t="s">
        <v>990</v>
      </c>
      <c r="D249" s="5" t="s">
        <v>696</v>
      </c>
      <c r="E249" s="5">
        <v>129.19999999999999</v>
      </c>
      <c r="F249" t="str">
        <f t="shared" si="9"/>
        <v>63-J304-J234</v>
      </c>
      <c r="H249" s="92">
        <v>63</v>
      </c>
      <c r="I249" s="95" t="s">
        <v>241</v>
      </c>
      <c r="J249" s="95" t="s">
        <v>335</v>
      </c>
      <c r="K249" s="92">
        <v>133.6</v>
      </c>
      <c r="L249" t="str">
        <f t="shared" ref="L249:L298" si="10">+H249&amp;"-"&amp;I249&amp;"-"&amp;J249</f>
        <v>63-J137-J128</v>
      </c>
    </row>
    <row r="250" spans="2:12" ht="15.75">
      <c r="B250" s="5">
        <v>63</v>
      </c>
      <c r="C250" s="5" t="s">
        <v>696</v>
      </c>
      <c r="D250" s="5" t="s">
        <v>802</v>
      </c>
      <c r="E250" s="5">
        <v>34.6</v>
      </c>
      <c r="F250" t="str">
        <f t="shared" si="9"/>
        <v>63-J234-J228</v>
      </c>
      <c r="H250" s="92">
        <v>63</v>
      </c>
      <c r="I250" s="95" t="s">
        <v>335</v>
      </c>
      <c r="J250" s="95" t="s">
        <v>195</v>
      </c>
      <c r="K250" s="92">
        <v>172.3</v>
      </c>
      <c r="L250" t="str">
        <f t="shared" si="10"/>
        <v>63-J128-J184</v>
      </c>
    </row>
    <row r="251" spans="2:12" ht="15.75">
      <c r="B251" s="5">
        <v>63</v>
      </c>
      <c r="C251" s="5" t="s">
        <v>406</v>
      </c>
      <c r="D251" s="5" t="s">
        <v>318</v>
      </c>
      <c r="E251" s="5">
        <v>95.6</v>
      </c>
      <c r="F251" t="str">
        <f t="shared" si="9"/>
        <v>63-J42-J52</v>
      </c>
      <c r="H251" s="92">
        <v>63</v>
      </c>
      <c r="I251" s="95" t="s">
        <v>335</v>
      </c>
      <c r="J251" s="95" t="s">
        <v>717</v>
      </c>
      <c r="K251" s="92">
        <v>40.6</v>
      </c>
      <c r="L251" t="str">
        <f t="shared" si="10"/>
        <v>63-J128-J182</v>
      </c>
    </row>
    <row r="252" spans="2:12" ht="15.75">
      <c r="B252" s="5">
        <v>63</v>
      </c>
      <c r="C252" s="5" t="s">
        <v>416</v>
      </c>
      <c r="D252" s="5" t="s">
        <v>265</v>
      </c>
      <c r="E252" s="5">
        <v>10</v>
      </c>
      <c r="F252" t="str">
        <f t="shared" si="9"/>
        <v>63-J37-J36</v>
      </c>
      <c r="H252" s="92">
        <v>63</v>
      </c>
      <c r="I252" s="95" t="s">
        <v>460</v>
      </c>
      <c r="J252" s="95" t="s">
        <v>203</v>
      </c>
      <c r="K252" s="92">
        <v>33.299999999999997</v>
      </c>
      <c r="L252" t="str">
        <f t="shared" si="10"/>
        <v>63-J218-J208</v>
      </c>
    </row>
    <row r="253" spans="2:12" ht="15.75">
      <c r="B253" s="5">
        <v>63</v>
      </c>
      <c r="C253" s="5" t="s">
        <v>256</v>
      </c>
      <c r="D253" s="5" t="s">
        <v>258</v>
      </c>
      <c r="E253" s="5">
        <v>25</v>
      </c>
      <c r="F253" t="str">
        <f t="shared" si="9"/>
        <v>63-J76-J72</v>
      </c>
      <c r="H253" s="92">
        <v>63</v>
      </c>
      <c r="I253" s="95" t="s">
        <v>203</v>
      </c>
      <c r="J253" s="95" t="s">
        <v>572</v>
      </c>
      <c r="K253" s="92">
        <v>33.200000000000003</v>
      </c>
      <c r="L253" t="str">
        <f t="shared" si="10"/>
        <v>63-J208-J171</v>
      </c>
    </row>
    <row r="254" spans="2:12" ht="15.75">
      <c r="B254" s="5">
        <v>63</v>
      </c>
      <c r="C254" s="5" t="s">
        <v>977</v>
      </c>
      <c r="D254" s="5" t="s">
        <v>1017</v>
      </c>
      <c r="E254" s="5">
        <v>86.3</v>
      </c>
      <c r="F254" t="str">
        <f t="shared" si="9"/>
        <v>63-J318-J328</v>
      </c>
      <c r="H254" s="92">
        <v>63</v>
      </c>
      <c r="I254" s="95" t="s">
        <v>572</v>
      </c>
      <c r="J254" s="95" t="s">
        <v>695</v>
      </c>
      <c r="K254" s="92">
        <v>39.799999999999997</v>
      </c>
      <c r="L254" t="str">
        <f t="shared" si="10"/>
        <v>63-J171-J235</v>
      </c>
    </row>
    <row r="255" spans="2:12" ht="15.75">
      <c r="B255" s="5">
        <v>63</v>
      </c>
      <c r="C255" s="5" t="s">
        <v>1281</v>
      </c>
      <c r="D255" s="5" t="s">
        <v>1286</v>
      </c>
      <c r="E255" s="5">
        <v>29.8</v>
      </c>
      <c r="F255" t="str">
        <f t="shared" si="9"/>
        <v>63-J354-J347</v>
      </c>
      <c r="H255" s="92">
        <v>63</v>
      </c>
      <c r="I255" s="95" t="s">
        <v>695</v>
      </c>
      <c r="J255" s="95" t="s">
        <v>578</v>
      </c>
      <c r="K255" s="92">
        <v>11</v>
      </c>
      <c r="L255" t="str">
        <f t="shared" si="10"/>
        <v>63-J235-J222</v>
      </c>
    </row>
    <row r="256" spans="2:12" ht="15.75">
      <c r="B256" s="5">
        <v>63</v>
      </c>
      <c r="C256" s="5" t="s">
        <v>1287</v>
      </c>
      <c r="D256" s="5" t="s">
        <v>1128</v>
      </c>
      <c r="E256" s="5">
        <v>278.39999999999998</v>
      </c>
      <c r="F256" t="str">
        <f t="shared" si="9"/>
        <v>63-J370-J311</v>
      </c>
      <c r="H256" s="92">
        <v>63</v>
      </c>
      <c r="I256" s="95" t="s">
        <v>683</v>
      </c>
      <c r="J256" s="95" t="s">
        <v>615</v>
      </c>
      <c r="K256" s="92">
        <v>228.9</v>
      </c>
      <c r="L256" t="str">
        <f t="shared" si="10"/>
        <v>63-J221-J239</v>
      </c>
    </row>
    <row r="257" spans="2:12" ht="15.75">
      <c r="B257" s="5">
        <v>63</v>
      </c>
      <c r="C257" s="5" t="s">
        <v>1323</v>
      </c>
      <c r="D257" s="5" t="s">
        <v>1325</v>
      </c>
      <c r="E257" s="5">
        <v>51.5</v>
      </c>
      <c r="F257" t="str">
        <f t="shared" si="9"/>
        <v>63-J297-J290</v>
      </c>
      <c r="H257" s="92">
        <v>63</v>
      </c>
      <c r="I257" s="95" t="s">
        <v>583</v>
      </c>
      <c r="J257" s="95" t="s">
        <v>566</v>
      </c>
      <c r="K257" s="92">
        <v>251</v>
      </c>
      <c r="L257" t="str">
        <f t="shared" si="10"/>
        <v>63-J238-J247</v>
      </c>
    </row>
    <row r="258" spans="2:12" ht="15.75">
      <c r="B258" s="5">
        <v>63</v>
      </c>
      <c r="C258" s="5" t="s">
        <v>1323</v>
      </c>
      <c r="D258" s="5" t="s">
        <v>1255</v>
      </c>
      <c r="E258" s="5">
        <v>7</v>
      </c>
      <c r="F258" t="str">
        <f t="shared" si="9"/>
        <v>63-J297-J292</v>
      </c>
      <c r="H258" s="92">
        <v>63</v>
      </c>
      <c r="I258" s="95" t="s">
        <v>616</v>
      </c>
      <c r="J258" s="95" t="s">
        <v>609</v>
      </c>
      <c r="K258" s="92">
        <v>33.200000000000003</v>
      </c>
      <c r="L258" t="str">
        <f t="shared" si="10"/>
        <v>63-J168-J225</v>
      </c>
    </row>
    <row r="259" spans="2:12" ht="15.75">
      <c r="B259" s="67">
        <v>75</v>
      </c>
      <c r="C259" s="67" t="s">
        <v>1305</v>
      </c>
      <c r="D259" s="67" t="s">
        <v>726</v>
      </c>
      <c r="E259" s="67">
        <v>132.30000000000001</v>
      </c>
      <c r="F259" t="str">
        <f t="shared" si="9"/>
        <v>75-j227-j149</v>
      </c>
      <c r="H259" s="92">
        <v>63</v>
      </c>
      <c r="I259" s="95" t="s">
        <v>609</v>
      </c>
      <c r="J259" s="95" t="s">
        <v>215</v>
      </c>
      <c r="K259" s="92">
        <v>23.2</v>
      </c>
      <c r="L259" t="str">
        <f t="shared" si="10"/>
        <v>63-J225-J190</v>
      </c>
    </row>
    <row r="260" spans="2:12" ht="15.75">
      <c r="B260" s="67">
        <v>75</v>
      </c>
      <c r="C260" s="67" t="s">
        <v>1323</v>
      </c>
      <c r="D260" s="67" t="s">
        <v>1255</v>
      </c>
      <c r="E260" s="67">
        <v>67.599999999999994</v>
      </c>
      <c r="F260" t="str">
        <f t="shared" si="9"/>
        <v>75-J297-J292</v>
      </c>
      <c r="H260" s="92">
        <v>63</v>
      </c>
      <c r="I260" s="92" t="s">
        <v>215</v>
      </c>
      <c r="J260" s="92" t="s">
        <v>587</v>
      </c>
      <c r="K260" s="92">
        <v>16.899999999999999</v>
      </c>
      <c r="L260" t="str">
        <f t="shared" si="10"/>
        <v>63-J190-J257</v>
      </c>
    </row>
    <row r="261" spans="2:12" ht="15.75">
      <c r="B261" s="67">
        <v>75</v>
      </c>
      <c r="C261" s="67" t="s">
        <v>283</v>
      </c>
      <c r="D261" s="67" t="s">
        <v>318</v>
      </c>
      <c r="E261" s="102">
        <v>111.4</v>
      </c>
      <c r="F261" t="str">
        <f t="shared" si="9"/>
        <v>75-J22-J52</v>
      </c>
      <c r="H261" s="92">
        <v>63</v>
      </c>
      <c r="I261" s="92" t="s">
        <v>575</v>
      </c>
      <c r="J261" s="92" t="s">
        <v>235</v>
      </c>
      <c r="K261" s="92">
        <v>91.4</v>
      </c>
      <c r="L261" t="str">
        <f t="shared" si="10"/>
        <v>63-J199-J129</v>
      </c>
    </row>
    <row r="262" spans="2:12" ht="15.75">
      <c r="B262" s="67">
        <v>75</v>
      </c>
      <c r="C262" s="67" t="s">
        <v>1266</v>
      </c>
      <c r="D262" s="67" t="s">
        <v>978</v>
      </c>
      <c r="E262" s="102">
        <v>28.6</v>
      </c>
      <c r="F262" t="str">
        <f t="shared" si="9"/>
        <v>75-J319-J323</v>
      </c>
      <c r="H262" s="92">
        <v>63</v>
      </c>
      <c r="I262" s="92" t="s">
        <v>235</v>
      </c>
      <c r="J262" s="92" t="s">
        <v>932</v>
      </c>
      <c r="K262" s="92">
        <v>46.1</v>
      </c>
      <c r="L262" t="str">
        <f t="shared" si="10"/>
        <v>63-J129-J200</v>
      </c>
    </row>
    <row r="263" spans="2:12" ht="15.75">
      <c r="B263" s="67">
        <v>75</v>
      </c>
      <c r="C263" s="67" t="s">
        <v>978</v>
      </c>
      <c r="D263" s="67" t="s">
        <v>551</v>
      </c>
      <c r="E263" s="102">
        <v>135.9</v>
      </c>
      <c r="F263" t="str">
        <f t="shared" si="9"/>
        <v>75-J323-J295</v>
      </c>
      <c r="H263" s="92">
        <v>90</v>
      </c>
      <c r="I263" s="92" t="s">
        <v>290</v>
      </c>
      <c r="J263" s="92" t="s">
        <v>575</v>
      </c>
      <c r="K263" s="92">
        <v>60.6</v>
      </c>
      <c r="L263" t="str">
        <f t="shared" si="10"/>
        <v>90-J179-J199</v>
      </c>
    </row>
    <row r="264" spans="2:12" ht="15.75">
      <c r="B264" s="67">
        <v>75</v>
      </c>
      <c r="C264" s="67" t="s">
        <v>1266</v>
      </c>
      <c r="D264" s="67" t="s">
        <v>1018</v>
      </c>
      <c r="E264" s="102">
        <v>91</v>
      </c>
      <c r="F264" t="str">
        <f t="shared" si="9"/>
        <v>75-J319-J339</v>
      </c>
      <c r="H264" s="92">
        <v>90</v>
      </c>
      <c r="I264" s="92" t="s">
        <v>575</v>
      </c>
      <c r="J264" s="92" t="s">
        <v>683</v>
      </c>
      <c r="K264" s="92">
        <v>226</v>
      </c>
      <c r="L264" t="str">
        <f t="shared" si="10"/>
        <v>90-J199-J221</v>
      </c>
    </row>
    <row r="265" spans="2:12" ht="15.75">
      <c r="B265" s="67">
        <v>75</v>
      </c>
      <c r="C265" s="67" t="s">
        <v>1018</v>
      </c>
      <c r="D265" s="67" t="s">
        <v>1322</v>
      </c>
      <c r="E265" s="102">
        <v>18</v>
      </c>
      <c r="F265" t="str">
        <f t="shared" si="9"/>
        <v>75-J339-J343</v>
      </c>
      <c r="H265" s="92">
        <v>90</v>
      </c>
      <c r="I265" s="92" t="s">
        <v>683</v>
      </c>
      <c r="J265" s="92" t="s">
        <v>617</v>
      </c>
      <c r="K265" s="92">
        <f>6.2+216.1</f>
        <v>222.29999999999998</v>
      </c>
      <c r="L265" t="str">
        <f t="shared" si="10"/>
        <v>90-J221-J227</v>
      </c>
    </row>
    <row r="266" spans="2:12" ht="15.75">
      <c r="B266" s="67">
        <v>75</v>
      </c>
      <c r="C266" s="67" t="s">
        <v>1322</v>
      </c>
      <c r="D266" s="67" t="s">
        <v>1268</v>
      </c>
      <c r="E266" s="102">
        <v>31</v>
      </c>
      <c r="F266" t="str">
        <f t="shared" si="9"/>
        <v>75-J343-J333</v>
      </c>
      <c r="H266" s="92">
        <v>75</v>
      </c>
      <c r="I266" s="94" t="s">
        <v>617</v>
      </c>
      <c r="J266" s="94" t="s">
        <v>228</v>
      </c>
      <c r="K266" s="92">
        <v>132.30000000000001</v>
      </c>
      <c r="L266" t="str">
        <f t="shared" si="10"/>
        <v>75-J227-J149</v>
      </c>
    </row>
    <row r="267" spans="2:12" ht="15.75">
      <c r="B267" s="67">
        <v>75</v>
      </c>
      <c r="C267" s="67" t="s">
        <v>1268</v>
      </c>
      <c r="D267" s="67" t="s">
        <v>1077</v>
      </c>
      <c r="E267" s="102">
        <v>82.4</v>
      </c>
      <c r="F267" t="str">
        <f t="shared" si="9"/>
        <v>75-J333-J358</v>
      </c>
      <c r="H267" s="92">
        <v>63</v>
      </c>
      <c r="I267" s="94" t="s">
        <v>617</v>
      </c>
      <c r="J267" s="94" t="s">
        <v>583</v>
      </c>
      <c r="K267" s="92">
        <v>228.9</v>
      </c>
      <c r="L267" t="str">
        <f t="shared" si="10"/>
        <v>63-J227-J238</v>
      </c>
    </row>
    <row r="268" spans="2:12" ht="15.75">
      <c r="B268" s="67">
        <v>75</v>
      </c>
      <c r="C268" s="103" t="s">
        <v>1077</v>
      </c>
      <c r="D268" s="103" t="s">
        <v>1271</v>
      </c>
      <c r="E268" s="102">
        <v>43.6</v>
      </c>
      <c r="F268" t="str">
        <f t="shared" si="9"/>
        <v>75-J358-J366</v>
      </c>
      <c r="H268" s="92">
        <v>63</v>
      </c>
      <c r="I268" s="92" t="s">
        <v>583</v>
      </c>
      <c r="J268" s="92" t="s">
        <v>205</v>
      </c>
      <c r="K268" s="92">
        <v>59.4</v>
      </c>
      <c r="L268" t="str">
        <f t="shared" si="10"/>
        <v>63-J238-J201</v>
      </c>
    </row>
    <row r="269" spans="2:12" ht="15.75">
      <c r="B269" s="67">
        <v>75</v>
      </c>
      <c r="C269" s="67" t="s">
        <v>1271</v>
      </c>
      <c r="D269" s="67" t="s">
        <v>1274</v>
      </c>
      <c r="E269" s="67">
        <v>105.8</v>
      </c>
      <c r="F269" t="str">
        <f t="shared" si="9"/>
        <v>75-J366-J348</v>
      </c>
      <c r="H269" s="92">
        <v>63</v>
      </c>
      <c r="I269" s="92" t="s">
        <v>583</v>
      </c>
      <c r="J269" s="92" t="s">
        <v>566</v>
      </c>
      <c r="K269" s="92">
        <v>251</v>
      </c>
      <c r="L269" t="str">
        <f t="shared" si="10"/>
        <v>63-J238-J247</v>
      </c>
    </row>
    <row r="270" spans="2:12" ht="15.75">
      <c r="B270" s="67">
        <v>75</v>
      </c>
      <c r="C270" s="67" t="s">
        <v>262</v>
      </c>
      <c r="D270" s="67" t="s">
        <v>316</v>
      </c>
      <c r="E270" s="67">
        <v>151.19999999999999</v>
      </c>
      <c r="F270" t="str">
        <f t="shared" si="9"/>
        <v>75-J58-J38</v>
      </c>
      <c r="H270" s="92">
        <v>63</v>
      </c>
      <c r="I270" s="92" t="s">
        <v>566</v>
      </c>
      <c r="J270" s="92" t="s">
        <v>587</v>
      </c>
      <c r="K270" s="92">
        <f>104.1+5</f>
        <v>109.1</v>
      </c>
      <c r="L270" t="str">
        <f t="shared" si="10"/>
        <v>63-J247-J257</v>
      </c>
    </row>
    <row r="271" spans="2:12" ht="15.75">
      <c r="B271" s="67">
        <v>75</v>
      </c>
      <c r="C271" s="67" t="s">
        <v>316</v>
      </c>
      <c r="D271" s="67" t="s">
        <v>246</v>
      </c>
      <c r="E271" s="67">
        <v>551.6</v>
      </c>
      <c r="F271" t="str">
        <f t="shared" si="9"/>
        <v>75-J38-J95</v>
      </c>
      <c r="H271" s="92">
        <v>63</v>
      </c>
      <c r="I271" s="92" t="s">
        <v>587</v>
      </c>
      <c r="J271" s="92" t="s">
        <v>1246</v>
      </c>
      <c r="K271" s="92">
        <v>39</v>
      </c>
      <c r="L271" t="str">
        <f t="shared" si="10"/>
        <v>63-J257-J272</v>
      </c>
    </row>
    <row r="272" spans="2:12" ht="15.75">
      <c r="B272" s="67">
        <v>75</v>
      </c>
      <c r="C272" s="67" t="s">
        <v>318</v>
      </c>
      <c r="D272" s="67" t="s">
        <v>419</v>
      </c>
      <c r="E272" s="67">
        <v>135.80000000000001</v>
      </c>
      <c r="F272" t="str">
        <f t="shared" si="9"/>
        <v>75-J52-J69</v>
      </c>
      <c r="H272" s="92">
        <v>63</v>
      </c>
      <c r="I272" s="92" t="s">
        <v>1246</v>
      </c>
      <c r="J272" s="92" t="s">
        <v>708</v>
      </c>
      <c r="K272" s="92">
        <v>43.4</v>
      </c>
      <c r="L272" t="str">
        <f t="shared" si="10"/>
        <v>63-J272-J237</v>
      </c>
    </row>
    <row r="273" spans="2:12" ht="15.75">
      <c r="B273" s="67">
        <v>75</v>
      </c>
      <c r="C273" s="67" t="s">
        <v>435</v>
      </c>
      <c r="D273" s="67" t="s">
        <v>237</v>
      </c>
      <c r="E273" s="67">
        <v>45.7</v>
      </c>
      <c r="F273" t="str">
        <f t="shared" si="9"/>
        <v>75-J133-J121</v>
      </c>
      <c r="H273" s="92">
        <v>63</v>
      </c>
      <c r="I273" s="92" t="s">
        <v>708</v>
      </c>
      <c r="J273" s="92" t="s">
        <v>582</v>
      </c>
      <c r="K273" s="92">
        <v>29.3</v>
      </c>
      <c r="L273" t="str">
        <f t="shared" si="10"/>
        <v>63-J237-J236</v>
      </c>
    </row>
    <row r="274" spans="2:12" ht="15.75">
      <c r="B274" s="5">
        <v>90</v>
      </c>
      <c r="C274" s="5" t="s">
        <v>210</v>
      </c>
      <c r="D274" s="5" t="s">
        <v>190</v>
      </c>
      <c r="E274" s="5">
        <v>269.10000000000002</v>
      </c>
      <c r="F274" t="str">
        <f t="shared" si="9"/>
        <v>90-J196-J154</v>
      </c>
      <c r="H274" s="92">
        <v>63</v>
      </c>
      <c r="I274" s="92" t="s">
        <v>582</v>
      </c>
      <c r="J274" s="92" t="s">
        <v>704</v>
      </c>
      <c r="K274" s="92">
        <v>13.5</v>
      </c>
      <c r="L274" t="str">
        <f t="shared" si="10"/>
        <v>63-J236-J216</v>
      </c>
    </row>
    <row r="275" spans="2:12" ht="15.75">
      <c r="B275" s="5">
        <v>90</v>
      </c>
      <c r="C275" s="5" t="s">
        <v>95</v>
      </c>
      <c r="D275" s="5" t="s">
        <v>1304</v>
      </c>
      <c r="E275" s="5">
        <v>60.6</v>
      </c>
      <c r="F275" t="str">
        <f t="shared" si="9"/>
        <v>90-j179-j199</v>
      </c>
      <c r="H275" s="92">
        <v>63</v>
      </c>
      <c r="I275" s="92" t="s">
        <v>708</v>
      </c>
      <c r="J275" s="92" t="s">
        <v>568</v>
      </c>
      <c r="K275" s="92">
        <v>80</v>
      </c>
      <c r="L275" t="str">
        <f t="shared" si="10"/>
        <v>63-J237-J172</v>
      </c>
    </row>
    <row r="276" spans="2:12" ht="15.75">
      <c r="B276" s="5">
        <v>90</v>
      </c>
      <c r="C276" s="5" t="s">
        <v>1304</v>
      </c>
      <c r="D276" s="5" t="s">
        <v>1299</v>
      </c>
      <c r="E276" s="5">
        <v>226</v>
      </c>
      <c r="F276" t="str">
        <f t="shared" si="9"/>
        <v>90-j199-j221</v>
      </c>
      <c r="H276" s="92">
        <v>63</v>
      </c>
      <c r="I276" s="92" t="s">
        <v>704</v>
      </c>
      <c r="J276" s="92" t="s">
        <v>1337</v>
      </c>
      <c r="K276" s="92">
        <v>51.6</v>
      </c>
      <c r="L276" t="str">
        <f t="shared" si="10"/>
        <v>63-J216-J255</v>
      </c>
    </row>
    <row r="277" spans="2:12" ht="15.75">
      <c r="B277" s="5">
        <v>90</v>
      </c>
      <c r="C277" s="5" t="s">
        <v>1299</v>
      </c>
      <c r="D277" s="5" t="s">
        <v>1305</v>
      </c>
      <c r="E277" s="5">
        <v>6.2</v>
      </c>
      <c r="F277" t="str">
        <f t="shared" si="9"/>
        <v>90-j221-j227</v>
      </c>
      <c r="H277" s="92">
        <v>63</v>
      </c>
      <c r="I277" s="92" t="s">
        <v>1337</v>
      </c>
      <c r="J277" s="92" t="s">
        <v>462</v>
      </c>
      <c r="K277" s="92">
        <v>24.9</v>
      </c>
      <c r="L277" t="str">
        <f t="shared" si="10"/>
        <v>63-J255-J244</v>
      </c>
    </row>
    <row r="278" spans="2:12" ht="15.75">
      <c r="B278" s="5">
        <v>90</v>
      </c>
      <c r="C278" s="5" t="s">
        <v>1299</v>
      </c>
      <c r="D278" s="5" t="s">
        <v>1305</v>
      </c>
      <c r="E278" s="5">
        <v>216.1</v>
      </c>
      <c r="F278" t="str">
        <f t="shared" si="9"/>
        <v>90-j221-j227</v>
      </c>
      <c r="H278" s="92">
        <v>63</v>
      </c>
      <c r="I278" s="92" t="s">
        <v>462</v>
      </c>
      <c r="J278" s="92" t="s">
        <v>694</v>
      </c>
      <c r="K278" s="92">
        <v>29.1</v>
      </c>
      <c r="L278" t="str">
        <f t="shared" si="10"/>
        <v>63-J244-J245</v>
      </c>
    </row>
    <row r="279" spans="2:12" ht="15.75">
      <c r="B279" s="5">
        <v>90</v>
      </c>
      <c r="C279" s="6" t="s">
        <v>1238</v>
      </c>
      <c r="D279" s="6" t="s">
        <v>95</v>
      </c>
      <c r="E279" s="5">
        <v>35.5</v>
      </c>
      <c r="F279" t="str">
        <f t="shared" si="9"/>
        <v>90-j101-j179</v>
      </c>
      <c r="H279" s="92">
        <v>63</v>
      </c>
      <c r="I279" s="92" t="s">
        <v>699</v>
      </c>
      <c r="J279" s="92" t="s">
        <v>582</v>
      </c>
      <c r="K279" s="92">
        <v>62.9</v>
      </c>
      <c r="L279" t="str">
        <f t="shared" si="10"/>
        <v>63-J250-J236</v>
      </c>
    </row>
    <row r="280" spans="2:12" ht="15.75">
      <c r="B280" s="5">
        <v>90</v>
      </c>
      <c r="C280" s="6" t="s">
        <v>1238</v>
      </c>
      <c r="D280" s="6" t="s">
        <v>95</v>
      </c>
      <c r="E280" s="5">
        <v>4.3</v>
      </c>
      <c r="F280" t="str">
        <f t="shared" si="9"/>
        <v>90-j101-j179</v>
      </c>
      <c r="H280" s="92">
        <v>63</v>
      </c>
      <c r="I280" s="92" t="s">
        <v>1246</v>
      </c>
      <c r="J280" s="92" t="s">
        <v>555</v>
      </c>
      <c r="K280" s="92">
        <v>38.299999999999997</v>
      </c>
      <c r="L280" t="str">
        <f t="shared" si="10"/>
        <v>63-J272-J256</v>
      </c>
    </row>
    <row r="281" spans="2:12" ht="15.75">
      <c r="B281" s="18">
        <v>90</v>
      </c>
      <c r="C281" s="6" t="s">
        <v>1003</v>
      </c>
      <c r="D281" s="6" t="s">
        <v>1086</v>
      </c>
      <c r="E281" s="18">
        <v>188</v>
      </c>
      <c r="F281" t="str">
        <f t="shared" si="9"/>
        <v>90-J368-J266</v>
      </c>
      <c r="H281" s="92">
        <v>63</v>
      </c>
      <c r="I281" s="92" t="s">
        <v>555</v>
      </c>
      <c r="J281" s="92" t="s">
        <v>699</v>
      </c>
      <c r="K281" s="92">
        <v>41</v>
      </c>
      <c r="L281" t="str">
        <f t="shared" si="10"/>
        <v>63-J256-J250</v>
      </c>
    </row>
    <row r="282" spans="2:12" ht="15.75">
      <c r="B282" s="18">
        <v>90</v>
      </c>
      <c r="C282" s="6" t="s">
        <v>1051</v>
      </c>
      <c r="D282" s="6" t="s">
        <v>680</v>
      </c>
      <c r="E282" s="18">
        <v>154.6</v>
      </c>
      <c r="F282" t="str">
        <f t="shared" si="9"/>
        <v>90-J310-J223</v>
      </c>
      <c r="H282" s="92">
        <v>63</v>
      </c>
      <c r="I282" s="92" t="s">
        <v>699</v>
      </c>
      <c r="J282" s="92" t="s">
        <v>287</v>
      </c>
      <c r="K282" s="92">
        <v>57.9</v>
      </c>
      <c r="L282" t="str">
        <f t="shared" si="10"/>
        <v>63-J250-J181</v>
      </c>
    </row>
    <row r="283" spans="2:12" ht="15.75">
      <c r="B283" s="18">
        <v>90</v>
      </c>
      <c r="C283" s="6" t="s">
        <v>680</v>
      </c>
      <c r="D283" s="6" t="s">
        <v>847</v>
      </c>
      <c r="E283" s="18">
        <v>95.6</v>
      </c>
      <c r="F283" t="str">
        <f t="shared" si="9"/>
        <v>90-J223-J145</v>
      </c>
      <c r="H283" s="92">
        <v>63</v>
      </c>
      <c r="I283" s="92" t="s">
        <v>287</v>
      </c>
      <c r="J283" s="92" t="s">
        <v>206</v>
      </c>
      <c r="K283" s="92">
        <v>109</v>
      </c>
      <c r="L283" t="str">
        <f t="shared" si="10"/>
        <v>63-J181-J202</v>
      </c>
    </row>
    <row r="284" spans="2:12" ht="15.75">
      <c r="B284" s="5">
        <v>90</v>
      </c>
      <c r="C284" s="70" t="s">
        <v>307</v>
      </c>
      <c r="D284" s="70" t="s">
        <v>347</v>
      </c>
      <c r="E284" s="18">
        <v>25</v>
      </c>
      <c r="F284" t="str">
        <f t="shared" si="9"/>
        <v>90-J99-J104</v>
      </c>
      <c r="H284" s="92">
        <v>63</v>
      </c>
      <c r="I284" s="92" t="s">
        <v>287</v>
      </c>
      <c r="J284" s="92" t="s">
        <v>665</v>
      </c>
      <c r="K284" s="92">
        <v>44</v>
      </c>
      <c r="L284" t="str">
        <f t="shared" si="10"/>
        <v>63-J181-J153</v>
      </c>
    </row>
    <row r="285" spans="2:12" ht="15.75">
      <c r="B285" s="5">
        <v>90</v>
      </c>
      <c r="C285" s="70" t="s">
        <v>347</v>
      </c>
      <c r="D285" s="70" t="s">
        <v>190</v>
      </c>
      <c r="E285" s="5">
        <v>170</v>
      </c>
      <c r="F285" t="str">
        <f t="shared" si="9"/>
        <v>90-J104-J154</v>
      </c>
      <c r="H285" s="92">
        <v>63</v>
      </c>
      <c r="I285" s="92" t="s">
        <v>665</v>
      </c>
      <c r="J285" s="92" t="s">
        <v>295</v>
      </c>
      <c r="K285" s="92">
        <v>86.4</v>
      </c>
      <c r="L285" t="str">
        <f t="shared" si="10"/>
        <v>63-J153-J162</v>
      </c>
    </row>
    <row r="286" spans="2:12">
      <c r="B286" s="5">
        <v>90</v>
      </c>
      <c r="C286" s="70" t="s">
        <v>345</v>
      </c>
      <c r="D286" s="70" t="s">
        <v>847</v>
      </c>
      <c r="E286" s="5">
        <v>25</v>
      </c>
      <c r="F286" t="str">
        <f t="shared" si="9"/>
        <v>90-J112-J145</v>
      </c>
      <c r="H286" s="5">
        <v>63</v>
      </c>
      <c r="I286" s="5" t="s">
        <v>566</v>
      </c>
      <c r="J286" s="5" t="s">
        <v>548</v>
      </c>
      <c r="K286" s="18">
        <v>37.1</v>
      </c>
      <c r="L286" t="str">
        <f t="shared" si="10"/>
        <v>63-J247-J253</v>
      </c>
    </row>
    <row r="287" spans="2:12">
      <c r="B287" s="5">
        <v>90</v>
      </c>
      <c r="C287" s="6" t="s">
        <v>1003</v>
      </c>
      <c r="D287" s="6" t="s">
        <v>1051</v>
      </c>
      <c r="E287" s="5">
        <v>28.7</v>
      </c>
      <c r="F287" t="str">
        <f t="shared" si="9"/>
        <v>90-J368-J310</v>
      </c>
      <c r="H287" s="5">
        <v>63</v>
      </c>
      <c r="I287" s="5" t="s">
        <v>548</v>
      </c>
      <c r="J287" s="5" t="s">
        <v>686</v>
      </c>
      <c r="K287" s="18">
        <v>94.7</v>
      </c>
      <c r="L287" t="str">
        <f t="shared" si="10"/>
        <v>63-J253-J213</v>
      </c>
    </row>
    <row r="288" spans="2:12">
      <c r="B288" s="5">
        <v>110</v>
      </c>
      <c r="C288" s="5" t="s">
        <v>258</v>
      </c>
      <c r="D288" s="5" t="s">
        <v>269</v>
      </c>
      <c r="E288" s="5">
        <v>134.4</v>
      </c>
      <c r="F288" t="str">
        <f t="shared" si="9"/>
        <v>110-J72-J81</v>
      </c>
      <c r="H288" s="5">
        <v>63</v>
      </c>
      <c r="I288" s="5" t="s">
        <v>548</v>
      </c>
      <c r="J288" s="5" t="s">
        <v>698</v>
      </c>
      <c r="K288" s="18">
        <v>40</v>
      </c>
      <c r="L288" t="str">
        <f t="shared" si="10"/>
        <v>63-J253-J248</v>
      </c>
    </row>
    <row r="289" spans="2:12">
      <c r="B289" s="5">
        <v>110</v>
      </c>
      <c r="C289" s="5" t="s">
        <v>269</v>
      </c>
      <c r="D289" s="5" t="s">
        <v>358</v>
      </c>
      <c r="E289" s="5">
        <v>50.4</v>
      </c>
      <c r="F289" t="str">
        <f t="shared" si="9"/>
        <v>110-J81-J101</v>
      </c>
      <c r="H289" s="5">
        <v>63</v>
      </c>
      <c r="I289" s="5" t="s">
        <v>698</v>
      </c>
      <c r="J289" s="5" t="s">
        <v>1107</v>
      </c>
      <c r="K289" s="18">
        <v>34</v>
      </c>
      <c r="L289" t="str">
        <f t="shared" si="10"/>
        <v>63-J248-J270</v>
      </c>
    </row>
    <row r="290" spans="2:12">
      <c r="B290" s="5">
        <v>110</v>
      </c>
      <c r="C290" s="5" t="s">
        <v>426</v>
      </c>
      <c r="D290" s="5" t="s">
        <v>398</v>
      </c>
      <c r="E290" s="5">
        <v>120.1</v>
      </c>
      <c r="F290" t="str">
        <f t="shared" si="9"/>
        <v>110-J70-J68</v>
      </c>
      <c r="H290" s="5">
        <v>63</v>
      </c>
      <c r="I290" s="5" t="s">
        <v>1107</v>
      </c>
      <c r="J290" s="5" t="s">
        <v>1320</v>
      </c>
      <c r="K290" s="18">
        <v>21.3</v>
      </c>
      <c r="L290" t="str">
        <f t="shared" si="10"/>
        <v>63-J270-J278</v>
      </c>
    </row>
    <row r="291" spans="2:12">
      <c r="B291" s="5">
        <v>110</v>
      </c>
      <c r="C291" s="5" t="s">
        <v>398</v>
      </c>
      <c r="D291" s="5" t="s">
        <v>262</v>
      </c>
      <c r="E291" s="5">
        <v>32.9</v>
      </c>
      <c r="F291" t="str">
        <f t="shared" si="9"/>
        <v>110-J68-J58</v>
      </c>
      <c r="H291" s="5">
        <v>63</v>
      </c>
      <c r="I291" s="5" t="s">
        <v>1074</v>
      </c>
      <c r="J291" s="5" t="s">
        <v>1056</v>
      </c>
      <c r="K291" s="18">
        <v>22.8</v>
      </c>
      <c r="L291" t="str">
        <f t="shared" si="10"/>
        <v>63-J338-J307</v>
      </c>
    </row>
    <row r="292" spans="2:12">
      <c r="B292" s="5">
        <v>110</v>
      </c>
      <c r="C292" s="5" t="s">
        <v>575</v>
      </c>
      <c r="D292" s="5" t="s">
        <v>339</v>
      </c>
      <c r="E292" s="5">
        <v>186.9</v>
      </c>
      <c r="F292" t="str">
        <f t="shared" si="9"/>
        <v>110-J199-J123</v>
      </c>
      <c r="H292" s="5">
        <v>63</v>
      </c>
      <c r="I292" s="5" t="s">
        <v>1056</v>
      </c>
      <c r="J292" s="5" t="s">
        <v>1244</v>
      </c>
      <c r="K292" s="18">
        <v>29.4</v>
      </c>
      <c r="L292" t="str">
        <f t="shared" si="10"/>
        <v>63-J307-J276</v>
      </c>
    </row>
    <row r="293" spans="2:12">
      <c r="B293" s="5">
        <v>110</v>
      </c>
      <c r="C293" s="5" t="s">
        <v>339</v>
      </c>
      <c r="D293" s="5" t="s">
        <v>662</v>
      </c>
      <c r="E293" s="5">
        <v>79.8</v>
      </c>
      <c r="F293" t="str">
        <f t="shared" si="9"/>
        <v>110-J123-J148</v>
      </c>
      <c r="H293" s="5">
        <v>63</v>
      </c>
      <c r="I293" s="5" t="s">
        <v>1056</v>
      </c>
      <c r="J293" s="5" t="s">
        <v>990</v>
      </c>
      <c r="K293" s="18">
        <v>39.9</v>
      </c>
      <c r="L293" t="str">
        <f t="shared" si="10"/>
        <v>63-J307-J304</v>
      </c>
    </row>
    <row r="294" spans="2:12">
      <c r="B294" s="5">
        <v>110</v>
      </c>
      <c r="C294" s="5" t="s">
        <v>662</v>
      </c>
      <c r="D294" s="5" t="s">
        <v>345</v>
      </c>
      <c r="E294" s="5">
        <v>160.1</v>
      </c>
      <c r="F294" t="str">
        <f t="shared" si="9"/>
        <v>110-J148-J112</v>
      </c>
      <c r="H294" s="5">
        <v>63</v>
      </c>
      <c r="I294" s="5" t="s">
        <v>698</v>
      </c>
      <c r="J294" s="5" t="s">
        <v>1321</v>
      </c>
      <c r="K294" s="18">
        <v>81</v>
      </c>
      <c r="L294" t="str">
        <f t="shared" si="10"/>
        <v>63-J248-J226</v>
      </c>
    </row>
    <row r="295" spans="2:12">
      <c r="B295" s="5">
        <v>110</v>
      </c>
      <c r="C295" s="5" t="s">
        <v>525</v>
      </c>
      <c r="D295" s="5" t="s">
        <v>506</v>
      </c>
      <c r="E295" s="5">
        <v>56.7</v>
      </c>
      <c r="F295" t="str">
        <f t="shared" si="9"/>
        <v>110-J35-J29</v>
      </c>
      <c r="H295" s="5">
        <v>63</v>
      </c>
      <c r="I295" s="5" t="s">
        <v>1321</v>
      </c>
      <c r="J295" s="5" t="s">
        <v>580</v>
      </c>
      <c r="K295" s="18">
        <v>45.8</v>
      </c>
      <c r="L295" t="str">
        <f t="shared" si="10"/>
        <v>63-J226-J203</v>
      </c>
    </row>
    <row r="296" spans="2:12">
      <c r="B296" s="5">
        <v>125</v>
      </c>
      <c r="C296" s="104" t="s">
        <v>435</v>
      </c>
      <c r="D296" s="104" t="s">
        <v>306</v>
      </c>
      <c r="E296" s="104">
        <v>128.9</v>
      </c>
      <c r="F296" t="str">
        <f t="shared" si="9"/>
        <v>125-J133-J93</v>
      </c>
      <c r="H296" s="5">
        <v>63</v>
      </c>
      <c r="I296" s="5" t="s">
        <v>580</v>
      </c>
      <c r="J296" s="5" t="s">
        <v>1129</v>
      </c>
      <c r="K296" s="18">
        <v>125.3</v>
      </c>
      <c r="L296" t="str">
        <f t="shared" si="10"/>
        <v>63-J203-J287</v>
      </c>
    </row>
    <row r="297" spans="2:12">
      <c r="B297" s="5">
        <v>125</v>
      </c>
      <c r="C297" s="104" t="s">
        <v>258</v>
      </c>
      <c r="D297" s="104" t="s">
        <v>255</v>
      </c>
      <c r="E297" s="104">
        <v>65.7</v>
      </c>
      <c r="F297" t="str">
        <f t="shared" si="9"/>
        <v>125-J72-J74</v>
      </c>
      <c r="H297" s="5">
        <v>63</v>
      </c>
      <c r="I297" s="5" t="s">
        <v>580</v>
      </c>
      <c r="J297" s="5" t="s">
        <v>216</v>
      </c>
      <c r="K297" s="18">
        <v>22</v>
      </c>
      <c r="L297" t="str">
        <f t="shared" si="10"/>
        <v>63-J203-J188</v>
      </c>
    </row>
    <row r="298" spans="2:12">
      <c r="B298" s="5">
        <v>125</v>
      </c>
      <c r="C298" s="104" t="s">
        <v>255</v>
      </c>
      <c r="D298" s="104" t="s">
        <v>359</v>
      </c>
      <c r="E298" s="104">
        <v>73.2</v>
      </c>
      <c r="F298" t="str">
        <f t="shared" ref="F298:F305" si="11">+B298&amp;"-"&amp;C298&amp;"-"&amp;D298</f>
        <v>125-J74-J98</v>
      </c>
      <c r="H298" s="5">
        <v>63</v>
      </c>
      <c r="I298" s="5" t="s">
        <v>590</v>
      </c>
      <c r="J298" s="5" t="s">
        <v>464</v>
      </c>
      <c r="K298" s="18">
        <v>16</v>
      </c>
      <c r="L298" t="str">
        <f t="shared" si="10"/>
        <v>63-J207-J230</v>
      </c>
    </row>
    <row r="299" spans="2:12">
      <c r="B299" s="5">
        <v>125</v>
      </c>
      <c r="C299" s="104" t="s">
        <v>246</v>
      </c>
      <c r="D299" s="104" t="s">
        <v>307</v>
      </c>
      <c r="E299" s="104">
        <v>64.900000000000006</v>
      </c>
      <c r="F299" t="str">
        <f t="shared" si="11"/>
        <v>125-J95-J99</v>
      </c>
      <c r="H299" s="5">
        <v>63</v>
      </c>
      <c r="I299" s="5" t="s">
        <v>1129</v>
      </c>
      <c r="J299" s="5" t="s">
        <v>952</v>
      </c>
      <c r="K299" s="18">
        <v>52.6</v>
      </c>
      <c r="L299" t="str">
        <f t="shared" ref="L299:L314" si="12">+H299&amp;"-"&amp;I299&amp;"-"&amp;J299</f>
        <v>63-J287-J322</v>
      </c>
    </row>
    <row r="300" spans="2:12">
      <c r="B300" s="5">
        <v>140</v>
      </c>
      <c r="C300" s="5" t="s">
        <v>525</v>
      </c>
      <c r="D300" s="5" t="s">
        <v>349</v>
      </c>
      <c r="E300" s="5">
        <v>95</v>
      </c>
      <c r="F300" t="str">
        <f t="shared" si="11"/>
        <v>140-J35-J14</v>
      </c>
      <c r="H300" s="5">
        <v>63</v>
      </c>
      <c r="I300" s="5" t="s">
        <v>952</v>
      </c>
      <c r="J300" s="5" t="s">
        <v>990</v>
      </c>
      <c r="K300" s="18">
        <v>18.899999999999999</v>
      </c>
      <c r="L300" t="str">
        <f t="shared" si="12"/>
        <v>63-J322-J304</v>
      </c>
    </row>
    <row r="301" spans="2:12">
      <c r="B301" s="5">
        <v>140</v>
      </c>
      <c r="C301" s="5" t="s">
        <v>349</v>
      </c>
      <c r="D301" s="5" t="s">
        <v>283</v>
      </c>
      <c r="E301" s="5">
        <v>58.6</v>
      </c>
      <c r="F301" t="str">
        <f t="shared" si="11"/>
        <v>140-J14-J22</v>
      </c>
      <c r="H301" s="5">
        <v>63</v>
      </c>
      <c r="I301" s="5" t="s">
        <v>990</v>
      </c>
      <c r="J301" s="5" t="s">
        <v>696</v>
      </c>
      <c r="K301" s="18">
        <v>129.19999999999999</v>
      </c>
      <c r="L301" t="str">
        <f t="shared" si="12"/>
        <v>63-J304-J234</v>
      </c>
    </row>
    <row r="302" spans="2:12">
      <c r="B302" s="5">
        <v>140</v>
      </c>
      <c r="C302" s="5" t="s">
        <v>419</v>
      </c>
      <c r="D302" s="5" t="s">
        <v>256</v>
      </c>
      <c r="E302" s="5">
        <v>415</v>
      </c>
      <c r="F302" t="str">
        <f t="shared" si="11"/>
        <v>140-J69-J76</v>
      </c>
      <c r="H302" s="5">
        <v>63</v>
      </c>
      <c r="I302" s="5" t="s">
        <v>696</v>
      </c>
      <c r="J302" s="5" t="s">
        <v>802</v>
      </c>
      <c r="K302" s="18">
        <v>34.6</v>
      </c>
      <c r="L302" t="str">
        <f t="shared" si="12"/>
        <v>63-J234-J228</v>
      </c>
    </row>
    <row r="303" spans="2:12">
      <c r="B303" s="5">
        <v>140</v>
      </c>
      <c r="C303" s="5" t="s">
        <v>256</v>
      </c>
      <c r="D303" s="5" t="s">
        <v>258</v>
      </c>
      <c r="E303" s="5">
        <v>155</v>
      </c>
      <c r="F303" t="str">
        <f t="shared" si="11"/>
        <v>140-J76-J72</v>
      </c>
      <c r="H303" s="5">
        <v>63</v>
      </c>
      <c r="I303" s="5" t="s">
        <v>1273</v>
      </c>
      <c r="J303" s="5" t="s">
        <v>1137</v>
      </c>
      <c r="K303" s="18">
        <v>87.3</v>
      </c>
      <c r="L303" t="str">
        <f t="shared" si="12"/>
        <v>63-J321-J341</v>
      </c>
    </row>
    <row r="304" spans="2:12">
      <c r="B304" s="5">
        <v>140</v>
      </c>
      <c r="C304" s="5" t="s">
        <v>419</v>
      </c>
      <c r="D304" s="5" t="s">
        <v>426</v>
      </c>
      <c r="E304" s="5">
        <v>6.4</v>
      </c>
      <c r="F304" t="str">
        <f t="shared" si="11"/>
        <v>140-J69-J70</v>
      </c>
      <c r="H304" s="5">
        <v>63</v>
      </c>
      <c r="I304" s="5" t="s">
        <v>1288</v>
      </c>
      <c r="J304" s="5" t="s">
        <v>1025</v>
      </c>
      <c r="K304" s="18">
        <v>77.8</v>
      </c>
      <c r="L304" t="str">
        <f t="shared" si="12"/>
        <v>63-J365-J362</v>
      </c>
    </row>
    <row r="305" spans="2:12" ht="15.75">
      <c r="B305" s="5">
        <v>140</v>
      </c>
      <c r="C305" s="5" t="s">
        <v>426</v>
      </c>
      <c r="D305" s="5" t="s">
        <v>525</v>
      </c>
      <c r="E305" s="5">
        <v>110</v>
      </c>
      <c r="F305" t="str">
        <f t="shared" si="11"/>
        <v>140-J70-J35</v>
      </c>
      <c r="H305" s="92">
        <v>63</v>
      </c>
      <c r="I305" s="92" t="s">
        <v>717</v>
      </c>
      <c r="J305" s="92" t="s">
        <v>191</v>
      </c>
      <c r="K305" s="92">
        <v>56.6</v>
      </c>
      <c r="L305" t="str">
        <f t="shared" si="12"/>
        <v>63-J182-J183</v>
      </c>
    </row>
    <row r="306" spans="2:12" ht="15.75">
      <c r="H306" s="92">
        <v>63</v>
      </c>
      <c r="I306" s="92" t="s">
        <v>417</v>
      </c>
      <c r="J306" s="92" t="s">
        <v>315</v>
      </c>
      <c r="K306" s="92">
        <v>33.799999999999997</v>
      </c>
      <c r="L306" t="str">
        <f t="shared" si="12"/>
        <v>63-J33-J11</v>
      </c>
    </row>
    <row r="307" spans="2:12" ht="15.75">
      <c r="H307" s="92">
        <v>63</v>
      </c>
      <c r="I307" s="95" t="s">
        <v>256</v>
      </c>
      <c r="J307" s="95" t="s">
        <v>258</v>
      </c>
      <c r="K307" s="92">
        <v>18.7</v>
      </c>
      <c r="L307" t="str">
        <f t="shared" si="12"/>
        <v>63-J76-J72</v>
      </c>
    </row>
    <row r="308" spans="2:12" ht="15.75">
      <c r="H308" s="92">
        <v>63</v>
      </c>
      <c r="I308" s="95" t="s">
        <v>1269</v>
      </c>
      <c r="J308" s="95" t="s">
        <v>1000</v>
      </c>
      <c r="K308" s="92">
        <v>56.6</v>
      </c>
      <c r="L308" t="str">
        <f t="shared" si="12"/>
        <v>63-J326-J349</v>
      </c>
    </row>
    <row r="309" spans="2:12" ht="15.75">
      <c r="H309" s="92">
        <v>140</v>
      </c>
      <c r="I309" s="93" t="s">
        <v>256</v>
      </c>
      <c r="J309" s="93" t="s">
        <v>258</v>
      </c>
      <c r="K309" s="92">
        <v>155</v>
      </c>
      <c r="L309" t="str">
        <f t="shared" si="12"/>
        <v>140-J76-J72</v>
      </c>
    </row>
    <row r="310" spans="2:12" ht="15.75">
      <c r="H310" s="92">
        <v>63</v>
      </c>
      <c r="I310" s="95" t="s">
        <v>1287</v>
      </c>
      <c r="J310" s="95" t="s">
        <v>1128</v>
      </c>
      <c r="K310" s="92">
        <v>278.39999999999998</v>
      </c>
      <c r="L310" t="str">
        <f t="shared" si="12"/>
        <v>63-J370-J311</v>
      </c>
    </row>
    <row r="311" spans="2:12" ht="15.75">
      <c r="H311" s="92">
        <v>63</v>
      </c>
      <c r="I311" s="95" t="s">
        <v>308</v>
      </c>
      <c r="J311" s="95" t="s">
        <v>386</v>
      </c>
      <c r="K311" s="92">
        <v>47.3</v>
      </c>
      <c r="L311" t="str">
        <f t="shared" si="12"/>
        <v>63-J100-J92</v>
      </c>
    </row>
    <row r="312" spans="2:12" ht="15.75">
      <c r="H312" s="92">
        <v>63</v>
      </c>
      <c r="I312" s="95" t="s">
        <v>530</v>
      </c>
      <c r="J312" s="95" t="s">
        <v>1256</v>
      </c>
      <c r="K312" s="92">
        <v>27.6</v>
      </c>
      <c r="L312" t="str">
        <f t="shared" si="12"/>
        <v>63-J293-J332</v>
      </c>
    </row>
    <row r="313" spans="2:12" ht="15.75">
      <c r="H313" s="92">
        <v>63</v>
      </c>
      <c r="I313" s="95" t="s">
        <v>1277</v>
      </c>
      <c r="J313" s="95" t="s">
        <v>1322</v>
      </c>
      <c r="K313" s="92">
        <v>121.1</v>
      </c>
      <c r="L313" t="str">
        <f t="shared" si="12"/>
        <v>63-J342-J343</v>
      </c>
    </row>
    <row r="314" spans="2:12" ht="15.75">
      <c r="H314" s="92">
        <v>63</v>
      </c>
      <c r="I314" s="95" t="s">
        <v>516</v>
      </c>
      <c r="J314" s="95" t="s">
        <v>276</v>
      </c>
      <c r="K314" s="92">
        <v>29.6</v>
      </c>
      <c r="L314" t="str">
        <f t="shared" si="12"/>
        <v>63-J90-J79</v>
      </c>
    </row>
    <row r="320" spans="2:12">
      <c r="I320" s="5"/>
      <c r="J320" s="5"/>
    </row>
    <row r="321" spans="9:10">
      <c r="I321" s="5"/>
      <c r="J321" s="5"/>
    </row>
    <row r="322" spans="9:10">
      <c r="I322" s="67"/>
      <c r="J322" s="67"/>
    </row>
  </sheetData>
  <mergeCells count="2">
    <mergeCell ref="N13:O14"/>
    <mergeCell ref="N16:O17"/>
  </mergeCells>
  <conditionalFormatting sqref="F1:F1048576 M1:M2 M317:M1048576 L1:L314">
    <cfRule type="duplicateValues" dxfId="0" priority="1"/>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B3:AC252"/>
  <sheetViews>
    <sheetView topLeftCell="B1" workbookViewId="0">
      <selection activeCell="H8" sqref="H8:H211"/>
    </sheetView>
  </sheetViews>
  <sheetFormatPr defaultColWidth="9" defaultRowHeight="15"/>
  <cols>
    <col min="2" max="2" width="10.140625" customWidth="1"/>
    <col min="3" max="3" width="13.7109375" customWidth="1"/>
    <col min="4" max="4" width="12.140625" customWidth="1"/>
    <col min="5" max="5" width="16" customWidth="1"/>
    <col min="6" max="6" width="11" customWidth="1"/>
    <col min="7" max="7" width="14.42578125" customWidth="1"/>
    <col min="8" max="8" width="19.5703125" customWidth="1"/>
    <col min="9" max="9" width="18.28515625" customWidth="1"/>
    <col min="10" max="11" width="9.140625" customWidth="1"/>
  </cols>
  <sheetData>
    <row r="3" spans="2:16" ht="18.75">
      <c r="B3" s="709" t="s">
        <v>1338</v>
      </c>
      <c r="C3" s="710"/>
      <c r="D3" s="710"/>
      <c r="E3" s="710"/>
      <c r="F3" s="710"/>
      <c r="G3" s="710"/>
      <c r="H3" s="710"/>
      <c r="I3" s="711"/>
      <c r="J3" s="666" t="s">
        <v>185</v>
      </c>
      <c r="K3" s="682"/>
      <c r="L3" s="509" t="s">
        <v>28</v>
      </c>
    </row>
    <row r="4" spans="2:16" ht="63">
      <c r="B4" s="50" t="s">
        <v>448</v>
      </c>
      <c r="C4" s="25" t="s">
        <v>180</v>
      </c>
      <c r="D4" s="25" t="s">
        <v>13</v>
      </c>
      <c r="E4" s="25" t="s">
        <v>181</v>
      </c>
      <c r="F4" s="27" t="s">
        <v>449</v>
      </c>
      <c r="G4" s="25" t="s">
        <v>719</v>
      </c>
      <c r="H4" s="69" t="s">
        <v>184</v>
      </c>
      <c r="I4" s="25" t="s">
        <v>1339</v>
      </c>
      <c r="J4" s="668"/>
      <c r="K4" s="683"/>
      <c r="L4" s="509"/>
    </row>
    <row r="5" spans="2:16" hidden="1">
      <c r="B5" s="18">
        <v>1</v>
      </c>
      <c r="C5" s="5" t="s">
        <v>250</v>
      </c>
      <c r="D5" s="5" t="s">
        <v>314</v>
      </c>
      <c r="E5" s="5" t="s">
        <v>193</v>
      </c>
      <c r="F5" s="5"/>
      <c r="G5" s="5">
        <v>63</v>
      </c>
      <c r="H5" s="6">
        <v>3.2</v>
      </c>
      <c r="I5" s="6">
        <v>12</v>
      </c>
      <c r="J5" s="498">
        <f>+H5</f>
        <v>3.2</v>
      </c>
      <c r="K5" s="499"/>
      <c r="L5" s="8"/>
      <c r="N5" s="706">
        <v>3.2</v>
      </c>
      <c r="O5" s="707"/>
      <c r="P5" s="708"/>
    </row>
    <row r="6" spans="2:16" hidden="1">
      <c r="B6" s="5">
        <f>1+B5</f>
        <v>2</v>
      </c>
      <c r="C6" s="5" t="s">
        <v>250</v>
      </c>
      <c r="D6" s="5" t="s">
        <v>375</v>
      </c>
      <c r="E6" s="5"/>
      <c r="F6" s="5"/>
      <c r="G6" s="5">
        <v>63</v>
      </c>
      <c r="H6" s="6">
        <v>11.5</v>
      </c>
      <c r="I6" s="6">
        <v>45</v>
      </c>
      <c r="J6" s="498">
        <f t="shared" ref="J6:J69" si="0">+J5+H6</f>
        <v>14.7</v>
      </c>
      <c r="K6" s="499"/>
      <c r="L6" s="8"/>
      <c r="N6" s="706">
        <v>11.5</v>
      </c>
      <c r="O6" s="707"/>
      <c r="P6" s="708"/>
    </row>
    <row r="7" spans="2:16" hidden="1">
      <c r="B7" s="5">
        <f t="shared" ref="B7:B71" si="1">1+B6</f>
        <v>3</v>
      </c>
      <c r="C7" s="5" t="s">
        <v>283</v>
      </c>
      <c r="D7" s="5" t="s">
        <v>282</v>
      </c>
      <c r="E7" s="5"/>
      <c r="F7" s="5"/>
      <c r="G7" s="5">
        <v>63</v>
      </c>
      <c r="H7" s="6">
        <v>9</v>
      </c>
      <c r="I7" s="680">
        <v>21</v>
      </c>
      <c r="J7" s="498">
        <f t="shared" si="0"/>
        <v>23.7</v>
      </c>
      <c r="K7" s="499"/>
      <c r="L7" s="8"/>
      <c r="N7" s="706">
        <v>9</v>
      </c>
      <c r="O7" s="707"/>
      <c r="P7" s="708"/>
    </row>
    <row r="8" spans="2:16" hidden="1">
      <c r="B8" s="5">
        <f t="shared" si="1"/>
        <v>4</v>
      </c>
      <c r="C8" s="5" t="s">
        <v>283</v>
      </c>
      <c r="D8" s="5" t="s">
        <v>282</v>
      </c>
      <c r="E8" s="5" t="s">
        <v>199</v>
      </c>
      <c r="F8" s="5"/>
      <c r="G8" s="5">
        <v>63</v>
      </c>
      <c r="H8" s="6">
        <v>14</v>
      </c>
      <c r="I8" s="680"/>
      <c r="J8" s="498">
        <f t="shared" si="0"/>
        <v>37.700000000000003</v>
      </c>
      <c r="K8" s="499"/>
      <c r="L8" s="8"/>
      <c r="N8" s="706">
        <v>14</v>
      </c>
      <c r="O8" s="707"/>
      <c r="P8" s="708"/>
    </row>
    <row r="9" spans="2:16" hidden="1">
      <c r="B9" s="5">
        <f t="shared" si="1"/>
        <v>5</v>
      </c>
      <c r="C9" s="5" t="s">
        <v>350</v>
      </c>
      <c r="D9" s="5" t="s">
        <v>281</v>
      </c>
      <c r="E9" s="5"/>
      <c r="F9" s="5"/>
      <c r="G9" s="5">
        <v>63</v>
      </c>
      <c r="H9" s="6">
        <v>105</v>
      </c>
      <c r="I9" s="6">
        <v>103</v>
      </c>
      <c r="J9" s="498">
        <f t="shared" si="0"/>
        <v>142.69999999999999</v>
      </c>
      <c r="K9" s="499"/>
      <c r="L9" s="8"/>
      <c r="N9" s="706">
        <v>105</v>
      </c>
      <c r="O9" s="707"/>
      <c r="P9" s="708"/>
    </row>
    <row r="10" spans="2:16" hidden="1">
      <c r="B10" s="5">
        <f t="shared" si="1"/>
        <v>6</v>
      </c>
      <c r="C10" s="5" t="s">
        <v>391</v>
      </c>
      <c r="D10" s="5" t="s">
        <v>247</v>
      </c>
      <c r="E10" s="5"/>
      <c r="F10" s="5"/>
      <c r="G10" s="5">
        <v>63</v>
      </c>
      <c r="H10" s="6">
        <v>78.5</v>
      </c>
      <c r="I10" s="6">
        <v>115</v>
      </c>
      <c r="J10" s="498">
        <f t="shared" si="0"/>
        <v>221.2</v>
      </c>
      <c r="K10" s="499"/>
      <c r="L10" s="8"/>
      <c r="N10" s="706">
        <v>78.5</v>
      </c>
      <c r="O10" s="707"/>
      <c r="P10" s="708"/>
    </row>
    <row r="11" spans="2:16" hidden="1">
      <c r="B11" s="5">
        <f t="shared" si="1"/>
        <v>7</v>
      </c>
      <c r="C11" s="5" t="s">
        <v>281</v>
      </c>
      <c r="D11" s="5" t="s">
        <v>247</v>
      </c>
      <c r="E11" s="5" t="s">
        <v>199</v>
      </c>
      <c r="F11" s="5"/>
      <c r="G11" s="5">
        <v>63</v>
      </c>
      <c r="H11" s="6">
        <v>23.8</v>
      </c>
      <c r="I11" s="6">
        <v>22</v>
      </c>
      <c r="J11" s="498">
        <f t="shared" si="0"/>
        <v>245</v>
      </c>
      <c r="K11" s="499"/>
      <c r="L11" s="8"/>
      <c r="N11" s="706">
        <v>23.8</v>
      </c>
      <c r="O11" s="707"/>
      <c r="P11" s="708"/>
    </row>
    <row r="12" spans="2:16" hidden="1">
      <c r="B12" s="5">
        <f t="shared" si="1"/>
        <v>8</v>
      </c>
      <c r="C12" s="5" t="s">
        <v>247</v>
      </c>
      <c r="D12" s="5" t="s">
        <v>267</v>
      </c>
      <c r="E12" s="5"/>
      <c r="F12" s="5"/>
      <c r="G12" s="5">
        <v>63</v>
      </c>
      <c r="H12" s="6">
        <v>41.2</v>
      </c>
      <c r="I12" s="6">
        <v>40</v>
      </c>
      <c r="J12" s="498">
        <f t="shared" si="0"/>
        <v>286.2</v>
      </c>
      <c r="K12" s="499"/>
      <c r="L12" s="8"/>
      <c r="N12" s="706">
        <v>41.2</v>
      </c>
      <c r="O12" s="707"/>
      <c r="P12" s="708"/>
    </row>
    <row r="13" spans="2:16" hidden="1">
      <c r="B13" s="5">
        <f t="shared" si="1"/>
        <v>9</v>
      </c>
      <c r="C13" s="5" t="s">
        <v>267</v>
      </c>
      <c r="D13" s="5" t="s">
        <v>319</v>
      </c>
      <c r="E13" s="5"/>
      <c r="F13" s="5"/>
      <c r="G13" s="5">
        <v>63</v>
      </c>
      <c r="H13" s="6">
        <v>74.8</v>
      </c>
      <c r="I13" s="6">
        <v>77</v>
      </c>
      <c r="J13" s="498">
        <f t="shared" si="0"/>
        <v>361</v>
      </c>
      <c r="K13" s="499"/>
      <c r="L13" s="8"/>
      <c r="N13" s="706">
        <v>74.8</v>
      </c>
      <c r="O13" s="707"/>
      <c r="P13" s="708"/>
    </row>
    <row r="14" spans="2:16" hidden="1">
      <c r="B14" s="5">
        <f t="shared" si="1"/>
        <v>10</v>
      </c>
      <c r="C14" s="5" t="s">
        <v>258</v>
      </c>
      <c r="D14" s="5" t="s">
        <v>197</v>
      </c>
      <c r="E14" s="5"/>
      <c r="F14" s="5"/>
      <c r="G14" s="5">
        <v>63</v>
      </c>
      <c r="H14" s="6">
        <v>24.5</v>
      </c>
      <c r="I14" s="6">
        <v>26</v>
      </c>
      <c r="J14" s="498">
        <f t="shared" si="0"/>
        <v>385.5</v>
      </c>
      <c r="K14" s="499"/>
      <c r="L14" s="8"/>
      <c r="N14" s="706">
        <v>24.5</v>
      </c>
      <c r="O14" s="707"/>
      <c r="P14" s="708"/>
    </row>
    <row r="15" spans="2:16" hidden="1">
      <c r="B15" s="5">
        <f t="shared" si="1"/>
        <v>11</v>
      </c>
      <c r="C15" s="5" t="s">
        <v>197</v>
      </c>
      <c r="D15" s="5" t="s">
        <v>426</v>
      </c>
      <c r="E15" s="5"/>
      <c r="F15" s="5"/>
      <c r="G15" s="5">
        <v>63</v>
      </c>
      <c r="H15" s="6">
        <v>18.5</v>
      </c>
      <c r="I15" s="6">
        <v>16</v>
      </c>
      <c r="J15" s="498">
        <f t="shared" si="0"/>
        <v>404</v>
      </c>
      <c r="K15" s="499"/>
      <c r="L15" s="8"/>
      <c r="N15" s="706">
        <v>18.5</v>
      </c>
      <c r="O15" s="707"/>
      <c r="P15" s="708"/>
    </row>
    <row r="16" spans="2:16" hidden="1">
      <c r="B16" s="5">
        <f t="shared" si="1"/>
        <v>12</v>
      </c>
      <c r="C16" s="5" t="s">
        <v>426</v>
      </c>
      <c r="D16" s="5" t="s">
        <v>398</v>
      </c>
      <c r="E16" s="5"/>
      <c r="F16" s="5"/>
      <c r="G16" s="5">
        <v>63</v>
      </c>
      <c r="H16" s="6">
        <v>60</v>
      </c>
      <c r="I16" s="6">
        <v>59</v>
      </c>
      <c r="J16" s="498">
        <f t="shared" si="0"/>
        <v>464</v>
      </c>
      <c r="K16" s="499"/>
      <c r="L16" s="8"/>
      <c r="N16" s="706">
        <v>60</v>
      </c>
      <c r="O16" s="707"/>
      <c r="P16" s="708"/>
    </row>
    <row r="17" spans="2:16" hidden="1">
      <c r="B17" s="5">
        <f t="shared" si="1"/>
        <v>13</v>
      </c>
      <c r="C17" s="5" t="s">
        <v>398</v>
      </c>
      <c r="D17" s="5" t="s">
        <v>318</v>
      </c>
      <c r="E17" s="5"/>
      <c r="F17" s="5"/>
      <c r="G17" s="5">
        <v>63</v>
      </c>
      <c r="H17" s="6">
        <v>29.5</v>
      </c>
      <c r="I17" s="681">
        <v>90</v>
      </c>
      <c r="J17" s="498">
        <f t="shared" si="0"/>
        <v>493.5</v>
      </c>
      <c r="K17" s="499"/>
      <c r="L17" s="8"/>
      <c r="N17" s="706">
        <v>29.5</v>
      </c>
      <c r="O17" s="707"/>
      <c r="P17" s="708"/>
    </row>
    <row r="18" spans="2:16" hidden="1">
      <c r="B18" s="5">
        <f t="shared" si="1"/>
        <v>14</v>
      </c>
      <c r="C18" s="5" t="s">
        <v>318</v>
      </c>
      <c r="D18" s="5" t="s">
        <v>398</v>
      </c>
      <c r="E18" s="5" t="s">
        <v>199</v>
      </c>
      <c r="F18" s="5"/>
      <c r="G18" s="5">
        <v>63</v>
      </c>
      <c r="H18" s="6">
        <v>55.4</v>
      </c>
      <c r="I18" s="681"/>
      <c r="J18" s="498">
        <f t="shared" si="0"/>
        <v>548.9</v>
      </c>
      <c r="K18" s="499"/>
      <c r="L18" s="8"/>
      <c r="N18" s="706">
        <v>55.4</v>
      </c>
      <c r="O18" s="707"/>
      <c r="P18" s="708"/>
    </row>
    <row r="19" spans="2:16" hidden="1">
      <c r="B19" s="5">
        <f t="shared" si="1"/>
        <v>15</v>
      </c>
      <c r="C19" s="5" t="s">
        <v>318</v>
      </c>
      <c r="D19" s="5" t="s">
        <v>414</v>
      </c>
      <c r="E19" s="5"/>
      <c r="F19" s="5"/>
      <c r="G19" s="5">
        <v>63</v>
      </c>
      <c r="H19" s="6">
        <v>25.4</v>
      </c>
      <c r="I19" s="6">
        <v>26</v>
      </c>
      <c r="J19" s="498">
        <f t="shared" si="0"/>
        <v>574.29999999999995</v>
      </c>
      <c r="K19" s="499"/>
      <c r="L19" s="8"/>
      <c r="N19" s="706">
        <v>25.4</v>
      </c>
      <c r="O19" s="707"/>
      <c r="P19" s="708"/>
    </row>
    <row r="20" spans="2:16" hidden="1">
      <c r="B20" s="5">
        <f t="shared" si="1"/>
        <v>16</v>
      </c>
      <c r="C20" s="5" t="s">
        <v>318</v>
      </c>
      <c r="D20" s="5" t="s">
        <v>268</v>
      </c>
      <c r="E20" s="5"/>
      <c r="F20" s="5"/>
      <c r="G20" s="5">
        <v>63</v>
      </c>
      <c r="H20" s="6">
        <v>15.4</v>
      </c>
      <c r="I20" s="6">
        <v>46</v>
      </c>
      <c r="J20" s="498">
        <f t="shared" si="0"/>
        <v>589.69999999999993</v>
      </c>
      <c r="K20" s="499"/>
      <c r="L20" s="8"/>
      <c r="N20" s="706">
        <v>15.4</v>
      </c>
      <c r="O20" s="707"/>
      <c r="P20" s="708"/>
    </row>
    <row r="21" spans="2:16" hidden="1">
      <c r="B21" s="5">
        <f t="shared" si="1"/>
        <v>17</v>
      </c>
      <c r="C21" s="5" t="s">
        <v>268</v>
      </c>
      <c r="D21" s="5" t="s">
        <v>267</v>
      </c>
      <c r="E21" s="5"/>
      <c r="F21" s="5"/>
      <c r="G21" s="5">
        <v>63</v>
      </c>
      <c r="H21" s="6">
        <v>77.3</v>
      </c>
      <c r="I21" s="6">
        <v>76</v>
      </c>
      <c r="J21" s="498">
        <f t="shared" si="0"/>
        <v>666.99999999999989</v>
      </c>
      <c r="K21" s="499"/>
      <c r="L21" s="8"/>
      <c r="N21" s="706">
        <v>77.3</v>
      </c>
      <c r="O21" s="707"/>
      <c r="P21" s="708"/>
    </row>
    <row r="22" spans="2:16" hidden="1">
      <c r="B22" s="5">
        <f t="shared" si="1"/>
        <v>18</v>
      </c>
      <c r="C22" s="5" t="s">
        <v>247</v>
      </c>
      <c r="D22" s="5" t="s">
        <v>316</v>
      </c>
      <c r="E22" s="5"/>
      <c r="F22" s="5"/>
      <c r="G22" s="5">
        <v>63</v>
      </c>
      <c r="H22" s="6">
        <v>24.5</v>
      </c>
      <c r="I22" s="6">
        <v>22</v>
      </c>
      <c r="J22" s="498">
        <f t="shared" si="0"/>
        <v>691.49999999999989</v>
      </c>
      <c r="K22" s="499"/>
      <c r="L22" s="8"/>
      <c r="N22" s="706">
        <v>24.5</v>
      </c>
      <c r="O22" s="707"/>
      <c r="P22" s="708"/>
    </row>
    <row r="23" spans="2:16" hidden="1">
      <c r="B23" s="5">
        <f t="shared" si="1"/>
        <v>19</v>
      </c>
      <c r="C23" s="5" t="s">
        <v>316</v>
      </c>
      <c r="D23" s="5" t="s">
        <v>416</v>
      </c>
      <c r="E23" s="5" t="s">
        <v>199</v>
      </c>
      <c r="F23" s="5"/>
      <c r="G23" s="5">
        <v>63</v>
      </c>
      <c r="H23" s="6">
        <v>22.1</v>
      </c>
      <c r="I23" s="6">
        <v>25</v>
      </c>
      <c r="J23" s="498">
        <f t="shared" si="0"/>
        <v>713.59999999999991</v>
      </c>
      <c r="K23" s="499"/>
      <c r="L23" s="8"/>
      <c r="N23" s="706">
        <v>22.1</v>
      </c>
      <c r="O23" s="707"/>
      <c r="P23" s="708"/>
    </row>
    <row r="24" spans="2:16" hidden="1">
      <c r="B24" s="5">
        <f t="shared" si="1"/>
        <v>20</v>
      </c>
      <c r="C24" s="5" t="s">
        <v>316</v>
      </c>
      <c r="D24" s="5" t="s">
        <v>412</v>
      </c>
      <c r="E24" s="5" t="s">
        <v>199</v>
      </c>
      <c r="F24" s="5"/>
      <c r="G24" s="5">
        <v>63</v>
      </c>
      <c r="H24" s="6">
        <v>47.5</v>
      </c>
      <c r="I24" s="6">
        <v>45</v>
      </c>
      <c r="J24" s="498">
        <f t="shared" si="0"/>
        <v>761.09999999999991</v>
      </c>
      <c r="K24" s="499"/>
      <c r="L24" s="8"/>
      <c r="N24" s="706">
        <v>47.5</v>
      </c>
      <c r="O24" s="707"/>
      <c r="P24" s="708"/>
    </row>
    <row r="25" spans="2:16" hidden="1">
      <c r="B25" s="5">
        <f t="shared" si="1"/>
        <v>21</v>
      </c>
      <c r="C25" s="5" t="s">
        <v>412</v>
      </c>
      <c r="D25" s="5" t="s">
        <v>268</v>
      </c>
      <c r="E25" s="5"/>
      <c r="F25" s="5"/>
      <c r="G25" s="5">
        <v>63</v>
      </c>
      <c r="H25" s="6">
        <v>19</v>
      </c>
      <c r="I25" s="6">
        <v>21</v>
      </c>
      <c r="J25" s="498">
        <f t="shared" si="0"/>
        <v>780.09999999999991</v>
      </c>
      <c r="K25" s="499"/>
      <c r="L25" s="8"/>
      <c r="N25" s="706">
        <v>19</v>
      </c>
      <c r="O25" s="707"/>
      <c r="P25" s="708"/>
    </row>
    <row r="26" spans="2:16" hidden="1">
      <c r="B26" s="5">
        <f t="shared" si="1"/>
        <v>22</v>
      </c>
      <c r="C26" s="5" t="s">
        <v>412</v>
      </c>
      <c r="D26" s="5" t="s">
        <v>394</v>
      </c>
      <c r="E26" s="5" t="s">
        <v>199</v>
      </c>
      <c r="F26" s="5"/>
      <c r="G26" s="5">
        <v>63</v>
      </c>
      <c r="H26" s="6">
        <v>39.9</v>
      </c>
      <c r="I26" s="6">
        <v>44</v>
      </c>
      <c r="J26" s="498">
        <f t="shared" si="0"/>
        <v>819.99999999999989</v>
      </c>
      <c r="K26" s="499"/>
      <c r="L26" s="8"/>
      <c r="N26" s="706">
        <v>39.9</v>
      </c>
      <c r="O26" s="707"/>
      <c r="P26" s="708"/>
    </row>
    <row r="27" spans="2:16" hidden="1">
      <c r="B27" s="5">
        <f t="shared" si="1"/>
        <v>23</v>
      </c>
      <c r="C27" s="5" t="s">
        <v>398</v>
      </c>
      <c r="D27" s="5" t="s">
        <v>419</v>
      </c>
      <c r="E27" s="5" t="s">
        <v>199</v>
      </c>
      <c r="F27" s="5"/>
      <c r="G27" s="5">
        <v>63</v>
      </c>
      <c r="H27" s="6">
        <v>18.399999999999999</v>
      </c>
      <c r="I27" s="6">
        <v>11</v>
      </c>
      <c r="J27" s="498">
        <f t="shared" si="0"/>
        <v>838.39999999999986</v>
      </c>
      <c r="K27" s="499"/>
      <c r="L27" s="8"/>
      <c r="N27" s="706">
        <v>18.399999999999999</v>
      </c>
      <c r="O27" s="707"/>
      <c r="P27" s="708"/>
    </row>
    <row r="28" spans="2:16" hidden="1">
      <c r="B28" s="5">
        <f t="shared" si="1"/>
        <v>24</v>
      </c>
      <c r="C28" s="5" t="s">
        <v>257</v>
      </c>
      <c r="D28" s="5" t="s">
        <v>255</v>
      </c>
      <c r="E28" s="5" t="s">
        <v>199</v>
      </c>
      <c r="F28" s="5"/>
      <c r="G28" s="5">
        <v>63</v>
      </c>
      <c r="H28" s="6">
        <v>123.5</v>
      </c>
      <c r="I28" s="6">
        <v>124</v>
      </c>
      <c r="J28" s="498">
        <f t="shared" si="0"/>
        <v>961.89999999999986</v>
      </c>
      <c r="K28" s="499"/>
      <c r="L28" s="8"/>
      <c r="N28" s="706">
        <v>123.5</v>
      </c>
      <c r="O28" s="707"/>
      <c r="P28" s="708"/>
    </row>
    <row r="29" spans="2:16" hidden="1">
      <c r="B29" s="5">
        <f t="shared" si="1"/>
        <v>25</v>
      </c>
      <c r="C29" s="5" t="s">
        <v>256</v>
      </c>
      <c r="D29" s="5" t="s">
        <v>413</v>
      </c>
      <c r="E29" s="5" t="s">
        <v>199</v>
      </c>
      <c r="F29" s="5"/>
      <c r="G29" s="5">
        <v>63</v>
      </c>
      <c r="H29" s="6">
        <v>68.2</v>
      </c>
      <c r="I29" s="6">
        <v>42</v>
      </c>
      <c r="J29" s="498">
        <f t="shared" si="0"/>
        <v>1030.0999999999999</v>
      </c>
      <c r="K29" s="499"/>
      <c r="L29" s="8"/>
      <c r="N29" s="706">
        <v>68.2</v>
      </c>
      <c r="O29" s="707"/>
      <c r="P29" s="708"/>
    </row>
    <row r="30" spans="2:16" hidden="1">
      <c r="B30" s="5">
        <f t="shared" si="1"/>
        <v>26</v>
      </c>
      <c r="C30" s="5" t="s">
        <v>256</v>
      </c>
      <c r="D30" s="5" t="s">
        <v>197</v>
      </c>
      <c r="E30" s="5"/>
      <c r="F30" s="5"/>
      <c r="G30" s="5">
        <v>63</v>
      </c>
      <c r="H30" s="6">
        <v>95.7</v>
      </c>
      <c r="I30" s="6">
        <v>117</v>
      </c>
      <c r="J30" s="498">
        <f t="shared" si="0"/>
        <v>1125.8</v>
      </c>
      <c r="K30" s="499"/>
      <c r="L30" s="8"/>
      <c r="N30" s="706">
        <v>95.7</v>
      </c>
      <c r="O30" s="707"/>
      <c r="P30" s="708"/>
    </row>
    <row r="31" spans="2:16" hidden="1">
      <c r="B31" s="5">
        <f t="shared" si="1"/>
        <v>27</v>
      </c>
      <c r="C31" s="5" t="s">
        <v>426</v>
      </c>
      <c r="D31" s="5" t="s">
        <v>413</v>
      </c>
      <c r="E31" s="5"/>
      <c r="F31" s="5"/>
      <c r="G31" s="5">
        <v>63</v>
      </c>
      <c r="H31" s="6">
        <v>61.5</v>
      </c>
      <c r="I31" s="6">
        <v>60</v>
      </c>
      <c r="J31" s="498">
        <f t="shared" si="0"/>
        <v>1187.3</v>
      </c>
      <c r="K31" s="499"/>
      <c r="L31" s="8"/>
      <c r="N31" s="706">
        <v>61.5</v>
      </c>
      <c r="O31" s="707"/>
      <c r="P31" s="708"/>
    </row>
    <row r="32" spans="2:16" hidden="1">
      <c r="B32" s="5">
        <f t="shared" si="1"/>
        <v>28</v>
      </c>
      <c r="C32" s="5" t="s">
        <v>538</v>
      </c>
      <c r="D32" s="5" t="s">
        <v>516</v>
      </c>
      <c r="E32" s="5" t="s">
        <v>199</v>
      </c>
      <c r="F32" s="5"/>
      <c r="G32" s="5">
        <v>63</v>
      </c>
      <c r="H32" s="6">
        <v>8.4</v>
      </c>
      <c r="I32" s="681">
        <v>165</v>
      </c>
      <c r="J32" s="498">
        <f t="shared" si="0"/>
        <v>1195.7</v>
      </c>
      <c r="K32" s="499"/>
      <c r="L32" s="8"/>
      <c r="N32" s="706">
        <v>8.4</v>
      </c>
      <c r="O32" s="707"/>
      <c r="P32" s="708"/>
    </row>
    <row r="33" spans="2:16" hidden="1">
      <c r="B33" s="5">
        <f t="shared" si="1"/>
        <v>29</v>
      </c>
      <c r="C33" s="5" t="s">
        <v>538</v>
      </c>
      <c r="D33" s="5" t="s">
        <v>516</v>
      </c>
      <c r="E33" s="5"/>
      <c r="F33" s="5"/>
      <c r="G33" s="5">
        <v>63</v>
      </c>
      <c r="H33" s="6">
        <v>157</v>
      </c>
      <c r="I33" s="681"/>
      <c r="J33" s="498">
        <f t="shared" si="0"/>
        <v>1352.7</v>
      </c>
      <c r="K33" s="499"/>
      <c r="L33" s="8"/>
      <c r="N33" s="706">
        <v>157</v>
      </c>
      <c r="O33" s="707"/>
      <c r="P33" s="708"/>
    </row>
    <row r="34" spans="2:16" hidden="1">
      <c r="B34" s="5">
        <f t="shared" si="1"/>
        <v>30</v>
      </c>
      <c r="C34" s="5" t="s">
        <v>272</v>
      </c>
      <c r="D34" s="5" t="s">
        <v>270</v>
      </c>
      <c r="E34" s="5"/>
      <c r="F34" s="5"/>
      <c r="G34" s="5">
        <v>63</v>
      </c>
      <c r="H34" s="6">
        <v>22.2</v>
      </c>
      <c r="I34" s="6">
        <v>29</v>
      </c>
      <c r="J34" s="498">
        <f t="shared" si="0"/>
        <v>1374.9</v>
      </c>
      <c r="K34" s="499"/>
      <c r="L34" s="8"/>
      <c r="N34" s="706">
        <v>22.2</v>
      </c>
      <c r="O34" s="707"/>
      <c r="P34" s="708"/>
    </row>
    <row r="35" spans="2:16" hidden="1">
      <c r="B35" s="5">
        <f t="shared" si="1"/>
        <v>31</v>
      </c>
      <c r="C35" s="5" t="s">
        <v>270</v>
      </c>
      <c r="D35" s="5" t="s">
        <v>274</v>
      </c>
      <c r="E35" s="5"/>
      <c r="F35" s="5"/>
      <c r="G35" s="5">
        <v>63</v>
      </c>
      <c r="H35" s="6">
        <v>69.8</v>
      </c>
      <c r="I35" s="6">
        <v>60</v>
      </c>
      <c r="J35" s="498">
        <f t="shared" si="0"/>
        <v>1444.7</v>
      </c>
      <c r="K35" s="499"/>
      <c r="L35" s="8"/>
      <c r="N35" s="706">
        <v>69.8</v>
      </c>
      <c r="O35" s="707"/>
      <c r="P35" s="708"/>
    </row>
    <row r="36" spans="2:16" hidden="1">
      <c r="B36" s="5">
        <f t="shared" si="1"/>
        <v>32</v>
      </c>
      <c r="C36" s="5" t="s">
        <v>270</v>
      </c>
      <c r="D36" s="5" t="s">
        <v>351</v>
      </c>
      <c r="E36" s="5"/>
      <c r="F36" s="5"/>
      <c r="G36" s="5">
        <v>63</v>
      </c>
      <c r="H36" s="6">
        <v>84.2</v>
      </c>
      <c r="I36" s="6">
        <v>78</v>
      </c>
      <c r="J36" s="498">
        <f t="shared" si="0"/>
        <v>1528.9</v>
      </c>
      <c r="K36" s="499"/>
      <c r="L36" s="8"/>
      <c r="N36" s="706">
        <v>84.2</v>
      </c>
      <c r="O36" s="707"/>
      <c r="P36" s="708"/>
    </row>
    <row r="37" spans="2:16" hidden="1">
      <c r="B37" s="5">
        <f t="shared" si="1"/>
        <v>33</v>
      </c>
      <c r="C37" s="5" t="s">
        <v>351</v>
      </c>
      <c r="D37" s="5" t="s">
        <v>276</v>
      </c>
      <c r="E37" s="5"/>
      <c r="F37" s="5"/>
      <c r="G37" s="5">
        <v>63</v>
      </c>
      <c r="H37" s="6">
        <v>28.5</v>
      </c>
      <c r="I37" s="6">
        <v>28</v>
      </c>
      <c r="J37" s="498">
        <f t="shared" si="0"/>
        <v>1557.4</v>
      </c>
      <c r="K37" s="499"/>
      <c r="L37" s="8"/>
      <c r="N37" s="706">
        <v>28.5</v>
      </c>
      <c r="O37" s="707"/>
      <c r="P37" s="708"/>
    </row>
    <row r="38" spans="2:16" hidden="1">
      <c r="B38" s="5">
        <f t="shared" si="1"/>
        <v>34</v>
      </c>
      <c r="C38" s="5" t="s">
        <v>351</v>
      </c>
      <c r="D38" s="5" t="s">
        <v>273</v>
      </c>
      <c r="E38" s="5"/>
      <c r="F38" s="5"/>
      <c r="G38" s="5">
        <v>63</v>
      </c>
      <c r="H38" s="6">
        <v>117.2</v>
      </c>
      <c r="I38" s="681">
        <v>149</v>
      </c>
      <c r="J38" s="498">
        <f t="shared" si="0"/>
        <v>1674.6000000000001</v>
      </c>
      <c r="K38" s="499"/>
      <c r="L38" s="8"/>
      <c r="N38" s="706">
        <v>117.2</v>
      </c>
      <c r="O38" s="707"/>
      <c r="P38" s="708"/>
    </row>
    <row r="39" spans="2:16" hidden="1">
      <c r="B39" s="5">
        <f t="shared" si="1"/>
        <v>35</v>
      </c>
      <c r="C39" s="5" t="s">
        <v>351</v>
      </c>
      <c r="D39" s="5" t="s">
        <v>273</v>
      </c>
      <c r="E39" s="5" t="s">
        <v>199</v>
      </c>
      <c r="F39" s="5"/>
      <c r="G39" s="5">
        <v>63</v>
      </c>
      <c r="H39" s="6">
        <v>16</v>
      </c>
      <c r="I39" s="681"/>
      <c r="J39" s="498">
        <f t="shared" si="0"/>
        <v>1690.6000000000001</v>
      </c>
      <c r="K39" s="499"/>
      <c r="L39" s="8"/>
      <c r="N39" s="706">
        <v>16</v>
      </c>
      <c r="O39" s="707"/>
      <c r="P39" s="708"/>
    </row>
    <row r="40" spans="2:16" hidden="1">
      <c r="B40" s="5">
        <f t="shared" si="1"/>
        <v>36</v>
      </c>
      <c r="C40" s="5" t="s">
        <v>273</v>
      </c>
      <c r="D40" s="5" t="s">
        <v>269</v>
      </c>
      <c r="E40" s="5" t="s">
        <v>199</v>
      </c>
      <c r="F40" s="5"/>
      <c r="G40" s="5">
        <v>63</v>
      </c>
      <c r="H40" s="6">
        <v>96.3</v>
      </c>
      <c r="I40" s="6">
        <v>97</v>
      </c>
      <c r="J40" s="498">
        <f t="shared" si="0"/>
        <v>1786.9</v>
      </c>
      <c r="K40" s="499"/>
      <c r="L40" s="8"/>
      <c r="N40" s="706">
        <v>96.3</v>
      </c>
      <c r="O40" s="707"/>
      <c r="P40" s="708"/>
    </row>
    <row r="41" spans="2:16" hidden="1">
      <c r="B41" s="5">
        <f t="shared" si="1"/>
        <v>37</v>
      </c>
      <c r="C41" s="5" t="s">
        <v>386</v>
      </c>
      <c r="D41" s="5" t="s">
        <v>306</v>
      </c>
      <c r="E41" s="5"/>
      <c r="F41" s="5"/>
      <c r="G41" s="5">
        <v>63</v>
      </c>
      <c r="H41" s="6">
        <v>288.8</v>
      </c>
      <c r="I41" s="6">
        <v>303</v>
      </c>
      <c r="J41" s="498">
        <f t="shared" si="0"/>
        <v>2075.7000000000003</v>
      </c>
      <c r="K41" s="499"/>
      <c r="L41" s="8"/>
      <c r="N41" s="706">
        <v>288.8</v>
      </c>
      <c r="O41" s="707"/>
      <c r="P41" s="708"/>
    </row>
    <row r="42" spans="2:16" hidden="1">
      <c r="B42" s="5">
        <f t="shared" si="1"/>
        <v>38</v>
      </c>
      <c r="C42" s="5" t="s">
        <v>265</v>
      </c>
      <c r="D42" s="5" t="s">
        <v>418</v>
      </c>
      <c r="E42" s="5"/>
      <c r="F42" s="5"/>
      <c r="G42" s="5">
        <v>63</v>
      </c>
      <c r="H42" s="6">
        <v>115.1</v>
      </c>
      <c r="I42" s="6">
        <v>115</v>
      </c>
      <c r="J42" s="498">
        <f t="shared" si="0"/>
        <v>2190.8000000000002</v>
      </c>
      <c r="K42" s="499"/>
      <c r="L42" s="8"/>
      <c r="N42" s="706">
        <v>115.1</v>
      </c>
      <c r="O42" s="707"/>
      <c r="P42" s="708"/>
    </row>
    <row r="43" spans="2:16" hidden="1">
      <c r="B43" s="5">
        <f t="shared" si="1"/>
        <v>39</v>
      </c>
      <c r="C43" s="5" t="s">
        <v>418</v>
      </c>
      <c r="D43" s="5" t="s">
        <v>417</v>
      </c>
      <c r="E43" s="5" t="s">
        <v>199</v>
      </c>
      <c r="F43" s="5"/>
      <c r="G43" s="5">
        <v>63</v>
      </c>
      <c r="H43" s="6">
        <v>34.200000000000003</v>
      </c>
      <c r="I43" s="6">
        <v>21</v>
      </c>
      <c r="J43" s="498">
        <f t="shared" si="0"/>
        <v>2225</v>
      </c>
      <c r="K43" s="499"/>
      <c r="L43" s="8"/>
      <c r="N43" s="706">
        <v>34.200000000000003</v>
      </c>
      <c r="O43" s="707"/>
      <c r="P43" s="708"/>
    </row>
    <row r="44" spans="2:16" hidden="1">
      <c r="B44" s="5">
        <f t="shared" si="1"/>
        <v>40</v>
      </c>
      <c r="C44" s="5" t="s">
        <v>418</v>
      </c>
      <c r="D44" s="5" t="s">
        <v>504</v>
      </c>
      <c r="E44" s="5" t="s">
        <v>199</v>
      </c>
      <c r="F44" s="5"/>
      <c r="G44" s="5">
        <v>63</v>
      </c>
      <c r="H44" s="6">
        <v>73.5</v>
      </c>
      <c r="I44" s="6">
        <v>65</v>
      </c>
      <c r="J44" s="498">
        <f t="shared" si="0"/>
        <v>2298.5</v>
      </c>
      <c r="K44" s="499"/>
      <c r="L44" s="8"/>
      <c r="N44" s="706">
        <v>73.5</v>
      </c>
      <c r="O44" s="707"/>
      <c r="P44" s="708"/>
    </row>
    <row r="45" spans="2:16" hidden="1">
      <c r="B45" s="5">
        <f t="shared" si="1"/>
        <v>41</v>
      </c>
      <c r="C45" s="5" t="s">
        <v>504</v>
      </c>
      <c r="D45" s="5" t="s">
        <v>403</v>
      </c>
      <c r="E45" s="5"/>
      <c r="F45" s="5"/>
      <c r="G45" s="5">
        <v>63</v>
      </c>
      <c r="H45" s="6">
        <v>47</v>
      </c>
      <c r="I45" s="6">
        <v>27</v>
      </c>
      <c r="J45" s="498">
        <f t="shared" si="0"/>
        <v>2345.5</v>
      </c>
      <c r="K45" s="499"/>
      <c r="L45" s="8"/>
      <c r="N45" s="706">
        <v>47</v>
      </c>
      <c r="O45" s="707"/>
      <c r="P45" s="708"/>
    </row>
    <row r="46" spans="2:16" hidden="1">
      <c r="B46" s="5">
        <f t="shared" si="1"/>
        <v>42</v>
      </c>
      <c r="C46" s="5" t="s">
        <v>276</v>
      </c>
      <c r="D46" s="5" t="s">
        <v>435</v>
      </c>
      <c r="E46" s="5"/>
      <c r="F46" s="5"/>
      <c r="G46" s="5">
        <v>63</v>
      </c>
      <c r="H46" s="6">
        <v>637</v>
      </c>
      <c r="I46" s="6">
        <v>637</v>
      </c>
      <c r="J46" s="498">
        <f t="shared" si="0"/>
        <v>2982.5</v>
      </c>
      <c r="K46" s="499"/>
      <c r="L46" s="8"/>
      <c r="N46" s="706">
        <v>637</v>
      </c>
      <c r="O46" s="707"/>
      <c r="P46" s="708"/>
    </row>
    <row r="47" spans="2:16" hidden="1">
      <c r="B47" s="5">
        <f t="shared" si="1"/>
        <v>43</v>
      </c>
      <c r="C47" s="5" t="s">
        <v>435</v>
      </c>
      <c r="D47" s="5" t="s">
        <v>310</v>
      </c>
      <c r="E47" s="5"/>
      <c r="F47" s="5"/>
      <c r="G47" s="5">
        <v>63</v>
      </c>
      <c r="H47" s="6">
        <v>7</v>
      </c>
      <c r="I47" s="681">
        <v>295</v>
      </c>
      <c r="J47" s="498">
        <f t="shared" si="0"/>
        <v>2989.5</v>
      </c>
      <c r="K47" s="499"/>
      <c r="L47" s="8" t="s">
        <v>38</v>
      </c>
      <c r="N47" s="64"/>
      <c r="O47" s="65"/>
      <c r="P47" s="66"/>
    </row>
    <row r="48" spans="2:16" hidden="1">
      <c r="B48" s="5">
        <f t="shared" si="1"/>
        <v>44</v>
      </c>
      <c r="C48" s="5" t="s">
        <v>435</v>
      </c>
      <c r="D48" s="5" t="s">
        <v>310</v>
      </c>
      <c r="E48" s="5"/>
      <c r="F48" s="5"/>
      <c r="G48" s="5">
        <v>63</v>
      </c>
      <c r="H48" s="6">
        <f>282.6-7</f>
        <v>275.60000000000002</v>
      </c>
      <c r="I48" s="681"/>
      <c r="J48" s="498">
        <f t="shared" si="0"/>
        <v>3265.1</v>
      </c>
      <c r="K48" s="499"/>
      <c r="L48" s="8"/>
      <c r="N48" s="706">
        <v>282.60000000000002</v>
      </c>
      <c r="O48" s="707"/>
      <c r="P48" s="708"/>
    </row>
    <row r="49" spans="2:16" hidden="1">
      <c r="B49" s="5">
        <f t="shared" si="1"/>
        <v>45</v>
      </c>
      <c r="C49" s="5" t="s">
        <v>435</v>
      </c>
      <c r="D49" s="5" t="s">
        <v>310</v>
      </c>
      <c r="E49" s="5"/>
      <c r="F49" s="5"/>
      <c r="G49" s="5">
        <v>63</v>
      </c>
      <c r="H49" s="6">
        <v>11</v>
      </c>
      <c r="I49" s="681"/>
      <c r="J49" s="498">
        <f t="shared" si="0"/>
        <v>3276.1</v>
      </c>
      <c r="K49" s="499"/>
      <c r="L49" s="8"/>
      <c r="N49" s="706">
        <v>11</v>
      </c>
      <c r="O49" s="707"/>
      <c r="P49" s="708"/>
    </row>
    <row r="50" spans="2:16" hidden="1">
      <c r="B50" s="5">
        <f t="shared" si="1"/>
        <v>46</v>
      </c>
      <c r="C50" s="5" t="s">
        <v>435</v>
      </c>
      <c r="D50" s="5" t="s">
        <v>310</v>
      </c>
      <c r="E50" s="5" t="s">
        <v>193</v>
      </c>
      <c r="F50" s="5"/>
      <c r="G50" s="5">
        <v>63</v>
      </c>
      <c r="H50" s="6">
        <v>3</v>
      </c>
      <c r="I50" s="681"/>
      <c r="J50" s="498">
        <f t="shared" si="0"/>
        <v>3279.1</v>
      </c>
      <c r="K50" s="499"/>
      <c r="L50" s="8"/>
      <c r="N50" s="706">
        <v>3</v>
      </c>
      <c r="O50" s="707"/>
      <c r="P50" s="708"/>
    </row>
    <row r="51" spans="2:16" hidden="1">
      <c r="B51" s="5">
        <f t="shared" si="1"/>
        <v>47</v>
      </c>
      <c r="C51" s="5" t="s">
        <v>846</v>
      </c>
      <c r="D51" s="5" t="s">
        <v>1340</v>
      </c>
      <c r="E51" s="5"/>
      <c r="F51" s="5"/>
      <c r="G51" s="5">
        <v>63</v>
      </c>
      <c r="H51" s="6">
        <v>8</v>
      </c>
      <c r="I51" s="6"/>
      <c r="J51" s="498">
        <f t="shared" si="0"/>
        <v>3287.1</v>
      </c>
      <c r="K51" s="499"/>
      <c r="L51" s="8"/>
      <c r="N51" s="706">
        <v>8</v>
      </c>
      <c r="O51" s="707"/>
      <c r="P51" s="708"/>
    </row>
    <row r="52" spans="2:16" hidden="1">
      <c r="B52" s="5">
        <f t="shared" si="1"/>
        <v>48</v>
      </c>
      <c r="C52" s="5" t="s">
        <v>1340</v>
      </c>
      <c r="D52" s="5" t="s">
        <v>1341</v>
      </c>
      <c r="E52" s="5"/>
      <c r="F52" s="5"/>
      <c r="G52" s="5">
        <v>63</v>
      </c>
      <c r="H52" s="6">
        <v>113</v>
      </c>
      <c r="I52" s="6"/>
      <c r="J52" s="498">
        <f t="shared" si="0"/>
        <v>3400.1</v>
      </c>
      <c r="K52" s="499"/>
      <c r="L52" s="8"/>
      <c r="N52" s="706">
        <v>113</v>
      </c>
      <c r="O52" s="707"/>
      <c r="P52" s="708"/>
    </row>
    <row r="53" spans="2:16" hidden="1">
      <c r="B53" s="5">
        <f t="shared" si="1"/>
        <v>49</v>
      </c>
      <c r="C53" s="5" t="s">
        <v>1340</v>
      </c>
      <c r="D53" s="5" t="s">
        <v>311</v>
      </c>
      <c r="E53" s="5"/>
      <c r="F53" s="5"/>
      <c r="G53" s="5">
        <v>63</v>
      </c>
      <c r="H53" s="6">
        <v>66.3</v>
      </c>
      <c r="I53" s="6"/>
      <c r="J53" s="498">
        <f t="shared" si="0"/>
        <v>3466.4</v>
      </c>
      <c r="K53" s="499"/>
      <c r="L53" s="8"/>
      <c r="N53" s="706">
        <v>66.3</v>
      </c>
      <c r="O53" s="707"/>
      <c r="P53" s="708"/>
    </row>
    <row r="54" spans="2:16" hidden="1">
      <c r="B54" s="5">
        <f t="shared" si="1"/>
        <v>50</v>
      </c>
      <c r="C54" s="5" t="s">
        <v>311</v>
      </c>
      <c r="D54" s="5" t="s">
        <v>1342</v>
      </c>
      <c r="E54" s="5"/>
      <c r="F54" s="5"/>
      <c r="G54" s="5">
        <v>63</v>
      </c>
      <c r="H54" s="6">
        <v>73</v>
      </c>
      <c r="I54" s="6"/>
      <c r="J54" s="498">
        <f t="shared" si="0"/>
        <v>3539.4</v>
      </c>
      <c r="K54" s="499"/>
      <c r="L54" s="8"/>
      <c r="N54" s="706">
        <v>73</v>
      </c>
      <c r="O54" s="707"/>
      <c r="P54" s="708"/>
    </row>
    <row r="55" spans="2:16" hidden="1">
      <c r="B55" s="5">
        <f t="shared" si="1"/>
        <v>51</v>
      </c>
      <c r="C55" s="5" t="s">
        <v>311</v>
      </c>
      <c r="D55" s="5" t="s">
        <v>1343</v>
      </c>
      <c r="E55" s="5"/>
      <c r="F55" s="5"/>
      <c r="G55" s="5">
        <v>63</v>
      </c>
      <c r="H55" s="6">
        <v>50</v>
      </c>
      <c r="I55" s="6"/>
      <c r="J55" s="498">
        <f t="shared" si="0"/>
        <v>3589.4</v>
      </c>
      <c r="K55" s="499"/>
      <c r="L55" s="8"/>
      <c r="N55" s="706">
        <v>50</v>
      </c>
      <c r="O55" s="707"/>
      <c r="P55" s="708"/>
    </row>
    <row r="56" spans="2:16" hidden="1">
      <c r="B56" s="5">
        <f t="shared" si="1"/>
        <v>52</v>
      </c>
      <c r="C56" s="5" t="s">
        <v>309</v>
      </c>
      <c r="D56" s="5" t="s">
        <v>335</v>
      </c>
      <c r="E56" s="5"/>
      <c r="F56" s="5"/>
      <c r="G56" s="5">
        <v>63</v>
      </c>
      <c r="H56" s="6">
        <v>168</v>
      </c>
      <c r="I56" s="6">
        <v>122</v>
      </c>
      <c r="J56" s="498">
        <f t="shared" si="0"/>
        <v>3757.4</v>
      </c>
      <c r="K56" s="499"/>
      <c r="L56" s="8"/>
      <c r="N56" s="706">
        <v>168</v>
      </c>
      <c r="O56" s="707"/>
      <c r="P56" s="708"/>
    </row>
    <row r="57" spans="2:16" hidden="1">
      <c r="B57" s="5">
        <f t="shared" si="1"/>
        <v>53</v>
      </c>
      <c r="C57" s="5" t="s">
        <v>360</v>
      </c>
      <c r="D57" s="5" t="s">
        <v>537</v>
      </c>
      <c r="E57" s="5"/>
      <c r="F57" s="5"/>
      <c r="G57" s="5">
        <v>63</v>
      </c>
      <c r="H57" s="6">
        <v>148.5</v>
      </c>
      <c r="I57" s="6">
        <v>128</v>
      </c>
      <c r="J57" s="498">
        <f t="shared" si="0"/>
        <v>3905.9</v>
      </c>
      <c r="K57" s="499"/>
      <c r="L57" s="8"/>
      <c r="N57" s="706">
        <v>148.5</v>
      </c>
      <c r="O57" s="707"/>
      <c r="P57" s="708"/>
    </row>
    <row r="58" spans="2:16" hidden="1">
      <c r="B58" s="5">
        <f t="shared" si="1"/>
        <v>54</v>
      </c>
      <c r="C58" s="5" t="s">
        <v>649</v>
      </c>
      <c r="D58" s="5" t="s">
        <v>261</v>
      </c>
      <c r="E58" s="5" t="s">
        <v>193</v>
      </c>
      <c r="F58" s="5"/>
      <c r="G58" s="5">
        <v>63</v>
      </c>
      <c r="H58" s="6">
        <v>3</v>
      </c>
      <c r="I58" s="681">
        <v>134</v>
      </c>
      <c r="J58" s="498">
        <f t="shared" si="0"/>
        <v>3908.9</v>
      </c>
      <c r="K58" s="499"/>
      <c r="L58" s="8"/>
      <c r="N58" s="706">
        <v>3</v>
      </c>
      <c r="O58" s="707"/>
      <c r="P58" s="708"/>
    </row>
    <row r="59" spans="2:16" hidden="1">
      <c r="B59" s="5">
        <f t="shared" si="1"/>
        <v>55</v>
      </c>
      <c r="C59" s="5" t="s">
        <v>649</v>
      </c>
      <c r="D59" s="5" t="s">
        <v>261</v>
      </c>
      <c r="E59" s="5"/>
      <c r="F59" s="5"/>
      <c r="G59" s="5">
        <v>63</v>
      </c>
      <c r="H59" s="6">
        <v>134</v>
      </c>
      <c r="I59" s="681"/>
      <c r="J59" s="498">
        <f t="shared" si="0"/>
        <v>4042.9</v>
      </c>
      <c r="K59" s="499"/>
      <c r="L59" s="8"/>
      <c r="N59" s="706">
        <v>134</v>
      </c>
      <c r="O59" s="707"/>
      <c r="P59" s="708"/>
    </row>
    <row r="60" spans="2:16" hidden="1">
      <c r="B60" s="5">
        <f t="shared" si="1"/>
        <v>56</v>
      </c>
      <c r="C60" s="5" t="s">
        <v>261</v>
      </c>
      <c r="D60" s="5" t="s">
        <v>625</v>
      </c>
      <c r="E60" s="5" t="s">
        <v>193</v>
      </c>
      <c r="F60" s="5"/>
      <c r="G60" s="5">
        <v>63</v>
      </c>
      <c r="H60" s="6">
        <v>3</v>
      </c>
      <c r="I60" s="681"/>
      <c r="J60" s="498">
        <f t="shared" si="0"/>
        <v>4045.9</v>
      </c>
      <c r="K60" s="499"/>
      <c r="L60" s="8"/>
      <c r="N60" s="706">
        <v>3</v>
      </c>
      <c r="O60" s="707"/>
      <c r="P60" s="708"/>
    </row>
    <row r="61" spans="2:16" hidden="1">
      <c r="B61" s="5">
        <f t="shared" si="1"/>
        <v>57</v>
      </c>
      <c r="C61" s="5" t="s">
        <v>261</v>
      </c>
      <c r="D61" s="5" t="s">
        <v>625</v>
      </c>
      <c r="E61" s="5"/>
      <c r="F61" s="5"/>
      <c r="G61" s="5">
        <v>63</v>
      </c>
      <c r="H61" s="6">
        <v>268.89999999999998</v>
      </c>
      <c r="I61" s="6">
        <v>265</v>
      </c>
      <c r="J61" s="498">
        <f t="shared" si="0"/>
        <v>4314.8</v>
      </c>
      <c r="K61" s="499"/>
      <c r="L61" s="8"/>
      <c r="N61" s="706">
        <v>268.89999999999998</v>
      </c>
      <c r="O61" s="707"/>
      <c r="P61" s="708"/>
    </row>
    <row r="62" spans="2:16" hidden="1">
      <c r="B62" s="5">
        <f t="shared" si="1"/>
        <v>58</v>
      </c>
      <c r="C62" s="5" t="s">
        <v>261</v>
      </c>
      <c r="D62" s="5" t="s">
        <v>395</v>
      </c>
      <c r="E62" s="5"/>
      <c r="F62" s="5"/>
      <c r="G62" s="5">
        <v>63</v>
      </c>
      <c r="H62" s="6">
        <v>140</v>
      </c>
      <c r="I62" s="6">
        <v>138</v>
      </c>
      <c r="J62" s="498">
        <f t="shared" si="0"/>
        <v>4454.8</v>
      </c>
      <c r="K62" s="499"/>
      <c r="L62" s="8"/>
      <c r="N62" s="706">
        <v>140</v>
      </c>
      <c r="O62" s="707"/>
      <c r="P62" s="708"/>
    </row>
    <row r="63" spans="2:16" hidden="1">
      <c r="B63" s="5">
        <f t="shared" si="1"/>
        <v>59</v>
      </c>
      <c r="C63" s="5" t="s">
        <v>395</v>
      </c>
      <c r="D63" s="5" t="s">
        <v>252</v>
      </c>
      <c r="E63" s="5"/>
      <c r="F63" s="5"/>
      <c r="G63" s="5">
        <v>63</v>
      </c>
      <c r="H63" s="6">
        <v>147</v>
      </c>
      <c r="I63" s="681">
        <v>149</v>
      </c>
      <c r="J63" s="498">
        <f t="shared" si="0"/>
        <v>4601.8</v>
      </c>
      <c r="K63" s="499"/>
      <c r="L63" s="8"/>
      <c r="N63" s="706">
        <v>147</v>
      </c>
      <c r="O63" s="707"/>
      <c r="P63" s="708"/>
    </row>
    <row r="64" spans="2:16" hidden="1">
      <c r="B64" s="5">
        <f t="shared" si="1"/>
        <v>60</v>
      </c>
      <c r="C64" s="5" t="s">
        <v>395</v>
      </c>
      <c r="D64" s="5" t="s">
        <v>252</v>
      </c>
      <c r="E64" s="5" t="s">
        <v>193</v>
      </c>
      <c r="F64" s="5"/>
      <c r="G64" s="5">
        <v>63</v>
      </c>
      <c r="H64" s="6">
        <v>3</v>
      </c>
      <c r="I64" s="681"/>
      <c r="J64" s="498">
        <f t="shared" si="0"/>
        <v>4604.8</v>
      </c>
      <c r="K64" s="499"/>
      <c r="L64" s="8"/>
      <c r="N64" s="706">
        <v>3</v>
      </c>
      <c r="O64" s="707"/>
      <c r="P64" s="708"/>
    </row>
    <row r="65" spans="2:16" hidden="1">
      <c r="B65" s="5">
        <f t="shared" si="1"/>
        <v>61</v>
      </c>
      <c r="C65" s="5" t="s">
        <v>264</v>
      </c>
      <c r="D65" s="5" t="s">
        <v>286</v>
      </c>
      <c r="E65" s="5"/>
      <c r="F65" s="5"/>
      <c r="G65" s="5">
        <v>63</v>
      </c>
      <c r="H65" s="6">
        <v>181.7</v>
      </c>
      <c r="I65" s="6">
        <v>178</v>
      </c>
      <c r="J65" s="498">
        <f t="shared" si="0"/>
        <v>4786.5</v>
      </c>
      <c r="K65" s="499"/>
      <c r="L65" s="8"/>
      <c r="N65" s="706">
        <v>181.7</v>
      </c>
      <c r="O65" s="707"/>
      <c r="P65" s="708"/>
    </row>
    <row r="66" spans="2:16" hidden="1">
      <c r="B66" s="5">
        <f t="shared" si="1"/>
        <v>62</v>
      </c>
      <c r="C66" s="5" t="s">
        <v>524</v>
      </c>
      <c r="D66" s="5" t="s">
        <v>277</v>
      </c>
      <c r="E66" s="5"/>
      <c r="F66" s="5"/>
      <c r="G66" s="5">
        <v>63</v>
      </c>
      <c r="H66" s="6">
        <v>216.5</v>
      </c>
      <c r="I66" s="6">
        <v>215</v>
      </c>
      <c r="J66" s="498">
        <f t="shared" si="0"/>
        <v>5003</v>
      </c>
      <c r="K66" s="499"/>
      <c r="L66" s="8"/>
      <c r="N66" s="706">
        <v>216.5</v>
      </c>
      <c r="O66" s="707"/>
      <c r="P66" s="708"/>
    </row>
    <row r="67" spans="2:16" hidden="1">
      <c r="B67" s="5">
        <f t="shared" si="1"/>
        <v>63</v>
      </c>
      <c r="C67" s="5" t="s">
        <v>217</v>
      </c>
      <c r="D67" s="5" t="s">
        <v>216</v>
      </c>
      <c r="E67" s="5"/>
      <c r="F67" s="5"/>
      <c r="G67" s="5">
        <v>63</v>
      </c>
      <c r="H67" s="6">
        <v>98</v>
      </c>
      <c r="I67" s="6">
        <v>128</v>
      </c>
      <c r="J67" s="498">
        <f t="shared" si="0"/>
        <v>5101</v>
      </c>
      <c r="K67" s="499"/>
      <c r="L67" s="8"/>
      <c r="N67" s="706">
        <v>98</v>
      </c>
      <c r="O67" s="707"/>
      <c r="P67" s="708"/>
    </row>
    <row r="68" spans="2:16" hidden="1">
      <c r="B68" s="5">
        <f t="shared" si="1"/>
        <v>64</v>
      </c>
      <c r="C68" s="5" t="s">
        <v>686</v>
      </c>
      <c r="D68" s="5" t="s">
        <v>585</v>
      </c>
      <c r="E68" s="5"/>
      <c r="F68" s="5"/>
      <c r="G68" s="5">
        <v>63</v>
      </c>
      <c r="H68" s="6">
        <v>164</v>
      </c>
      <c r="I68" s="6">
        <v>156</v>
      </c>
      <c r="J68" s="498">
        <f t="shared" si="0"/>
        <v>5265</v>
      </c>
      <c r="K68" s="499"/>
      <c r="L68" s="8"/>
      <c r="N68" s="706">
        <v>164</v>
      </c>
      <c r="O68" s="707"/>
      <c r="P68" s="708"/>
    </row>
    <row r="69" spans="2:16" hidden="1">
      <c r="B69" s="5">
        <f t="shared" si="1"/>
        <v>65</v>
      </c>
      <c r="C69" s="5" t="s">
        <v>686</v>
      </c>
      <c r="D69" s="5" t="s">
        <v>613</v>
      </c>
      <c r="E69" s="5"/>
      <c r="F69" s="5"/>
      <c r="G69" s="5">
        <v>63</v>
      </c>
      <c r="H69" s="6">
        <v>88</v>
      </c>
      <c r="I69" s="681">
        <v>101</v>
      </c>
      <c r="J69" s="498">
        <f t="shared" si="0"/>
        <v>5353</v>
      </c>
      <c r="K69" s="499"/>
      <c r="L69" s="8"/>
      <c r="N69" s="706">
        <v>88</v>
      </c>
      <c r="O69" s="707"/>
      <c r="P69" s="708"/>
    </row>
    <row r="70" spans="2:16" hidden="1">
      <c r="B70" s="5">
        <f t="shared" si="1"/>
        <v>66</v>
      </c>
      <c r="C70" s="5" t="s">
        <v>686</v>
      </c>
      <c r="D70" s="5" t="s">
        <v>613</v>
      </c>
      <c r="E70" s="5" t="s">
        <v>199</v>
      </c>
      <c r="F70" s="5"/>
      <c r="G70" s="5">
        <v>63</v>
      </c>
      <c r="H70" s="6">
        <v>30</v>
      </c>
      <c r="I70" s="681"/>
      <c r="J70" s="498">
        <f t="shared" ref="J70:J133" si="2">+J69+H70</f>
        <v>5383</v>
      </c>
      <c r="K70" s="499"/>
      <c r="L70" s="8"/>
      <c r="N70" s="706">
        <v>30</v>
      </c>
      <c r="O70" s="707"/>
      <c r="P70" s="708"/>
    </row>
    <row r="71" spans="2:16" hidden="1">
      <c r="B71" s="5">
        <f t="shared" si="1"/>
        <v>67</v>
      </c>
      <c r="C71" s="5" t="s">
        <v>613</v>
      </c>
      <c r="D71" s="5" t="s">
        <v>1321</v>
      </c>
      <c r="E71" s="5" t="s">
        <v>199</v>
      </c>
      <c r="F71" s="5"/>
      <c r="G71" s="5">
        <v>63</v>
      </c>
      <c r="H71" s="6">
        <v>28</v>
      </c>
      <c r="I71" s="681">
        <v>80</v>
      </c>
      <c r="J71" s="498">
        <f t="shared" si="2"/>
        <v>5411</v>
      </c>
      <c r="K71" s="499"/>
      <c r="L71" s="8"/>
      <c r="N71" s="706">
        <v>28</v>
      </c>
      <c r="O71" s="707"/>
      <c r="P71" s="708"/>
    </row>
    <row r="72" spans="2:16" hidden="1">
      <c r="B72" s="5">
        <f t="shared" ref="B72:B135" si="3">1+B71</f>
        <v>68</v>
      </c>
      <c r="C72" s="5" t="s">
        <v>613</v>
      </c>
      <c r="D72" s="5" t="s">
        <v>1321</v>
      </c>
      <c r="E72" s="5"/>
      <c r="F72" s="5"/>
      <c r="G72" s="5">
        <v>63</v>
      </c>
      <c r="H72" s="6">
        <v>17.2</v>
      </c>
      <c r="I72" s="681"/>
      <c r="J72" s="498">
        <f t="shared" si="2"/>
        <v>5428.2</v>
      </c>
      <c r="K72" s="499"/>
      <c r="L72" s="8"/>
      <c r="N72" s="706">
        <v>17.2</v>
      </c>
      <c r="O72" s="707"/>
      <c r="P72" s="708"/>
    </row>
    <row r="73" spans="2:16" hidden="1">
      <c r="B73" s="5">
        <f t="shared" si="3"/>
        <v>69</v>
      </c>
      <c r="C73" s="5" t="s">
        <v>1321</v>
      </c>
      <c r="D73" s="5" t="s">
        <v>1344</v>
      </c>
      <c r="E73" s="5"/>
      <c r="F73" s="5"/>
      <c r="G73" s="5">
        <v>63</v>
      </c>
      <c r="H73" s="6">
        <v>12.7</v>
      </c>
      <c r="I73" s="6"/>
      <c r="J73" s="498">
        <f t="shared" si="2"/>
        <v>5440.9</v>
      </c>
      <c r="K73" s="499"/>
      <c r="L73" s="8"/>
      <c r="N73" s="706">
        <v>12.7</v>
      </c>
      <c r="O73" s="707"/>
      <c r="P73" s="708"/>
    </row>
    <row r="74" spans="2:16" hidden="1">
      <c r="B74" s="5">
        <f t="shared" si="3"/>
        <v>70</v>
      </c>
      <c r="C74" s="5" t="s">
        <v>1344</v>
      </c>
      <c r="D74" s="5" t="s">
        <v>1345</v>
      </c>
      <c r="E74" s="5"/>
      <c r="F74" s="5"/>
      <c r="G74" s="5">
        <v>63</v>
      </c>
      <c r="H74" s="6">
        <v>12.2</v>
      </c>
      <c r="I74" s="6"/>
      <c r="J74" s="498">
        <f t="shared" si="2"/>
        <v>5453.0999999999995</v>
      </c>
      <c r="K74" s="499"/>
      <c r="L74" s="8"/>
      <c r="N74" s="706">
        <v>12.2</v>
      </c>
      <c r="O74" s="707"/>
      <c r="P74" s="708"/>
    </row>
    <row r="75" spans="2:16" hidden="1">
      <c r="B75" s="5">
        <f t="shared" si="3"/>
        <v>71</v>
      </c>
      <c r="C75" s="5" t="s">
        <v>1344</v>
      </c>
      <c r="D75" s="5" t="s">
        <v>1346</v>
      </c>
      <c r="E75" s="5"/>
      <c r="F75" s="5"/>
      <c r="G75" s="5">
        <v>63</v>
      </c>
      <c r="H75" s="6">
        <v>36.299999999999997</v>
      </c>
      <c r="I75" s="6"/>
      <c r="J75" s="498">
        <f t="shared" si="2"/>
        <v>5489.4</v>
      </c>
      <c r="K75" s="499"/>
      <c r="L75" s="8"/>
      <c r="N75" s="706">
        <v>36.299999999999997</v>
      </c>
      <c r="O75" s="707"/>
      <c r="P75" s="708"/>
    </row>
    <row r="76" spans="2:16" hidden="1">
      <c r="B76" s="5">
        <f t="shared" si="3"/>
        <v>72</v>
      </c>
      <c r="C76" s="5" t="s">
        <v>705</v>
      </c>
      <c r="D76" s="5" t="s">
        <v>590</v>
      </c>
      <c r="E76" s="5"/>
      <c r="F76" s="5"/>
      <c r="G76" s="5">
        <v>63</v>
      </c>
      <c r="H76" s="6">
        <v>12.4</v>
      </c>
      <c r="I76" s="6">
        <v>26</v>
      </c>
      <c r="J76" s="498">
        <f t="shared" si="2"/>
        <v>5501.7999999999993</v>
      </c>
      <c r="K76" s="499"/>
      <c r="L76" s="8"/>
      <c r="N76" s="706">
        <v>12.4</v>
      </c>
      <c r="O76" s="707"/>
      <c r="P76" s="708"/>
    </row>
    <row r="77" spans="2:16" hidden="1">
      <c r="B77" s="5">
        <f t="shared" si="3"/>
        <v>73</v>
      </c>
      <c r="C77" s="5" t="s">
        <v>705</v>
      </c>
      <c r="D77" s="5" t="s">
        <v>203</v>
      </c>
      <c r="E77" s="5"/>
      <c r="F77" s="5"/>
      <c r="G77" s="5">
        <v>63</v>
      </c>
      <c r="H77" s="6">
        <v>46</v>
      </c>
      <c r="I77" s="6">
        <v>23</v>
      </c>
      <c r="J77" s="498">
        <f t="shared" si="2"/>
        <v>5547.7999999999993</v>
      </c>
      <c r="K77" s="499"/>
      <c r="L77" s="8"/>
      <c r="N77" s="706">
        <v>46</v>
      </c>
      <c r="O77" s="707"/>
      <c r="P77" s="708"/>
    </row>
    <row r="78" spans="2:16" hidden="1">
      <c r="B78" s="5">
        <f t="shared" si="3"/>
        <v>74</v>
      </c>
      <c r="C78" s="5" t="s">
        <v>1347</v>
      </c>
      <c r="D78" s="5" t="s">
        <v>1348</v>
      </c>
      <c r="E78" s="5"/>
      <c r="F78" s="5"/>
      <c r="G78" s="5">
        <v>63</v>
      </c>
      <c r="H78" s="6">
        <v>17.7</v>
      </c>
      <c r="I78" s="6"/>
      <c r="J78" s="498">
        <f t="shared" si="2"/>
        <v>5565.4999999999991</v>
      </c>
      <c r="K78" s="499"/>
      <c r="L78" s="8"/>
      <c r="N78" s="706">
        <v>17.7</v>
      </c>
      <c r="O78" s="707"/>
      <c r="P78" s="708"/>
    </row>
    <row r="79" spans="2:16" hidden="1">
      <c r="B79" s="5">
        <f t="shared" si="3"/>
        <v>75</v>
      </c>
      <c r="C79" s="5" t="s">
        <v>1133</v>
      </c>
      <c r="D79" s="5" t="s">
        <v>1349</v>
      </c>
      <c r="E79" s="5"/>
      <c r="F79" s="5"/>
      <c r="G79" s="5">
        <v>63</v>
      </c>
      <c r="H79" s="6">
        <v>26.3</v>
      </c>
      <c r="I79" s="6"/>
      <c r="J79" s="498">
        <f t="shared" si="2"/>
        <v>5591.7999999999993</v>
      </c>
      <c r="K79" s="499"/>
      <c r="L79" s="8"/>
      <c r="N79" s="706">
        <v>26.3</v>
      </c>
      <c r="O79" s="707"/>
      <c r="P79" s="708"/>
    </row>
    <row r="80" spans="2:16" hidden="1">
      <c r="B80" s="5">
        <f t="shared" si="3"/>
        <v>76</v>
      </c>
      <c r="C80" s="5" t="s">
        <v>581</v>
      </c>
      <c r="D80" s="5" t="s">
        <v>709</v>
      </c>
      <c r="E80" s="5" t="s">
        <v>199</v>
      </c>
      <c r="F80" s="5"/>
      <c r="G80" s="5">
        <v>63</v>
      </c>
      <c r="H80" s="6">
        <v>70</v>
      </c>
      <c r="I80" s="6"/>
      <c r="J80" s="498">
        <f t="shared" si="2"/>
        <v>5661.7999999999993</v>
      </c>
      <c r="K80" s="499"/>
      <c r="L80" s="8"/>
      <c r="N80" s="706">
        <v>70</v>
      </c>
      <c r="O80" s="707"/>
      <c r="P80" s="708"/>
    </row>
    <row r="81" spans="2:16" hidden="1">
      <c r="B81" s="5">
        <f t="shared" si="3"/>
        <v>77</v>
      </c>
      <c r="C81" s="5" t="s">
        <v>709</v>
      </c>
      <c r="D81" s="5" t="s">
        <v>710</v>
      </c>
      <c r="E81" s="5"/>
      <c r="F81" s="5"/>
      <c r="G81" s="5">
        <v>63</v>
      </c>
      <c r="H81" s="6">
        <v>46.7</v>
      </c>
      <c r="I81" s="6"/>
      <c r="J81" s="498">
        <f t="shared" si="2"/>
        <v>5708.4999999999991</v>
      </c>
      <c r="K81" s="499"/>
      <c r="L81" s="8"/>
      <c r="N81" s="706">
        <v>46.7</v>
      </c>
      <c r="O81" s="707"/>
      <c r="P81" s="708"/>
    </row>
    <row r="82" spans="2:16" hidden="1">
      <c r="B82" s="5">
        <f t="shared" si="3"/>
        <v>78</v>
      </c>
      <c r="C82" s="5" t="s">
        <v>709</v>
      </c>
      <c r="D82" s="5" t="s">
        <v>612</v>
      </c>
      <c r="E82" s="5" t="s">
        <v>199</v>
      </c>
      <c r="F82" s="5"/>
      <c r="G82" s="5">
        <v>63</v>
      </c>
      <c r="H82" s="6">
        <v>27.5</v>
      </c>
      <c r="I82" s="6"/>
      <c r="J82" s="498">
        <f t="shared" si="2"/>
        <v>5735.9999999999991</v>
      </c>
      <c r="K82" s="499"/>
      <c r="L82" s="8"/>
      <c r="N82" s="706">
        <v>27.5</v>
      </c>
      <c r="O82" s="707"/>
      <c r="P82" s="708"/>
    </row>
    <row r="83" spans="2:16" hidden="1">
      <c r="B83" s="5">
        <f t="shared" si="3"/>
        <v>79</v>
      </c>
      <c r="C83" s="5" t="s">
        <v>704</v>
      </c>
      <c r="D83" s="5" t="s">
        <v>570</v>
      </c>
      <c r="E83" s="5" t="s">
        <v>193</v>
      </c>
      <c r="F83" s="5"/>
      <c r="G83" s="5">
        <v>63</v>
      </c>
      <c r="H83" s="6">
        <v>3</v>
      </c>
      <c r="I83" s="681">
        <v>32</v>
      </c>
      <c r="J83" s="498">
        <f t="shared" si="2"/>
        <v>5738.9999999999991</v>
      </c>
      <c r="K83" s="499"/>
      <c r="L83" s="8"/>
      <c r="N83" s="706">
        <v>3</v>
      </c>
      <c r="O83" s="707"/>
      <c r="P83" s="708"/>
    </row>
    <row r="84" spans="2:16" hidden="1">
      <c r="B84" s="5">
        <f t="shared" si="3"/>
        <v>80</v>
      </c>
      <c r="C84" s="5" t="s">
        <v>704</v>
      </c>
      <c r="D84" s="5" t="s">
        <v>570</v>
      </c>
      <c r="E84" s="5" t="s">
        <v>199</v>
      </c>
      <c r="F84" s="5"/>
      <c r="G84" s="5">
        <v>63</v>
      </c>
      <c r="H84" s="6">
        <v>32</v>
      </c>
      <c r="I84" s="681"/>
      <c r="J84" s="498">
        <f t="shared" si="2"/>
        <v>5770.9999999999991</v>
      </c>
      <c r="K84" s="499"/>
      <c r="L84" s="8"/>
      <c r="N84" s="706">
        <v>32</v>
      </c>
      <c r="O84" s="707"/>
      <c r="P84" s="708"/>
    </row>
    <row r="85" spans="2:16" hidden="1">
      <c r="B85" s="5">
        <f t="shared" si="3"/>
        <v>81</v>
      </c>
      <c r="C85" s="5" t="s">
        <v>460</v>
      </c>
      <c r="D85" s="5" t="s">
        <v>680</v>
      </c>
      <c r="E85" s="5" t="s">
        <v>193</v>
      </c>
      <c r="F85" s="5"/>
      <c r="G85" s="5">
        <v>63</v>
      </c>
      <c r="H85" s="6">
        <v>3</v>
      </c>
      <c r="I85" s="681">
        <v>66</v>
      </c>
      <c r="J85" s="498">
        <f t="shared" si="2"/>
        <v>5773.9999999999991</v>
      </c>
      <c r="K85" s="499"/>
      <c r="L85" s="8"/>
      <c r="N85" s="706">
        <v>3</v>
      </c>
      <c r="O85" s="707"/>
      <c r="P85" s="708"/>
    </row>
    <row r="86" spans="2:16" hidden="1">
      <c r="B86" s="5">
        <f t="shared" si="3"/>
        <v>82</v>
      </c>
      <c r="C86" s="5" t="s">
        <v>460</v>
      </c>
      <c r="D86" s="5" t="s">
        <v>680</v>
      </c>
      <c r="E86" s="5"/>
      <c r="F86" s="5"/>
      <c r="G86" s="5">
        <v>63</v>
      </c>
      <c r="H86" s="6">
        <v>64.3</v>
      </c>
      <c r="I86" s="681"/>
      <c r="J86" s="498">
        <f t="shared" si="2"/>
        <v>5838.2999999999993</v>
      </c>
      <c r="K86" s="499"/>
      <c r="L86" s="8"/>
      <c r="N86" s="706">
        <v>64.3</v>
      </c>
      <c r="O86" s="707"/>
      <c r="P86" s="708"/>
    </row>
    <row r="87" spans="2:16" hidden="1">
      <c r="B87" s="5">
        <f t="shared" si="3"/>
        <v>83</v>
      </c>
      <c r="C87" s="5" t="s">
        <v>932</v>
      </c>
      <c r="D87" s="5" t="s">
        <v>575</v>
      </c>
      <c r="E87" s="5"/>
      <c r="F87" s="5"/>
      <c r="G87" s="5">
        <v>63</v>
      </c>
      <c r="H87" s="6">
        <v>125</v>
      </c>
      <c r="I87" s="6">
        <v>122</v>
      </c>
      <c r="J87" s="498">
        <f t="shared" si="2"/>
        <v>5963.2999999999993</v>
      </c>
      <c r="K87" s="499"/>
      <c r="L87" s="8"/>
      <c r="N87" s="706">
        <v>125</v>
      </c>
      <c r="O87" s="707"/>
      <c r="P87" s="708"/>
    </row>
    <row r="88" spans="2:16" hidden="1">
      <c r="B88" s="5">
        <f t="shared" si="3"/>
        <v>84</v>
      </c>
      <c r="C88" s="5" t="s">
        <v>680</v>
      </c>
      <c r="D88" s="5" t="s">
        <v>584</v>
      </c>
      <c r="E88" s="5" t="s">
        <v>193</v>
      </c>
      <c r="F88" s="5"/>
      <c r="G88" s="5">
        <v>63</v>
      </c>
      <c r="H88" s="6">
        <v>3</v>
      </c>
      <c r="I88" s="681">
        <v>20</v>
      </c>
      <c r="J88" s="498">
        <f t="shared" si="2"/>
        <v>5966.2999999999993</v>
      </c>
      <c r="K88" s="499"/>
      <c r="L88" s="8"/>
      <c r="N88" s="706">
        <v>3</v>
      </c>
      <c r="O88" s="707"/>
      <c r="P88" s="708"/>
    </row>
    <row r="89" spans="2:16" hidden="1">
      <c r="B89" s="5">
        <f t="shared" si="3"/>
        <v>85</v>
      </c>
      <c r="C89" s="5" t="s">
        <v>680</v>
      </c>
      <c r="D89" s="5" t="s">
        <v>584</v>
      </c>
      <c r="E89" s="5" t="s">
        <v>199</v>
      </c>
      <c r="F89" s="5"/>
      <c r="G89" s="5">
        <v>63</v>
      </c>
      <c r="H89" s="6">
        <v>21</v>
      </c>
      <c r="I89" s="681"/>
      <c r="J89" s="498">
        <f t="shared" si="2"/>
        <v>5987.2999999999993</v>
      </c>
      <c r="K89" s="499"/>
      <c r="L89" s="8"/>
      <c r="N89" s="706">
        <v>21</v>
      </c>
      <c r="O89" s="707"/>
      <c r="P89" s="708"/>
    </row>
    <row r="90" spans="2:16" hidden="1">
      <c r="B90" s="5">
        <f t="shared" si="3"/>
        <v>86</v>
      </c>
      <c r="C90" s="5" t="s">
        <v>707</v>
      </c>
      <c r="D90" s="5" t="s">
        <v>618</v>
      </c>
      <c r="E90" s="5"/>
      <c r="F90" s="5"/>
      <c r="G90" s="5">
        <v>63</v>
      </c>
      <c r="H90" s="6">
        <v>59.6</v>
      </c>
      <c r="I90" s="6">
        <v>62</v>
      </c>
      <c r="J90" s="498">
        <f t="shared" si="2"/>
        <v>6046.9</v>
      </c>
      <c r="K90" s="499"/>
      <c r="L90" s="8"/>
      <c r="N90" s="706">
        <v>59.6</v>
      </c>
      <c r="O90" s="707"/>
      <c r="P90" s="708"/>
    </row>
    <row r="91" spans="2:16" hidden="1">
      <c r="B91" s="5">
        <f t="shared" si="3"/>
        <v>87</v>
      </c>
      <c r="C91" s="5" t="s">
        <v>618</v>
      </c>
      <c r="D91" s="5" t="s">
        <v>1350</v>
      </c>
      <c r="E91" s="5" t="s">
        <v>193</v>
      </c>
      <c r="F91" s="5"/>
      <c r="G91" s="5">
        <v>63</v>
      </c>
      <c r="H91" s="6">
        <v>3</v>
      </c>
      <c r="I91" s="6"/>
      <c r="J91" s="498">
        <f t="shared" si="2"/>
        <v>6049.9</v>
      </c>
      <c r="K91" s="499"/>
      <c r="L91" s="8"/>
      <c r="N91" s="706">
        <v>3</v>
      </c>
      <c r="O91" s="707"/>
      <c r="P91" s="708"/>
    </row>
    <row r="92" spans="2:16" hidden="1">
      <c r="B92" s="5">
        <f t="shared" si="3"/>
        <v>88</v>
      </c>
      <c r="C92" s="5" t="s">
        <v>618</v>
      </c>
      <c r="D92" s="5" t="s">
        <v>1350</v>
      </c>
      <c r="E92" s="5"/>
      <c r="F92" s="5"/>
      <c r="G92" s="5">
        <v>63</v>
      </c>
      <c r="H92" s="6">
        <v>26.6</v>
      </c>
      <c r="I92" s="6"/>
      <c r="J92" s="498">
        <f t="shared" si="2"/>
        <v>6076.5</v>
      </c>
      <c r="K92" s="499"/>
      <c r="L92" s="8"/>
      <c r="N92" s="706">
        <v>26.6</v>
      </c>
      <c r="O92" s="707"/>
      <c r="P92" s="708"/>
    </row>
    <row r="93" spans="2:16" hidden="1">
      <c r="B93" s="5">
        <f t="shared" si="3"/>
        <v>89</v>
      </c>
      <c r="C93" s="5" t="s">
        <v>1350</v>
      </c>
      <c r="D93" s="5" t="s">
        <v>1351</v>
      </c>
      <c r="E93" s="5"/>
      <c r="F93" s="5"/>
      <c r="G93" s="5">
        <v>63</v>
      </c>
      <c r="H93" s="6">
        <v>109.5</v>
      </c>
      <c r="I93" s="6"/>
      <c r="J93" s="498">
        <f t="shared" si="2"/>
        <v>6186</v>
      </c>
      <c r="K93" s="499"/>
      <c r="L93" s="8"/>
      <c r="N93" s="706">
        <v>109.5</v>
      </c>
      <c r="O93" s="707"/>
      <c r="P93" s="708"/>
    </row>
    <row r="94" spans="2:16" hidden="1">
      <c r="B94" s="5">
        <f t="shared" si="3"/>
        <v>90</v>
      </c>
      <c r="C94" s="5" t="s">
        <v>1350</v>
      </c>
      <c r="D94" s="5" t="s">
        <v>1321</v>
      </c>
      <c r="E94" s="5"/>
      <c r="F94" s="5"/>
      <c r="G94" s="5">
        <v>63</v>
      </c>
      <c r="H94" s="6">
        <v>63</v>
      </c>
      <c r="I94" s="6"/>
      <c r="J94" s="498">
        <f t="shared" si="2"/>
        <v>6249</v>
      </c>
      <c r="K94" s="499"/>
      <c r="L94" s="8"/>
      <c r="N94" s="706">
        <v>63</v>
      </c>
      <c r="O94" s="707"/>
      <c r="P94" s="708"/>
    </row>
    <row r="95" spans="2:16">
      <c r="B95" s="5">
        <f t="shared" si="3"/>
        <v>91</v>
      </c>
      <c r="C95" s="5" t="s">
        <v>696</v>
      </c>
      <c r="D95" s="5" t="s">
        <v>567</v>
      </c>
      <c r="E95" s="5" t="s">
        <v>301</v>
      </c>
      <c r="F95" s="5"/>
      <c r="G95" s="5">
        <v>63</v>
      </c>
      <c r="H95" s="6">
        <v>107.3</v>
      </c>
      <c r="I95" s="6">
        <v>176</v>
      </c>
      <c r="J95" s="498">
        <f t="shared" si="2"/>
        <v>6356.3</v>
      </c>
      <c r="K95" s="499"/>
      <c r="L95" s="8"/>
      <c r="N95" s="706">
        <v>107.3</v>
      </c>
      <c r="O95" s="707"/>
      <c r="P95" s="708"/>
    </row>
    <row r="96" spans="2:16">
      <c r="B96" s="5">
        <f t="shared" si="3"/>
        <v>92</v>
      </c>
      <c r="C96" s="5" t="s">
        <v>567</v>
      </c>
      <c r="D96" s="5" t="s">
        <v>703</v>
      </c>
      <c r="E96" s="5" t="s">
        <v>301</v>
      </c>
      <c r="F96" s="5"/>
      <c r="G96" s="5">
        <v>63</v>
      </c>
      <c r="H96" s="6">
        <v>1.5</v>
      </c>
      <c r="I96" s="681">
        <v>11</v>
      </c>
      <c r="J96" s="498">
        <f t="shared" si="2"/>
        <v>6357.8</v>
      </c>
      <c r="K96" s="499"/>
      <c r="L96" s="8"/>
      <c r="N96" s="706">
        <v>1.5</v>
      </c>
      <c r="O96" s="707"/>
      <c r="P96" s="708"/>
    </row>
    <row r="97" spans="2:16" hidden="1">
      <c r="B97" s="5">
        <f t="shared" si="3"/>
        <v>93</v>
      </c>
      <c r="C97" s="5" t="s">
        <v>567</v>
      </c>
      <c r="D97" s="5" t="s">
        <v>703</v>
      </c>
      <c r="E97" s="5"/>
      <c r="F97" s="5"/>
      <c r="G97" s="5">
        <v>63</v>
      </c>
      <c r="H97" s="6">
        <v>10</v>
      </c>
      <c r="I97" s="681"/>
      <c r="J97" s="498">
        <f t="shared" si="2"/>
        <v>6367.8</v>
      </c>
      <c r="K97" s="499"/>
      <c r="L97" s="8"/>
      <c r="N97" s="706">
        <v>10</v>
      </c>
      <c r="O97" s="707"/>
      <c r="P97" s="708"/>
    </row>
    <row r="98" spans="2:16" hidden="1">
      <c r="B98" s="5">
        <f t="shared" si="3"/>
        <v>94</v>
      </c>
      <c r="C98" s="5" t="s">
        <v>703</v>
      </c>
      <c r="D98" s="5" t="s">
        <v>1337</v>
      </c>
      <c r="E98" s="5" t="s">
        <v>199</v>
      </c>
      <c r="F98" s="5"/>
      <c r="G98" s="5">
        <v>63</v>
      </c>
      <c r="H98" s="6">
        <v>32.1</v>
      </c>
      <c r="I98" s="681">
        <v>85</v>
      </c>
      <c r="J98" s="498">
        <f t="shared" si="2"/>
        <v>6399.9000000000005</v>
      </c>
      <c r="K98" s="499"/>
      <c r="L98" s="8"/>
      <c r="N98" s="706">
        <v>32.1</v>
      </c>
      <c r="O98" s="707"/>
      <c r="P98" s="708"/>
    </row>
    <row r="99" spans="2:16" hidden="1">
      <c r="B99" s="5">
        <f t="shared" si="3"/>
        <v>95</v>
      </c>
      <c r="C99" s="5" t="s">
        <v>703</v>
      </c>
      <c r="D99" s="5" t="s">
        <v>1337</v>
      </c>
      <c r="E99" s="5"/>
      <c r="F99" s="5"/>
      <c r="G99" s="5">
        <v>63</v>
      </c>
      <c r="H99" s="6">
        <v>87.2</v>
      </c>
      <c r="I99" s="681"/>
      <c r="J99" s="498">
        <f t="shared" si="2"/>
        <v>6487.1</v>
      </c>
      <c r="K99" s="499"/>
      <c r="L99" s="8"/>
      <c r="N99" s="706">
        <v>87.2</v>
      </c>
      <c r="O99" s="707"/>
      <c r="P99" s="708"/>
    </row>
    <row r="100" spans="2:16">
      <c r="B100" s="5">
        <f t="shared" si="3"/>
        <v>96</v>
      </c>
      <c r="C100" s="5" t="s">
        <v>567</v>
      </c>
      <c r="D100" s="5" t="s">
        <v>569</v>
      </c>
      <c r="E100" s="5" t="s">
        <v>301</v>
      </c>
      <c r="F100" s="5"/>
      <c r="G100" s="5">
        <v>63</v>
      </c>
      <c r="H100" s="6">
        <v>17.8</v>
      </c>
      <c r="I100" s="6">
        <v>18</v>
      </c>
      <c r="J100" s="498">
        <f t="shared" si="2"/>
        <v>6504.9000000000005</v>
      </c>
      <c r="K100" s="499"/>
      <c r="L100" s="8"/>
      <c r="N100" s="706">
        <v>17.8</v>
      </c>
      <c r="O100" s="707"/>
      <c r="P100" s="708"/>
    </row>
    <row r="101" spans="2:16">
      <c r="B101" s="5">
        <f t="shared" si="3"/>
        <v>97</v>
      </c>
      <c r="C101" s="5" t="s">
        <v>569</v>
      </c>
      <c r="D101" s="5" t="s">
        <v>548</v>
      </c>
      <c r="E101" s="5" t="s">
        <v>301</v>
      </c>
      <c r="F101" s="5"/>
      <c r="G101" s="5">
        <v>63</v>
      </c>
      <c r="H101" s="6">
        <v>4</v>
      </c>
      <c r="I101" s="681">
        <v>25</v>
      </c>
      <c r="J101" s="498">
        <f t="shared" si="2"/>
        <v>6508.9000000000005</v>
      </c>
      <c r="K101" s="499"/>
      <c r="L101" s="8"/>
      <c r="N101" s="706">
        <v>4</v>
      </c>
      <c r="O101" s="707"/>
      <c r="P101" s="708"/>
    </row>
    <row r="102" spans="2:16" hidden="1">
      <c r="B102" s="5">
        <f t="shared" si="3"/>
        <v>98</v>
      </c>
      <c r="C102" s="5" t="s">
        <v>569</v>
      </c>
      <c r="D102" s="5" t="s">
        <v>548</v>
      </c>
      <c r="E102" s="5"/>
      <c r="F102" s="5"/>
      <c r="G102" s="5">
        <v>63</v>
      </c>
      <c r="H102" s="6">
        <v>11</v>
      </c>
      <c r="I102" s="681"/>
      <c r="J102" s="498">
        <f t="shared" si="2"/>
        <v>6519.9000000000005</v>
      </c>
      <c r="K102" s="499"/>
      <c r="L102" s="8"/>
      <c r="N102" s="706">
        <v>11</v>
      </c>
      <c r="O102" s="707"/>
      <c r="P102" s="708"/>
    </row>
    <row r="103" spans="2:16">
      <c r="B103" s="5">
        <f t="shared" si="3"/>
        <v>99</v>
      </c>
      <c r="C103" s="5" t="s">
        <v>569</v>
      </c>
      <c r="D103" s="5" t="s">
        <v>560</v>
      </c>
      <c r="E103" s="5" t="s">
        <v>301</v>
      </c>
      <c r="F103" s="5"/>
      <c r="G103" s="5">
        <v>63</v>
      </c>
      <c r="H103" s="6">
        <v>29</v>
      </c>
      <c r="I103" s="681">
        <v>185</v>
      </c>
      <c r="J103" s="498">
        <f t="shared" si="2"/>
        <v>6548.9000000000005</v>
      </c>
      <c r="K103" s="499"/>
      <c r="L103" s="8"/>
      <c r="N103" s="706">
        <v>29</v>
      </c>
      <c r="O103" s="707"/>
      <c r="P103" s="708"/>
    </row>
    <row r="104" spans="2:16" hidden="1">
      <c r="B104" s="5">
        <f t="shared" si="3"/>
        <v>100</v>
      </c>
      <c r="C104" s="5" t="s">
        <v>569</v>
      </c>
      <c r="D104" s="5" t="s">
        <v>560</v>
      </c>
      <c r="E104" s="5"/>
      <c r="F104" s="5"/>
      <c r="G104" s="5">
        <v>63</v>
      </c>
      <c r="H104" s="6">
        <v>165</v>
      </c>
      <c r="I104" s="681"/>
      <c r="J104" s="498">
        <f t="shared" si="2"/>
        <v>6713.9000000000005</v>
      </c>
      <c r="K104" s="499"/>
      <c r="L104" s="8"/>
      <c r="N104" s="706">
        <v>165</v>
      </c>
      <c r="O104" s="707"/>
      <c r="P104" s="708"/>
    </row>
    <row r="105" spans="2:16" hidden="1">
      <c r="B105" s="5">
        <f t="shared" si="3"/>
        <v>101</v>
      </c>
      <c r="C105" s="5" t="s">
        <v>560</v>
      </c>
      <c r="D105" s="5" t="s">
        <v>699</v>
      </c>
      <c r="E105" s="5"/>
      <c r="F105" s="5"/>
      <c r="G105" s="5">
        <v>63</v>
      </c>
      <c r="H105" s="6">
        <v>108.3</v>
      </c>
      <c r="I105" s="6">
        <v>65</v>
      </c>
      <c r="J105" s="498">
        <f t="shared" si="2"/>
        <v>6822.2000000000007</v>
      </c>
      <c r="K105" s="499"/>
      <c r="L105" s="8"/>
      <c r="N105" s="706">
        <v>108.3</v>
      </c>
      <c r="O105" s="707"/>
      <c r="P105" s="708"/>
    </row>
    <row r="106" spans="2:16" hidden="1">
      <c r="B106" s="5">
        <f t="shared" si="3"/>
        <v>102</v>
      </c>
      <c r="C106" s="5" t="s">
        <v>560</v>
      </c>
      <c r="D106" s="5" t="s">
        <v>707</v>
      </c>
      <c r="E106" s="5"/>
      <c r="F106" s="5"/>
      <c r="G106" s="5">
        <v>63</v>
      </c>
      <c r="H106" s="6">
        <v>162</v>
      </c>
      <c r="I106" s="681">
        <v>182</v>
      </c>
      <c r="J106" s="498">
        <f t="shared" si="2"/>
        <v>6984.2000000000007</v>
      </c>
      <c r="K106" s="499"/>
      <c r="L106" s="8"/>
      <c r="N106" s="706">
        <v>162</v>
      </c>
      <c r="O106" s="707"/>
      <c r="P106" s="708"/>
    </row>
    <row r="107" spans="2:16" hidden="1">
      <c r="B107" s="5">
        <f t="shared" si="3"/>
        <v>103</v>
      </c>
      <c r="C107" s="5" t="s">
        <v>560</v>
      </c>
      <c r="D107" s="5" t="s">
        <v>707</v>
      </c>
      <c r="E107" s="5" t="s">
        <v>199</v>
      </c>
      <c r="F107" s="5"/>
      <c r="G107" s="5">
        <v>63</v>
      </c>
      <c r="H107" s="6">
        <v>23</v>
      </c>
      <c r="I107" s="681"/>
      <c r="J107" s="498">
        <f t="shared" si="2"/>
        <v>7007.2000000000007</v>
      </c>
      <c r="K107" s="499"/>
      <c r="L107" s="8"/>
      <c r="N107" s="706">
        <v>23</v>
      </c>
      <c r="O107" s="707"/>
      <c r="P107" s="708"/>
    </row>
    <row r="108" spans="2:16" hidden="1">
      <c r="B108" s="5">
        <f t="shared" si="3"/>
        <v>104</v>
      </c>
      <c r="C108" s="5" t="s">
        <v>541</v>
      </c>
      <c r="D108" s="5" t="s">
        <v>190</v>
      </c>
      <c r="E108" s="5"/>
      <c r="F108" s="5"/>
      <c r="G108" s="5">
        <v>63</v>
      </c>
      <c r="H108" s="6">
        <v>79</v>
      </c>
      <c r="I108" s="6">
        <v>104</v>
      </c>
      <c r="J108" s="498">
        <f t="shared" si="2"/>
        <v>7086.2000000000007</v>
      </c>
      <c r="K108" s="499"/>
      <c r="L108" s="8"/>
      <c r="N108" s="706">
        <v>79</v>
      </c>
      <c r="O108" s="707"/>
      <c r="P108" s="708"/>
    </row>
    <row r="109" spans="2:16" hidden="1">
      <c r="B109" s="5">
        <f t="shared" si="3"/>
        <v>105</v>
      </c>
      <c r="C109" s="5" t="s">
        <v>541</v>
      </c>
      <c r="D109" s="5" t="s">
        <v>189</v>
      </c>
      <c r="E109" s="5"/>
      <c r="F109" s="5"/>
      <c r="G109" s="5">
        <v>63</v>
      </c>
      <c r="H109" s="6">
        <v>10</v>
      </c>
      <c r="I109" s="6">
        <v>10</v>
      </c>
      <c r="J109" s="498">
        <f t="shared" si="2"/>
        <v>7096.2000000000007</v>
      </c>
      <c r="K109" s="499"/>
      <c r="L109" s="8"/>
      <c r="N109" s="706">
        <v>10</v>
      </c>
      <c r="O109" s="707"/>
      <c r="P109" s="708"/>
    </row>
    <row r="110" spans="2:16" hidden="1">
      <c r="B110" s="5">
        <f t="shared" si="3"/>
        <v>106</v>
      </c>
      <c r="C110" s="5" t="s">
        <v>229</v>
      </c>
      <c r="D110" s="5" t="s">
        <v>242</v>
      </c>
      <c r="E110" s="5"/>
      <c r="F110" s="5"/>
      <c r="G110" s="5">
        <v>63</v>
      </c>
      <c r="H110" s="6">
        <v>18</v>
      </c>
      <c r="I110" s="6">
        <v>10</v>
      </c>
      <c r="J110" s="498">
        <f t="shared" si="2"/>
        <v>7114.2000000000007</v>
      </c>
      <c r="K110" s="499"/>
      <c r="L110" s="8"/>
      <c r="N110" s="706">
        <v>18</v>
      </c>
      <c r="O110" s="707"/>
      <c r="P110" s="708"/>
    </row>
    <row r="111" spans="2:16" hidden="1">
      <c r="B111" s="5">
        <f t="shared" si="3"/>
        <v>107</v>
      </c>
      <c r="C111" s="5" t="s">
        <v>362</v>
      </c>
      <c r="D111" s="5" t="s">
        <v>249</v>
      </c>
      <c r="E111" s="5"/>
      <c r="F111" s="5"/>
      <c r="G111" s="5">
        <v>63</v>
      </c>
      <c r="H111" s="6">
        <v>305</v>
      </c>
      <c r="I111" s="6">
        <v>305</v>
      </c>
      <c r="J111" s="498">
        <f t="shared" si="2"/>
        <v>7419.2000000000007</v>
      </c>
      <c r="K111" s="499"/>
      <c r="L111" s="8"/>
      <c r="N111" s="706">
        <v>305</v>
      </c>
      <c r="O111" s="707"/>
      <c r="P111" s="708"/>
    </row>
    <row r="112" spans="2:16" hidden="1">
      <c r="B112" s="5">
        <f t="shared" si="3"/>
        <v>108</v>
      </c>
      <c r="C112" s="5" t="s">
        <v>318</v>
      </c>
      <c r="D112" s="5" t="s">
        <v>268</v>
      </c>
      <c r="E112" s="5"/>
      <c r="F112" s="5"/>
      <c r="G112" s="5">
        <v>63</v>
      </c>
      <c r="H112" s="6">
        <v>314.60000000000002</v>
      </c>
      <c r="I112" s="6">
        <v>346</v>
      </c>
      <c r="J112" s="498">
        <f t="shared" si="2"/>
        <v>7733.8000000000011</v>
      </c>
      <c r="K112" s="499"/>
      <c r="L112" s="8"/>
      <c r="N112" s="706">
        <v>34.6</v>
      </c>
      <c r="O112" s="707"/>
      <c r="P112" s="708"/>
    </row>
    <row r="113" spans="2:16">
      <c r="B113" s="5">
        <f t="shared" si="3"/>
        <v>109</v>
      </c>
      <c r="C113" s="5" t="s">
        <v>344</v>
      </c>
      <c r="D113" s="5" t="s">
        <v>640</v>
      </c>
      <c r="E113" s="5" t="s">
        <v>301</v>
      </c>
      <c r="F113" s="5"/>
      <c r="G113" s="5">
        <v>63</v>
      </c>
      <c r="H113" s="6">
        <v>16.7</v>
      </c>
      <c r="I113" s="681">
        <v>90</v>
      </c>
      <c r="J113" s="498">
        <f t="shared" si="2"/>
        <v>7750.5000000000009</v>
      </c>
      <c r="K113" s="499"/>
      <c r="L113" s="8"/>
      <c r="N113" s="706">
        <v>16.7</v>
      </c>
      <c r="O113" s="707"/>
      <c r="P113" s="708"/>
    </row>
    <row r="114" spans="2:16" hidden="1">
      <c r="B114" s="5">
        <f t="shared" si="3"/>
        <v>110</v>
      </c>
      <c r="C114" s="5" t="s">
        <v>344</v>
      </c>
      <c r="D114" s="5" t="s">
        <v>640</v>
      </c>
      <c r="E114" s="5"/>
      <c r="F114" s="5"/>
      <c r="G114" s="5">
        <v>63</v>
      </c>
      <c r="H114" s="6">
        <v>79.599999999999994</v>
      </c>
      <c r="I114" s="681"/>
      <c r="J114" s="498">
        <f t="shared" si="2"/>
        <v>7830.1000000000013</v>
      </c>
      <c r="K114" s="499"/>
      <c r="L114" s="8"/>
      <c r="N114" s="706">
        <v>79.599999999999994</v>
      </c>
      <c r="O114" s="707"/>
      <c r="P114" s="708"/>
    </row>
    <row r="115" spans="2:16" hidden="1">
      <c r="B115" s="5">
        <f t="shared" si="3"/>
        <v>111</v>
      </c>
      <c r="C115" s="5" t="s">
        <v>640</v>
      </c>
      <c r="D115" s="5" t="s">
        <v>343</v>
      </c>
      <c r="E115" s="5"/>
      <c r="F115" s="5"/>
      <c r="G115" s="5">
        <v>63</v>
      </c>
      <c r="H115" s="6">
        <v>78</v>
      </c>
      <c r="I115" s="6">
        <v>85</v>
      </c>
      <c r="J115" s="498">
        <f t="shared" si="2"/>
        <v>7908.1000000000013</v>
      </c>
      <c r="K115" s="499"/>
      <c r="L115" s="8"/>
      <c r="N115" s="706">
        <v>78</v>
      </c>
      <c r="O115" s="707"/>
      <c r="P115" s="708"/>
    </row>
    <row r="116" spans="2:16" hidden="1">
      <c r="B116" s="5">
        <f t="shared" si="3"/>
        <v>112</v>
      </c>
      <c r="C116" s="5" t="s">
        <v>640</v>
      </c>
      <c r="D116" s="5" t="s">
        <v>342</v>
      </c>
      <c r="E116" s="5"/>
      <c r="F116" s="5"/>
      <c r="G116" s="5">
        <v>63</v>
      </c>
      <c r="H116" s="6">
        <v>12.5</v>
      </c>
      <c r="I116" s="6">
        <v>16</v>
      </c>
      <c r="J116" s="498">
        <f t="shared" si="2"/>
        <v>7920.6000000000013</v>
      </c>
      <c r="K116" s="499"/>
      <c r="L116" s="8"/>
      <c r="N116" s="706">
        <v>12.5</v>
      </c>
      <c r="O116" s="707"/>
      <c r="P116" s="708"/>
    </row>
    <row r="117" spans="2:16" hidden="1">
      <c r="B117" s="5">
        <f t="shared" si="3"/>
        <v>113</v>
      </c>
      <c r="C117" s="5" t="s">
        <v>342</v>
      </c>
      <c r="D117" s="5" t="s">
        <v>237</v>
      </c>
      <c r="E117" s="5"/>
      <c r="F117" s="5"/>
      <c r="G117" s="5">
        <v>63</v>
      </c>
      <c r="H117" s="6">
        <v>35.299999999999997</v>
      </c>
      <c r="I117" s="6">
        <v>23</v>
      </c>
      <c r="J117" s="498">
        <f t="shared" si="2"/>
        <v>7955.9000000000015</v>
      </c>
      <c r="K117" s="499"/>
      <c r="L117" s="8"/>
      <c r="N117" s="706">
        <v>35.299999999999997</v>
      </c>
      <c r="O117" s="707"/>
      <c r="P117" s="708"/>
    </row>
    <row r="118" spans="2:16" hidden="1">
      <c r="B118" s="5">
        <f t="shared" si="3"/>
        <v>114</v>
      </c>
      <c r="C118" s="5" t="s">
        <v>342</v>
      </c>
      <c r="D118" s="5" t="s">
        <v>236</v>
      </c>
      <c r="E118" s="5"/>
      <c r="F118" s="5"/>
      <c r="G118" s="5">
        <v>63</v>
      </c>
      <c r="H118" s="6">
        <v>75</v>
      </c>
      <c r="I118" s="6">
        <v>75</v>
      </c>
      <c r="J118" s="498">
        <f t="shared" si="2"/>
        <v>8030.9000000000015</v>
      </c>
      <c r="K118" s="499"/>
      <c r="L118" s="8"/>
      <c r="N118" s="706">
        <v>75</v>
      </c>
      <c r="O118" s="707"/>
      <c r="P118" s="708"/>
    </row>
    <row r="119" spans="2:16" hidden="1">
      <c r="B119" s="5">
        <f t="shared" si="3"/>
        <v>115</v>
      </c>
      <c r="C119" s="5" t="s">
        <v>238</v>
      </c>
      <c r="D119" s="5" t="s">
        <v>239</v>
      </c>
      <c r="E119" s="5"/>
      <c r="F119" s="5"/>
      <c r="G119" s="5">
        <v>63</v>
      </c>
      <c r="H119" s="6">
        <v>75</v>
      </c>
      <c r="I119" s="6">
        <v>75</v>
      </c>
      <c r="J119" s="498">
        <f t="shared" si="2"/>
        <v>8105.9000000000015</v>
      </c>
      <c r="K119" s="499"/>
      <c r="L119" s="8"/>
      <c r="N119" s="706">
        <v>75</v>
      </c>
      <c r="O119" s="707"/>
      <c r="P119" s="708"/>
    </row>
    <row r="120" spans="2:16" hidden="1">
      <c r="B120" s="5">
        <f t="shared" si="3"/>
        <v>116</v>
      </c>
      <c r="C120" s="5" t="s">
        <v>862</v>
      </c>
      <c r="D120" s="5" t="s">
        <v>293</v>
      </c>
      <c r="E120" s="5"/>
      <c r="F120" s="5"/>
      <c r="G120" s="5">
        <v>63</v>
      </c>
      <c r="H120" s="6">
        <v>69</v>
      </c>
      <c r="I120" s="6">
        <v>65</v>
      </c>
      <c r="J120" s="498">
        <f t="shared" si="2"/>
        <v>8174.9000000000015</v>
      </c>
      <c r="K120" s="499"/>
      <c r="L120" s="8"/>
      <c r="N120" s="706">
        <v>69</v>
      </c>
      <c r="O120" s="707"/>
      <c r="P120" s="708"/>
    </row>
    <row r="121" spans="2:16" hidden="1">
      <c r="B121" s="5">
        <f t="shared" si="3"/>
        <v>117</v>
      </c>
      <c r="C121" s="5" t="s">
        <v>862</v>
      </c>
      <c r="D121" s="5" t="s">
        <v>565</v>
      </c>
      <c r="E121" s="5"/>
      <c r="F121" s="5"/>
      <c r="G121" s="5">
        <v>63</v>
      </c>
      <c r="H121" s="6">
        <v>298.5</v>
      </c>
      <c r="I121" s="6">
        <v>298</v>
      </c>
      <c r="J121" s="498">
        <f t="shared" si="2"/>
        <v>8473.4000000000015</v>
      </c>
      <c r="K121" s="499"/>
      <c r="L121" s="8"/>
      <c r="N121" s="706">
        <v>298.5</v>
      </c>
      <c r="O121" s="707"/>
      <c r="P121" s="708"/>
    </row>
    <row r="122" spans="2:16" hidden="1">
      <c r="B122" s="5">
        <f t="shared" si="3"/>
        <v>118</v>
      </c>
      <c r="C122" s="5" t="s">
        <v>565</v>
      </c>
      <c r="D122" s="5" t="s">
        <v>303</v>
      </c>
      <c r="E122" s="5"/>
      <c r="F122" s="5"/>
      <c r="G122" s="5">
        <v>63</v>
      </c>
      <c r="H122" s="6">
        <v>115.2</v>
      </c>
      <c r="I122" s="6">
        <v>110</v>
      </c>
      <c r="J122" s="498">
        <f t="shared" si="2"/>
        <v>8588.6000000000022</v>
      </c>
      <c r="K122" s="499"/>
      <c r="L122" s="8"/>
      <c r="N122" s="706">
        <v>115.2</v>
      </c>
      <c r="O122" s="707"/>
      <c r="P122" s="708"/>
    </row>
    <row r="123" spans="2:16" hidden="1">
      <c r="B123" s="5">
        <f t="shared" si="3"/>
        <v>119</v>
      </c>
      <c r="C123" s="5" t="s">
        <v>303</v>
      </c>
      <c r="D123" s="5" t="s">
        <v>230</v>
      </c>
      <c r="E123" s="5"/>
      <c r="F123" s="5"/>
      <c r="G123" s="5">
        <v>63</v>
      </c>
      <c r="H123" s="6">
        <v>22.4</v>
      </c>
      <c r="I123" s="681">
        <v>276</v>
      </c>
      <c r="J123" s="498">
        <f t="shared" si="2"/>
        <v>8611.0000000000018</v>
      </c>
      <c r="K123" s="499"/>
      <c r="L123" s="8"/>
      <c r="N123" s="706">
        <v>22.4</v>
      </c>
      <c r="O123" s="707"/>
      <c r="P123" s="708"/>
    </row>
    <row r="124" spans="2:16" hidden="1">
      <c r="B124" s="5">
        <f t="shared" si="3"/>
        <v>120</v>
      </c>
      <c r="C124" s="5" t="s">
        <v>303</v>
      </c>
      <c r="D124" s="5" t="s">
        <v>230</v>
      </c>
      <c r="E124" s="5" t="s">
        <v>199</v>
      </c>
      <c r="F124" s="5"/>
      <c r="G124" s="5">
        <v>63</v>
      </c>
      <c r="H124" s="6">
        <v>227</v>
      </c>
      <c r="I124" s="681"/>
      <c r="J124" s="498">
        <f t="shared" si="2"/>
        <v>8838.0000000000018</v>
      </c>
      <c r="K124" s="499"/>
      <c r="L124" s="8"/>
      <c r="N124" s="706">
        <v>227</v>
      </c>
      <c r="O124" s="707"/>
      <c r="P124" s="708"/>
    </row>
    <row r="125" spans="2:16" hidden="1">
      <c r="B125" s="5">
        <f t="shared" si="3"/>
        <v>121</v>
      </c>
      <c r="C125" s="5" t="s">
        <v>303</v>
      </c>
      <c r="D125" s="5" t="s">
        <v>572</v>
      </c>
      <c r="E125" s="5"/>
      <c r="F125" s="5"/>
      <c r="G125" s="5">
        <v>63</v>
      </c>
      <c r="H125" s="6">
        <v>107.3</v>
      </c>
      <c r="I125" s="6">
        <v>111</v>
      </c>
      <c r="J125" s="498">
        <f t="shared" si="2"/>
        <v>8945.3000000000011</v>
      </c>
      <c r="K125" s="499"/>
      <c r="L125" s="8"/>
      <c r="N125" s="706">
        <v>107.3</v>
      </c>
      <c r="O125" s="707"/>
      <c r="P125" s="708"/>
    </row>
    <row r="126" spans="2:16" hidden="1">
      <c r="B126" s="5">
        <f t="shared" si="3"/>
        <v>122</v>
      </c>
      <c r="C126" s="5" t="s">
        <v>565</v>
      </c>
      <c r="D126" s="5" t="s">
        <v>549</v>
      </c>
      <c r="E126" s="5"/>
      <c r="F126" s="5"/>
      <c r="G126" s="5">
        <v>63</v>
      </c>
      <c r="H126" s="6">
        <v>90.8</v>
      </c>
      <c r="I126" s="6">
        <v>100</v>
      </c>
      <c r="J126" s="498">
        <f t="shared" si="2"/>
        <v>9036.1</v>
      </c>
      <c r="K126" s="499"/>
      <c r="L126" s="8"/>
      <c r="N126" s="706">
        <v>90.8</v>
      </c>
      <c r="O126" s="707"/>
      <c r="P126" s="708"/>
    </row>
    <row r="127" spans="2:16" hidden="1">
      <c r="B127" s="5">
        <f t="shared" si="3"/>
        <v>123</v>
      </c>
      <c r="C127" s="5" t="s">
        <v>549</v>
      </c>
      <c r="D127" s="5" t="s">
        <v>456</v>
      </c>
      <c r="E127" s="5"/>
      <c r="F127" s="5"/>
      <c r="G127" s="5">
        <v>63</v>
      </c>
      <c r="H127" s="6">
        <v>70</v>
      </c>
      <c r="I127" s="6">
        <v>72</v>
      </c>
      <c r="J127" s="498">
        <f t="shared" si="2"/>
        <v>9106.1</v>
      </c>
      <c r="K127" s="499"/>
      <c r="L127" s="8"/>
      <c r="N127" s="706">
        <v>70</v>
      </c>
      <c r="O127" s="707"/>
      <c r="P127" s="708"/>
    </row>
    <row r="128" spans="2:16" hidden="1">
      <c r="B128" s="5">
        <f t="shared" si="3"/>
        <v>124</v>
      </c>
      <c r="C128" s="5" t="s">
        <v>549</v>
      </c>
      <c r="D128" s="5" t="s">
        <v>294</v>
      </c>
      <c r="E128" s="5"/>
      <c r="F128" s="5"/>
      <c r="G128" s="5">
        <v>63</v>
      </c>
      <c r="H128" s="6">
        <v>61.6</v>
      </c>
      <c r="I128" s="6">
        <v>58</v>
      </c>
      <c r="J128" s="498">
        <f t="shared" si="2"/>
        <v>9167.7000000000007</v>
      </c>
      <c r="K128" s="499"/>
      <c r="L128" s="8"/>
      <c r="N128" s="706">
        <v>61.6</v>
      </c>
      <c r="O128" s="707"/>
      <c r="P128" s="708"/>
    </row>
    <row r="129" spans="2:16" hidden="1">
      <c r="B129" s="5">
        <f t="shared" si="3"/>
        <v>125</v>
      </c>
      <c r="C129" s="5" t="s">
        <v>294</v>
      </c>
      <c r="D129" s="5" t="s">
        <v>295</v>
      </c>
      <c r="E129" s="5"/>
      <c r="F129" s="5"/>
      <c r="G129" s="5">
        <v>63</v>
      </c>
      <c r="H129" s="6">
        <v>70</v>
      </c>
      <c r="I129" s="6">
        <v>75</v>
      </c>
      <c r="J129" s="498">
        <f t="shared" si="2"/>
        <v>9237.7000000000007</v>
      </c>
      <c r="K129" s="499"/>
      <c r="L129" s="8"/>
      <c r="N129" s="706">
        <v>70</v>
      </c>
      <c r="O129" s="707"/>
      <c r="P129" s="708"/>
    </row>
    <row r="130" spans="2:16" hidden="1">
      <c r="B130" s="5">
        <f t="shared" si="3"/>
        <v>126</v>
      </c>
      <c r="C130" s="5" t="s">
        <v>294</v>
      </c>
      <c r="D130" s="5" t="s">
        <v>1352</v>
      </c>
      <c r="E130" s="5"/>
      <c r="F130" s="5"/>
      <c r="G130" s="5">
        <v>63</v>
      </c>
      <c r="H130" s="6">
        <v>29.6</v>
      </c>
      <c r="I130" s="6">
        <v>35</v>
      </c>
      <c r="J130" s="498">
        <f t="shared" si="2"/>
        <v>9267.3000000000011</v>
      </c>
      <c r="K130" s="499"/>
      <c r="L130" s="8"/>
      <c r="N130" s="706">
        <v>29.6</v>
      </c>
      <c r="O130" s="707"/>
      <c r="P130" s="708"/>
    </row>
    <row r="131" spans="2:16" hidden="1">
      <c r="B131" s="5">
        <f t="shared" si="3"/>
        <v>127</v>
      </c>
      <c r="C131" s="5" t="s">
        <v>345</v>
      </c>
      <c r="D131" s="5" t="s">
        <v>346</v>
      </c>
      <c r="E131" s="5"/>
      <c r="F131" s="5"/>
      <c r="G131" s="5">
        <v>63</v>
      </c>
      <c r="H131" s="6">
        <v>23.9</v>
      </c>
      <c r="I131" s="6">
        <v>19</v>
      </c>
      <c r="J131" s="498">
        <f t="shared" si="2"/>
        <v>9291.2000000000007</v>
      </c>
      <c r="K131" s="499"/>
      <c r="L131" s="8"/>
      <c r="N131" s="706">
        <v>23.9</v>
      </c>
      <c r="O131" s="707"/>
      <c r="P131" s="708"/>
    </row>
    <row r="132" spans="2:16" hidden="1">
      <c r="B132" s="5">
        <f t="shared" si="3"/>
        <v>128</v>
      </c>
      <c r="C132" s="5" t="s">
        <v>245</v>
      </c>
      <c r="D132" s="5" t="s">
        <v>639</v>
      </c>
      <c r="E132" s="5"/>
      <c r="F132" s="5"/>
      <c r="G132" s="5">
        <v>63</v>
      </c>
      <c r="H132" s="6">
        <v>48.6</v>
      </c>
      <c r="I132" s="6">
        <v>93</v>
      </c>
      <c r="J132" s="498">
        <f t="shared" si="2"/>
        <v>9339.8000000000011</v>
      </c>
      <c r="K132" s="499"/>
      <c r="L132" s="8"/>
      <c r="N132" s="64"/>
      <c r="O132" s="65">
        <v>48.6</v>
      </c>
      <c r="P132" s="66"/>
    </row>
    <row r="133" spans="2:16" ht="15" hidden="1" customHeight="1">
      <c r="B133" s="5">
        <f t="shared" si="3"/>
        <v>129</v>
      </c>
      <c r="C133" s="5"/>
      <c r="D133" s="5"/>
      <c r="E133" s="5"/>
      <c r="F133" s="5"/>
      <c r="G133" s="5"/>
      <c r="H133" s="6"/>
      <c r="I133" s="6"/>
      <c r="J133" s="498">
        <f t="shared" si="2"/>
        <v>9339.8000000000011</v>
      </c>
      <c r="K133" s="499"/>
      <c r="L133" s="8"/>
      <c r="N133" s="64"/>
      <c r="O133" s="65"/>
      <c r="P133" s="66"/>
    </row>
    <row r="134" spans="2:16" hidden="1">
      <c r="B134" s="5">
        <f t="shared" si="3"/>
        <v>130</v>
      </c>
      <c r="C134" s="5" t="s">
        <v>361</v>
      </c>
      <c r="D134" s="5" t="s">
        <v>359</v>
      </c>
      <c r="E134" s="5" t="s">
        <v>199</v>
      </c>
      <c r="F134" s="5"/>
      <c r="G134" s="5">
        <v>63</v>
      </c>
      <c r="H134" s="6">
        <v>190.8</v>
      </c>
      <c r="I134" s="681">
        <v>198</v>
      </c>
      <c r="J134" s="498">
        <f t="shared" ref="J134:J197" si="4">+J133+H134</f>
        <v>9530.6</v>
      </c>
      <c r="K134" s="499"/>
      <c r="L134" s="8"/>
      <c r="N134" s="64"/>
      <c r="O134" s="65">
        <v>90.8</v>
      </c>
      <c r="P134" s="66"/>
    </row>
    <row r="135" spans="2:16" hidden="1">
      <c r="B135" s="5">
        <f t="shared" si="3"/>
        <v>131</v>
      </c>
      <c r="C135" s="5" t="s">
        <v>361</v>
      </c>
      <c r="D135" s="5" t="s">
        <v>359</v>
      </c>
      <c r="E135" s="5"/>
      <c r="F135" s="5"/>
      <c r="G135" s="5">
        <v>63</v>
      </c>
      <c r="H135" s="6">
        <v>11</v>
      </c>
      <c r="I135" s="681"/>
      <c r="J135" s="498">
        <f t="shared" si="4"/>
        <v>9541.6</v>
      </c>
      <c r="K135" s="499"/>
      <c r="L135" s="8"/>
      <c r="N135" s="64"/>
      <c r="O135" s="65">
        <v>11</v>
      </c>
      <c r="P135" s="66"/>
    </row>
    <row r="136" spans="2:16" hidden="1">
      <c r="B136" s="5">
        <f t="shared" ref="B136:B200" si="5">1+B135</f>
        <v>132</v>
      </c>
      <c r="C136" s="5" t="s">
        <v>359</v>
      </c>
      <c r="D136" s="5" t="s">
        <v>307</v>
      </c>
      <c r="E136" s="5"/>
      <c r="F136" s="5"/>
      <c r="G136" s="5">
        <v>63</v>
      </c>
      <c r="H136" s="6">
        <v>11</v>
      </c>
      <c r="I136" s="6">
        <v>14</v>
      </c>
      <c r="J136" s="498">
        <f t="shared" si="4"/>
        <v>9552.6</v>
      </c>
      <c r="K136" s="499"/>
      <c r="L136" s="8"/>
      <c r="N136" s="64"/>
      <c r="O136" s="65">
        <v>11</v>
      </c>
      <c r="P136" s="66"/>
    </row>
    <row r="137" spans="2:16" hidden="1">
      <c r="B137" s="5">
        <f t="shared" si="5"/>
        <v>133</v>
      </c>
      <c r="C137" s="5" t="s">
        <v>307</v>
      </c>
      <c r="D137" s="5" t="s">
        <v>322</v>
      </c>
      <c r="E137" s="5"/>
      <c r="F137" s="5"/>
      <c r="G137" s="5">
        <v>63</v>
      </c>
      <c r="H137" s="6">
        <v>70</v>
      </c>
      <c r="I137" s="6">
        <v>70</v>
      </c>
      <c r="J137" s="498">
        <f t="shared" si="4"/>
        <v>9622.6</v>
      </c>
      <c r="K137" s="499"/>
      <c r="L137" s="8"/>
      <c r="N137" s="64"/>
      <c r="O137" s="65">
        <v>70</v>
      </c>
      <c r="P137" s="66"/>
    </row>
    <row r="138" spans="2:16" hidden="1">
      <c r="B138" s="5">
        <f t="shared" si="5"/>
        <v>134</v>
      </c>
      <c r="C138" s="5" t="s">
        <v>307</v>
      </c>
      <c r="D138" s="5" t="s">
        <v>243</v>
      </c>
      <c r="E138" s="5"/>
      <c r="F138" s="5"/>
      <c r="G138" s="5">
        <v>63</v>
      </c>
      <c r="H138" s="6">
        <v>133.30000000000001</v>
      </c>
      <c r="I138" s="6">
        <v>130</v>
      </c>
      <c r="J138" s="498">
        <f t="shared" si="4"/>
        <v>9755.9</v>
      </c>
      <c r="K138" s="499"/>
      <c r="L138" s="8"/>
      <c r="N138" s="64"/>
      <c r="O138" s="65">
        <v>133.30000000000001</v>
      </c>
      <c r="P138" s="66"/>
    </row>
    <row r="139" spans="2:16" hidden="1">
      <c r="B139" s="5">
        <f t="shared" si="5"/>
        <v>135</v>
      </c>
      <c r="C139" s="5" t="s">
        <v>243</v>
      </c>
      <c r="D139" s="5" t="s">
        <v>244</v>
      </c>
      <c r="E139" s="5"/>
      <c r="F139" s="5"/>
      <c r="G139" s="5">
        <v>63</v>
      </c>
      <c r="H139" s="6">
        <v>58</v>
      </c>
      <c r="I139" s="6">
        <v>61</v>
      </c>
      <c r="J139" s="498">
        <f t="shared" si="4"/>
        <v>9813.9</v>
      </c>
      <c r="K139" s="499"/>
      <c r="L139" s="8"/>
      <c r="N139" s="64"/>
      <c r="O139" s="65">
        <v>58</v>
      </c>
      <c r="P139" s="66"/>
    </row>
    <row r="140" spans="2:16" hidden="1">
      <c r="B140" s="5">
        <f t="shared" si="5"/>
        <v>136</v>
      </c>
      <c r="C140" s="5" t="s">
        <v>243</v>
      </c>
      <c r="D140" s="5" t="s">
        <v>443</v>
      </c>
      <c r="E140" s="5"/>
      <c r="F140" s="5"/>
      <c r="G140" s="5">
        <v>63</v>
      </c>
      <c r="H140" s="6">
        <v>113.8</v>
      </c>
      <c r="I140" s="6">
        <v>69</v>
      </c>
      <c r="J140" s="498">
        <f t="shared" si="4"/>
        <v>9927.6999999999989</v>
      </c>
      <c r="K140" s="499"/>
      <c r="L140" s="8"/>
      <c r="N140" s="64"/>
      <c r="O140" s="65">
        <v>113.8</v>
      </c>
      <c r="P140" s="66"/>
    </row>
    <row r="141" spans="2:16" hidden="1">
      <c r="B141" s="5">
        <f t="shared" si="5"/>
        <v>137</v>
      </c>
      <c r="C141" s="5" t="s">
        <v>359</v>
      </c>
      <c r="D141" s="5" t="s">
        <v>308</v>
      </c>
      <c r="E141" s="5"/>
      <c r="F141" s="5"/>
      <c r="G141" s="5">
        <v>63</v>
      </c>
      <c r="H141" s="6">
        <v>58.4</v>
      </c>
      <c r="I141" s="6">
        <v>56</v>
      </c>
      <c r="J141" s="498">
        <f t="shared" si="4"/>
        <v>9986.0999999999985</v>
      </c>
      <c r="K141" s="499"/>
      <c r="L141" s="8"/>
      <c r="N141" s="64"/>
      <c r="O141" s="65">
        <v>58.4</v>
      </c>
      <c r="P141" s="66"/>
    </row>
    <row r="142" spans="2:16" ht="15" hidden="1" customHeight="1">
      <c r="B142" s="5">
        <f t="shared" si="5"/>
        <v>138</v>
      </c>
      <c r="C142" s="5"/>
      <c r="D142" s="5"/>
      <c r="E142" s="5"/>
      <c r="F142" s="5"/>
      <c r="G142" s="5"/>
      <c r="H142" s="6"/>
      <c r="I142" s="6"/>
      <c r="J142" s="498">
        <f t="shared" si="4"/>
        <v>9986.0999999999985</v>
      </c>
      <c r="K142" s="499"/>
      <c r="L142" s="8"/>
      <c r="N142" s="64"/>
      <c r="O142" s="65"/>
      <c r="P142" s="66"/>
    </row>
    <row r="143" spans="2:16" hidden="1">
      <c r="B143" s="5">
        <f t="shared" si="5"/>
        <v>139</v>
      </c>
      <c r="C143" s="5" t="s">
        <v>639</v>
      </c>
      <c r="D143" s="5" t="s">
        <v>344</v>
      </c>
      <c r="E143" s="5"/>
      <c r="F143" s="5"/>
      <c r="G143" s="5">
        <v>63</v>
      </c>
      <c r="H143" s="6">
        <v>188</v>
      </c>
      <c r="I143" s="6">
        <v>196</v>
      </c>
      <c r="J143" s="498">
        <f t="shared" si="4"/>
        <v>10174.099999999999</v>
      </c>
      <c r="K143" s="499"/>
      <c r="L143" s="8"/>
      <c r="N143" s="64"/>
      <c r="O143" s="65">
        <v>188</v>
      </c>
      <c r="P143" s="66"/>
    </row>
    <row r="144" spans="2:16" hidden="1">
      <c r="B144" s="5">
        <f t="shared" si="5"/>
        <v>140</v>
      </c>
      <c r="C144" s="5" t="s">
        <v>344</v>
      </c>
      <c r="D144" s="5" t="s">
        <v>348</v>
      </c>
      <c r="E144" s="5"/>
      <c r="F144" s="5"/>
      <c r="G144" s="5">
        <v>63</v>
      </c>
      <c r="H144" s="6">
        <v>21</v>
      </c>
      <c r="I144" s="681">
        <v>21</v>
      </c>
      <c r="J144" s="498">
        <f t="shared" si="4"/>
        <v>10195.099999999999</v>
      </c>
      <c r="K144" s="499"/>
      <c r="L144" s="8"/>
      <c r="N144" s="64"/>
      <c r="O144" s="65">
        <v>21</v>
      </c>
      <c r="P144" s="66"/>
    </row>
    <row r="145" spans="2:16" hidden="1">
      <c r="B145" s="5">
        <f t="shared" si="5"/>
        <v>141</v>
      </c>
      <c r="C145" s="5" t="s">
        <v>344</v>
      </c>
      <c r="D145" s="5" t="s">
        <v>348</v>
      </c>
      <c r="E145" s="5"/>
      <c r="F145" s="5"/>
      <c r="G145" s="5">
        <v>63</v>
      </c>
      <c r="H145" s="6">
        <v>1.8</v>
      </c>
      <c r="I145" s="681"/>
      <c r="J145" s="498">
        <f t="shared" si="4"/>
        <v>10196.899999999998</v>
      </c>
      <c r="K145" s="499"/>
      <c r="L145" s="8"/>
      <c r="N145" s="64"/>
      <c r="O145" s="65">
        <v>1.8</v>
      </c>
      <c r="P145" s="66"/>
    </row>
    <row r="146" spans="2:16" hidden="1">
      <c r="B146" s="5">
        <f t="shared" si="5"/>
        <v>142</v>
      </c>
      <c r="C146" s="5" t="s">
        <v>1353</v>
      </c>
      <c r="D146" s="5" t="s">
        <v>1354</v>
      </c>
      <c r="E146" s="5"/>
      <c r="F146" s="5"/>
      <c r="G146" s="5">
        <v>63</v>
      </c>
      <c r="H146" s="6">
        <v>31</v>
      </c>
      <c r="I146" s="6"/>
      <c r="J146" s="498">
        <f t="shared" si="4"/>
        <v>10227.899999999998</v>
      </c>
      <c r="K146" s="499"/>
      <c r="L146" s="8"/>
      <c r="N146" s="706">
        <v>31</v>
      </c>
      <c r="O146" s="707"/>
      <c r="P146" s="708"/>
    </row>
    <row r="147" spans="2:16" hidden="1">
      <c r="B147" s="5">
        <f t="shared" si="5"/>
        <v>143</v>
      </c>
      <c r="C147" s="5" t="s">
        <v>281</v>
      </c>
      <c r="D147" s="5" t="s">
        <v>278</v>
      </c>
      <c r="E147" s="5"/>
      <c r="F147" s="5"/>
      <c r="G147" s="5">
        <v>63</v>
      </c>
      <c r="H147" s="6">
        <v>124</v>
      </c>
      <c r="I147" s="6">
        <v>123</v>
      </c>
      <c r="J147" s="498">
        <f t="shared" si="4"/>
        <v>10351.899999999998</v>
      </c>
      <c r="K147" s="499"/>
      <c r="L147" s="8"/>
      <c r="N147" s="64"/>
      <c r="O147" s="65"/>
      <c r="P147" s="66"/>
    </row>
    <row r="148" spans="2:16" hidden="1">
      <c r="B148" s="5">
        <f t="shared" si="5"/>
        <v>144</v>
      </c>
      <c r="C148" s="5" t="s">
        <v>705</v>
      </c>
      <c r="D148" s="5" t="s">
        <v>1347</v>
      </c>
      <c r="E148" s="5"/>
      <c r="F148" s="5"/>
      <c r="G148" s="5">
        <v>75</v>
      </c>
      <c r="H148" s="6">
        <v>33.299999999999997</v>
      </c>
      <c r="I148" s="6"/>
      <c r="J148" s="498">
        <f t="shared" si="4"/>
        <v>10385.199999999997</v>
      </c>
      <c r="K148" s="499"/>
      <c r="L148" s="8"/>
      <c r="N148" s="703">
        <v>33.299999999999997</v>
      </c>
      <c r="O148" s="704"/>
      <c r="P148" s="705"/>
    </row>
    <row r="149" spans="2:16" hidden="1">
      <c r="B149" s="5">
        <f t="shared" si="5"/>
        <v>145</v>
      </c>
      <c r="C149" s="5" t="s">
        <v>432</v>
      </c>
      <c r="D149" s="5" t="s">
        <v>862</v>
      </c>
      <c r="E149" s="5"/>
      <c r="F149" s="5"/>
      <c r="G149" s="5">
        <v>75</v>
      </c>
      <c r="H149" s="6">
        <v>282.10000000000002</v>
      </c>
      <c r="I149" s="6">
        <v>283</v>
      </c>
      <c r="J149" s="498">
        <f t="shared" si="4"/>
        <v>10667.299999999997</v>
      </c>
      <c r="K149" s="499"/>
      <c r="L149" s="8"/>
      <c r="N149" s="71"/>
      <c r="O149" s="72">
        <v>282.10000000000002</v>
      </c>
      <c r="P149" s="73"/>
    </row>
    <row r="150" spans="2:16" hidden="1">
      <c r="B150" s="5">
        <f t="shared" si="5"/>
        <v>146</v>
      </c>
      <c r="C150" s="5" t="s">
        <v>189</v>
      </c>
      <c r="D150" s="5" t="s">
        <v>226</v>
      </c>
      <c r="E150" s="5"/>
      <c r="F150" s="5"/>
      <c r="G150" s="5">
        <v>75</v>
      </c>
      <c r="H150" s="6">
        <v>185</v>
      </c>
      <c r="I150" s="6">
        <v>180</v>
      </c>
      <c r="J150" s="498">
        <f t="shared" si="4"/>
        <v>10852.299999999997</v>
      </c>
      <c r="K150" s="499"/>
      <c r="L150" s="8"/>
      <c r="N150" s="71"/>
      <c r="O150" s="72">
        <v>185</v>
      </c>
      <c r="P150" s="73"/>
    </row>
    <row r="151" spans="2:16" hidden="1">
      <c r="B151" s="5">
        <f t="shared" si="5"/>
        <v>147</v>
      </c>
      <c r="C151" s="5" t="s">
        <v>226</v>
      </c>
      <c r="D151" s="5" t="s">
        <v>847</v>
      </c>
      <c r="E151" s="5"/>
      <c r="F151" s="5"/>
      <c r="G151" s="5">
        <v>75</v>
      </c>
      <c r="H151" s="6">
        <v>95.5</v>
      </c>
      <c r="I151" s="6">
        <v>88</v>
      </c>
      <c r="J151" s="498">
        <f t="shared" si="4"/>
        <v>10947.799999999997</v>
      </c>
      <c r="K151" s="499"/>
      <c r="L151" s="8"/>
      <c r="N151" s="71"/>
      <c r="O151" s="72">
        <v>95.5</v>
      </c>
      <c r="P151" s="73"/>
    </row>
    <row r="152" spans="2:16" hidden="1">
      <c r="B152" s="5">
        <f t="shared" si="5"/>
        <v>148</v>
      </c>
      <c r="C152" s="5" t="s">
        <v>226</v>
      </c>
      <c r="D152" s="5" t="s">
        <v>190</v>
      </c>
      <c r="E152" s="5"/>
      <c r="F152" s="5"/>
      <c r="G152" s="5">
        <v>75</v>
      </c>
      <c r="H152" s="6">
        <v>129</v>
      </c>
      <c r="I152" s="6">
        <v>128</v>
      </c>
      <c r="J152" s="498">
        <f t="shared" si="4"/>
        <v>11076.799999999997</v>
      </c>
      <c r="K152" s="499"/>
      <c r="L152" s="8"/>
      <c r="N152" s="71"/>
      <c r="O152" s="72">
        <v>129</v>
      </c>
      <c r="P152" s="73"/>
    </row>
    <row r="153" spans="2:16" hidden="1">
      <c r="B153" s="5">
        <f t="shared" si="5"/>
        <v>149</v>
      </c>
      <c r="C153" s="5" t="s">
        <v>190</v>
      </c>
      <c r="D153" s="5" t="s">
        <v>292</v>
      </c>
      <c r="E153" s="5"/>
      <c r="F153" s="5"/>
      <c r="G153" s="5">
        <v>75</v>
      </c>
      <c r="H153" s="6">
        <v>86.6</v>
      </c>
      <c r="I153" s="6">
        <v>89</v>
      </c>
      <c r="J153" s="498">
        <f t="shared" si="4"/>
        <v>11163.399999999998</v>
      </c>
      <c r="K153" s="499"/>
      <c r="L153" s="8"/>
      <c r="N153" s="71"/>
      <c r="O153" s="72">
        <v>86.6</v>
      </c>
      <c r="P153" s="73"/>
    </row>
    <row r="154" spans="2:16" hidden="1">
      <c r="B154" s="5">
        <f t="shared" si="5"/>
        <v>150</v>
      </c>
      <c r="C154" s="5" t="s">
        <v>356</v>
      </c>
      <c r="D154" s="5" t="s">
        <v>283</v>
      </c>
      <c r="E154" s="5" t="s">
        <v>199</v>
      </c>
      <c r="F154" s="5"/>
      <c r="G154" s="5">
        <v>75</v>
      </c>
      <c r="H154" s="6">
        <v>88</v>
      </c>
      <c r="I154" s="680">
        <v>158</v>
      </c>
      <c r="J154" s="498">
        <f t="shared" si="4"/>
        <v>11251.399999999998</v>
      </c>
      <c r="K154" s="499"/>
      <c r="L154" s="8"/>
      <c r="N154" s="703">
        <v>88</v>
      </c>
      <c r="O154" s="704"/>
      <c r="P154" s="705"/>
    </row>
    <row r="155" spans="2:16" hidden="1">
      <c r="B155" s="5">
        <f t="shared" si="5"/>
        <v>151</v>
      </c>
      <c r="C155" s="5" t="s">
        <v>356</v>
      </c>
      <c r="D155" s="5" t="s">
        <v>283</v>
      </c>
      <c r="E155" s="5"/>
      <c r="F155" s="5"/>
      <c r="G155" s="5">
        <v>75</v>
      </c>
      <c r="H155" s="6">
        <v>69</v>
      </c>
      <c r="I155" s="680"/>
      <c r="J155" s="498">
        <f t="shared" si="4"/>
        <v>11320.399999999998</v>
      </c>
      <c r="K155" s="499"/>
      <c r="L155" s="8"/>
      <c r="N155" s="703">
        <v>69</v>
      </c>
      <c r="O155" s="704"/>
      <c r="P155" s="705"/>
    </row>
    <row r="156" spans="2:16" hidden="1">
      <c r="B156" s="5">
        <f t="shared" si="5"/>
        <v>152</v>
      </c>
      <c r="C156" s="5" t="s">
        <v>283</v>
      </c>
      <c r="D156" s="5" t="s">
        <v>350</v>
      </c>
      <c r="E156" s="5"/>
      <c r="F156" s="5"/>
      <c r="G156" s="5">
        <v>75</v>
      </c>
      <c r="H156" s="6">
        <v>27.6</v>
      </c>
      <c r="I156" s="70">
        <v>90</v>
      </c>
      <c r="J156" s="498">
        <f t="shared" si="4"/>
        <v>11347.999999999998</v>
      </c>
      <c r="K156" s="499"/>
      <c r="L156" s="8"/>
      <c r="N156" s="703">
        <v>27.6</v>
      </c>
      <c r="O156" s="704"/>
      <c r="P156" s="705"/>
    </row>
    <row r="157" spans="2:16" hidden="1">
      <c r="B157" s="5">
        <f t="shared" si="5"/>
        <v>153</v>
      </c>
      <c r="C157" s="5" t="s">
        <v>350</v>
      </c>
      <c r="D157" s="5" t="s">
        <v>391</v>
      </c>
      <c r="E157" s="5"/>
      <c r="F157" s="5"/>
      <c r="G157" s="5">
        <v>75</v>
      </c>
      <c r="H157" s="6">
        <v>37.5</v>
      </c>
      <c r="I157" s="70">
        <v>15</v>
      </c>
      <c r="J157" s="498">
        <f t="shared" si="4"/>
        <v>11385.499999999998</v>
      </c>
      <c r="K157" s="499"/>
      <c r="L157" s="8"/>
      <c r="N157" s="703">
        <v>37.5</v>
      </c>
      <c r="O157" s="704"/>
      <c r="P157" s="705"/>
    </row>
    <row r="158" spans="2:16" hidden="1">
      <c r="B158" s="5">
        <f t="shared" si="5"/>
        <v>154</v>
      </c>
      <c r="C158" s="5" t="s">
        <v>391</v>
      </c>
      <c r="D158" s="5" t="s">
        <v>319</v>
      </c>
      <c r="E158" s="5"/>
      <c r="F158" s="5"/>
      <c r="G158" s="5">
        <v>75</v>
      </c>
      <c r="H158" s="6">
        <v>164.5</v>
      </c>
      <c r="I158" s="70">
        <v>174</v>
      </c>
      <c r="J158" s="498">
        <f t="shared" si="4"/>
        <v>11549.999999999998</v>
      </c>
      <c r="K158" s="499"/>
      <c r="L158" s="8"/>
      <c r="N158" s="703">
        <v>164.5</v>
      </c>
      <c r="O158" s="704"/>
      <c r="P158" s="705"/>
    </row>
    <row r="159" spans="2:16" hidden="1">
      <c r="B159" s="5">
        <f t="shared" si="5"/>
        <v>155</v>
      </c>
      <c r="C159" s="5" t="s">
        <v>319</v>
      </c>
      <c r="D159" s="5" t="s">
        <v>258</v>
      </c>
      <c r="E159" s="5"/>
      <c r="F159" s="5"/>
      <c r="G159" s="5">
        <v>75</v>
      </c>
      <c r="H159" s="6">
        <v>136.1</v>
      </c>
      <c r="I159" s="70">
        <v>141</v>
      </c>
      <c r="J159" s="498">
        <f t="shared" si="4"/>
        <v>11686.099999999999</v>
      </c>
      <c r="K159" s="499"/>
      <c r="L159" s="8"/>
      <c r="N159" s="702">
        <v>136.1</v>
      </c>
      <c r="O159" s="702"/>
      <c r="P159" s="702"/>
    </row>
    <row r="160" spans="2:16" hidden="1">
      <c r="B160" s="5">
        <f t="shared" si="5"/>
        <v>156</v>
      </c>
      <c r="C160" s="5" t="s">
        <v>258</v>
      </c>
      <c r="D160" s="5" t="s">
        <v>276</v>
      </c>
      <c r="E160" s="5"/>
      <c r="F160" s="5"/>
      <c r="G160" s="5">
        <v>75</v>
      </c>
      <c r="H160" s="6">
        <v>243</v>
      </c>
      <c r="I160" s="70">
        <v>235</v>
      </c>
      <c r="J160" s="498">
        <f t="shared" si="4"/>
        <v>11929.099999999999</v>
      </c>
      <c r="K160" s="499"/>
      <c r="L160" s="8"/>
      <c r="N160" s="702">
        <v>243</v>
      </c>
      <c r="O160" s="702"/>
      <c r="P160" s="702"/>
    </row>
    <row r="161" spans="2:16" hidden="1">
      <c r="B161" s="5">
        <f t="shared" si="5"/>
        <v>157</v>
      </c>
      <c r="C161" s="5" t="s">
        <v>613</v>
      </c>
      <c r="D161" s="5" t="s">
        <v>705</v>
      </c>
      <c r="E161" s="5" t="s">
        <v>199</v>
      </c>
      <c r="F161" s="5"/>
      <c r="G161" s="5">
        <v>75</v>
      </c>
      <c r="H161" s="6">
        <v>62.2</v>
      </c>
      <c r="I161" s="70">
        <v>59</v>
      </c>
      <c r="J161" s="498">
        <f t="shared" si="4"/>
        <v>11991.3</v>
      </c>
      <c r="K161" s="499"/>
      <c r="L161" s="8"/>
      <c r="N161" s="702">
        <v>62.2</v>
      </c>
      <c r="O161" s="702"/>
      <c r="P161" s="702"/>
    </row>
    <row r="162" spans="2:16" hidden="1">
      <c r="B162" s="5">
        <f t="shared" si="5"/>
        <v>158</v>
      </c>
      <c r="C162" s="5" t="s">
        <v>705</v>
      </c>
      <c r="D162" s="5" t="s">
        <v>204</v>
      </c>
      <c r="E162" s="5"/>
      <c r="F162" s="5"/>
      <c r="G162" s="5">
        <v>75</v>
      </c>
      <c r="H162" s="6">
        <v>151</v>
      </c>
      <c r="I162" s="70">
        <v>197</v>
      </c>
      <c r="J162" s="498">
        <f t="shared" si="4"/>
        <v>12142.3</v>
      </c>
      <c r="K162" s="499"/>
      <c r="L162" s="8"/>
      <c r="N162" s="702">
        <v>151</v>
      </c>
      <c r="O162" s="702"/>
      <c r="P162" s="702"/>
    </row>
    <row r="163" spans="2:16" hidden="1">
      <c r="B163" s="5">
        <f t="shared" si="5"/>
        <v>159</v>
      </c>
      <c r="C163" s="5" t="s">
        <v>205</v>
      </c>
      <c r="D163" s="5" t="s">
        <v>207</v>
      </c>
      <c r="E163" s="5"/>
      <c r="F163" s="5"/>
      <c r="G163" s="5">
        <v>75</v>
      </c>
      <c r="H163" s="6">
        <v>72</v>
      </c>
      <c r="I163" s="70"/>
      <c r="J163" s="498">
        <f t="shared" si="4"/>
        <v>12214.3</v>
      </c>
      <c r="K163" s="499"/>
      <c r="L163" s="8"/>
      <c r="N163" s="702">
        <v>72</v>
      </c>
      <c r="O163" s="702"/>
      <c r="P163" s="702"/>
    </row>
    <row r="164" spans="2:16" hidden="1">
      <c r="B164" s="5">
        <f t="shared" si="5"/>
        <v>160</v>
      </c>
      <c r="C164" s="5" t="s">
        <v>704</v>
      </c>
      <c r="D164" s="5" t="s">
        <v>460</v>
      </c>
      <c r="E164" s="5"/>
      <c r="F164" s="5"/>
      <c r="G164" s="5">
        <v>75</v>
      </c>
      <c r="H164" s="6">
        <v>30.2</v>
      </c>
      <c r="I164" s="70">
        <v>28</v>
      </c>
      <c r="J164" s="498">
        <f t="shared" si="4"/>
        <v>12244.5</v>
      </c>
      <c r="K164" s="499"/>
      <c r="L164" s="8"/>
      <c r="N164" s="702">
        <v>30.2</v>
      </c>
      <c r="O164" s="702"/>
      <c r="P164" s="702"/>
    </row>
    <row r="165" spans="2:16" hidden="1">
      <c r="B165" s="5">
        <f t="shared" si="5"/>
        <v>161</v>
      </c>
      <c r="C165" s="5" t="s">
        <v>460</v>
      </c>
      <c r="D165" s="5" t="s">
        <v>932</v>
      </c>
      <c r="E165" s="5"/>
      <c r="F165" s="5"/>
      <c r="G165" s="5">
        <v>75</v>
      </c>
      <c r="H165" s="6">
        <v>4</v>
      </c>
      <c r="I165" s="70">
        <v>4</v>
      </c>
      <c r="J165" s="498">
        <f t="shared" si="4"/>
        <v>12248.5</v>
      </c>
      <c r="K165" s="499"/>
      <c r="L165" s="8"/>
      <c r="N165" s="702">
        <v>4</v>
      </c>
      <c r="O165" s="702"/>
      <c r="P165" s="702"/>
    </row>
    <row r="166" spans="2:16" hidden="1">
      <c r="B166" s="5">
        <f t="shared" si="5"/>
        <v>162</v>
      </c>
      <c r="C166" s="5" t="s">
        <v>932</v>
      </c>
      <c r="D166" s="5" t="s">
        <v>680</v>
      </c>
      <c r="E166" s="5"/>
      <c r="F166" s="5"/>
      <c r="G166" s="5">
        <v>75</v>
      </c>
      <c r="H166" s="6">
        <v>55.8</v>
      </c>
      <c r="I166" s="70">
        <v>57</v>
      </c>
      <c r="J166" s="498">
        <f t="shared" si="4"/>
        <v>12304.3</v>
      </c>
      <c r="K166" s="499"/>
      <c r="L166" s="8"/>
      <c r="N166" s="702">
        <v>55.8</v>
      </c>
      <c r="O166" s="702"/>
      <c r="P166" s="702"/>
    </row>
    <row r="167" spans="2:16" hidden="1">
      <c r="B167" s="5">
        <f t="shared" si="5"/>
        <v>163</v>
      </c>
      <c r="C167" s="5" t="s">
        <v>680</v>
      </c>
      <c r="D167" s="5" t="s">
        <v>707</v>
      </c>
      <c r="E167" s="5"/>
      <c r="F167" s="5"/>
      <c r="G167" s="5">
        <v>75</v>
      </c>
      <c r="H167" s="6">
        <v>102</v>
      </c>
      <c r="I167" s="6">
        <v>100</v>
      </c>
      <c r="J167" s="498">
        <f t="shared" si="4"/>
        <v>12406.3</v>
      </c>
      <c r="K167" s="499"/>
      <c r="L167" s="8"/>
      <c r="N167" s="702">
        <v>102</v>
      </c>
      <c r="O167" s="702"/>
      <c r="P167" s="702"/>
    </row>
    <row r="168" spans="2:16" hidden="1">
      <c r="B168" s="5">
        <f t="shared" si="5"/>
        <v>164</v>
      </c>
      <c r="C168" s="5" t="s">
        <v>233</v>
      </c>
      <c r="D168" s="5" t="s">
        <v>576</v>
      </c>
      <c r="E168" s="5"/>
      <c r="F168" s="5"/>
      <c r="G168" s="5">
        <v>90</v>
      </c>
      <c r="H168" s="6">
        <v>42.5</v>
      </c>
      <c r="I168" s="6">
        <v>42.5</v>
      </c>
      <c r="J168" s="498">
        <f t="shared" si="4"/>
        <v>12448.8</v>
      </c>
      <c r="K168" s="499"/>
      <c r="L168" s="8"/>
      <c r="N168" s="698">
        <v>42.5</v>
      </c>
      <c r="O168" s="698"/>
      <c r="P168" s="698"/>
    </row>
    <row r="169" spans="2:16" hidden="1">
      <c r="B169" s="5">
        <f t="shared" si="5"/>
        <v>165</v>
      </c>
      <c r="C169" s="5" t="s">
        <v>210</v>
      </c>
      <c r="D169" s="5" t="s">
        <v>686</v>
      </c>
      <c r="E169" s="5"/>
      <c r="F169" s="5"/>
      <c r="G169" s="5">
        <v>90</v>
      </c>
      <c r="H169" s="6">
        <v>278.5</v>
      </c>
      <c r="I169" s="6">
        <v>275</v>
      </c>
      <c r="J169" s="498">
        <f t="shared" si="4"/>
        <v>12727.3</v>
      </c>
      <c r="K169" s="499"/>
      <c r="L169" s="8"/>
      <c r="N169" s="698">
        <v>278.5</v>
      </c>
      <c r="O169" s="698"/>
      <c r="P169" s="698"/>
    </row>
    <row r="170" spans="2:16" hidden="1">
      <c r="B170" s="5">
        <f t="shared" si="5"/>
        <v>166</v>
      </c>
      <c r="C170" s="5" t="s">
        <v>210</v>
      </c>
      <c r="D170" s="5" t="s">
        <v>204</v>
      </c>
      <c r="E170" s="5"/>
      <c r="F170" s="5"/>
      <c r="G170" s="5">
        <v>90</v>
      </c>
      <c r="H170" s="6">
        <v>48</v>
      </c>
      <c r="I170" s="6">
        <v>52</v>
      </c>
      <c r="J170" s="498">
        <f t="shared" si="4"/>
        <v>12775.3</v>
      </c>
      <c r="K170" s="499"/>
      <c r="L170" s="8"/>
      <c r="N170" s="698">
        <v>48</v>
      </c>
      <c r="O170" s="698"/>
      <c r="P170" s="698"/>
    </row>
    <row r="171" spans="2:16" hidden="1">
      <c r="B171" s="5">
        <f t="shared" si="5"/>
        <v>167</v>
      </c>
      <c r="C171" s="5" t="s">
        <v>204</v>
      </c>
      <c r="D171" s="5" t="s">
        <v>205</v>
      </c>
      <c r="E171" s="5"/>
      <c r="F171" s="5"/>
      <c r="G171" s="5">
        <v>90</v>
      </c>
      <c r="H171" s="6">
        <v>46.5</v>
      </c>
      <c r="I171" s="680">
        <v>50</v>
      </c>
      <c r="J171" s="498">
        <f t="shared" si="4"/>
        <v>12821.8</v>
      </c>
      <c r="K171" s="499"/>
      <c r="L171" s="8"/>
      <c r="N171" s="698">
        <v>46.5</v>
      </c>
      <c r="O171" s="698"/>
      <c r="P171" s="698"/>
    </row>
    <row r="172" spans="2:16">
      <c r="B172" s="5">
        <f t="shared" si="5"/>
        <v>168</v>
      </c>
      <c r="C172" s="5" t="s">
        <v>204</v>
      </c>
      <c r="D172" s="5" t="s">
        <v>205</v>
      </c>
      <c r="E172" s="5" t="s">
        <v>301</v>
      </c>
      <c r="F172" s="5"/>
      <c r="G172" s="5">
        <v>90</v>
      </c>
      <c r="H172" s="6">
        <v>5</v>
      </c>
      <c r="I172" s="680"/>
      <c r="J172" s="498">
        <f t="shared" si="4"/>
        <v>12826.8</v>
      </c>
      <c r="K172" s="499"/>
      <c r="L172" s="8"/>
      <c r="N172" s="698">
        <v>5</v>
      </c>
      <c r="O172" s="698"/>
      <c r="P172" s="698"/>
    </row>
    <row r="173" spans="2:16" hidden="1">
      <c r="B173" s="5">
        <f t="shared" si="5"/>
        <v>169</v>
      </c>
      <c r="C173" s="5" t="s">
        <v>205</v>
      </c>
      <c r="D173" s="5" t="s">
        <v>463</v>
      </c>
      <c r="E173" s="5"/>
      <c r="F173" s="5"/>
      <c r="G173" s="5">
        <v>90</v>
      </c>
      <c r="H173" s="6">
        <v>117</v>
      </c>
      <c r="I173" s="680">
        <v>120</v>
      </c>
      <c r="J173" s="498">
        <f t="shared" si="4"/>
        <v>12943.8</v>
      </c>
      <c r="K173" s="499"/>
      <c r="L173" s="8"/>
      <c r="N173" s="698">
        <v>117</v>
      </c>
      <c r="O173" s="698"/>
      <c r="P173" s="698"/>
    </row>
    <row r="174" spans="2:16" hidden="1">
      <c r="B174" s="5">
        <f t="shared" si="5"/>
        <v>170</v>
      </c>
      <c r="C174" s="5" t="s">
        <v>205</v>
      </c>
      <c r="D174" s="5" t="s">
        <v>463</v>
      </c>
      <c r="E174" s="5" t="s">
        <v>193</v>
      </c>
      <c r="F174" s="5"/>
      <c r="G174" s="5">
        <v>90</v>
      </c>
      <c r="H174" s="6">
        <v>5</v>
      </c>
      <c r="I174" s="680"/>
      <c r="J174" s="498">
        <f t="shared" si="4"/>
        <v>12948.8</v>
      </c>
      <c r="K174" s="499"/>
      <c r="L174" s="8"/>
      <c r="N174" s="698">
        <v>5</v>
      </c>
      <c r="O174" s="698"/>
      <c r="P174" s="698"/>
    </row>
    <row r="175" spans="2:16" hidden="1">
      <c r="B175" s="5">
        <f t="shared" si="5"/>
        <v>171</v>
      </c>
      <c r="C175" s="5" t="s">
        <v>463</v>
      </c>
      <c r="D175" s="5" t="s">
        <v>581</v>
      </c>
      <c r="E175" s="5"/>
      <c r="F175" s="5"/>
      <c r="G175" s="5">
        <v>90</v>
      </c>
      <c r="H175" s="6">
        <v>43</v>
      </c>
      <c r="I175" s="70">
        <v>43</v>
      </c>
      <c r="J175" s="498">
        <f t="shared" si="4"/>
        <v>12991.8</v>
      </c>
      <c r="K175" s="499"/>
      <c r="L175" s="8"/>
      <c r="N175" s="698">
        <v>43</v>
      </c>
      <c r="O175" s="698"/>
      <c r="P175" s="698"/>
    </row>
    <row r="176" spans="2:16" hidden="1">
      <c r="B176" s="5">
        <f t="shared" si="5"/>
        <v>172</v>
      </c>
      <c r="C176" s="5" t="s">
        <v>581</v>
      </c>
      <c r="D176" s="5" t="s">
        <v>704</v>
      </c>
      <c r="E176" s="5"/>
      <c r="F176" s="5"/>
      <c r="G176" s="5">
        <v>90</v>
      </c>
      <c r="H176" s="6">
        <v>38.299999999999997</v>
      </c>
      <c r="I176" s="70">
        <v>41</v>
      </c>
      <c r="J176" s="498">
        <f t="shared" si="4"/>
        <v>13030.099999999999</v>
      </c>
      <c r="K176" s="499"/>
      <c r="L176" s="8"/>
      <c r="N176" s="698">
        <v>38.299999999999997</v>
      </c>
      <c r="O176" s="698"/>
      <c r="P176" s="698"/>
    </row>
    <row r="177" spans="2:16" hidden="1">
      <c r="B177" s="5">
        <f t="shared" si="5"/>
        <v>173</v>
      </c>
      <c r="C177" s="5" t="s">
        <v>463</v>
      </c>
      <c r="D177" s="5" t="s">
        <v>211</v>
      </c>
      <c r="E177" s="5"/>
      <c r="F177" s="5"/>
      <c r="G177" s="5">
        <v>90</v>
      </c>
      <c r="H177" s="6">
        <v>113</v>
      </c>
      <c r="I177" s="680">
        <v>115</v>
      </c>
      <c r="J177" s="498">
        <f t="shared" si="4"/>
        <v>13143.099999999999</v>
      </c>
      <c r="K177" s="499"/>
      <c r="L177" s="8"/>
      <c r="N177" s="698">
        <v>113</v>
      </c>
      <c r="O177" s="698"/>
      <c r="P177" s="698"/>
    </row>
    <row r="178" spans="2:16" hidden="1">
      <c r="B178" s="5">
        <f t="shared" si="5"/>
        <v>174</v>
      </c>
      <c r="C178" s="5" t="s">
        <v>463</v>
      </c>
      <c r="D178" s="5" t="s">
        <v>211</v>
      </c>
      <c r="E178" s="5" t="s">
        <v>193</v>
      </c>
      <c r="F178" s="5"/>
      <c r="G178" s="5">
        <v>90</v>
      </c>
      <c r="H178" s="6">
        <v>3</v>
      </c>
      <c r="I178" s="680"/>
      <c r="J178" s="498">
        <f t="shared" si="4"/>
        <v>13146.099999999999</v>
      </c>
      <c r="K178" s="499"/>
      <c r="L178" s="8"/>
      <c r="N178" s="698">
        <v>3</v>
      </c>
      <c r="O178" s="698"/>
      <c r="P178" s="698"/>
    </row>
    <row r="179" spans="2:16" hidden="1">
      <c r="B179" s="5">
        <f t="shared" si="5"/>
        <v>175</v>
      </c>
      <c r="C179" s="5" t="s">
        <v>211</v>
      </c>
      <c r="D179" s="5" t="s">
        <v>847</v>
      </c>
      <c r="E179" s="5"/>
      <c r="F179" s="5"/>
      <c r="G179" s="5">
        <v>90</v>
      </c>
      <c r="H179" s="6">
        <v>663</v>
      </c>
      <c r="I179" s="6">
        <v>666</v>
      </c>
      <c r="J179" s="498">
        <f t="shared" si="4"/>
        <v>13809.099999999999</v>
      </c>
      <c r="K179" s="499"/>
      <c r="L179" s="8"/>
      <c r="N179" s="699">
        <v>663</v>
      </c>
      <c r="O179" s="700"/>
      <c r="P179" s="701"/>
    </row>
    <row r="180" spans="2:16" hidden="1">
      <c r="B180" s="5">
        <f t="shared" si="5"/>
        <v>176</v>
      </c>
      <c r="C180" s="18" t="s">
        <v>419</v>
      </c>
      <c r="D180" s="18" t="s">
        <v>257</v>
      </c>
      <c r="E180" s="18" t="s">
        <v>199</v>
      </c>
      <c r="F180" s="5"/>
      <c r="G180" s="18">
        <v>110</v>
      </c>
      <c r="H180" s="6">
        <v>50.9</v>
      </c>
      <c r="I180" s="6">
        <v>48</v>
      </c>
      <c r="J180" s="498">
        <f t="shared" si="4"/>
        <v>13859.999999999998</v>
      </c>
      <c r="K180" s="499"/>
      <c r="L180" s="8"/>
      <c r="N180" s="697">
        <v>50.9</v>
      </c>
      <c r="O180" s="697"/>
      <c r="P180" s="697"/>
    </row>
    <row r="181" spans="2:16" hidden="1">
      <c r="B181" s="5">
        <f t="shared" si="5"/>
        <v>177</v>
      </c>
      <c r="C181" s="18" t="s">
        <v>257</v>
      </c>
      <c r="D181" s="18" t="s">
        <v>256</v>
      </c>
      <c r="E181" s="18"/>
      <c r="F181" s="5"/>
      <c r="G181" s="18">
        <v>110</v>
      </c>
      <c r="H181" s="6">
        <v>9</v>
      </c>
      <c r="I181" s="680">
        <v>25</v>
      </c>
      <c r="J181" s="498">
        <f t="shared" si="4"/>
        <v>13868.999999999998</v>
      </c>
      <c r="K181" s="499"/>
      <c r="L181" s="8"/>
      <c r="N181" s="697">
        <v>9</v>
      </c>
      <c r="O181" s="697"/>
      <c r="P181" s="697"/>
    </row>
    <row r="182" spans="2:16" hidden="1">
      <c r="B182" s="5">
        <f t="shared" si="5"/>
        <v>178</v>
      </c>
      <c r="C182" s="18" t="s">
        <v>257</v>
      </c>
      <c r="D182" s="18" t="s">
        <v>256</v>
      </c>
      <c r="E182" s="18" t="s">
        <v>199</v>
      </c>
      <c r="F182" s="5"/>
      <c r="G182" s="18">
        <v>110</v>
      </c>
      <c r="H182" s="6">
        <v>16.7</v>
      </c>
      <c r="I182" s="680"/>
      <c r="J182" s="498">
        <f t="shared" si="4"/>
        <v>13885.699999999999</v>
      </c>
      <c r="K182" s="499"/>
      <c r="L182" s="8"/>
      <c r="N182" s="697">
        <v>16.7</v>
      </c>
      <c r="O182" s="697"/>
      <c r="P182" s="697"/>
    </row>
    <row r="183" spans="2:16" hidden="1">
      <c r="B183" s="5">
        <f t="shared" si="5"/>
        <v>179</v>
      </c>
      <c r="C183" s="5" t="s">
        <v>256</v>
      </c>
      <c r="D183" s="5" t="s">
        <v>269</v>
      </c>
      <c r="E183" s="5"/>
      <c r="F183" s="5"/>
      <c r="G183" s="5">
        <v>110</v>
      </c>
      <c r="H183" s="6">
        <v>151.6</v>
      </c>
      <c r="I183" s="6">
        <v>143</v>
      </c>
      <c r="J183" s="498">
        <f t="shared" si="4"/>
        <v>14037.3</v>
      </c>
      <c r="K183" s="499"/>
      <c r="L183" s="8"/>
      <c r="N183" s="697">
        <v>151.6</v>
      </c>
      <c r="O183" s="697"/>
      <c r="P183" s="697"/>
    </row>
    <row r="184" spans="2:16" hidden="1">
      <c r="B184" s="5">
        <f t="shared" si="5"/>
        <v>180</v>
      </c>
      <c r="C184" s="5" t="s">
        <v>269</v>
      </c>
      <c r="D184" s="5" t="s">
        <v>538</v>
      </c>
      <c r="E184" s="18" t="s">
        <v>199</v>
      </c>
      <c r="F184" s="5"/>
      <c r="G184" s="5">
        <v>110</v>
      </c>
      <c r="H184" s="6">
        <v>20</v>
      </c>
      <c r="I184" s="6">
        <v>42</v>
      </c>
      <c r="J184" s="498">
        <f t="shared" si="4"/>
        <v>14057.3</v>
      </c>
      <c r="K184" s="499"/>
      <c r="L184" s="8"/>
      <c r="N184" s="697">
        <v>20</v>
      </c>
      <c r="O184" s="697"/>
      <c r="P184" s="697"/>
    </row>
    <row r="185" spans="2:16" hidden="1">
      <c r="B185" s="5">
        <f t="shared" si="5"/>
        <v>181</v>
      </c>
      <c r="C185" s="5" t="s">
        <v>538</v>
      </c>
      <c r="D185" s="5" t="s">
        <v>386</v>
      </c>
      <c r="E185" s="18" t="s">
        <v>38</v>
      </c>
      <c r="F185" s="5"/>
      <c r="G185" s="5">
        <v>110</v>
      </c>
      <c r="H185" s="6">
        <v>5</v>
      </c>
      <c r="I185" s="680">
        <v>14</v>
      </c>
      <c r="J185" s="498">
        <f t="shared" si="4"/>
        <v>14062.3</v>
      </c>
      <c r="K185" s="499"/>
      <c r="L185" s="8" t="s">
        <v>38</v>
      </c>
      <c r="N185" s="74"/>
      <c r="O185" s="74"/>
      <c r="P185" s="74"/>
    </row>
    <row r="186" spans="2:16" hidden="1">
      <c r="B186" s="5">
        <f t="shared" si="5"/>
        <v>182</v>
      </c>
      <c r="C186" s="5" t="s">
        <v>538</v>
      </c>
      <c r="D186" s="5" t="s">
        <v>386</v>
      </c>
      <c r="E186" s="5" t="s">
        <v>193</v>
      </c>
      <c r="F186" s="5"/>
      <c r="G186" s="5">
        <v>110</v>
      </c>
      <c r="H186" s="6">
        <v>3</v>
      </c>
      <c r="I186" s="680"/>
      <c r="J186" s="498">
        <f t="shared" si="4"/>
        <v>14065.3</v>
      </c>
      <c r="K186" s="499"/>
      <c r="L186" s="8"/>
      <c r="N186" s="697">
        <v>3</v>
      </c>
      <c r="O186" s="697"/>
      <c r="P186" s="697"/>
    </row>
    <row r="187" spans="2:16" hidden="1">
      <c r="B187" s="5">
        <f t="shared" si="5"/>
        <v>183</v>
      </c>
      <c r="C187" s="5" t="s">
        <v>538</v>
      </c>
      <c r="D187" s="5" t="s">
        <v>386</v>
      </c>
      <c r="E187" s="18" t="s">
        <v>199</v>
      </c>
      <c r="F187" s="5"/>
      <c r="G187" s="5">
        <v>110</v>
      </c>
      <c r="H187" s="6">
        <v>10</v>
      </c>
      <c r="I187" s="680"/>
      <c r="J187" s="498">
        <f t="shared" si="4"/>
        <v>14075.3</v>
      </c>
      <c r="K187" s="499"/>
      <c r="L187" s="8"/>
      <c r="N187" s="697">
        <v>15</v>
      </c>
      <c r="O187" s="697"/>
      <c r="P187" s="697"/>
    </row>
    <row r="188" spans="2:16" hidden="1">
      <c r="B188" s="5">
        <f t="shared" si="5"/>
        <v>184</v>
      </c>
      <c r="C188" s="5" t="s">
        <v>846</v>
      </c>
      <c r="D188" s="5" t="s">
        <v>310</v>
      </c>
      <c r="E188" s="5"/>
      <c r="F188" s="5"/>
      <c r="G188" s="5">
        <v>110</v>
      </c>
      <c r="H188" s="6">
        <v>42</v>
      </c>
      <c r="I188" s="6">
        <v>54</v>
      </c>
      <c r="J188" s="498">
        <f t="shared" si="4"/>
        <v>14117.3</v>
      </c>
      <c r="K188" s="499"/>
      <c r="L188" s="8"/>
      <c r="N188" s="697">
        <v>42</v>
      </c>
      <c r="O188" s="697"/>
      <c r="P188" s="697"/>
    </row>
    <row r="189" spans="2:16" hidden="1">
      <c r="B189" s="5">
        <f t="shared" si="5"/>
        <v>185</v>
      </c>
      <c r="C189" s="5" t="s">
        <v>310</v>
      </c>
      <c r="D189" s="5" t="s">
        <v>309</v>
      </c>
      <c r="E189" s="5"/>
      <c r="F189" s="5"/>
      <c r="G189" s="5">
        <v>110</v>
      </c>
      <c r="H189" s="6">
        <v>154.19999999999999</v>
      </c>
      <c r="I189" s="6">
        <v>149</v>
      </c>
      <c r="J189" s="498">
        <f t="shared" si="4"/>
        <v>14271.5</v>
      </c>
      <c r="K189" s="499"/>
      <c r="L189" s="8"/>
      <c r="N189" s="697">
        <v>154.19999999999999</v>
      </c>
      <c r="O189" s="697"/>
      <c r="P189" s="697"/>
    </row>
    <row r="190" spans="2:16" hidden="1">
      <c r="B190" s="5">
        <f t="shared" si="5"/>
        <v>186</v>
      </c>
      <c r="C190" s="5" t="s">
        <v>309</v>
      </c>
      <c r="D190" s="5" t="s">
        <v>360</v>
      </c>
      <c r="E190" s="5"/>
      <c r="F190" s="5"/>
      <c r="G190" s="5">
        <v>110</v>
      </c>
      <c r="H190" s="6">
        <v>350</v>
      </c>
      <c r="I190" s="680">
        <v>352</v>
      </c>
      <c r="J190" s="498">
        <f t="shared" si="4"/>
        <v>14621.5</v>
      </c>
      <c r="K190" s="499"/>
      <c r="L190" s="8"/>
      <c r="N190" s="696">
        <v>350</v>
      </c>
      <c r="O190" s="696"/>
      <c r="P190" s="696"/>
    </row>
    <row r="191" spans="2:16" hidden="1">
      <c r="B191" s="5">
        <f t="shared" si="5"/>
        <v>187</v>
      </c>
      <c r="C191" s="5" t="s">
        <v>309</v>
      </c>
      <c r="D191" s="5" t="s">
        <v>360</v>
      </c>
      <c r="E191" s="5" t="s">
        <v>193</v>
      </c>
      <c r="F191" s="5"/>
      <c r="G191" s="5">
        <v>110</v>
      </c>
      <c r="H191" s="6">
        <v>6</v>
      </c>
      <c r="I191" s="680"/>
      <c r="J191" s="498">
        <f t="shared" si="4"/>
        <v>14627.5</v>
      </c>
      <c r="K191" s="499"/>
      <c r="L191" s="8"/>
      <c r="N191" s="696">
        <v>6</v>
      </c>
      <c r="O191" s="696"/>
      <c r="P191" s="696"/>
    </row>
    <row r="192" spans="2:16" hidden="1">
      <c r="B192" s="5">
        <f t="shared" si="5"/>
        <v>188</v>
      </c>
      <c r="C192" s="5" t="s">
        <v>360</v>
      </c>
      <c r="D192" s="5" t="s">
        <v>386</v>
      </c>
      <c r="E192" s="5"/>
      <c r="F192" s="5"/>
      <c r="G192" s="5">
        <v>110</v>
      </c>
      <c r="H192" s="6">
        <v>28.7</v>
      </c>
      <c r="I192" s="6">
        <v>28</v>
      </c>
      <c r="J192" s="498">
        <f t="shared" si="4"/>
        <v>14656.2</v>
      </c>
      <c r="K192" s="499"/>
      <c r="L192" s="8"/>
      <c r="N192" s="696">
        <v>28.7</v>
      </c>
      <c r="O192" s="696"/>
      <c r="P192" s="696"/>
    </row>
    <row r="193" spans="2:16" hidden="1">
      <c r="B193" s="5">
        <f t="shared" si="5"/>
        <v>189</v>
      </c>
      <c r="C193" s="5" t="s">
        <v>846</v>
      </c>
      <c r="D193" s="5" t="s">
        <v>217</v>
      </c>
      <c r="E193" s="5"/>
      <c r="F193" s="5"/>
      <c r="G193" s="5">
        <v>110</v>
      </c>
      <c r="H193" s="6">
        <v>182.8</v>
      </c>
      <c r="I193" s="6">
        <v>168</v>
      </c>
      <c r="J193" s="498">
        <f t="shared" si="4"/>
        <v>14839</v>
      </c>
      <c r="K193" s="499"/>
      <c r="L193" s="8"/>
      <c r="N193" s="696">
        <v>182.8</v>
      </c>
      <c r="O193" s="696"/>
      <c r="P193" s="696"/>
    </row>
    <row r="194" spans="2:16" hidden="1">
      <c r="B194" s="5">
        <f t="shared" si="5"/>
        <v>190</v>
      </c>
      <c r="C194" s="5" t="s">
        <v>217</v>
      </c>
      <c r="D194" s="5" t="s">
        <v>233</v>
      </c>
      <c r="E194" s="5"/>
      <c r="F194" s="5"/>
      <c r="G194" s="5">
        <v>110</v>
      </c>
      <c r="H194" s="6">
        <v>152.69999999999999</v>
      </c>
      <c r="I194" s="6">
        <v>150</v>
      </c>
      <c r="J194" s="498">
        <f t="shared" si="4"/>
        <v>14991.7</v>
      </c>
      <c r="K194" s="499"/>
      <c r="L194" s="8"/>
      <c r="N194" s="696">
        <v>152.69999999999999</v>
      </c>
      <c r="O194" s="696"/>
      <c r="P194" s="696"/>
    </row>
    <row r="195" spans="2:16" hidden="1">
      <c r="B195" s="5">
        <f t="shared" si="5"/>
        <v>191</v>
      </c>
      <c r="C195" s="5" t="s">
        <v>233</v>
      </c>
      <c r="D195" s="5" t="s">
        <v>210</v>
      </c>
      <c r="E195" s="5" t="s">
        <v>193</v>
      </c>
      <c r="F195" s="5"/>
      <c r="G195" s="5">
        <v>110</v>
      </c>
      <c r="H195" s="6">
        <v>8</v>
      </c>
      <c r="I195" s="680">
        <v>195</v>
      </c>
      <c r="J195" s="498">
        <f t="shared" si="4"/>
        <v>14999.7</v>
      </c>
      <c r="K195" s="499"/>
      <c r="L195" s="8"/>
      <c r="N195" s="696">
        <v>8</v>
      </c>
      <c r="O195" s="696"/>
      <c r="P195" s="696"/>
    </row>
    <row r="196" spans="2:16" hidden="1">
      <c r="B196" s="5">
        <f t="shared" si="5"/>
        <v>192</v>
      </c>
      <c r="C196" s="5" t="s">
        <v>233</v>
      </c>
      <c r="D196" s="5" t="s">
        <v>210</v>
      </c>
      <c r="E196" s="5"/>
      <c r="F196" s="5"/>
      <c r="G196" s="5">
        <v>110</v>
      </c>
      <c r="H196" s="6">
        <v>177</v>
      </c>
      <c r="I196" s="680"/>
      <c r="J196" s="498">
        <f t="shared" si="4"/>
        <v>15176.7</v>
      </c>
      <c r="K196" s="499"/>
      <c r="L196" s="8"/>
      <c r="N196" s="696">
        <v>177</v>
      </c>
      <c r="O196" s="696"/>
      <c r="P196" s="696"/>
    </row>
    <row r="197" spans="2:16" hidden="1">
      <c r="B197" s="5">
        <f t="shared" si="5"/>
        <v>193</v>
      </c>
      <c r="C197" s="5" t="s">
        <v>315</v>
      </c>
      <c r="D197" s="5" t="s">
        <v>279</v>
      </c>
      <c r="E197" s="5"/>
      <c r="F197" s="5"/>
      <c r="G197" s="5">
        <v>110</v>
      </c>
      <c r="H197" s="6">
        <v>144</v>
      </c>
      <c r="I197" s="6">
        <v>146</v>
      </c>
      <c r="J197" s="498">
        <f t="shared" si="4"/>
        <v>15320.7</v>
      </c>
      <c r="K197" s="499"/>
      <c r="L197" s="8"/>
      <c r="N197" s="693">
        <v>144</v>
      </c>
      <c r="O197" s="694"/>
      <c r="P197" s="695"/>
    </row>
    <row r="198" spans="2:16" hidden="1">
      <c r="B198" s="5">
        <f t="shared" si="5"/>
        <v>194</v>
      </c>
      <c r="C198" s="5" t="s">
        <v>279</v>
      </c>
      <c r="D198" s="5" t="s">
        <v>414</v>
      </c>
      <c r="E198" s="5"/>
      <c r="F198" s="5"/>
      <c r="G198" s="5">
        <v>110</v>
      </c>
      <c r="H198" s="6">
        <v>141</v>
      </c>
      <c r="I198" s="6">
        <v>160</v>
      </c>
      <c r="J198" s="498">
        <f t="shared" ref="J198:J222" si="6">+J197+H198</f>
        <v>15461.7</v>
      </c>
      <c r="K198" s="499"/>
      <c r="L198" s="8"/>
      <c r="N198" s="693">
        <v>141</v>
      </c>
      <c r="O198" s="694"/>
      <c r="P198" s="695"/>
    </row>
    <row r="199" spans="2:16" hidden="1">
      <c r="B199" s="5">
        <f t="shared" si="5"/>
        <v>195</v>
      </c>
      <c r="C199" s="5" t="s">
        <v>238</v>
      </c>
      <c r="D199" s="5" t="s">
        <v>340</v>
      </c>
      <c r="E199" s="5" t="s">
        <v>199</v>
      </c>
      <c r="F199" s="5"/>
      <c r="G199" s="5">
        <v>110</v>
      </c>
      <c r="H199" s="6">
        <v>31</v>
      </c>
      <c r="I199" s="6">
        <v>30</v>
      </c>
      <c r="J199" s="498">
        <f t="shared" si="6"/>
        <v>15492.7</v>
      </c>
      <c r="K199" s="499"/>
      <c r="L199" s="8"/>
      <c r="N199" s="82"/>
      <c r="O199" s="83"/>
      <c r="P199" s="84"/>
    </row>
    <row r="200" spans="2:16" hidden="1">
      <c r="B200" s="5">
        <f t="shared" si="5"/>
        <v>196</v>
      </c>
      <c r="C200" s="5" t="s">
        <v>238</v>
      </c>
      <c r="D200" s="5" t="s">
        <v>340</v>
      </c>
      <c r="E200" s="5" t="s">
        <v>38</v>
      </c>
      <c r="F200" s="5"/>
      <c r="G200" s="5">
        <v>110</v>
      </c>
      <c r="H200" s="6">
        <v>8</v>
      </c>
      <c r="I200" s="6"/>
      <c r="J200" s="498">
        <f t="shared" si="6"/>
        <v>15500.7</v>
      </c>
      <c r="K200" s="499"/>
      <c r="L200" s="8" t="s">
        <v>38</v>
      </c>
      <c r="N200" s="82"/>
      <c r="O200" s="83"/>
      <c r="P200" s="84"/>
    </row>
    <row r="201" spans="2:16" hidden="1">
      <c r="B201" s="5">
        <f t="shared" ref="B201:B208" si="7">1+B200</f>
        <v>197</v>
      </c>
      <c r="C201" s="5" t="s">
        <v>238</v>
      </c>
      <c r="D201" s="5" t="s">
        <v>340</v>
      </c>
      <c r="E201" s="5"/>
      <c r="F201" s="5"/>
      <c r="G201" s="5">
        <v>110</v>
      </c>
      <c r="H201" s="6">
        <v>40</v>
      </c>
      <c r="I201" s="6">
        <v>48</v>
      </c>
      <c r="J201" s="498">
        <f t="shared" si="6"/>
        <v>15540.7</v>
      </c>
      <c r="K201" s="499"/>
      <c r="L201" s="8"/>
      <c r="N201" s="82"/>
      <c r="O201" s="83"/>
      <c r="P201" s="84"/>
    </row>
    <row r="202" spans="2:16" ht="15" hidden="1" customHeight="1">
      <c r="B202" s="5">
        <f t="shared" si="7"/>
        <v>198</v>
      </c>
      <c r="C202" s="5"/>
      <c r="D202" s="5"/>
      <c r="E202" s="5"/>
      <c r="F202" s="5"/>
      <c r="G202" s="5"/>
      <c r="H202" s="6"/>
      <c r="I202" s="6"/>
      <c r="J202" s="498">
        <f t="shared" si="6"/>
        <v>15540.7</v>
      </c>
      <c r="K202" s="499"/>
      <c r="L202" s="8"/>
      <c r="N202" s="82"/>
      <c r="O202" s="83"/>
      <c r="P202" s="84"/>
    </row>
    <row r="203" spans="2:16" ht="15" hidden="1" customHeight="1">
      <c r="B203" s="5">
        <f t="shared" si="7"/>
        <v>199</v>
      </c>
      <c r="C203" s="5"/>
      <c r="D203" s="5"/>
      <c r="E203" s="5"/>
      <c r="F203" s="5"/>
      <c r="G203" s="5"/>
      <c r="H203" s="6"/>
      <c r="I203" s="6"/>
      <c r="J203" s="498">
        <f t="shared" si="6"/>
        <v>15540.7</v>
      </c>
      <c r="K203" s="499"/>
      <c r="L203" s="8"/>
      <c r="N203" s="82"/>
      <c r="O203" s="83"/>
      <c r="P203" s="84"/>
    </row>
    <row r="204" spans="2:16" ht="15" hidden="1" customHeight="1">
      <c r="B204" s="5">
        <f t="shared" si="7"/>
        <v>200</v>
      </c>
      <c r="C204" s="5"/>
      <c r="D204" s="5"/>
      <c r="E204" s="5"/>
      <c r="F204" s="5"/>
      <c r="G204" s="5"/>
      <c r="H204" s="6"/>
      <c r="I204" s="6"/>
      <c r="J204" s="498">
        <f t="shared" si="6"/>
        <v>15540.7</v>
      </c>
      <c r="K204" s="499"/>
      <c r="L204" s="8"/>
      <c r="N204" s="82"/>
      <c r="O204" s="83"/>
      <c r="P204" s="84"/>
    </row>
    <row r="205" spans="2:16" ht="15" hidden="1" customHeight="1">
      <c r="B205" s="5">
        <f t="shared" si="7"/>
        <v>201</v>
      </c>
      <c r="C205" s="5"/>
      <c r="D205" s="5"/>
      <c r="E205" s="5"/>
      <c r="F205" s="5"/>
      <c r="G205" s="5"/>
      <c r="H205" s="6"/>
      <c r="I205" s="6"/>
      <c r="J205" s="498">
        <f t="shared" si="6"/>
        <v>15540.7</v>
      </c>
      <c r="K205" s="499"/>
      <c r="L205" s="8"/>
      <c r="N205" s="82"/>
      <c r="O205" s="83"/>
      <c r="P205" s="84"/>
    </row>
    <row r="206" spans="2:16" ht="15" hidden="1" customHeight="1">
      <c r="B206" s="5">
        <f t="shared" si="7"/>
        <v>202</v>
      </c>
      <c r="C206" s="5" t="s">
        <v>266</v>
      </c>
      <c r="D206" s="5" t="s">
        <v>521</v>
      </c>
      <c r="E206" s="5"/>
      <c r="F206" s="5"/>
      <c r="G206" s="5">
        <v>110</v>
      </c>
      <c r="H206" s="6">
        <v>19</v>
      </c>
      <c r="I206" s="6"/>
      <c r="J206" s="498">
        <f t="shared" si="6"/>
        <v>15559.7</v>
      </c>
      <c r="K206" s="499"/>
      <c r="L206" s="8"/>
      <c r="N206" s="82"/>
      <c r="O206" s="83"/>
      <c r="P206" s="84"/>
    </row>
    <row r="207" spans="2:16" hidden="1">
      <c r="B207" s="5">
        <f t="shared" si="7"/>
        <v>203</v>
      </c>
      <c r="C207" s="5" t="s">
        <v>521</v>
      </c>
      <c r="D207" s="5" t="s">
        <v>419</v>
      </c>
      <c r="E207" s="5"/>
      <c r="F207" s="5"/>
      <c r="G207" s="5">
        <v>110</v>
      </c>
      <c r="H207" s="6">
        <v>69</v>
      </c>
      <c r="I207" s="6">
        <v>72</v>
      </c>
      <c r="J207" s="498">
        <f t="shared" si="6"/>
        <v>15628.7</v>
      </c>
      <c r="K207" s="499"/>
      <c r="L207" s="8"/>
      <c r="N207" s="82"/>
      <c r="O207" s="83"/>
      <c r="P207" s="84"/>
    </row>
    <row r="208" spans="2:16" hidden="1">
      <c r="B208" s="5">
        <f t="shared" si="7"/>
        <v>204</v>
      </c>
      <c r="C208" s="5" t="s">
        <v>348</v>
      </c>
      <c r="D208" s="5" t="s">
        <v>345</v>
      </c>
      <c r="E208" s="5"/>
      <c r="F208" s="5"/>
      <c r="G208" s="5">
        <v>125</v>
      </c>
      <c r="H208" s="6">
        <v>65.099999999999994</v>
      </c>
      <c r="I208" s="6">
        <v>68</v>
      </c>
      <c r="J208" s="498">
        <f t="shared" si="6"/>
        <v>15693.800000000001</v>
      </c>
      <c r="K208" s="499"/>
      <c r="L208" s="8"/>
      <c r="N208" s="690">
        <v>65.099999999999994</v>
      </c>
      <c r="O208" s="691"/>
      <c r="P208" s="692"/>
    </row>
    <row r="209" spans="2:18" hidden="1">
      <c r="B209" s="5">
        <f t="shared" ref="B209:B235" si="8">1+B208</f>
        <v>205</v>
      </c>
      <c r="C209" s="5" t="s">
        <v>245</v>
      </c>
      <c r="D209" s="5" t="s">
        <v>361</v>
      </c>
      <c r="E209" s="5"/>
      <c r="F209" s="5"/>
      <c r="G209" s="5">
        <v>125</v>
      </c>
      <c r="H209" s="6">
        <v>48</v>
      </c>
      <c r="I209" s="6">
        <v>44</v>
      </c>
      <c r="J209" s="498">
        <f t="shared" si="6"/>
        <v>15741.800000000001</v>
      </c>
      <c r="K209" s="499"/>
      <c r="L209" s="8"/>
      <c r="N209" s="690">
        <v>204</v>
      </c>
      <c r="O209" s="691"/>
      <c r="P209" s="692"/>
    </row>
    <row r="210" spans="2:18" hidden="1">
      <c r="B210" s="5">
        <f t="shared" si="8"/>
        <v>206</v>
      </c>
      <c r="C210" s="5" t="s">
        <v>361</v>
      </c>
      <c r="D210" s="5" t="s">
        <v>524</v>
      </c>
      <c r="E210" s="5"/>
      <c r="F210" s="5"/>
      <c r="G210" s="5">
        <v>125</v>
      </c>
      <c r="H210" s="6">
        <v>327</v>
      </c>
      <c r="I210" s="6">
        <v>333</v>
      </c>
      <c r="J210" s="498">
        <f t="shared" si="6"/>
        <v>16068.800000000001</v>
      </c>
      <c r="K210" s="499"/>
      <c r="L210" s="8"/>
      <c r="N210" s="690">
        <v>327</v>
      </c>
      <c r="O210" s="691"/>
      <c r="P210" s="692"/>
    </row>
    <row r="211" spans="2:18" hidden="1">
      <c r="B211" s="5">
        <f t="shared" si="8"/>
        <v>207</v>
      </c>
      <c r="C211" s="5" t="s">
        <v>348</v>
      </c>
      <c r="D211" s="5" t="s">
        <v>238</v>
      </c>
      <c r="E211" s="5" t="s">
        <v>199</v>
      </c>
      <c r="F211" s="5"/>
      <c r="G211" s="5">
        <v>125</v>
      </c>
      <c r="H211" s="6">
        <v>87.9</v>
      </c>
      <c r="I211" s="6">
        <v>88</v>
      </c>
      <c r="J211" s="498">
        <f t="shared" si="6"/>
        <v>16156.7</v>
      </c>
      <c r="K211" s="499"/>
      <c r="L211" s="8"/>
      <c r="N211" s="85"/>
      <c r="O211" s="86"/>
      <c r="P211" s="87"/>
    </row>
    <row r="212" spans="2:18" hidden="1">
      <c r="B212" s="5">
        <f t="shared" si="8"/>
        <v>208</v>
      </c>
      <c r="C212" s="5" t="s">
        <v>355</v>
      </c>
      <c r="D212" s="5" t="s">
        <v>249</v>
      </c>
      <c r="E212" s="5"/>
      <c r="F212" s="5"/>
      <c r="G212" s="5">
        <v>140</v>
      </c>
      <c r="H212" s="6">
        <v>172.5</v>
      </c>
      <c r="I212" s="6">
        <v>205</v>
      </c>
      <c r="J212" s="498">
        <f t="shared" si="6"/>
        <v>16329.2</v>
      </c>
      <c r="K212" s="499"/>
      <c r="L212" s="8"/>
      <c r="N212" s="685">
        <v>172.5</v>
      </c>
      <c r="O212" s="685"/>
      <c r="P212" s="685"/>
    </row>
    <row r="213" spans="2:18" hidden="1">
      <c r="B213" s="5">
        <f t="shared" si="8"/>
        <v>209</v>
      </c>
      <c r="C213" s="5" t="s">
        <v>249</v>
      </c>
      <c r="D213" s="5" t="s">
        <v>315</v>
      </c>
      <c r="E213" s="5"/>
      <c r="F213" s="5"/>
      <c r="G213" s="5">
        <v>140</v>
      </c>
      <c r="H213" s="6">
        <v>80</v>
      </c>
      <c r="I213" s="6">
        <v>81</v>
      </c>
      <c r="J213" s="498">
        <f t="shared" si="6"/>
        <v>16409.2</v>
      </c>
      <c r="K213" s="499"/>
      <c r="L213" s="8"/>
      <c r="N213" s="687">
        <v>80</v>
      </c>
      <c r="O213" s="688"/>
      <c r="P213" s="689"/>
    </row>
    <row r="214" spans="2:18" hidden="1">
      <c r="B214" s="5">
        <f t="shared" si="8"/>
        <v>210</v>
      </c>
      <c r="C214" s="5" t="s">
        <v>249</v>
      </c>
      <c r="D214" s="5" t="s">
        <v>250</v>
      </c>
      <c r="E214" s="5"/>
      <c r="F214" s="5"/>
      <c r="G214" s="5">
        <v>140</v>
      </c>
      <c r="H214" s="6">
        <v>19.8</v>
      </c>
      <c r="I214" s="6">
        <v>16</v>
      </c>
      <c r="J214" s="498">
        <f t="shared" si="6"/>
        <v>16429</v>
      </c>
      <c r="K214" s="499"/>
      <c r="L214" s="8"/>
      <c r="N214" s="685">
        <v>19.8</v>
      </c>
      <c r="O214" s="685"/>
      <c r="P214" s="685"/>
    </row>
    <row r="215" spans="2:18" hidden="1">
      <c r="B215" s="5">
        <f t="shared" si="8"/>
        <v>211</v>
      </c>
      <c r="C215" s="5" t="s">
        <v>250</v>
      </c>
      <c r="D215" s="5" t="s">
        <v>356</v>
      </c>
      <c r="E215" s="5"/>
      <c r="F215" s="5"/>
      <c r="G215" s="5">
        <v>140</v>
      </c>
      <c r="H215" s="6">
        <v>29.2</v>
      </c>
      <c r="I215" s="680">
        <v>295</v>
      </c>
      <c r="J215" s="498">
        <f t="shared" si="6"/>
        <v>16458.2</v>
      </c>
      <c r="K215" s="499"/>
      <c r="L215" s="8"/>
      <c r="N215" s="685">
        <v>292</v>
      </c>
      <c r="O215" s="685"/>
      <c r="P215" s="685"/>
    </row>
    <row r="216" spans="2:18" hidden="1">
      <c r="B216" s="5">
        <f t="shared" si="8"/>
        <v>212</v>
      </c>
      <c r="C216" s="5" t="s">
        <v>250</v>
      </c>
      <c r="D216" s="5" t="s">
        <v>356</v>
      </c>
      <c r="E216" s="5" t="s">
        <v>193</v>
      </c>
      <c r="F216" s="5"/>
      <c r="G216" s="5">
        <v>140</v>
      </c>
      <c r="H216" s="6">
        <v>3</v>
      </c>
      <c r="I216" s="680"/>
      <c r="J216" s="498">
        <f t="shared" si="6"/>
        <v>16461.2</v>
      </c>
      <c r="K216" s="499"/>
      <c r="L216" s="8"/>
      <c r="N216" s="685">
        <v>3</v>
      </c>
      <c r="O216" s="685"/>
      <c r="P216" s="685"/>
    </row>
    <row r="217" spans="2:18" hidden="1">
      <c r="B217" s="5">
        <f t="shared" si="8"/>
        <v>213</v>
      </c>
      <c r="C217" s="5" t="s">
        <v>356</v>
      </c>
      <c r="D217" s="5" t="s">
        <v>277</v>
      </c>
      <c r="E217" s="5" t="s">
        <v>38</v>
      </c>
      <c r="F217" s="5"/>
      <c r="G217" s="5">
        <v>140</v>
      </c>
      <c r="H217" s="6">
        <v>3</v>
      </c>
      <c r="I217" s="681">
        <v>409</v>
      </c>
      <c r="J217" s="498">
        <f t="shared" si="6"/>
        <v>16464.2</v>
      </c>
      <c r="K217" s="499"/>
      <c r="L217" s="8" t="s">
        <v>38</v>
      </c>
      <c r="N217" s="88"/>
      <c r="O217" s="88"/>
      <c r="P217" s="88"/>
    </row>
    <row r="218" spans="2:18" hidden="1">
      <c r="B218" s="5">
        <f t="shared" si="8"/>
        <v>214</v>
      </c>
      <c r="C218" s="5" t="s">
        <v>356</v>
      </c>
      <c r="D218" s="5" t="s">
        <v>277</v>
      </c>
      <c r="E218" s="5"/>
      <c r="F218" s="5"/>
      <c r="G218" s="5">
        <v>140</v>
      </c>
      <c r="H218" s="6">
        <v>403</v>
      </c>
      <c r="I218" s="681"/>
      <c r="J218" s="498">
        <f t="shared" si="6"/>
        <v>16867.2</v>
      </c>
      <c r="K218" s="499"/>
      <c r="L218" s="8"/>
      <c r="N218" s="685">
        <v>406</v>
      </c>
      <c r="O218" s="685"/>
      <c r="P218" s="685"/>
    </row>
    <row r="219" spans="2:18" hidden="1">
      <c r="B219" s="5">
        <f t="shared" si="8"/>
        <v>215</v>
      </c>
      <c r="C219" s="5" t="s">
        <v>277</v>
      </c>
      <c r="D219" s="5" t="s">
        <v>649</v>
      </c>
      <c r="E219" s="5"/>
      <c r="F219" s="5"/>
      <c r="G219" s="5">
        <v>140</v>
      </c>
      <c r="H219" s="6">
        <v>121</v>
      </c>
      <c r="I219" s="6">
        <v>117</v>
      </c>
      <c r="J219" s="498">
        <f t="shared" si="6"/>
        <v>16988.2</v>
      </c>
      <c r="K219" s="499"/>
      <c r="L219" s="8"/>
      <c r="N219" s="685">
        <v>121</v>
      </c>
      <c r="O219" s="685"/>
      <c r="P219" s="685"/>
    </row>
    <row r="220" spans="2:18" hidden="1">
      <c r="B220" s="5">
        <f t="shared" si="8"/>
        <v>216</v>
      </c>
      <c r="C220" s="5" t="s">
        <v>649</v>
      </c>
      <c r="D220" s="5" t="s">
        <v>264</v>
      </c>
      <c r="E220" s="5"/>
      <c r="F220" s="5"/>
      <c r="G220" s="5">
        <v>140</v>
      </c>
      <c r="H220" s="6">
        <v>29</v>
      </c>
      <c r="I220" s="6">
        <v>42</v>
      </c>
      <c r="J220" s="498">
        <f t="shared" si="6"/>
        <v>17017.2</v>
      </c>
      <c r="K220" s="499"/>
      <c r="L220" s="8"/>
      <c r="N220" s="685">
        <v>29</v>
      </c>
      <c r="O220" s="685"/>
      <c r="P220" s="685"/>
    </row>
    <row r="221" spans="2:18" hidden="1">
      <c r="B221" s="5">
        <f t="shared" si="8"/>
        <v>217</v>
      </c>
      <c r="C221" s="5" t="s">
        <v>264</v>
      </c>
      <c r="D221" s="5" t="s">
        <v>524</v>
      </c>
      <c r="E221" s="5"/>
      <c r="F221" s="5"/>
      <c r="G221" s="5">
        <v>140</v>
      </c>
      <c r="H221" s="6">
        <v>121.5</v>
      </c>
      <c r="I221" s="6">
        <v>121</v>
      </c>
      <c r="J221" s="498">
        <f t="shared" si="6"/>
        <v>17138.7</v>
      </c>
      <c r="K221" s="499"/>
      <c r="L221" s="8"/>
      <c r="N221" s="685">
        <v>121.5</v>
      </c>
      <c r="O221" s="685"/>
      <c r="P221" s="685"/>
      <c r="R221">
        <f>1244.5-982</f>
        <v>262.5</v>
      </c>
    </row>
    <row r="222" spans="2:18" hidden="1">
      <c r="B222" s="5">
        <f t="shared" si="8"/>
        <v>218</v>
      </c>
      <c r="C222" s="5" t="s">
        <v>362</v>
      </c>
      <c r="D222" s="5" t="s">
        <v>355</v>
      </c>
      <c r="E222" s="5"/>
      <c r="F222" s="5"/>
      <c r="G222" s="5">
        <v>160</v>
      </c>
      <c r="H222" s="6">
        <v>228</v>
      </c>
      <c r="I222" s="6">
        <v>228</v>
      </c>
      <c r="J222" s="498">
        <f t="shared" si="6"/>
        <v>17366.7</v>
      </c>
      <c r="K222" s="499"/>
      <c r="L222" s="8"/>
      <c r="N222" s="686">
        <v>155</v>
      </c>
      <c r="O222" s="686"/>
      <c r="P222" s="686"/>
      <c r="R222">
        <f>+R221/12</f>
        <v>21.875</v>
      </c>
    </row>
    <row r="223" spans="2:18" ht="15" hidden="1" customHeight="1">
      <c r="B223" s="5">
        <f t="shared" si="8"/>
        <v>219</v>
      </c>
      <c r="C223" s="5"/>
      <c r="D223" s="5"/>
      <c r="E223" s="5"/>
      <c r="F223" s="5"/>
      <c r="G223" s="5"/>
      <c r="H223" s="75"/>
      <c r="I223" s="89"/>
      <c r="J223" s="5"/>
      <c r="K223" s="10"/>
      <c r="L223" s="8"/>
      <c r="N223" s="90"/>
      <c r="O223" s="90"/>
      <c r="P223" s="90"/>
    </row>
    <row r="224" spans="2:18" ht="76.5" hidden="1" customHeight="1">
      <c r="B224" s="5">
        <f t="shared" si="8"/>
        <v>220</v>
      </c>
      <c r="C224" s="5"/>
      <c r="D224" s="5"/>
      <c r="E224" s="5"/>
      <c r="F224" s="5"/>
      <c r="G224" s="5"/>
      <c r="H224" s="75"/>
      <c r="I224" s="89"/>
      <c r="J224" s="5"/>
      <c r="K224" s="10"/>
      <c r="L224" s="8"/>
      <c r="N224" s="90"/>
      <c r="O224" s="90"/>
      <c r="P224" s="90"/>
    </row>
    <row r="225" spans="2:16" ht="15" hidden="1" customHeight="1">
      <c r="B225" s="5">
        <f t="shared" si="8"/>
        <v>221</v>
      </c>
      <c r="C225" s="5"/>
      <c r="D225" s="5"/>
      <c r="E225" s="5"/>
      <c r="F225" s="5"/>
      <c r="G225" s="5"/>
      <c r="H225" s="75"/>
      <c r="I225" s="89"/>
      <c r="J225" s="5"/>
      <c r="K225" s="10"/>
      <c r="L225" s="8"/>
      <c r="N225" s="90"/>
      <c r="O225" s="90"/>
      <c r="P225" s="90"/>
    </row>
    <row r="226" spans="2:16" ht="15" hidden="1" customHeight="1">
      <c r="B226" s="5">
        <f t="shared" si="8"/>
        <v>222</v>
      </c>
      <c r="C226" s="5"/>
      <c r="D226" s="5"/>
      <c r="E226" s="5"/>
      <c r="F226" s="5"/>
      <c r="G226" s="5"/>
      <c r="H226" s="75"/>
      <c r="I226" s="89"/>
      <c r="J226" s="5"/>
      <c r="K226" s="10"/>
      <c r="L226" s="8"/>
      <c r="N226" s="90"/>
      <c r="O226" s="90"/>
      <c r="P226" s="90"/>
    </row>
    <row r="227" spans="2:16" ht="15" hidden="1" customHeight="1">
      <c r="B227" s="5">
        <f t="shared" si="8"/>
        <v>223</v>
      </c>
      <c r="C227" s="5"/>
      <c r="D227" s="5"/>
      <c r="E227" s="5"/>
      <c r="F227" s="5"/>
      <c r="G227" s="5"/>
      <c r="H227" s="75"/>
      <c r="I227" s="89"/>
      <c r="J227" s="5"/>
      <c r="K227" s="10"/>
      <c r="L227" s="8"/>
      <c r="N227" s="90"/>
      <c r="O227" s="90"/>
      <c r="P227" s="90"/>
    </row>
    <row r="228" spans="2:16" ht="15" hidden="1" customHeight="1">
      <c r="B228" s="5">
        <f t="shared" si="8"/>
        <v>224</v>
      </c>
      <c r="C228" s="5"/>
      <c r="D228" s="5"/>
      <c r="E228" s="5"/>
      <c r="F228" s="5"/>
      <c r="G228" s="5"/>
      <c r="H228" s="75"/>
      <c r="I228" s="89"/>
      <c r="J228" s="5"/>
      <c r="K228" s="10"/>
      <c r="L228" s="8"/>
      <c r="N228" s="90"/>
      <c r="O228" s="90"/>
      <c r="P228" s="90"/>
    </row>
    <row r="229" spans="2:16" ht="15" hidden="1" customHeight="1">
      <c r="B229" s="5">
        <f t="shared" si="8"/>
        <v>225</v>
      </c>
      <c r="C229" s="5"/>
      <c r="D229" s="5"/>
      <c r="E229" s="5"/>
      <c r="F229" s="5"/>
      <c r="G229" s="5"/>
      <c r="H229" s="75"/>
      <c r="I229" s="89"/>
      <c r="J229" s="5"/>
      <c r="K229" s="10"/>
      <c r="L229" s="8"/>
      <c r="N229" s="90"/>
      <c r="O229" s="90"/>
      <c r="P229" s="90"/>
    </row>
    <row r="230" spans="2:16" ht="15" hidden="1" customHeight="1">
      <c r="B230" s="5">
        <f t="shared" si="8"/>
        <v>226</v>
      </c>
      <c r="C230" s="5"/>
      <c r="D230" s="5"/>
      <c r="E230" s="5"/>
      <c r="F230" s="5"/>
      <c r="G230" s="5"/>
      <c r="H230" s="75"/>
      <c r="I230" s="89"/>
      <c r="J230" s="5"/>
      <c r="K230" s="10"/>
      <c r="L230" s="8"/>
      <c r="N230" s="90"/>
      <c r="O230" s="90"/>
      <c r="P230" s="90"/>
    </row>
    <row r="231" spans="2:16" ht="15" hidden="1" customHeight="1">
      <c r="B231" s="5">
        <f t="shared" si="8"/>
        <v>227</v>
      </c>
      <c r="C231" s="5"/>
      <c r="D231" s="5"/>
      <c r="E231" s="5"/>
      <c r="F231" s="5"/>
      <c r="G231" s="5"/>
      <c r="H231" s="75"/>
      <c r="I231" s="89"/>
      <c r="J231" s="5"/>
      <c r="K231" s="10"/>
      <c r="L231" s="8"/>
      <c r="N231" s="90"/>
      <c r="O231" s="90"/>
      <c r="P231" s="90"/>
    </row>
    <row r="232" spans="2:16" ht="15" hidden="1" customHeight="1">
      <c r="B232" s="5">
        <f t="shared" si="8"/>
        <v>228</v>
      </c>
      <c r="C232" s="5"/>
      <c r="D232" s="5"/>
      <c r="E232" s="5"/>
      <c r="F232" s="5"/>
      <c r="G232" s="5"/>
      <c r="H232" s="75"/>
      <c r="I232" s="89"/>
      <c r="J232" s="5"/>
      <c r="K232" s="10"/>
      <c r="L232" s="8"/>
      <c r="N232" s="90"/>
      <c r="O232" s="90"/>
      <c r="P232" s="90"/>
    </row>
    <row r="233" spans="2:16" ht="15" hidden="1" customHeight="1">
      <c r="B233" s="5">
        <f t="shared" si="8"/>
        <v>229</v>
      </c>
      <c r="C233" s="5"/>
      <c r="D233" s="5"/>
      <c r="E233" s="5"/>
      <c r="F233" s="5"/>
      <c r="G233" s="5"/>
      <c r="H233" s="75"/>
      <c r="I233" s="89"/>
      <c r="J233" s="5"/>
      <c r="K233" s="10"/>
      <c r="L233" s="8"/>
      <c r="N233" s="90"/>
      <c r="O233" s="90"/>
      <c r="P233" s="90"/>
    </row>
    <row r="234" spans="2:16" hidden="1">
      <c r="B234" s="5">
        <f t="shared" si="8"/>
        <v>230</v>
      </c>
      <c r="J234" s="5"/>
      <c r="K234" s="10"/>
      <c r="L234" s="8"/>
      <c r="N234" s="90"/>
      <c r="O234" s="90"/>
      <c r="P234" s="90"/>
    </row>
    <row r="235" spans="2:16" ht="15" hidden="1" customHeight="1">
      <c r="B235" s="5">
        <f t="shared" si="8"/>
        <v>231</v>
      </c>
      <c r="C235" s="5"/>
      <c r="D235" s="5"/>
      <c r="E235" s="5"/>
      <c r="F235" s="5"/>
      <c r="G235" s="5"/>
      <c r="H235" s="75"/>
      <c r="I235" s="89"/>
      <c r="J235" s="5"/>
      <c r="K235" s="10"/>
      <c r="L235" s="8"/>
      <c r="N235" s="90"/>
      <c r="O235" s="90"/>
      <c r="P235" s="90"/>
    </row>
    <row r="236" spans="2:16" hidden="1">
      <c r="B236" s="8"/>
      <c r="C236" s="8"/>
      <c r="D236" s="8"/>
      <c r="E236" s="8"/>
      <c r="F236" s="8"/>
      <c r="G236" s="8"/>
      <c r="H236" s="76">
        <f>+SUM(H5:H233)</f>
        <v>17366.7</v>
      </c>
      <c r="I236" s="76"/>
      <c r="J236" s="498"/>
      <c r="K236" s="499"/>
      <c r="L236" s="8"/>
      <c r="N236" s="609">
        <f>+SUM(N5:P222)</f>
        <v>16953.599999999999</v>
      </c>
      <c r="O236" s="609"/>
      <c r="P236" s="609"/>
    </row>
    <row r="237" spans="2:16" hidden="1">
      <c r="B237" s="8"/>
      <c r="C237" s="5">
        <v>63</v>
      </c>
      <c r="D237" s="5">
        <v>75</v>
      </c>
      <c r="E237" s="5">
        <v>90</v>
      </c>
      <c r="F237" s="5">
        <v>110</v>
      </c>
      <c r="G237" s="77">
        <v>125</v>
      </c>
      <c r="H237" s="5">
        <v>140</v>
      </c>
      <c r="I237" s="10">
        <v>160</v>
      </c>
      <c r="J237" s="498"/>
      <c r="K237" s="499"/>
      <c r="L237" s="8"/>
    </row>
    <row r="238" spans="2:16" hidden="1">
      <c r="B238" s="8"/>
      <c r="C238" s="5">
        <f>+SUMIF($G$5:$G$222,C237,$H$5:$H$222)</f>
        <v>10351.899999999998</v>
      </c>
      <c r="D238" s="5">
        <f>+SUMIF($G$5:$G$222,D237,$H$5:$H$222)</f>
        <v>2054.4</v>
      </c>
      <c r="E238" s="5">
        <f>+SUMIF($G$5:$G$233,E237,$H$5:$H$233)</f>
        <v>1402.8</v>
      </c>
      <c r="F238" s="5">
        <f>+SUMIF($G$5:$G$233,F237,$H$5:$H$233)</f>
        <v>1819.6000000000001</v>
      </c>
      <c r="G238" s="10">
        <f>+SUMIF($G$5:$G$233,G237,$H$5:$H$233)</f>
        <v>528</v>
      </c>
      <c r="H238" s="10">
        <f>+SUMIF($G$5:$G$233,H237,$H$5:$H$233)</f>
        <v>982</v>
      </c>
      <c r="I238" s="454">
        <f>+SUMIF($G$5:$G$233,I237,$H$5:$H$233)</f>
        <v>228</v>
      </c>
      <c r="J238" s="498"/>
      <c r="K238" s="499"/>
      <c r="L238" s="8"/>
    </row>
    <row r="239" spans="2:16" hidden="1">
      <c r="B239" s="78" t="s">
        <v>366</v>
      </c>
      <c r="C239" s="78"/>
      <c r="D239" s="78"/>
      <c r="E239" s="654"/>
      <c r="F239" s="655"/>
      <c r="G239" s="78" t="s">
        <v>367</v>
      </c>
      <c r="H239" s="78"/>
      <c r="I239" s="91"/>
      <c r="J239" s="80"/>
      <c r="K239" s="80"/>
      <c r="L239" s="81"/>
    </row>
    <row r="240" spans="2:16" hidden="1">
      <c r="B240" s="8" t="s">
        <v>368</v>
      </c>
      <c r="C240" s="8"/>
      <c r="D240" s="499"/>
      <c r="E240" s="500"/>
      <c r="F240" s="501"/>
      <c r="G240" s="8" t="s">
        <v>368</v>
      </c>
      <c r="H240" s="79"/>
      <c r="I240" s="80"/>
      <c r="J240" s="500"/>
      <c r="K240" s="500"/>
      <c r="L240" s="501"/>
    </row>
    <row r="241" spans="2:29" hidden="1">
      <c r="B241" s="8" t="s">
        <v>369</v>
      </c>
      <c r="C241" s="79"/>
      <c r="D241" s="80"/>
      <c r="E241" s="80"/>
      <c r="F241" s="81"/>
      <c r="G241" s="8" t="s">
        <v>369</v>
      </c>
      <c r="H241" s="79"/>
      <c r="I241" s="80"/>
      <c r="J241" s="500"/>
      <c r="K241" s="500"/>
      <c r="L241" s="501"/>
    </row>
    <row r="242" spans="2:29" hidden="1">
      <c r="B242" s="8" t="s">
        <v>370</v>
      </c>
      <c r="C242" s="8"/>
      <c r="D242" s="79"/>
      <c r="E242" s="80"/>
      <c r="F242" s="81"/>
      <c r="G242" s="8" t="s">
        <v>370</v>
      </c>
      <c r="H242" s="79"/>
      <c r="I242" s="80"/>
      <c r="J242" s="500"/>
      <c r="K242" s="500"/>
      <c r="L242" s="501"/>
    </row>
    <row r="244" spans="2:29">
      <c r="H244" s="63"/>
      <c r="I244" s="63"/>
      <c r="J244" s="609"/>
      <c r="K244" s="609"/>
    </row>
    <row r="245" spans="2:29">
      <c r="H245" s="63"/>
      <c r="I245" s="63"/>
      <c r="J245" s="609"/>
      <c r="K245" s="609"/>
    </row>
    <row r="246" spans="2:29">
      <c r="H246" s="63"/>
      <c r="I246" s="63"/>
      <c r="J246" s="609"/>
      <c r="K246" s="609"/>
    </row>
    <row r="247" spans="2:29" ht="15.75">
      <c r="H247" s="63"/>
      <c r="I247" s="63"/>
      <c r="J247" s="609"/>
      <c r="K247" s="609"/>
      <c r="O247" s="7" t="s">
        <v>365</v>
      </c>
      <c r="P247" s="8"/>
      <c r="Q247" s="8"/>
      <c r="R247" s="8"/>
      <c r="S247" s="8" t="s">
        <v>366</v>
      </c>
      <c r="T247" s="8"/>
      <c r="U247" s="8"/>
      <c r="V247" s="8"/>
      <c r="W247" s="8"/>
      <c r="X247" s="498"/>
      <c r="Y247" s="498"/>
      <c r="Z247" s="498"/>
      <c r="AA247" s="498"/>
      <c r="AB247" s="498"/>
      <c r="AC247" s="498"/>
    </row>
    <row r="248" spans="2:29" ht="15.75">
      <c r="H248" s="63"/>
      <c r="I248" s="63"/>
      <c r="J248" s="609"/>
      <c r="K248" s="609"/>
      <c r="O248" s="7" t="s">
        <v>368</v>
      </c>
      <c r="P248" s="8"/>
      <c r="Q248" s="498"/>
      <c r="R248" s="498"/>
      <c r="S248" s="8" t="s">
        <v>368</v>
      </c>
      <c r="T248" s="498"/>
      <c r="U248" s="498"/>
      <c r="V248" s="498"/>
      <c r="W248" s="498"/>
      <c r="X248" s="8" t="s">
        <v>368</v>
      </c>
      <c r="Y248" s="8"/>
      <c r="Z248" s="8"/>
      <c r="AA248" s="498"/>
      <c r="AB248" s="498"/>
      <c r="AC248" s="498"/>
    </row>
    <row r="249" spans="2:29" ht="15.75">
      <c r="H249" s="63"/>
      <c r="I249" s="63"/>
      <c r="J249" s="609"/>
      <c r="K249" s="609"/>
      <c r="O249" s="7" t="s">
        <v>369</v>
      </c>
      <c r="P249" s="498"/>
      <c r="Q249" s="498"/>
      <c r="R249" s="498"/>
      <c r="S249" s="8" t="s">
        <v>369</v>
      </c>
      <c r="T249" s="498"/>
      <c r="U249" s="498"/>
      <c r="V249" s="498"/>
      <c r="W249" s="498"/>
      <c r="X249" s="8" t="s">
        <v>369</v>
      </c>
      <c r="Y249" s="8"/>
      <c r="Z249" s="8"/>
      <c r="AA249" s="498"/>
      <c r="AB249" s="498"/>
      <c r="AC249" s="498"/>
    </row>
    <row r="250" spans="2:29" ht="15.75">
      <c r="H250" s="63"/>
      <c r="I250" s="63"/>
      <c r="J250" s="609"/>
      <c r="K250" s="609"/>
      <c r="O250" s="7" t="s">
        <v>370</v>
      </c>
      <c r="P250" s="8"/>
      <c r="Q250" s="498"/>
      <c r="R250" s="498"/>
      <c r="S250" s="8" t="s">
        <v>370</v>
      </c>
      <c r="T250" s="498"/>
      <c r="U250" s="498"/>
      <c r="V250" s="498"/>
      <c r="W250" s="498"/>
      <c r="X250" s="8" t="s">
        <v>370</v>
      </c>
      <c r="Y250" s="8"/>
      <c r="Z250" s="8"/>
      <c r="AA250" s="498"/>
      <c r="AB250" s="498"/>
      <c r="AC250" s="8"/>
    </row>
    <row r="251" spans="2:29">
      <c r="J251" s="609"/>
      <c r="K251" s="609"/>
      <c r="O251" s="8"/>
      <c r="P251" s="8"/>
      <c r="Q251" s="8"/>
      <c r="R251" s="8"/>
      <c r="S251" s="8"/>
      <c r="T251" s="8"/>
      <c r="U251" s="684"/>
      <c r="V251" s="684"/>
      <c r="W251" s="684"/>
      <c r="X251" s="8"/>
      <c r="Y251" s="498"/>
      <c r="Z251" s="498"/>
    </row>
    <row r="252" spans="2:29">
      <c r="J252" s="609"/>
      <c r="K252" s="609"/>
    </row>
  </sheetData>
  <autoFilter ref="B4:AC242">
    <filterColumn colId="3">
      <filters>
        <filter val="INTERLOCKING"/>
      </filters>
    </filterColumn>
    <filterColumn colId="8" showButton="0"/>
  </autoFilter>
  <mergeCells count="467">
    <mergeCell ref="B3:I3"/>
    <mergeCell ref="J5:K5"/>
    <mergeCell ref="N5:P5"/>
    <mergeCell ref="J6:K6"/>
    <mergeCell ref="N6:P6"/>
    <mergeCell ref="J7:K7"/>
    <mergeCell ref="N7:P7"/>
    <mergeCell ref="J8:K8"/>
    <mergeCell ref="N8:P8"/>
    <mergeCell ref="J9:K9"/>
    <mergeCell ref="N9:P9"/>
    <mergeCell ref="J10:K10"/>
    <mergeCell ref="N10:P10"/>
    <mergeCell ref="J11:K11"/>
    <mergeCell ref="N11:P11"/>
    <mergeCell ref="J12:K12"/>
    <mergeCell ref="N12:P12"/>
    <mergeCell ref="J13:K13"/>
    <mergeCell ref="N13:P13"/>
    <mergeCell ref="J14:K14"/>
    <mergeCell ref="N14:P14"/>
    <mergeCell ref="J15:K15"/>
    <mergeCell ref="N15:P15"/>
    <mergeCell ref="J16:K16"/>
    <mergeCell ref="N16:P16"/>
    <mergeCell ref="J17:K17"/>
    <mergeCell ref="N17:P17"/>
    <mergeCell ref="J18:K18"/>
    <mergeCell ref="N18:P18"/>
    <mergeCell ref="J19:K19"/>
    <mergeCell ref="N19:P19"/>
    <mergeCell ref="J20:K20"/>
    <mergeCell ref="N20:P20"/>
    <mergeCell ref="J21:K21"/>
    <mergeCell ref="N21:P21"/>
    <mergeCell ref="J22:K22"/>
    <mergeCell ref="N22:P22"/>
    <mergeCell ref="J23:K23"/>
    <mergeCell ref="N23:P23"/>
    <mergeCell ref="J24:K24"/>
    <mergeCell ref="N24:P24"/>
    <mergeCell ref="J25:K25"/>
    <mergeCell ref="N25:P25"/>
    <mergeCell ref="J26:K26"/>
    <mergeCell ref="N26:P26"/>
    <mergeCell ref="J27:K27"/>
    <mergeCell ref="N27:P27"/>
    <mergeCell ref="J28:K28"/>
    <mergeCell ref="N28:P28"/>
    <mergeCell ref="J29:K29"/>
    <mergeCell ref="N29:P29"/>
    <mergeCell ref="J30:K30"/>
    <mergeCell ref="N30:P30"/>
    <mergeCell ref="J31:K31"/>
    <mergeCell ref="N31:P31"/>
    <mergeCell ref="J32:K32"/>
    <mergeCell ref="N32:P32"/>
    <mergeCell ref="J33:K33"/>
    <mergeCell ref="N33:P33"/>
    <mergeCell ref="J34:K34"/>
    <mergeCell ref="N34:P34"/>
    <mergeCell ref="J35:K35"/>
    <mergeCell ref="N35:P35"/>
    <mergeCell ref="J36:K36"/>
    <mergeCell ref="N36:P36"/>
    <mergeCell ref="J37:K37"/>
    <mergeCell ref="N37:P37"/>
    <mergeCell ref="J38:K38"/>
    <mergeCell ref="N38:P38"/>
    <mergeCell ref="J39:K39"/>
    <mergeCell ref="N39:P39"/>
    <mergeCell ref="J40:K40"/>
    <mergeCell ref="N40:P40"/>
    <mergeCell ref="J41:K41"/>
    <mergeCell ref="N41:P41"/>
    <mergeCell ref="J42:K42"/>
    <mergeCell ref="N42:P42"/>
    <mergeCell ref="J43:K43"/>
    <mergeCell ref="N43:P43"/>
    <mergeCell ref="J44:K44"/>
    <mergeCell ref="N44:P44"/>
    <mergeCell ref="J45:K45"/>
    <mergeCell ref="N45:P45"/>
    <mergeCell ref="J46:K46"/>
    <mergeCell ref="N46:P46"/>
    <mergeCell ref="J47:K47"/>
    <mergeCell ref="J48:K48"/>
    <mergeCell ref="N48:P48"/>
    <mergeCell ref="J49:K49"/>
    <mergeCell ref="N49:P49"/>
    <mergeCell ref="J50:K50"/>
    <mergeCell ref="N50:P50"/>
    <mergeCell ref="J51:K51"/>
    <mergeCell ref="N51:P51"/>
    <mergeCell ref="J52:K52"/>
    <mergeCell ref="N52:P52"/>
    <mergeCell ref="J53:K53"/>
    <mergeCell ref="N53:P53"/>
    <mergeCell ref="J54:K54"/>
    <mergeCell ref="N54:P54"/>
    <mergeCell ref="J55:K55"/>
    <mergeCell ref="N55:P55"/>
    <mergeCell ref="J56:K56"/>
    <mergeCell ref="N56:P56"/>
    <mergeCell ref="J57:K57"/>
    <mergeCell ref="N57:P57"/>
    <mergeCell ref="J58:K58"/>
    <mergeCell ref="N58:P58"/>
    <mergeCell ref="J59:K59"/>
    <mergeCell ref="N59:P59"/>
    <mergeCell ref="J60:K60"/>
    <mergeCell ref="N60:P60"/>
    <mergeCell ref="J61:K61"/>
    <mergeCell ref="N61:P61"/>
    <mergeCell ref="J62:K62"/>
    <mergeCell ref="N62:P62"/>
    <mergeCell ref="J63:K63"/>
    <mergeCell ref="N63:P63"/>
    <mergeCell ref="J64:K64"/>
    <mergeCell ref="N64:P64"/>
    <mergeCell ref="J65:K65"/>
    <mergeCell ref="N65:P65"/>
    <mergeCell ref="J66:K66"/>
    <mergeCell ref="N66:P66"/>
    <mergeCell ref="J67:K67"/>
    <mergeCell ref="N67:P67"/>
    <mergeCell ref="J68:K68"/>
    <mergeCell ref="N68:P68"/>
    <mergeCell ref="J69:K69"/>
    <mergeCell ref="N69:P69"/>
    <mergeCell ref="J70:K70"/>
    <mergeCell ref="N70:P70"/>
    <mergeCell ref="J71:K71"/>
    <mergeCell ref="N71:P71"/>
    <mergeCell ref="J72:K72"/>
    <mergeCell ref="N72:P72"/>
    <mergeCell ref="J73:K73"/>
    <mergeCell ref="N73:P73"/>
    <mergeCell ref="J74:K74"/>
    <mergeCell ref="N74:P74"/>
    <mergeCell ref="J75:K75"/>
    <mergeCell ref="N75:P75"/>
    <mergeCell ref="J76:K76"/>
    <mergeCell ref="N76:P76"/>
    <mergeCell ref="J77:K77"/>
    <mergeCell ref="N77:P77"/>
    <mergeCell ref="J78:K78"/>
    <mergeCell ref="N78:P78"/>
    <mergeCell ref="J79:K79"/>
    <mergeCell ref="N79:P79"/>
    <mergeCell ref="J80:K80"/>
    <mergeCell ref="N80:P80"/>
    <mergeCell ref="J81:K81"/>
    <mergeCell ref="N81:P81"/>
    <mergeCell ref="J82:K82"/>
    <mergeCell ref="N82:P82"/>
    <mergeCell ref="J83:K83"/>
    <mergeCell ref="N83:P83"/>
    <mergeCell ref="J84:K84"/>
    <mergeCell ref="N84:P84"/>
    <mergeCell ref="J85:K85"/>
    <mergeCell ref="N85:P85"/>
    <mergeCell ref="J86:K86"/>
    <mergeCell ref="N86:P86"/>
    <mergeCell ref="J87:K87"/>
    <mergeCell ref="N87:P87"/>
    <mergeCell ref="J88:K88"/>
    <mergeCell ref="N88:P88"/>
    <mergeCell ref="J89:K89"/>
    <mergeCell ref="N89:P89"/>
    <mergeCell ref="J90:K90"/>
    <mergeCell ref="N90:P90"/>
    <mergeCell ref="J91:K91"/>
    <mergeCell ref="N91:P91"/>
    <mergeCell ref="J92:K92"/>
    <mergeCell ref="N92:P92"/>
    <mergeCell ref="J93:K93"/>
    <mergeCell ref="N93:P93"/>
    <mergeCell ref="J94:K94"/>
    <mergeCell ref="N94:P94"/>
    <mergeCell ref="J95:K95"/>
    <mergeCell ref="N95:P95"/>
    <mergeCell ref="J96:K96"/>
    <mergeCell ref="N96:P96"/>
    <mergeCell ref="J97:K97"/>
    <mergeCell ref="N97:P97"/>
    <mergeCell ref="J98:K98"/>
    <mergeCell ref="N98:P98"/>
    <mergeCell ref="J99:K99"/>
    <mergeCell ref="N99:P99"/>
    <mergeCell ref="J100:K100"/>
    <mergeCell ref="N100:P100"/>
    <mergeCell ref="J101:K101"/>
    <mergeCell ref="N101:P101"/>
    <mergeCell ref="J102:K102"/>
    <mergeCell ref="N102:P102"/>
    <mergeCell ref="J103:K103"/>
    <mergeCell ref="N103:P103"/>
    <mergeCell ref="J104:K104"/>
    <mergeCell ref="N104:P104"/>
    <mergeCell ref="J105:K105"/>
    <mergeCell ref="N105:P105"/>
    <mergeCell ref="J106:K106"/>
    <mergeCell ref="N106:P106"/>
    <mergeCell ref="J107:K107"/>
    <mergeCell ref="N107:P107"/>
    <mergeCell ref="J108:K108"/>
    <mergeCell ref="N108:P108"/>
    <mergeCell ref="J109:K109"/>
    <mergeCell ref="N109:P109"/>
    <mergeCell ref="J110:K110"/>
    <mergeCell ref="N110:P110"/>
    <mergeCell ref="J111:K111"/>
    <mergeCell ref="N111:P111"/>
    <mergeCell ref="J112:K112"/>
    <mergeCell ref="N112:P112"/>
    <mergeCell ref="J113:K113"/>
    <mergeCell ref="N113:P113"/>
    <mergeCell ref="J114:K114"/>
    <mergeCell ref="N114:P114"/>
    <mergeCell ref="J115:K115"/>
    <mergeCell ref="N115:P115"/>
    <mergeCell ref="J116:K116"/>
    <mergeCell ref="N116:P116"/>
    <mergeCell ref="J117:K117"/>
    <mergeCell ref="N117:P117"/>
    <mergeCell ref="J118:K118"/>
    <mergeCell ref="N118:P118"/>
    <mergeCell ref="J119:K119"/>
    <mergeCell ref="N119:P119"/>
    <mergeCell ref="J120:K120"/>
    <mergeCell ref="N120:P120"/>
    <mergeCell ref="J121:K121"/>
    <mergeCell ref="N121:P121"/>
    <mergeCell ref="J122:K122"/>
    <mergeCell ref="N122:P122"/>
    <mergeCell ref="J123:K123"/>
    <mergeCell ref="N123:P123"/>
    <mergeCell ref="J124:K124"/>
    <mergeCell ref="N124:P124"/>
    <mergeCell ref="J125:K125"/>
    <mergeCell ref="N125:P125"/>
    <mergeCell ref="J126:K126"/>
    <mergeCell ref="N126:P126"/>
    <mergeCell ref="J127:K127"/>
    <mergeCell ref="N127:P127"/>
    <mergeCell ref="J128:K128"/>
    <mergeCell ref="N128:P128"/>
    <mergeCell ref="J129:K129"/>
    <mergeCell ref="N129:P129"/>
    <mergeCell ref="J130:K130"/>
    <mergeCell ref="N130:P130"/>
    <mergeCell ref="J131:K131"/>
    <mergeCell ref="N131:P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N146:P146"/>
    <mergeCell ref="J147:K147"/>
    <mergeCell ref="J148:K148"/>
    <mergeCell ref="N148:P148"/>
    <mergeCell ref="J149:K149"/>
    <mergeCell ref="J150:K150"/>
    <mergeCell ref="J151:K151"/>
    <mergeCell ref="J152:K152"/>
    <mergeCell ref="J153:K153"/>
    <mergeCell ref="J154:K154"/>
    <mergeCell ref="N154:P154"/>
    <mergeCell ref="J155:K155"/>
    <mergeCell ref="N155:P155"/>
    <mergeCell ref="J156:K156"/>
    <mergeCell ref="N156:P156"/>
    <mergeCell ref="J157:K157"/>
    <mergeCell ref="N157:P157"/>
    <mergeCell ref="J158:K158"/>
    <mergeCell ref="N158:P158"/>
    <mergeCell ref="J159:K159"/>
    <mergeCell ref="N159:P159"/>
    <mergeCell ref="J160:K160"/>
    <mergeCell ref="N160:P160"/>
    <mergeCell ref="J161:K161"/>
    <mergeCell ref="N161:P161"/>
    <mergeCell ref="J162:K162"/>
    <mergeCell ref="N162:P162"/>
    <mergeCell ref="J163:K163"/>
    <mergeCell ref="N163:P163"/>
    <mergeCell ref="J164:K164"/>
    <mergeCell ref="N164:P164"/>
    <mergeCell ref="J165:K165"/>
    <mergeCell ref="N165:P165"/>
    <mergeCell ref="J166:K166"/>
    <mergeCell ref="N166:P166"/>
    <mergeCell ref="N167:P167"/>
    <mergeCell ref="J168:K168"/>
    <mergeCell ref="N168:P168"/>
    <mergeCell ref="J169:K169"/>
    <mergeCell ref="N169:P169"/>
    <mergeCell ref="J170:K170"/>
    <mergeCell ref="N170:P170"/>
    <mergeCell ref="J171:K171"/>
    <mergeCell ref="N171:P171"/>
    <mergeCell ref="N172:P172"/>
    <mergeCell ref="J173:K173"/>
    <mergeCell ref="N173:P173"/>
    <mergeCell ref="J174:K174"/>
    <mergeCell ref="N174:P174"/>
    <mergeCell ref="J175:K175"/>
    <mergeCell ref="N175:P175"/>
    <mergeCell ref="J176:K176"/>
    <mergeCell ref="N176:P176"/>
    <mergeCell ref="N182:P182"/>
    <mergeCell ref="J183:K183"/>
    <mergeCell ref="N183:P183"/>
    <mergeCell ref="J184:K184"/>
    <mergeCell ref="N184:P184"/>
    <mergeCell ref="J185:K185"/>
    <mergeCell ref="J186:K186"/>
    <mergeCell ref="N186:P186"/>
    <mergeCell ref="J177:K177"/>
    <mergeCell ref="N177:P177"/>
    <mergeCell ref="J178:K178"/>
    <mergeCell ref="N178:P178"/>
    <mergeCell ref="J179:K179"/>
    <mergeCell ref="N179:P179"/>
    <mergeCell ref="J180:K180"/>
    <mergeCell ref="N180:P180"/>
    <mergeCell ref="J181:K181"/>
    <mergeCell ref="N181:P181"/>
    <mergeCell ref="N187:P187"/>
    <mergeCell ref="J188:K188"/>
    <mergeCell ref="N188:P188"/>
    <mergeCell ref="J189:K189"/>
    <mergeCell ref="N189:P189"/>
    <mergeCell ref="J190:K190"/>
    <mergeCell ref="N190:P190"/>
    <mergeCell ref="J191:K191"/>
    <mergeCell ref="N191:P191"/>
    <mergeCell ref="N192:P192"/>
    <mergeCell ref="J193:K193"/>
    <mergeCell ref="N193:P193"/>
    <mergeCell ref="J194:K194"/>
    <mergeCell ref="N194:P194"/>
    <mergeCell ref="J195:K195"/>
    <mergeCell ref="N195:P195"/>
    <mergeCell ref="J196:K196"/>
    <mergeCell ref="N196:P196"/>
    <mergeCell ref="N208:P208"/>
    <mergeCell ref="J209:K209"/>
    <mergeCell ref="N209:P209"/>
    <mergeCell ref="J210:K210"/>
    <mergeCell ref="N210:P210"/>
    <mergeCell ref="J197:K197"/>
    <mergeCell ref="N197:P197"/>
    <mergeCell ref="J198:K198"/>
    <mergeCell ref="N198:P198"/>
    <mergeCell ref="J199:K199"/>
    <mergeCell ref="J200:K200"/>
    <mergeCell ref="J201:K201"/>
    <mergeCell ref="J202:K202"/>
    <mergeCell ref="J203:K203"/>
    <mergeCell ref="N216:P216"/>
    <mergeCell ref="J217:K217"/>
    <mergeCell ref="J218:K218"/>
    <mergeCell ref="N218:P218"/>
    <mergeCell ref="J219:K219"/>
    <mergeCell ref="N219:P219"/>
    <mergeCell ref="J220:K220"/>
    <mergeCell ref="N220:P220"/>
    <mergeCell ref="J211:K211"/>
    <mergeCell ref="J212:K212"/>
    <mergeCell ref="N212:P212"/>
    <mergeCell ref="J213:K213"/>
    <mergeCell ref="N213:P213"/>
    <mergeCell ref="J214:K214"/>
    <mergeCell ref="N214:P214"/>
    <mergeCell ref="J215:K215"/>
    <mergeCell ref="N215:P215"/>
    <mergeCell ref="J221:K221"/>
    <mergeCell ref="N221:P221"/>
    <mergeCell ref="J222:K222"/>
    <mergeCell ref="N222:P222"/>
    <mergeCell ref="J236:K236"/>
    <mergeCell ref="N236:P236"/>
    <mergeCell ref="J237:K237"/>
    <mergeCell ref="J238:K238"/>
    <mergeCell ref="E239:F239"/>
    <mergeCell ref="D240:F240"/>
    <mergeCell ref="J240:L240"/>
    <mergeCell ref="J241:L241"/>
    <mergeCell ref="J242:L242"/>
    <mergeCell ref="J244:K244"/>
    <mergeCell ref="J245:K245"/>
    <mergeCell ref="J246:K246"/>
    <mergeCell ref="J247:K247"/>
    <mergeCell ref="X247:AC247"/>
    <mergeCell ref="J248:K248"/>
    <mergeCell ref="Q248:R248"/>
    <mergeCell ref="T248:W248"/>
    <mergeCell ref="AA248:AC248"/>
    <mergeCell ref="J249:K249"/>
    <mergeCell ref="P249:R249"/>
    <mergeCell ref="T249:W249"/>
    <mergeCell ref="AA249:AC249"/>
    <mergeCell ref="J250:K250"/>
    <mergeCell ref="Q250:R250"/>
    <mergeCell ref="T250:W250"/>
    <mergeCell ref="AA250:AB250"/>
    <mergeCell ref="J251:K251"/>
    <mergeCell ref="U251:W251"/>
    <mergeCell ref="Y251:Z251"/>
    <mergeCell ref="J252:K252"/>
    <mergeCell ref="I7:I8"/>
    <mergeCell ref="I17:I18"/>
    <mergeCell ref="I32:I33"/>
    <mergeCell ref="I38:I39"/>
    <mergeCell ref="I47:I50"/>
    <mergeCell ref="I58:I60"/>
    <mergeCell ref="I63:I64"/>
    <mergeCell ref="I69:I70"/>
    <mergeCell ref="I71:I72"/>
    <mergeCell ref="I83:I84"/>
    <mergeCell ref="I85:I86"/>
    <mergeCell ref="I88:I89"/>
    <mergeCell ref="I96:I97"/>
    <mergeCell ref="I98:I99"/>
    <mergeCell ref="I101:I102"/>
    <mergeCell ref="I103:I104"/>
    <mergeCell ref="I106:I107"/>
    <mergeCell ref="I113:I114"/>
    <mergeCell ref="I123:I124"/>
    <mergeCell ref="I134:I135"/>
    <mergeCell ref="I215:I216"/>
    <mergeCell ref="I217:I218"/>
    <mergeCell ref="L3:L4"/>
    <mergeCell ref="J3:K4"/>
    <mergeCell ref="I144:I145"/>
    <mergeCell ref="I154:I155"/>
    <mergeCell ref="I171:I172"/>
    <mergeCell ref="I173:I174"/>
    <mergeCell ref="I177:I178"/>
    <mergeCell ref="I181:I182"/>
    <mergeCell ref="I185:I187"/>
    <mergeCell ref="I190:I191"/>
    <mergeCell ref="I195:I196"/>
    <mergeCell ref="J216:K216"/>
    <mergeCell ref="J204:K204"/>
    <mergeCell ref="J205:K205"/>
    <mergeCell ref="J206:K206"/>
    <mergeCell ref="J207:K207"/>
    <mergeCell ref="J208:K208"/>
    <mergeCell ref="J192:K192"/>
    <mergeCell ref="J187:K187"/>
    <mergeCell ref="J182:K182"/>
    <mergeCell ref="J172:K172"/>
    <mergeCell ref="J167:K16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62"/>
  <sheetViews>
    <sheetView workbookViewId="0">
      <selection activeCell="E12" sqref="E12:E30"/>
    </sheetView>
  </sheetViews>
  <sheetFormatPr defaultRowHeight="15"/>
  <cols>
    <col min="9" max="9" width="31.7109375" customWidth="1"/>
    <col min="21" max="21" width="13" customWidth="1"/>
    <col min="22" max="22" width="16.42578125" customWidth="1"/>
    <col min="23" max="23" width="14.85546875" customWidth="1"/>
    <col min="24" max="24" width="17.7109375" customWidth="1"/>
    <col min="25" max="25" width="18.85546875" customWidth="1"/>
    <col min="26" max="26" width="17.42578125" customWidth="1"/>
    <col min="27" max="27" width="17.140625" customWidth="1"/>
    <col min="29" max="29" width="14.85546875" customWidth="1"/>
  </cols>
  <sheetData>
    <row r="1" spans="1:17" ht="21">
      <c r="A1" s="494" t="s">
        <v>0</v>
      </c>
      <c r="B1" s="494"/>
      <c r="C1" s="494"/>
      <c r="D1" s="494"/>
      <c r="E1" s="494"/>
      <c r="F1" s="494"/>
      <c r="G1" s="494"/>
      <c r="H1" s="494"/>
      <c r="I1" s="494"/>
      <c r="J1" s="494"/>
      <c r="K1" s="494"/>
      <c r="L1" s="494"/>
      <c r="M1" s="494"/>
      <c r="N1" s="494"/>
      <c r="O1" s="494"/>
      <c r="P1" s="494"/>
      <c r="Q1" s="494"/>
    </row>
    <row r="2" spans="1:17" ht="21">
      <c r="A2" s="494" t="s">
        <v>1</v>
      </c>
      <c r="B2" s="494"/>
      <c r="C2" s="494"/>
      <c r="D2" s="494"/>
      <c r="E2" s="494"/>
      <c r="F2" s="494"/>
      <c r="G2" s="494"/>
      <c r="H2" s="494"/>
      <c r="I2" s="494"/>
      <c r="J2" s="494"/>
      <c r="K2" s="494"/>
      <c r="L2" s="494"/>
      <c r="M2" s="494"/>
      <c r="N2" s="494"/>
      <c r="O2" s="494"/>
      <c r="P2" s="494"/>
      <c r="Q2" s="494"/>
    </row>
    <row r="3" spans="1:17" ht="21">
      <c r="A3" s="494" t="s">
        <v>2</v>
      </c>
      <c r="B3" s="494"/>
      <c r="C3" s="494"/>
      <c r="D3" s="494"/>
      <c r="E3" s="494"/>
      <c r="F3" s="494"/>
      <c r="G3" s="494"/>
      <c r="H3" s="494"/>
      <c r="I3" s="494"/>
      <c r="J3" s="494"/>
      <c r="K3" s="494"/>
      <c r="L3" s="494"/>
      <c r="M3" s="494"/>
      <c r="N3" s="494"/>
      <c r="O3" s="494"/>
      <c r="P3" s="494"/>
      <c r="Q3" s="494"/>
    </row>
    <row r="4" spans="1:17" ht="18.75">
      <c r="A4" s="495" t="s">
        <v>3</v>
      </c>
      <c r="B4" s="495"/>
      <c r="C4" s="495"/>
      <c r="D4" s="495"/>
      <c r="E4" s="495"/>
      <c r="F4" s="495"/>
      <c r="G4" s="495"/>
      <c r="H4" s="495"/>
      <c r="I4" s="495"/>
      <c r="J4" s="495"/>
      <c r="K4" s="495"/>
      <c r="L4" s="495"/>
      <c r="M4" s="495"/>
      <c r="N4" s="495"/>
      <c r="O4" s="495"/>
      <c r="P4" s="495"/>
      <c r="Q4" s="495"/>
    </row>
    <row r="5" spans="1:17" ht="21">
      <c r="A5" s="496" t="s">
        <v>4</v>
      </c>
      <c r="B5" s="496"/>
      <c r="C5" s="496"/>
      <c r="D5" s="496"/>
      <c r="E5" s="496"/>
      <c r="F5" s="496"/>
      <c r="G5" s="496"/>
      <c r="H5" s="496"/>
      <c r="I5" s="496"/>
      <c r="J5" s="496"/>
      <c r="K5" s="496"/>
      <c r="L5" s="496"/>
      <c r="M5" s="496"/>
      <c r="N5" s="496"/>
      <c r="O5" s="465"/>
      <c r="P5" s="465"/>
      <c r="Q5" s="465"/>
    </row>
    <row r="6" spans="1:17" ht="21">
      <c r="A6" s="491" t="s">
        <v>5</v>
      </c>
      <c r="B6" s="491"/>
      <c r="C6" s="492" t="s">
        <v>1965</v>
      </c>
      <c r="D6" s="492"/>
      <c r="E6" s="492"/>
      <c r="F6" s="457"/>
      <c r="G6" s="457"/>
      <c r="H6" s="457"/>
      <c r="I6" s="457"/>
      <c r="J6" s="457"/>
      <c r="K6" s="457"/>
      <c r="L6" s="457"/>
      <c r="M6" s="457"/>
      <c r="N6" s="457"/>
      <c r="O6" s="457"/>
      <c r="P6" s="457"/>
      <c r="Q6" s="457"/>
    </row>
    <row r="7" spans="1:17" ht="21">
      <c r="A7" s="491" t="s">
        <v>6</v>
      </c>
      <c r="B7" s="491"/>
      <c r="C7" s="492" t="s">
        <v>372</v>
      </c>
      <c r="D7" s="492"/>
      <c r="E7" s="492"/>
      <c r="F7" s="457"/>
      <c r="G7" s="457"/>
      <c r="H7" s="457"/>
      <c r="I7" s="457"/>
      <c r="J7" s="457"/>
      <c r="K7" s="457"/>
      <c r="L7" s="457"/>
      <c r="M7" s="457"/>
      <c r="N7" s="457"/>
      <c r="O7" s="457"/>
      <c r="P7" s="457"/>
      <c r="Q7" s="457"/>
    </row>
    <row r="8" spans="1:17" ht="21">
      <c r="A8" s="491" t="s">
        <v>7</v>
      </c>
      <c r="B8" s="491"/>
      <c r="C8" s="492" t="s">
        <v>8</v>
      </c>
      <c r="D8" s="492"/>
      <c r="E8" s="492"/>
      <c r="F8" s="457"/>
      <c r="G8" s="457"/>
      <c r="H8" s="457"/>
      <c r="I8" s="457"/>
      <c r="J8" s="457"/>
      <c r="K8" s="457"/>
      <c r="L8" s="457"/>
      <c r="M8" s="457"/>
      <c r="N8" s="457"/>
      <c r="O8" s="457"/>
      <c r="P8" s="457"/>
      <c r="Q8" s="457"/>
    </row>
    <row r="9" spans="1:17" ht="21">
      <c r="A9" s="491" t="s">
        <v>9</v>
      </c>
      <c r="B9" s="491"/>
      <c r="C9" s="492" t="s">
        <v>1928</v>
      </c>
      <c r="D9" s="492"/>
      <c r="E9" s="492"/>
      <c r="F9" s="457"/>
      <c r="G9" s="457"/>
      <c r="H9" s="457"/>
      <c r="I9" s="457"/>
      <c r="J9" s="457"/>
      <c r="K9" s="457"/>
      <c r="L9" s="457"/>
      <c r="M9" s="457"/>
      <c r="N9" s="457"/>
      <c r="O9" s="457"/>
      <c r="P9" s="457"/>
      <c r="Q9" s="457"/>
    </row>
    <row r="10" spans="1:17" ht="21">
      <c r="A10" s="491" t="s">
        <v>10</v>
      </c>
      <c r="B10" s="491"/>
      <c r="C10" s="492" t="s">
        <v>8</v>
      </c>
      <c r="D10" s="492"/>
      <c r="E10" s="492"/>
      <c r="F10" s="457"/>
      <c r="G10" s="457"/>
      <c r="H10" s="457"/>
      <c r="I10" s="457"/>
      <c r="J10" s="457"/>
      <c r="K10" s="457"/>
      <c r="L10" s="457"/>
      <c r="M10" s="457"/>
      <c r="N10" s="457"/>
      <c r="O10" s="457"/>
      <c r="P10" s="457"/>
      <c r="Q10" s="457"/>
    </row>
    <row r="11" spans="1:17" ht="63">
      <c r="A11" s="458" t="s">
        <v>11</v>
      </c>
      <c r="B11" s="458" t="s">
        <v>12</v>
      </c>
      <c r="C11" s="458" t="s">
        <v>13</v>
      </c>
      <c r="D11" s="458" t="s">
        <v>14</v>
      </c>
      <c r="E11" s="458" t="s">
        <v>16</v>
      </c>
      <c r="F11" s="458" t="s">
        <v>374</v>
      </c>
      <c r="G11" s="458" t="s">
        <v>18</v>
      </c>
      <c r="H11" s="458" t="s">
        <v>19</v>
      </c>
      <c r="I11" s="458" t="s">
        <v>20</v>
      </c>
      <c r="J11" s="458" t="s">
        <v>21</v>
      </c>
      <c r="K11" s="458" t="s">
        <v>22</v>
      </c>
      <c r="L11" s="458" t="s">
        <v>23</v>
      </c>
      <c r="M11" s="458" t="s">
        <v>24</v>
      </c>
      <c r="N11" s="458" t="s">
        <v>25</v>
      </c>
      <c r="O11" s="458" t="s">
        <v>26</v>
      </c>
      <c r="P11" s="458" t="s">
        <v>27</v>
      </c>
      <c r="Q11" s="459" t="s">
        <v>28</v>
      </c>
    </row>
    <row r="12" spans="1:17" hidden="1">
      <c r="A12" s="466">
        <v>1</v>
      </c>
      <c r="B12" s="466" t="s">
        <v>1384</v>
      </c>
      <c r="C12" s="466" t="s">
        <v>1299</v>
      </c>
      <c r="D12" s="466">
        <v>63</v>
      </c>
      <c r="E12" s="466">
        <v>241</v>
      </c>
      <c r="F12" s="466"/>
      <c r="G12" s="466"/>
      <c r="H12" s="466"/>
      <c r="I12" s="466"/>
      <c r="J12" s="466"/>
      <c r="K12" s="466"/>
      <c r="L12" s="466"/>
      <c r="M12" s="466"/>
      <c r="N12" s="466"/>
      <c r="O12" s="466"/>
      <c r="P12" s="466"/>
      <c r="Q12" s="466"/>
    </row>
    <row r="13" spans="1:17" hidden="1">
      <c r="A13" s="466">
        <f>1+A12</f>
        <v>2</v>
      </c>
      <c r="B13" s="466" t="s">
        <v>1384</v>
      </c>
      <c r="C13" s="466" t="s">
        <v>1299</v>
      </c>
      <c r="D13" s="466">
        <v>63</v>
      </c>
      <c r="E13" s="466">
        <v>3</v>
      </c>
      <c r="F13" s="466"/>
      <c r="G13" s="466"/>
      <c r="H13" s="466"/>
      <c r="I13" s="466" t="s">
        <v>1966</v>
      </c>
      <c r="J13" s="466"/>
      <c r="K13" s="466"/>
      <c r="L13" s="466"/>
      <c r="M13" s="466"/>
      <c r="N13" s="466"/>
      <c r="O13" s="466"/>
      <c r="P13" s="466"/>
      <c r="Q13" s="466"/>
    </row>
    <row r="14" spans="1:17" hidden="1">
      <c r="A14" s="466">
        <f t="shared" ref="A14:A30" si="0">1+A13</f>
        <v>3</v>
      </c>
      <c r="B14" s="466" t="s">
        <v>1384</v>
      </c>
      <c r="C14" s="466" t="s">
        <v>1398</v>
      </c>
      <c r="D14" s="466">
        <v>90</v>
      </c>
      <c r="E14" s="466">
        <v>14</v>
      </c>
      <c r="F14" s="466"/>
      <c r="G14" s="466"/>
      <c r="H14" s="466"/>
      <c r="I14" s="466" t="s">
        <v>1966</v>
      </c>
      <c r="J14" s="466"/>
      <c r="K14" s="466"/>
      <c r="L14" s="466"/>
      <c r="M14" s="466"/>
      <c r="N14" s="466"/>
      <c r="O14" s="466"/>
      <c r="P14" s="466"/>
      <c r="Q14" s="466"/>
    </row>
    <row r="15" spans="1:17" hidden="1">
      <c r="A15" s="466">
        <f t="shared" si="0"/>
        <v>4</v>
      </c>
      <c r="B15" s="466" t="s">
        <v>929</v>
      </c>
      <c r="C15" s="466" t="s">
        <v>1751</v>
      </c>
      <c r="D15" s="466">
        <v>75</v>
      </c>
      <c r="E15" s="466">
        <v>400</v>
      </c>
      <c r="F15" s="466"/>
      <c r="G15" s="466"/>
      <c r="H15" s="466"/>
      <c r="I15" s="466"/>
      <c r="J15" s="466"/>
      <c r="K15" s="466"/>
      <c r="L15" s="466"/>
      <c r="M15" s="466"/>
      <c r="N15" s="466"/>
      <c r="O15" s="466"/>
      <c r="P15" s="466"/>
      <c r="Q15" s="466"/>
    </row>
    <row r="16" spans="1:17" hidden="1">
      <c r="A16" s="466">
        <f t="shared" si="0"/>
        <v>5</v>
      </c>
      <c r="B16" s="466" t="s">
        <v>1967</v>
      </c>
      <c r="C16" s="466" t="s">
        <v>1968</v>
      </c>
      <c r="D16" s="466">
        <v>63</v>
      </c>
      <c r="E16" s="466">
        <v>158</v>
      </c>
      <c r="F16" s="466"/>
      <c r="G16" s="466"/>
      <c r="H16" s="466"/>
      <c r="I16" s="466"/>
      <c r="J16" s="466"/>
      <c r="K16" s="466"/>
      <c r="L16" s="466"/>
      <c r="M16" s="466"/>
      <c r="N16" s="466"/>
      <c r="O16" s="466"/>
      <c r="P16" s="466"/>
      <c r="Q16" s="466"/>
    </row>
    <row r="17" spans="1:18" hidden="1">
      <c r="A17" s="466">
        <f t="shared" si="0"/>
        <v>6</v>
      </c>
      <c r="B17" s="466" t="s">
        <v>1968</v>
      </c>
      <c r="C17" s="466" t="s">
        <v>1763</v>
      </c>
      <c r="D17" s="466">
        <v>63</v>
      </c>
      <c r="E17" s="466">
        <v>30</v>
      </c>
      <c r="F17" s="466"/>
      <c r="G17" s="466"/>
      <c r="H17" s="466"/>
      <c r="I17" s="466"/>
      <c r="J17" s="466"/>
      <c r="K17" s="466"/>
      <c r="L17" s="466"/>
      <c r="M17" s="466"/>
      <c r="N17" s="466"/>
      <c r="O17" s="466"/>
      <c r="P17" s="466"/>
      <c r="Q17" s="466"/>
    </row>
    <row r="18" spans="1:18" ht="37.5" hidden="1" customHeight="1">
      <c r="A18" s="466">
        <f t="shared" si="0"/>
        <v>7</v>
      </c>
      <c r="B18" s="466" t="s">
        <v>1968</v>
      </c>
      <c r="C18" s="466" t="s">
        <v>1749</v>
      </c>
      <c r="D18" s="466">
        <v>63</v>
      </c>
      <c r="E18" s="466">
        <v>33</v>
      </c>
      <c r="F18" s="466"/>
      <c r="G18" s="466"/>
      <c r="H18" s="466"/>
      <c r="I18" s="466"/>
      <c r="J18" s="466"/>
      <c r="K18" s="466"/>
      <c r="L18" s="466"/>
      <c r="M18" s="466"/>
      <c r="N18" s="466"/>
      <c r="O18" s="466"/>
      <c r="P18" s="466"/>
      <c r="Q18" s="466"/>
    </row>
    <row r="19" spans="1:18" hidden="1">
      <c r="A19" s="466">
        <f t="shared" si="0"/>
        <v>8</v>
      </c>
      <c r="B19" s="466" t="s">
        <v>1749</v>
      </c>
      <c r="C19" s="466" t="s">
        <v>1750</v>
      </c>
      <c r="D19" s="466">
        <v>63</v>
      </c>
      <c r="E19" s="466">
        <v>25.7</v>
      </c>
      <c r="F19" s="466"/>
      <c r="G19" s="466"/>
      <c r="H19" s="466"/>
      <c r="I19" s="466"/>
      <c r="J19" s="466"/>
      <c r="K19" s="466"/>
      <c r="L19" s="466"/>
      <c r="M19" s="466"/>
      <c r="N19" s="466"/>
      <c r="O19" s="466"/>
      <c r="P19" s="466"/>
      <c r="Q19" s="466"/>
    </row>
    <row r="20" spans="1:18" hidden="1">
      <c r="A20" s="466">
        <f t="shared" si="0"/>
        <v>9</v>
      </c>
      <c r="B20" s="466" t="s">
        <v>1749</v>
      </c>
      <c r="C20" s="466" t="s">
        <v>1120</v>
      </c>
      <c r="D20" s="466">
        <v>63</v>
      </c>
      <c r="E20" s="466">
        <v>25.3</v>
      </c>
      <c r="F20" s="466"/>
      <c r="G20" s="466"/>
      <c r="H20" s="466"/>
      <c r="I20" s="466"/>
      <c r="J20" s="466"/>
      <c r="K20" s="466"/>
      <c r="L20" s="466"/>
      <c r="M20" s="466"/>
      <c r="N20" s="466"/>
      <c r="O20" s="466"/>
      <c r="P20" s="466"/>
      <c r="Q20" s="466"/>
    </row>
    <row r="21" spans="1:18" hidden="1">
      <c r="A21" s="466">
        <f t="shared" si="0"/>
        <v>10</v>
      </c>
      <c r="B21" s="466" t="s">
        <v>1120</v>
      </c>
      <c r="C21" s="466" t="s">
        <v>1744</v>
      </c>
      <c r="D21" s="466">
        <v>63</v>
      </c>
      <c r="E21" s="466">
        <v>42.3</v>
      </c>
      <c r="F21" s="466"/>
      <c r="G21" s="466"/>
      <c r="H21" s="466"/>
      <c r="I21" s="466"/>
      <c r="J21" s="466"/>
      <c r="K21" s="466"/>
      <c r="L21" s="466"/>
      <c r="M21" s="466"/>
      <c r="N21" s="466"/>
      <c r="O21" s="466"/>
      <c r="P21" s="466"/>
      <c r="Q21" s="466"/>
    </row>
    <row r="22" spans="1:18" hidden="1">
      <c r="A22" s="466">
        <f t="shared" si="0"/>
        <v>11</v>
      </c>
      <c r="B22" s="466" t="s">
        <v>1377</v>
      </c>
      <c r="C22" s="466" t="s">
        <v>928</v>
      </c>
      <c r="D22" s="466">
        <v>63</v>
      </c>
      <c r="E22" s="466">
        <v>50</v>
      </c>
      <c r="F22" s="466"/>
      <c r="G22" s="466"/>
      <c r="H22" s="466"/>
      <c r="I22" s="466"/>
      <c r="J22" s="466"/>
      <c r="K22" s="466"/>
      <c r="L22" s="466"/>
      <c r="M22" s="466"/>
      <c r="N22" s="466"/>
      <c r="O22" s="466"/>
      <c r="P22" s="466"/>
      <c r="Q22" s="466"/>
    </row>
    <row r="23" spans="1:18" hidden="1">
      <c r="A23" s="466">
        <f t="shared" si="0"/>
        <v>12</v>
      </c>
      <c r="B23" s="466" t="s">
        <v>927</v>
      </c>
      <c r="C23" s="466" t="s">
        <v>929</v>
      </c>
      <c r="D23" s="466">
        <v>90</v>
      </c>
      <c r="E23" s="466">
        <v>30</v>
      </c>
      <c r="F23" s="466"/>
      <c r="G23" s="466"/>
      <c r="H23" s="466"/>
      <c r="I23" s="466"/>
      <c r="J23" s="466"/>
      <c r="K23" s="466"/>
      <c r="L23" s="466"/>
      <c r="M23" s="466"/>
      <c r="N23" s="466"/>
      <c r="O23" s="466"/>
      <c r="P23" s="466"/>
      <c r="Q23" s="466"/>
    </row>
    <row r="24" spans="1:18" hidden="1">
      <c r="A24" s="466">
        <f t="shared" si="0"/>
        <v>13</v>
      </c>
      <c r="B24" s="466" t="s">
        <v>148</v>
      </c>
      <c r="C24" s="466" t="s">
        <v>70</v>
      </c>
      <c r="D24" s="466">
        <v>63</v>
      </c>
      <c r="E24" s="466">
        <v>42.8</v>
      </c>
      <c r="F24" s="466"/>
      <c r="G24" s="466"/>
      <c r="H24" s="466"/>
      <c r="I24" s="466"/>
      <c r="J24" s="466"/>
      <c r="K24" s="466"/>
      <c r="L24" s="466"/>
      <c r="M24" s="466"/>
      <c r="N24" s="466"/>
      <c r="O24" s="466"/>
      <c r="P24" s="466"/>
      <c r="Q24" s="466"/>
    </row>
    <row r="25" spans="1:18" hidden="1">
      <c r="A25" s="466">
        <f t="shared" si="0"/>
        <v>14</v>
      </c>
      <c r="B25" s="466" t="s">
        <v>70</v>
      </c>
      <c r="C25" s="466" t="s">
        <v>69</v>
      </c>
      <c r="D25" s="466">
        <v>63</v>
      </c>
      <c r="E25" s="466">
        <v>10</v>
      </c>
      <c r="F25" s="466"/>
      <c r="G25" s="466"/>
      <c r="H25" s="466"/>
      <c r="I25" s="466"/>
      <c r="J25" s="466"/>
      <c r="K25" s="466"/>
      <c r="L25" s="466"/>
      <c r="M25" s="466"/>
      <c r="N25" s="466"/>
      <c r="O25" s="466"/>
      <c r="P25" s="466"/>
      <c r="Q25" s="466"/>
    </row>
    <row r="26" spans="1:18" hidden="1">
      <c r="A26" s="466">
        <f t="shared" si="0"/>
        <v>15</v>
      </c>
      <c r="B26" s="466" t="s">
        <v>70</v>
      </c>
      <c r="C26" s="466" t="s">
        <v>1298</v>
      </c>
      <c r="D26" s="466">
        <v>63</v>
      </c>
      <c r="E26" s="466">
        <v>11</v>
      </c>
      <c r="F26" s="466"/>
      <c r="G26" s="466"/>
      <c r="H26" s="466"/>
      <c r="I26" s="466"/>
      <c r="J26" s="466"/>
      <c r="K26" s="466"/>
      <c r="L26" s="466"/>
      <c r="M26" s="466"/>
      <c r="N26" s="466"/>
      <c r="O26" s="466"/>
      <c r="P26" s="466"/>
      <c r="Q26" s="466"/>
    </row>
    <row r="27" spans="1:18">
      <c r="A27" s="466">
        <f t="shared" si="0"/>
        <v>16</v>
      </c>
      <c r="B27" s="466" t="s">
        <v>160</v>
      </c>
      <c r="C27" s="466" t="s">
        <v>37</v>
      </c>
      <c r="D27" s="466">
        <v>63</v>
      </c>
      <c r="E27" s="466">
        <v>23</v>
      </c>
      <c r="F27" s="466"/>
      <c r="G27" s="466"/>
      <c r="H27" s="466"/>
      <c r="I27" s="466" t="s">
        <v>45</v>
      </c>
      <c r="J27" s="466"/>
      <c r="K27" s="466"/>
      <c r="L27" s="466"/>
      <c r="M27" s="466"/>
      <c r="N27" s="466"/>
      <c r="O27" s="466"/>
      <c r="P27" s="466"/>
      <c r="Q27" s="466"/>
    </row>
    <row r="28" spans="1:18" hidden="1">
      <c r="A28" s="466">
        <f t="shared" si="0"/>
        <v>17</v>
      </c>
      <c r="B28" s="466" t="s">
        <v>160</v>
      </c>
      <c r="C28" s="466" t="s">
        <v>37</v>
      </c>
      <c r="D28" s="466">
        <v>63</v>
      </c>
      <c r="E28" s="466">
        <v>40</v>
      </c>
      <c r="F28" s="466"/>
      <c r="G28" s="466"/>
      <c r="H28" s="466"/>
      <c r="I28" s="466"/>
      <c r="J28" s="466"/>
      <c r="K28" s="466"/>
      <c r="L28" s="466"/>
      <c r="M28" s="466"/>
      <c r="N28" s="466"/>
      <c r="O28" s="466"/>
      <c r="P28" s="466"/>
      <c r="Q28" s="466"/>
    </row>
    <row r="29" spans="1:18">
      <c r="A29" s="466">
        <f t="shared" si="0"/>
        <v>18</v>
      </c>
      <c r="B29" s="466" t="s">
        <v>160</v>
      </c>
      <c r="C29" s="466" t="s">
        <v>37</v>
      </c>
      <c r="D29" s="466">
        <v>63</v>
      </c>
      <c r="E29" s="466">
        <v>34</v>
      </c>
      <c r="F29" s="466"/>
      <c r="G29" s="466"/>
      <c r="H29" s="466"/>
      <c r="I29" s="466" t="s">
        <v>45</v>
      </c>
      <c r="J29" s="466"/>
      <c r="K29" s="466"/>
      <c r="L29" s="466"/>
      <c r="M29" s="466"/>
      <c r="N29" s="466"/>
      <c r="O29" s="466"/>
      <c r="P29" s="466"/>
      <c r="Q29" s="466"/>
    </row>
    <row r="30" spans="1:18" hidden="1">
      <c r="A30" s="466">
        <f t="shared" si="0"/>
        <v>19</v>
      </c>
      <c r="B30" s="466" t="s">
        <v>1120</v>
      </c>
      <c r="C30" s="466" t="s">
        <v>1303</v>
      </c>
      <c r="D30" s="466">
        <v>63</v>
      </c>
      <c r="E30" s="466">
        <v>253.6</v>
      </c>
      <c r="F30" s="470"/>
      <c r="G30" s="470"/>
      <c r="H30" s="470"/>
      <c r="I30" s="470"/>
      <c r="J30" s="470"/>
      <c r="K30" s="470"/>
      <c r="L30" s="470"/>
      <c r="M30" s="470"/>
      <c r="N30" s="470"/>
      <c r="O30" s="470"/>
      <c r="P30" s="470"/>
      <c r="Q30" s="470"/>
    </row>
    <row r="31" spans="1:18" ht="96.75" hidden="1" customHeight="1">
      <c r="A31" s="515" t="s">
        <v>175</v>
      </c>
      <c r="B31" s="513"/>
      <c r="C31" s="513"/>
      <c r="D31" s="513"/>
      <c r="E31" s="513"/>
      <c r="F31" s="513"/>
      <c r="G31" s="516"/>
      <c r="H31" s="517" t="s">
        <v>176</v>
      </c>
      <c r="I31" s="517"/>
      <c r="J31" s="517"/>
      <c r="K31" s="517"/>
      <c r="L31" s="517"/>
      <c r="M31" s="517" t="s">
        <v>177</v>
      </c>
      <c r="N31" s="517"/>
      <c r="O31" s="517"/>
      <c r="P31" s="517"/>
      <c r="Q31" s="517"/>
      <c r="R31" s="473"/>
    </row>
    <row r="33" spans="13:29" ht="18.75">
      <c r="T33" s="610" t="s">
        <v>1970</v>
      </c>
      <c r="U33" s="610"/>
      <c r="V33" s="610" t="s">
        <v>1971</v>
      </c>
      <c r="W33" s="610"/>
      <c r="X33" s="610"/>
      <c r="Y33" s="610"/>
      <c r="Z33" s="610"/>
      <c r="AA33" s="610"/>
      <c r="AB33" s="610"/>
      <c r="AC33" s="610"/>
    </row>
    <row r="34" spans="13:29" ht="18.75">
      <c r="T34" s="610" t="s">
        <v>1972</v>
      </c>
      <c r="U34" s="610"/>
      <c r="V34" s="610" t="s">
        <v>1973</v>
      </c>
      <c r="W34" s="610"/>
      <c r="X34" s="610"/>
      <c r="Y34" s="610"/>
      <c r="Z34" s="610"/>
      <c r="AA34" s="610"/>
      <c r="AB34" s="610"/>
      <c r="AC34" s="610"/>
    </row>
    <row r="35" spans="13:29" ht="18.75">
      <c r="M35">
        <f>17366.7+1466.7</f>
        <v>18833.400000000001</v>
      </c>
      <c r="T35" s="610" t="s">
        <v>1974</v>
      </c>
      <c r="U35" s="610"/>
      <c r="V35" s="610" t="s">
        <v>1975</v>
      </c>
      <c r="W35" s="610"/>
      <c r="X35" s="610"/>
      <c r="Y35" s="610"/>
      <c r="Z35" s="610"/>
      <c r="AA35" s="610"/>
      <c r="AB35" s="610"/>
      <c r="AC35" s="610"/>
    </row>
    <row r="36" spans="13:29" ht="18.75">
      <c r="T36" s="610" t="s">
        <v>1976</v>
      </c>
      <c r="U36" s="610"/>
      <c r="V36" s="610" t="s">
        <v>1977</v>
      </c>
      <c r="W36" s="610"/>
      <c r="X36" s="610"/>
      <c r="Y36" s="610"/>
      <c r="Z36" s="610"/>
      <c r="AA36" s="610"/>
      <c r="AB36" s="610"/>
      <c r="AC36" s="610"/>
    </row>
    <row r="37" spans="13:29" ht="18.75">
      <c r="T37" s="610" t="s">
        <v>1978</v>
      </c>
      <c r="U37" s="610"/>
      <c r="V37" s="610" t="s">
        <v>933</v>
      </c>
      <c r="W37" s="610"/>
      <c r="X37" s="610"/>
      <c r="Y37" s="610"/>
      <c r="Z37" s="610"/>
      <c r="AA37" s="610"/>
      <c r="AB37" s="610"/>
      <c r="AC37" s="610"/>
    </row>
    <row r="38" spans="13:29" ht="18.75">
      <c r="T38" s="610" t="s">
        <v>1979</v>
      </c>
      <c r="U38" s="610"/>
      <c r="V38" s="610" t="s">
        <v>1986</v>
      </c>
      <c r="W38" s="610"/>
      <c r="X38" s="610"/>
      <c r="Y38" s="610"/>
      <c r="Z38" s="610"/>
      <c r="AA38" s="610"/>
      <c r="AB38" s="471" t="s">
        <v>743</v>
      </c>
      <c r="AC38" s="471"/>
    </row>
    <row r="39" spans="13:29" ht="45">
      <c r="T39" s="477" t="s">
        <v>448</v>
      </c>
      <c r="U39" s="477" t="s">
        <v>180</v>
      </c>
      <c r="V39" s="477" t="s">
        <v>13</v>
      </c>
      <c r="W39" s="477" t="s">
        <v>719</v>
      </c>
      <c r="X39" s="477" t="s">
        <v>184</v>
      </c>
      <c r="Y39" s="477" t="s">
        <v>1980</v>
      </c>
      <c r="Z39" s="477" t="s">
        <v>1981</v>
      </c>
      <c r="AA39" s="478" t="s">
        <v>1982</v>
      </c>
      <c r="AB39" s="479" t="s">
        <v>1983</v>
      </c>
      <c r="AC39" s="477" t="s">
        <v>1984</v>
      </c>
    </row>
    <row r="40" spans="13:29">
      <c r="T40" s="466">
        <v>1</v>
      </c>
      <c r="U40" s="466" t="s">
        <v>1384</v>
      </c>
      <c r="V40" s="466" t="s">
        <v>1299</v>
      </c>
      <c r="W40" s="466">
        <v>63</v>
      </c>
      <c r="X40" s="466">
        <v>241</v>
      </c>
      <c r="Y40" s="467">
        <v>5.5</v>
      </c>
      <c r="Z40" s="467">
        <v>3.3</v>
      </c>
      <c r="AA40" s="467">
        <v>1</v>
      </c>
      <c r="AB40" s="467">
        <v>4.3</v>
      </c>
      <c r="AC40" s="467" t="s">
        <v>1985</v>
      </c>
    </row>
    <row r="41" spans="13:29">
      <c r="T41" s="466">
        <f>1+T40</f>
        <v>2</v>
      </c>
      <c r="U41" s="466" t="s">
        <v>1384</v>
      </c>
      <c r="V41" s="466" t="s">
        <v>1299</v>
      </c>
      <c r="W41" s="466">
        <v>63</v>
      </c>
      <c r="X41" s="466">
        <v>3</v>
      </c>
      <c r="Y41" s="467">
        <v>5.5</v>
      </c>
      <c r="Z41" s="467">
        <v>3.3</v>
      </c>
      <c r="AA41" s="467">
        <v>1</v>
      </c>
      <c r="AB41" s="467">
        <v>4.3</v>
      </c>
      <c r="AC41" s="467" t="s">
        <v>1985</v>
      </c>
    </row>
    <row r="42" spans="13:29">
      <c r="T42" s="466">
        <f t="shared" ref="T42:T58" si="1">1+T41</f>
        <v>3</v>
      </c>
      <c r="U42" s="466" t="s">
        <v>1384</v>
      </c>
      <c r="V42" s="466" t="s">
        <v>1398</v>
      </c>
      <c r="W42" s="466">
        <v>90</v>
      </c>
      <c r="X42" s="466">
        <v>14</v>
      </c>
      <c r="Y42" s="467">
        <v>5.5</v>
      </c>
      <c r="Z42" s="467">
        <v>3.3</v>
      </c>
      <c r="AA42" s="467">
        <v>1</v>
      </c>
      <c r="AB42" s="467">
        <v>4.3</v>
      </c>
      <c r="AC42" s="467" t="s">
        <v>1985</v>
      </c>
    </row>
    <row r="43" spans="13:29">
      <c r="T43" s="466">
        <f t="shared" si="1"/>
        <v>4</v>
      </c>
      <c r="U43" s="466" t="s">
        <v>929</v>
      </c>
      <c r="V43" s="466" t="s">
        <v>1751</v>
      </c>
      <c r="W43" s="466">
        <v>75</v>
      </c>
      <c r="X43" s="466">
        <v>400</v>
      </c>
      <c r="Y43" s="467">
        <v>5.5</v>
      </c>
      <c r="Z43" s="467">
        <v>3.3</v>
      </c>
      <c r="AA43" s="467">
        <v>1</v>
      </c>
      <c r="AB43" s="467">
        <v>4.3</v>
      </c>
      <c r="AC43" s="467" t="s">
        <v>1985</v>
      </c>
    </row>
    <row r="44" spans="13:29">
      <c r="T44" s="466">
        <f t="shared" si="1"/>
        <v>5</v>
      </c>
      <c r="U44" s="466" t="s">
        <v>1967</v>
      </c>
      <c r="V44" s="466" t="s">
        <v>1968</v>
      </c>
      <c r="W44" s="466">
        <v>63</v>
      </c>
      <c r="X44" s="466">
        <v>158</v>
      </c>
      <c r="Y44" s="467">
        <v>5.5</v>
      </c>
      <c r="Z44" s="467">
        <v>3.3</v>
      </c>
      <c r="AA44" s="467">
        <v>1</v>
      </c>
      <c r="AB44" s="467">
        <v>4.3</v>
      </c>
      <c r="AC44" s="467" t="s">
        <v>1985</v>
      </c>
    </row>
    <row r="45" spans="13:29">
      <c r="T45" s="466">
        <f t="shared" si="1"/>
        <v>6</v>
      </c>
      <c r="U45" s="466" t="s">
        <v>1968</v>
      </c>
      <c r="V45" s="466" t="s">
        <v>1763</v>
      </c>
      <c r="W45" s="466">
        <v>63</v>
      </c>
      <c r="X45" s="466">
        <v>30</v>
      </c>
      <c r="Y45" s="467">
        <v>5.5</v>
      </c>
      <c r="Z45" s="467">
        <v>3.3</v>
      </c>
      <c r="AA45" s="467">
        <v>1</v>
      </c>
      <c r="AB45" s="467">
        <v>4.3</v>
      </c>
      <c r="AC45" s="467" t="s">
        <v>1985</v>
      </c>
    </row>
    <row r="46" spans="13:29">
      <c r="T46" s="466">
        <f t="shared" si="1"/>
        <v>7</v>
      </c>
      <c r="U46" s="466" t="s">
        <v>1968</v>
      </c>
      <c r="V46" s="466" t="s">
        <v>1749</v>
      </c>
      <c r="W46" s="466">
        <v>63</v>
      </c>
      <c r="X46" s="466">
        <v>33</v>
      </c>
      <c r="Y46" s="467">
        <v>5.5</v>
      </c>
      <c r="Z46" s="467">
        <v>3.3</v>
      </c>
      <c r="AA46" s="467">
        <v>1</v>
      </c>
      <c r="AB46" s="467">
        <v>4.3</v>
      </c>
      <c r="AC46" s="467" t="s">
        <v>1985</v>
      </c>
    </row>
    <row r="47" spans="13:29">
      <c r="T47" s="466">
        <f t="shared" si="1"/>
        <v>8</v>
      </c>
      <c r="U47" s="466" t="s">
        <v>1749</v>
      </c>
      <c r="V47" s="466" t="s">
        <v>1750</v>
      </c>
      <c r="W47" s="466">
        <v>63</v>
      </c>
      <c r="X47" s="466">
        <v>25.7</v>
      </c>
      <c r="Y47" s="467">
        <v>5.5</v>
      </c>
      <c r="Z47" s="467">
        <v>3.3</v>
      </c>
      <c r="AA47" s="467">
        <v>1</v>
      </c>
      <c r="AB47" s="467">
        <v>4.3</v>
      </c>
      <c r="AC47" s="467" t="s">
        <v>1985</v>
      </c>
    </row>
    <row r="48" spans="13:29">
      <c r="T48" s="466">
        <f t="shared" si="1"/>
        <v>9</v>
      </c>
      <c r="U48" s="466" t="s">
        <v>1749</v>
      </c>
      <c r="V48" s="466" t="s">
        <v>1120</v>
      </c>
      <c r="W48" s="466">
        <v>63</v>
      </c>
      <c r="X48" s="466">
        <v>25.3</v>
      </c>
      <c r="Y48" s="467">
        <v>5.5</v>
      </c>
      <c r="Z48" s="467">
        <v>3.3</v>
      </c>
      <c r="AA48" s="467">
        <v>1</v>
      </c>
      <c r="AB48" s="467">
        <v>4.3</v>
      </c>
      <c r="AC48" s="467" t="s">
        <v>1985</v>
      </c>
    </row>
    <row r="49" spans="20:29">
      <c r="T49" s="466">
        <f t="shared" si="1"/>
        <v>10</v>
      </c>
      <c r="U49" s="466" t="s">
        <v>1120</v>
      </c>
      <c r="V49" s="466" t="s">
        <v>1744</v>
      </c>
      <c r="W49" s="466">
        <v>63</v>
      </c>
      <c r="X49" s="466">
        <v>42.3</v>
      </c>
      <c r="Y49" s="467">
        <v>5.5</v>
      </c>
      <c r="Z49" s="467">
        <v>3.3</v>
      </c>
      <c r="AA49" s="467">
        <v>1</v>
      </c>
      <c r="AB49" s="467">
        <v>4.3</v>
      </c>
      <c r="AC49" s="467" t="s">
        <v>1985</v>
      </c>
    </row>
    <row r="50" spans="20:29">
      <c r="T50" s="466">
        <f t="shared" si="1"/>
        <v>11</v>
      </c>
      <c r="U50" s="466" t="s">
        <v>1377</v>
      </c>
      <c r="V50" s="466" t="s">
        <v>928</v>
      </c>
      <c r="W50" s="466">
        <v>63</v>
      </c>
      <c r="X50" s="466">
        <v>50</v>
      </c>
      <c r="Y50" s="467">
        <v>5.5</v>
      </c>
      <c r="Z50" s="467">
        <v>3.3</v>
      </c>
      <c r="AA50" s="467">
        <v>1</v>
      </c>
      <c r="AB50" s="467">
        <v>4.3</v>
      </c>
      <c r="AC50" s="467" t="s">
        <v>1985</v>
      </c>
    </row>
    <row r="51" spans="20:29">
      <c r="T51" s="466">
        <f t="shared" si="1"/>
        <v>12</v>
      </c>
      <c r="U51" s="466" t="s">
        <v>927</v>
      </c>
      <c r="V51" s="466" t="s">
        <v>929</v>
      </c>
      <c r="W51" s="466">
        <v>90</v>
      </c>
      <c r="X51" s="466">
        <v>30</v>
      </c>
      <c r="Y51" s="467">
        <v>5.5</v>
      </c>
      <c r="Z51" s="467">
        <v>3.3</v>
      </c>
      <c r="AA51" s="467">
        <v>1</v>
      </c>
      <c r="AB51" s="467">
        <v>4.3</v>
      </c>
      <c r="AC51" s="467" t="s">
        <v>1985</v>
      </c>
    </row>
    <row r="52" spans="20:29">
      <c r="T52" s="466">
        <f t="shared" si="1"/>
        <v>13</v>
      </c>
      <c r="U52" s="466" t="s">
        <v>148</v>
      </c>
      <c r="V52" s="466" t="s">
        <v>70</v>
      </c>
      <c r="W52" s="466">
        <v>63</v>
      </c>
      <c r="X52" s="466">
        <v>42.8</v>
      </c>
      <c r="Y52" s="467">
        <v>5.5</v>
      </c>
      <c r="Z52" s="467">
        <v>3.3</v>
      </c>
      <c r="AA52" s="467">
        <v>1</v>
      </c>
      <c r="AB52" s="467">
        <v>4.3</v>
      </c>
      <c r="AC52" s="467" t="s">
        <v>1985</v>
      </c>
    </row>
    <row r="53" spans="20:29">
      <c r="T53" s="466">
        <f t="shared" si="1"/>
        <v>14</v>
      </c>
      <c r="U53" s="466" t="s">
        <v>70</v>
      </c>
      <c r="V53" s="466" t="s">
        <v>69</v>
      </c>
      <c r="W53" s="466">
        <v>63</v>
      </c>
      <c r="X53" s="466">
        <v>10</v>
      </c>
      <c r="Y53" s="467">
        <v>5.5</v>
      </c>
      <c r="Z53" s="467">
        <v>3.3</v>
      </c>
      <c r="AA53" s="467">
        <v>1</v>
      </c>
      <c r="AB53" s="467">
        <v>4.3</v>
      </c>
      <c r="AC53" s="467" t="s">
        <v>1985</v>
      </c>
    </row>
    <row r="54" spans="20:29">
      <c r="T54" s="466">
        <f t="shared" si="1"/>
        <v>15</v>
      </c>
      <c r="U54" s="466" t="s">
        <v>70</v>
      </c>
      <c r="V54" s="466" t="s">
        <v>1298</v>
      </c>
      <c r="W54" s="466">
        <v>63</v>
      </c>
      <c r="X54" s="466">
        <v>11</v>
      </c>
      <c r="Y54" s="467">
        <v>5.5</v>
      </c>
      <c r="Z54" s="467">
        <v>3.3</v>
      </c>
      <c r="AA54" s="467">
        <v>1</v>
      </c>
      <c r="AB54" s="467">
        <v>4.3</v>
      </c>
      <c r="AC54" s="467" t="s">
        <v>1985</v>
      </c>
    </row>
    <row r="55" spans="20:29">
      <c r="T55" s="466">
        <f t="shared" si="1"/>
        <v>16</v>
      </c>
      <c r="U55" s="466" t="s">
        <v>160</v>
      </c>
      <c r="V55" s="466" t="s">
        <v>37</v>
      </c>
      <c r="W55" s="466">
        <v>63</v>
      </c>
      <c r="X55" s="466">
        <v>23</v>
      </c>
      <c r="Y55" s="467">
        <v>5.5</v>
      </c>
      <c r="Z55" s="467">
        <v>3.3</v>
      </c>
      <c r="AA55" s="467">
        <v>1</v>
      </c>
      <c r="AB55" s="467">
        <v>4.3</v>
      </c>
      <c r="AC55" s="467" t="s">
        <v>1985</v>
      </c>
    </row>
    <row r="56" spans="20:29">
      <c r="T56" s="466">
        <f t="shared" si="1"/>
        <v>17</v>
      </c>
      <c r="U56" s="466" t="s">
        <v>160</v>
      </c>
      <c r="V56" s="466" t="s">
        <v>37</v>
      </c>
      <c r="W56" s="466">
        <v>63</v>
      </c>
      <c r="X56" s="466">
        <v>40</v>
      </c>
      <c r="Y56" s="467">
        <v>5.5</v>
      </c>
      <c r="Z56" s="467">
        <v>3.3</v>
      </c>
      <c r="AA56" s="467">
        <v>1</v>
      </c>
      <c r="AB56" s="467">
        <v>4.3</v>
      </c>
      <c r="AC56" s="467" t="s">
        <v>1985</v>
      </c>
    </row>
    <row r="57" spans="20:29">
      <c r="T57" s="466">
        <f t="shared" si="1"/>
        <v>18</v>
      </c>
      <c r="U57" s="466" t="s">
        <v>160</v>
      </c>
      <c r="V57" s="466" t="s">
        <v>37</v>
      </c>
      <c r="W57" s="466">
        <v>63</v>
      </c>
      <c r="X57" s="466">
        <v>34</v>
      </c>
      <c r="Y57" s="467">
        <v>5.5</v>
      </c>
      <c r="Z57" s="467">
        <v>3.3</v>
      </c>
      <c r="AA57" s="467">
        <v>1</v>
      </c>
      <c r="AB57" s="467">
        <v>4.3</v>
      </c>
      <c r="AC57" s="467" t="s">
        <v>1985</v>
      </c>
    </row>
    <row r="58" spans="20:29">
      <c r="T58" s="466">
        <f t="shared" si="1"/>
        <v>19</v>
      </c>
      <c r="U58" s="466" t="s">
        <v>1120</v>
      </c>
      <c r="V58" s="466" t="s">
        <v>1303</v>
      </c>
      <c r="W58" s="466">
        <v>63</v>
      </c>
      <c r="X58" s="466">
        <v>253.6</v>
      </c>
      <c r="Y58" s="467">
        <v>5.5</v>
      </c>
      <c r="Z58" s="467">
        <v>3.3</v>
      </c>
      <c r="AA58" s="467">
        <v>1</v>
      </c>
      <c r="AB58" s="467">
        <v>4.3</v>
      </c>
      <c r="AC58" s="467" t="s">
        <v>1985</v>
      </c>
    </row>
    <row r="59" spans="20:29" ht="15.75">
      <c r="T59" s="480" t="s">
        <v>365</v>
      </c>
      <c r="U59" s="480"/>
      <c r="V59" s="480"/>
      <c r="W59" s="480"/>
      <c r="X59" s="469" t="s">
        <v>366</v>
      </c>
      <c r="Y59" s="469"/>
      <c r="Z59" s="469"/>
      <c r="AA59" s="467"/>
      <c r="AB59" s="467" t="s">
        <v>367</v>
      </c>
      <c r="AC59" s="467"/>
    </row>
    <row r="60" spans="20:29" ht="15.75">
      <c r="T60" s="468" t="s">
        <v>368</v>
      </c>
      <c r="U60" s="468"/>
      <c r="V60" s="550"/>
      <c r="W60" s="552"/>
      <c r="X60" s="469" t="s">
        <v>368</v>
      </c>
      <c r="Y60" s="499"/>
      <c r="Z60" s="501"/>
      <c r="AA60" s="469" t="s">
        <v>368</v>
      </c>
      <c r="AB60" s="499"/>
      <c r="AC60" s="501"/>
    </row>
    <row r="61" spans="20:29" ht="15.75">
      <c r="T61" s="468" t="s">
        <v>369</v>
      </c>
      <c r="U61" s="550"/>
      <c r="V61" s="551"/>
      <c r="W61" s="552"/>
      <c r="X61" s="469" t="s">
        <v>369</v>
      </c>
      <c r="Y61" s="499"/>
      <c r="Z61" s="501"/>
      <c r="AA61" s="469" t="s">
        <v>369</v>
      </c>
      <c r="AB61" s="499"/>
      <c r="AC61" s="501"/>
    </row>
    <row r="62" spans="20:29" ht="15.75">
      <c r="T62" s="468" t="s">
        <v>370</v>
      </c>
      <c r="U62" s="468"/>
      <c r="V62" s="550"/>
      <c r="W62" s="552"/>
      <c r="X62" s="469" t="s">
        <v>370</v>
      </c>
      <c r="Y62" s="499"/>
      <c r="Z62" s="501"/>
      <c r="AA62" s="469" t="s">
        <v>370</v>
      </c>
      <c r="AB62" s="499"/>
      <c r="AC62" s="501"/>
    </row>
  </sheetData>
  <autoFilter ref="A11:AC31">
    <filterColumn colId="8">
      <filters>
        <filter val="brick road"/>
      </filters>
    </filterColumn>
  </autoFilter>
  <mergeCells count="39">
    <mergeCell ref="A6:B6"/>
    <mergeCell ref="C6:E6"/>
    <mergeCell ref="A1:Q1"/>
    <mergeCell ref="A2:Q2"/>
    <mergeCell ref="A3:Q3"/>
    <mergeCell ref="A4:Q4"/>
    <mergeCell ref="A5:N5"/>
    <mergeCell ref="A7:B7"/>
    <mergeCell ref="C7:E7"/>
    <mergeCell ref="A8:B8"/>
    <mergeCell ref="C8:E8"/>
    <mergeCell ref="A9:B9"/>
    <mergeCell ref="C9:E9"/>
    <mergeCell ref="A10:B10"/>
    <mergeCell ref="C10:E10"/>
    <mergeCell ref="A31:G31"/>
    <mergeCell ref="H31:L31"/>
    <mergeCell ref="M31:Q31"/>
    <mergeCell ref="T33:U33"/>
    <mergeCell ref="V33:AC33"/>
    <mergeCell ref="T34:U34"/>
    <mergeCell ref="V34:AC34"/>
    <mergeCell ref="T35:U35"/>
    <mergeCell ref="V35:AC35"/>
    <mergeCell ref="T36:U36"/>
    <mergeCell ref="V36:AC36"/>
    <mergeCell ref="T37:U37"/>
    <mergeCell ref="V37:AC37"/>
    <mergeCell ref="T38:U38"/>
    <mergeCell ref="V38:AA38"/>
    <mergeCell ref="V62:W62"/>
    <mergeCell ref="Y62:Z62"/>
    <mergeCell ref="AB62:AC62"/>
    <mergeCell ref="V60:W60"/>
    <mergeCell ref="Y60:Z60"/>
    <mergeCell ref="AB60:AC60"/>
    <mergeCell ref="U61:W61"/>
    <mergeCell ref="Y61:Z61"/>
    <mergeCell ref="AB61:AC6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pageSetUpPr fitToPage="1"/>
  </sheetPr>
  <dimension ref="C3:X458"/>
  <sheetViews>
    <sheetView topLeftCell="A118" workbookViewId="0">
      <selection activeCell="I8" sqref="I8:K238"/>
    </sheetView>
  </sheetViews>
  <sheetFormatPr defaultColWidth="9" defaultRowHeight="15"/>
  <cols>
    <col min="4" max="4" width="13.7109375" customWidth="1"/>
    <col min="5" max="5" width="12.140625" customWidth="1"/>
    <col min="6" max="6" width="16" customWidth="1"/>
    <col min="7" max="7" width="15.140625" customWidth="1"/>
    <col min="8" max="8" width="20.28515625" customWidth="1"/>
    <col min="12" max="14" width="19.42578125" customWidth="1"/>
    <col min="19" max="19" width="14.140625" customWidth="1"/>
  </cols>
  <sheetData>
    <row r="3" spans="3:16" ht="18.75">
      <c r="C3" s="716" t="s">
        <v>1355</v>
      </c>
      <c r="D3" s="717"/>
      <c r="E3" s="717"/>
      <c r="F3" s="717"/>
      <c r="G3" s="717"/>
      <c r="H3" s="717"/>
      <c r="I3" s="717"/>
      <c r="J3" s="717"/>
      <c r="K3" s="717"/>
      <c r="L3" s="717"/>
      <c r="M3" s="717"/>
      <c r="N3" s="717"/>
      <c r="O3" s="717"/>
      <c r="P3" s="718"/>
    </row>
    <row r="4" spans="3:16" ht="31.5">
      <c r="C4" s="50" t="s">
        <v>448</v>
      </c>
      <c r="D4" s="25" t="s">
        <v>180</v>
      </c>
      <c r="E4" s="25" t="s">
        <v>13</v>
      </c>
      <c r="F4" s="25" t="s">
        <v>181</v>
      </c>
      <c r="G4" s="27" t="s">
        <v>449</v>
      </c>
      <c r="H4" s="25" t="s">
        <v>183</v>
      </c>
      <c r="I4" s="719" t="s">
        <v>184</v>
      </c>
      <c r="J4" s="720"/>
      <c r="K4" s="720"/>
      <c r="L4" s="26" t="s">
        <v>185</v>
      </c>
      <c r="M4" s="26" t="s">
        <v>187</v>
      </c>
      <c r="N4" s="26" t="s">
        <v>186</v>
      </c>
      <c r="O4" s="611" t="s">
        <v>679</v>
      </c>
      <c r="P4" s="611"/>
    </row>
    <row r="5" spans="3:16" ht="13.5" hidden="1" customHeight="1">
      <c r="C5" s="5">
        <v>1</v>
      </c>
      <c r="D5" s="5" t="s">
        <v>67</v>
      </c>
      <c r="E5" s="5" t="s">
        <v>838</v>
      </c>
      <c r="F5" s="5"/>
      <c r="G5" s="5"/>
      <c r="H5" s="5">
        <v>63</v>
      </c>
      <c r="I5" s="681">
        <v>30</v>
      </c>
      <c r="J5" s="681"/>
      <c r="K5" s="681"/>
      <c r="L5" s="5">
        <f>+I5</f>
        <v>30</v>
      </c>
      <c r="M5" s="5"/>
      <c r="N5" s="5"/>
      <c r="O5" s="498"/>
      <c r="P5" s="498"/>
    </row>
    <row r="6" spans="3:16" hidden="1">
      <c r="C6" s="5">
        <f>1+C5</f>
        <v>2</v>
      </c>
      <c r="D6" s="5" t="s">
        <v>838</v>
      </c>
      <c r="E6" s="5" t="s">
        <v>1356</v>
      </c>
      <c r="F6" s="5"/>
      <c r="G6" s="5"/>
      <c r="H6" s="5">
        <v>63</v>
      </c>
      <c r="I6" s="681">
        <v>65.5</v>
      </c>
      <c r="J6" s="681"/>
      <c r="K6" s="681"/>
      <c r="L6" s="5">
        <f>+L5+I6</f>
        <v>95.5</v>
      </c>
      <c r="M6" s="5"/>
      <c r="N6" s="5"/>
      <c r="O6" s="498"/>
      <c r="P6" s="498"/>
    </row>
    <row r="7" spans="3:16" hidden="1">
      <c r="C7" s="5">
        <f t="shared" ref="C7:C70" si="0">1+C6</f>
        <v>3</v>
      </c>
      <c r="D7" s="5" t="s">
        <v>1356</v>
      </c>
      <c r="E7" s="5" t="s">
        <v>111</v>
      </c>
      <c r="F7" s="5"/>
      <c r="G7" s="5"/>
      <c r="H7" s="5">
        <v>63</v>
      </c>
      <c r="I7" s="681">
        <v>422</v>
      </c>
      <c r="J7" s="681"/>
      <c r="K7" s="681"/>
      <c r="L7" s="5">
        <f t="shared" ref="L7:L70" si="1">+L6+I7</f>
        <v>517.5</v>
      </c>
      <c r="M7" s="5"/>
      <c r="N7" s="5"/>
      <c r="O7" s="498"/>
      <c r="P7" s="498"/>
    </row>
    <row r="8" spans="3:16">
      <c r="C8" s="5">
        <f t="shared" si="0"/>
        <v>4</v>
      </c>
      <c r="D8" s="5" t="s">
        <v>838</v>
      </c>
      <c r="E8" s="5" t="s">
        <v>64</v>
      </c>
      <c r="F8" s="5" t="s">
        <v>45</v>
      </c>
      <c r="G8" s="5">
        <v>0.36</v>
      </c>
      <c r="H8" s="5">
        <v>63</v>
      </c>
      <c r="I8" s="681">
        <v>65.2</v>
      </c>
      <c r="J8" s="681"/>
      <c r="K8" s="681"/>
      <c r="L8" s="5">
        <f t="shared" si="1"/>
        <v>582.70000000000005</v>
      </c>
      <c r="M8" s="5"/>
      <c r="N8" s="5"/>
      <c r="O8" s="498"/>
      <c r="P8" s="498"/>
    </row>
    <row r="9" spans="3:16" hidden="1">
      <c r="C9" s="5">
        <f t="shared" si="0"/>
        <v>5</v>
      </c>
      <c r="D9" s="5" t="s">
        <v>64</v>
      </c>
      <c r="E9" s="5" t="s">
        <v>65</v>
      </c>
      <c r="F9" s="5"/>
      <c r="G9" s="5"/>
      <c r="H9" s="5">
        <v>63</v>
      </c>
      <c r="I9" s="681">
        <v>5.5</v>
      </c>
      <c r="J9" s="681"/>
      <c r="K9" s="681"/>
      <c r="L9" s="5">
        <f t="shared" si="1"/>
        <v>588.20000000000005</v>
      </c>
      <c r="M9" s="5"/>
      <c r="N9" s="5"/>
      <c r="O9" s="498"/>
      <c r="P9" s="498"/>
    </row>
    <row r="10" spans="3:16" hidden="1">
      <c r="C10" s="5">
        <f t="shared" si="0"/>
        <v>6</v>
      </c>
      <c r="D10" s="5" t="s">
        <v>65</v>
      </c>
      <c r="E10" s="5" t="s">
        <v>113</v>
      </c>
      <c r="F10" s="5"/>
      <c r="G10" s="5"/>
      <c r="H10" s="5">
        <v>63</v>
      </c>
      <c r="I10" s="681">
        <v>126</v>
      </c>
      <c r="J10" s="681"/>
      <c r="K10" s="681"/>
      <c r="L10" s="5">
        <f t="shared" si="1"/>
        <v>714.2</v>
      </c>
      <c r="M10" s="5"/>
      <c r="N10" s="5"/>
      <c r="O10" s="498"/>
      <c r="P10" s="498"/>
    </row>
    <row r="11" spans="3:16" hidden="1">
      <c r="C11" s="5">
        <f t="shared" si="0"/>
        <v>7</v>
      </c>
      <c r="D11" s="5" t="s">
        <v>65</v>
      </c>
      <c r="E11" s="5" t="s">
        <v>111</v>
      </c>
      <c r="F11" s="5"/>
      <c r="G11" s="5"/>
      <c r="H11" s="5">
        <v>63</v>
      </c>
      <c r="I11" s="681">
        <v>44.8</v>
      </c>
      <c r="J11" s="681"/>
      <c r="K11" s="681"/>
      <c r="L11" s="5">
        <f t="shared" si="1"/>
        <v>759</v>
      </c>
      <c r="M11" s="5"/>
      <c r="N11" s="5"/>
      <c r="O11" s="498"/>
      <c r="P11" s="498"/>
    </row>
    <row r="12" spans="3:16" hidden="1">
      <c r="C12" s="5">
        <f t="shared" si="0"/>
        <v>8</v>
      </c>
      <c r="D12" s="5" t="s">
        <v>111</v>
      </c>
      <c r="E12" s="5" t="s">
        <v>829</v>
      </c>
      <c r="F12" s="5"/>
      <c r="G12" s="5"/>
      <c r="H12" s="5">
        <v>63</v>
      </c>
      <c r="I12" s="681">
        <v>82.8</v>
      </c>
      <c r="J12" s="681"/>
      <c r="K12" s="681"/>
      <c r="L12" s="5">
        <f t="shared" si="1"/>
        <v>841.8</v>
      </c>
      <c r="M12" s="5"/>
      <c r="N12" s="5"/>
      <c r="O12" s="498"/>
      <c r="P12" s="498"/>
    </row>
    <row r="13" spans="3:16" hidden="1">
      <c r="C13" s="5">
        <f t="shared" si="0"/>
        <v>9</v>
      </c>
      <c r="D13" s="5" t="s">
        <v>829</v>
      </c>
      <c r="E13" s="5" t="s">
        <v>835</v>
      </c>
      <c r="F13" s="5"/>
      <c r="G13" s="5"/>
      <c r="H13" s="5">
        <v>63</v>
      </c>
      <c r="I13" s="681">
        <f>108.3-I14</f>
        <v>43.5</v>
      </c>
      <c r="J13" s="681"/>
      <c r="K13" s="681"/>
      <c r="L13" s="5">
        <f t="shared" si="1"/>
        <v>885.3</v>
      </c>
      <c r="M13" s="5"/>
      <c r="N13" s="5"/>
      <c r="O13" s="498"/>
      <c r="P13" s="498"/>
    </row>
    <row r="14" spans="3:16">
      <c r="C14" s="5">
        <f t="shared" si="0"/>
        <v>10</v>
      </c>
      <c r="D14" s="5" t="s">
        <v>829</v>
      </c>
      <c r="E14" s="5" t="s">
        <v>835</v>
      </c>
      <c r="F14" s="5" t="s">
        <v>45</v>
      </c>
      <c r="G14" s="5">
        <v>0.36</v>
      </c>
      <c r="H14" s="5">
        <v>63</v>
      </c>
      <c r="I14" s="712">
        <v>64.8</v>
      </c>
      <c r="J14" s="713"/>
      <c r="K14" s="714"/>
      <c r="L14" s="5">
        <f t="shared" si="1"/>
        <v>950.09999999999991</v>
      </c>
      <c r="M14" s="5"/>
      <c r="N14" s="5"/>
      <c r="O14" s="498"/>
      <c r="P14" s="498"/>
    </row>
    <row r="15" spans="3:16">
      <c r="C15" s="5">
        <f t="shared" si="0"/>
        <v>11</v>
      </c>
      <c r="D15" s="5" t="s">
        <v>835</v>
      </c>
      <c r="E15" s="5" t="s">
        <v>115</v>
      </c>
      <c r="F15" s="5" t="s">
        <v>45</v>
      </c>
      <c r="G15" s="5">
        <v>0.36</v>
      </c>
      <c r="H15" s="5">
        <v>63</v>
      </c>
      <c r="I15" s="681">
        <v>15.1</v>
      </c>
      <c r="J15" s="681"/>
      <c r="K15" s="681"/>
      <c r="L15" s="5">
        <f t="shared" si="1"/>
        <v>965.19999999999993</v>
      </c>
      <c r="M15" s="5"/>
      <c r="N15" s="5"/>
      <c r="O15" s="498"/>
      <c r="P15" s="498"/>
    </row>
    <row r="16" spans="3:16" hidden="1">
      <c r="C16" s="5">
        <f t="shared" si="0"/>
        <v>12</v>
      </c>
      <c r="D16" s="5" t="s">
        <v>835</v>
      </c>
      <c r="E16" s="5" t="s">
        <v>115</v>
      </c>
      <c r="F16" s="5"/>
      <c r="G16" s="5"/>
      <c r="H16" s="5">
        <v>63</v>
      </c>
      <c r="I16" s="712">
        <v>112</v>
      </c>
      <c r="J16" s="713"/>
      <c r="K16" s="714"/>
      <c r="L16" s="5">
        <f t="shared" si="1"/>
        <v>1077.1999999999998</v>
      </c>
      <c r="M16" s="5"/>
      <c r="N16" s="5"/>
      <c r="O16" s="498"/>
      <c r="P16" s="498"/>
    </row>
    <row r="17" spans="3:16" hidden="1">
      <c r="C17" s="5">
        <f t="shared" si="0"/>
        <v>13</v>
      </c>
      <c r="D17" s="5" t="s">
        <v>115</v>
      </c>
      <c r="E17" s="5" t="s">
        <v>140</v>
      </c>
      <c r="F17" s="5"/>
      <c r="G17" s="5"/>
      <c r="H17" s="5">
        <v>63</v>
      </c>
      <c r="I17" s="681">
        <v>57.5</v>
      </c>
      <c r="J17" s="681"/>
      <c r="K17" s="681"/>
      <c r="L17" s="5">
        <f t="shared" si="1"/>
        <v>1134.6999999999998</v>
      </c>
      <c r="M17" s="5"/>
      <c r="N17" s="5"/>
      <c r="O17" s="498"/>
      <c r="P17" s="498"/>
    </row>
    <row r="18" spans="3:16">
      <c r="C18" s="5">
        <f t="shared" si="0"/>
        <v>14</v>
      </c>
      <c r="D18" s="5" t="s">
        <v>115</v>
      </c>
      <c r="E18" s="5" t="s">
        <v>828</v>
      </c>
      <c r="F18" s="5" t="s">
        <v>45</v>
      </c>
      <c r="G18" s="5">
        <v>0.36</v>
      </c>
      <c r="H18" s="5">
        <v>63</v>
      </c>
      <c r="I18" s="681">
        <v>59.1</v>
      </c>
      <c r="J18" s="681"/>
      <c r="K18" s="681"/>
      <c r="L18" s="5">
        <f t="shared" si="1"/>
        <v>1193.7999999999997</v>
      </c>
      <c r="M18" s="5"/>
      <c r="N18" s="5"/>
      <c r="O18" s="498"/>
      <c r="P18" s="498"/>
    </row>
    <row r="19" spans="3:16" hidden="1">
      <c r="C19" s="5">
        <f t="shared" si="0"/>
        <v>15</v>
      </c>
      <c r="D19" s="5" t="s">
        <v>115</v>
      </c>
      <c r="E19" s="5" t="s">
        <v>828</v>
      </c>
      <c r="F19" s="5"/>
      <c r="G19" s="5"/>
      <c r="H19" s="5">
        <v>63</v>
      </c>
      <c r="I19" s="712">
        <f>172.3-I18</f>
        <v>113.20000000000002</v>
      </c>
      <c r="J19" s="713"/>
      <c r="K19" s="714"/>
      <c r="L19" s="5">
        <f t="shared" si="1"/>
        <v>1306.9999999999998</v>
      </c>
      <c r="M19" s="5"/>
      <c r="N19" s="5"/>
      <c r="O19" s="498"/>
      <c r="P19" s="498"/>
    </row>
    <row r="20" spans="3:16">
      <c r="C20" s="5">
        <f t="shared" si="0"/>
        <v>16</v>
      </c>
      <c r="D20" s="5" t="s">
        <v>64</v>
      </c>
      <c r="E20" s="5" t="s">
        <v>63</v>
      </c>
      <c r="F20" s="5" t="s">
        <v>45</v>
      </c>
      <c r="G20" s="5">
        <v>0.36</v>
      </c>
      <c r="H20" s="5">
        <v>63</v>
      </c>
      <c r="I20" s="681">
        <v>42.9</v>
      </c>
      <c r="J20" s="681"/>
      <c r="K20" s="681"/>
      <c r="L20" s="5">
        <f t="shared" si="1"/>
        <v>1349.8999999999999</v>
      </c>
      <c r="M20" s="5"/>
      <c r="N20" s="5"/>
      <c r="O20" s="498"/>
      <c r="P20" s="498"/>
    </row>
    <row r="21" spans="3:16" hidden="1">
      <c r="C21" s="5">
        <f t="shared" si="0"/>
        <v>17</v>
      </c>
      <c r="D21" s="5" t="s">
        <v>63</v>
      </c>
      <c r="E21" s="5" t="s">
        <v>165</v>
      </c>
      <c r="F21" s="5"/>
      <c r="G21" s="5"/>
      <c r="H21" s="5">
        <v>63</v>
      </c>
      <c r="I21" s="681">
        <v>40.9</v>
      </c>
      <c r="J21" s="681"/>
      <c r="K21" s="681"/>
      <c r="L21" s="5">
        <f t="shared" si="1"/>
        <v>1390.8</v>
      </c>
      <c r="M21" s="5"/>
      <c r="N21" s="5"/>
      <c r="O21" s="498"/>
      <c r="P21" s="498"/>
    </row>
    <row r="22" spans="3:16">
      <c r="C22" s="5">
        <f t="shared" si="0"/>
        <v>18</v>
      </c>
      <c r="D22" s="5" t="s">
        <v>63</v>
      </c>
      <c r="E22" s="5" t="s">
        <v>165</v>
      </c>
      <c r="F22" s="5" t="s">
        <v>45</v>
      </c>
      <c r="G22" s="5">
        <v>0.36</v>
      </c>
      <c r="H22" s="5">
        <v>63</v>
      </c>
      <c r="I22" s="681">
        <v>3</v>
      </c>
      <c r="J22" s="681"/>
      <c r="K22" s="681"/>
      <c r="L22" s="5">
        <f t="shared" si="1"/>
        <v>1393.8</v>
      </c>
      <c r="M22" s="5"/>
      <c r="N22" s="5"/>
      <c r="O22" s="498"/>
      <c r="P22" s="498"/>
    </row>
    <row r="23" spans="3:16">
      <c r="C23" s="5">
        <f t="shared" si="0"/>
        <v>19</v>
      </c>
      <c r="D23" s="5" t="s">
        <v>63</v>
      </c>
      <c r="E23" s="5" t="s">
        <v>161</v>
      </c>
      <c r="F23" s="5" t="s">
        <v>45</v>
      </c>
      <c r="G23" s="5">
        <v>0.36</v>
      </c>
      <c r="H23" s="5">
        <v>63</v>
      </c>
      <c r="I23" s="681">
        <v>95.1</v>
      </c>
      <c r="J23" s="681"/>
      <c r="K23" s="681"/>
      <c r="L23" s="5">
        <f t="shared" si="1"/>
        <v>1488.8999999999999</v>
      </c>
      <c r="M23" s="5"/>
      <c r="N23" s="5"/>
      <c r="O23" s="498"/>
      <c r="P23" s="498"/>
    </row>
    <row r="24" spans="3:16" hidden="1">
      <c r="C24" s="5">
        <f t="shared" si="0"/>
        <v>20</v>
      </c>
      <c r="D24" s="5" t="s">
        <v>161</v>
      </c>
      <c r="E24" s="5" t="s">
        <v>925</v>
      </c>
      <c r="F24" s="5"/>
      <c r="G24" s="5"/>
      <c r="H24" s="5">
        <v>63</v>
      </c>
      <c r="I24" s="681">
        <v>92.7</v>
      </c>
      <c r="J24" s="681"/>
      <c r="K24" s="681"/>
      <c r="L24" s="5">
        <f t="shared" si="1"/>
        <v>1581.6</v>
      </c>
      <c r="M24" s="5"/>
      <c r="N24" s="5"/>
      <c r="O24" s="498"/>
      <c r="P24" s="498"/>
    </row>
    <row r="25" spans="3:16">
      <c r="C25" s="5">
        <f t="shared" si="0"/>
        <v>21</v>
      </c>
      <c r="D25" s="5" t="s">
        <v>161</v>
      </c>
      <c r="E25" s="5" t="s">
        <v>925</v>
      </c>
      <c r="F25" s="5" t="s">
        <v>45</v>
      </c>
      <c r="G25" s="5">
        <v>0.36</v>
      </c>
      <c r="H25" s="5">
        <v>63</v>
      </c>
      <c r="I25" s="681">
        <v>2.5</v>
      </c>
      <c r="J25" s="681"/>
      <c r="K25" s="681"/>
      <c r="L25" s="5">
        <f t="shared" si="1"/>
        <v>1584.1</v>
      </c>
      <c r="M25" s="5"/>
      <c r="N25" s="5"/>
      <c r="O25" s="498"/>
      <c r="P25" s="498"/>
    </row>
    <row r="26" spans="3:16" hidden="1">
      <c r="C26" s="5">
        <f t="shared" si="0"/>
        <v>22</v>
      </c>
      <c r="D26" s="5" t="s">
        <v>503</v>
      </c>
      <c r="E26" s="5" t="s">
        <v>827</v>
      </c>
      <c r="F26" s="5"/>
      <c r="G26" s="5"/>
      <c r="H26" s="5">
        <v>63</v>
      </c>
      <c r="I26" s="681">
        <v>15.5</v>
      </c>
      <c r="J26" s="681"/>
      <c r="K26" s="681"/>
      <c r="L26" s="5">
        <f t="shared" si="1"/>
        <v>1599.6</v>
      </c>
      <c r="M26" s="5"/>
      <c r="N26" s="5"/>
      <c r="O26" s="498"/>
      <c r="P26" s="498"/>
    </row>
    <row r="27" spans="3:16" hidden="1">
      <c r="C27" s="5">
        <f t="shared" si="0"/>
        <v>23</v>
      </c>
      <c r="D27" s="5" t="s">
        <v>729</v>
      </c>
      <c r="E27" s="5" t="s">
        <v>30</v>
      </c>
      <c r="F27" s="5"/>
      <c r="G27" s="5"/>
      <c r="H27" s="5">
        <v>63</v>
      </c>
      <c r="I27" s="681">
        <v>33.5</v>
      </c>
      <c r="J27" s="681"/>
      <c r="K27" s="681"/>
      <c r="L27" s="5">
        <f t="shared" si="1"/>
        <v>1633.1</v>
      </c>
      <c r="M27" s="5"/>
      <c r="N27" s="5"/>
      <c r="O27" s="498"/>
      <c r="P27" s="498"/>
    </row>
    <row r="28" spans="3:16" hidden="1">
      <c r="C28" s="5">
        <f t="shared" si="0"/>
        <v>24</v>
      </c>
      <c r="D28" s="5" t="s">
        <v>729</v>
      </c>
      <c r="E28" s="5" t="s">
        <v>151</v>
      </c>
      <c r="F28" s="5"/>
      <c r="G28" s="5"/>
      <c r="H28" s="5">
        <v>63</v>
      </c>
      <c r="I28" s="681">
        <v>22.4</v>
      </c>
      <c r="J28" s="681"/>
      <c r="K28" s="681"/>
      <c r="L28" s="5">
        <f t="shared" si="1"/>
        <v>1655.5</v>
      </c>
      <c r="M28" s="5"/>
      <c r="N28" s="5"/>
      <c r="O28" s="498"/>
      <c r="P28" s="498"/>
    </row>
    <row r="29" spans="3:16" hidden="1">
      <c r="C29" s="5">
        <f t="shared" si="0"/>
        <v>25</v>
      </c>
      <c r="D29" s="5" t="s">
        <v>151</v>
      </c>
      <c r="E29" s="5" t="s">
        <v>146</v>
      </c>
      <c r="F29" s="5"/>
      <c r="G29" s="5"/>
      <c r="H29" s="5">
        <v>63</v>
      </c>
      <c r="I29" s="712">
        <v>84.1</v>
      </c>
      <c r="J29" s="713"/>
      <c r="K29" s="714"/>
      <c r="L29" s="5">
        <f t="shared" si="1"/>
        <v>1739.6</v>
      </c>
      <c r="M29" s="5"/>
      <c r="N29" s="5"/>
      <c r="O29" s="498"/>
      <c r="P29" s="498"/>
    </row>
    <row r="30" spans="3:16">
      <c r="C30" s="5">
        <f t="shared" si="0"/>
        <v>26</v>
      </c>
      <c r="D30" s="5" t="s">
        <v>925</v>
      </c>
      <c r="E30" s="5" t="s">
        <v>729</v>
      </c>
      <c r="F30" s="5" t="s">
        <v>45</v>
      </c>
      <c r="G30" s="5">
        <v>0.36</v>
      </c>
      <c r="H30" s="5">
        <v>63</v>
      </c>
      <c r="I30" s="712">
        <v>64.900000000000006</v>
      </c>
      <c r="J30" s="713"/>
      <c r="K30" s="714"/>
      <c r="L30" s="5">
        <f t="shared" si="1"/>
        <v>1804.5</v>
      </c>
      <c r="M30" s="5"/>
      <c r="N30" s="5"/>
      <c r="O30" s="498"/>
      <c r="P30" s="498"/>
    </row>
    <row r="31" spans="3:16" hidden="1">
      <c r="C31" s="5">
        <f t="shared" si="0"/>
        <v>27</v>
      </c>
      <c r="D31" s="5" t="s">
        <v>1301</v>
      </c>
      <c r="E31" s="5" t="s">
        <v>1357</v>
      </c>
      <c r="F31" s="5"/>
      <c r="G31" s="5"/>
      <c r="H31" s="5">
        <v>63</v>
      </c>
      <c r="I31" s="712">
        <v>24</v>
      </c>
      <c r="J31" s="713"/>
      <c r="K31" s="714"/>
      <c r="L31" s="5">
        <f t="shared" si="1"/>
        <v>1828.5</v>
      </c>
      <c r="M31" s="5"/>
      <c r="N31" s="5"/>
      <c r="O31" s="498"/>
      <c r="P31" s="498"/>
    </row>
    <row r="32" spans="3:16" hidden="1">
      <c r="C32" s="5">
        <f t="shared" si="0"/>
        <v>28</v>
      </c>
      <c r="D32" s="5" t="s">
        <v>1358</v>
      </c>
      <c r="E32" s="5" t="s">
        <v>1359</v>
      </c>
      <c r="F32" s="5"/>
      <c r="G32" s="5"/>
      <c r="H32" s="5">
        <v>63</v>
      </c>
      <c r="I32" s="712">
        <v>83.6</v>
      </c>
      <c r="J32" s="713"/>
      <c r="K32" s="714"/>
      <c r="L32" s="5">
        <f t="shared" si="1"/>
        <v>1912.1</v>
      </c>
      <c r="M32" s="5"/>
      <c r="N32" s="5"/>
      <c r="O32" s="498"/>
      <c r="P32" s="498"/>
    </row>
    <row r="33" spans="3:16" hidden="1">
      <c r="C33" s="5">
        <f t="shared" si="0"/>
        <v>29</v>
      </c>
      <c r="D33" s="5" t="s">
        <v>1359</v>
      </c>
      <c r="E33" s="5" t="s">
        <v>1360</v>
      </c>
      <c r="F33" s="5"/>
      <c r="G33" s="5"/>
      <c r="H33" s="5">
        <v>63</v>
      </c>
      <c r="I33" s="712">
        <v>8.1999999999999993</v>
      </c>
      <c r="J33" s="713"/>
      <c r="K33" s="714"/>
      <c r="L33" s="5">
        <f t="shared" si="1"/>
        <v>1920.3</v>
      </c>
      <c r="M33" s="5"/>
      <c r="N33" s="5"/>
      <c r="O33" s="498"/>
      <c r="P33" s="498"/>
    </row>
    <row r="34" spans="3:16" hidden="1">
      <c r="C34" s="5">
        <f t="shared" si="0"/>
        <v>30</v>
      </c>
      <c r="D34" s="5" t="s">
        <v>1360</v>
      </c>
      <c r="E34" s="5" t="s">
        <v>1312</v>
      </c>
      <c r="F34" s="5"/>
      <c r="G34" s="5"/>
      <c r="H34" s="5">
        <v>63</v>
      </c>
      <c r="I34" s="712">
        <v>20.100000000000001</v>
      </c>
      <c r="J34" s="713"/>
      <c r="K34" s="714"/>
      <c r="L34" s="5">
        <f t="shared" si="1"/>
        <v>1940.3999999999999</v>
      </c>
      <c r="M34" s="5"/>
      <c r="N34" s="5"/>
      <c r="O34" s="498"/>
      <c r="P34" s="498"/>
    </row>
    <row r="35" spans="3:16" hidden="1">
      <c r="C35" s="5">
        <f t="shared" si="0"/>
        <v>31</v>
      </c>
      <c r="D35" s="5" t="s">
        <v>1312</v>
      </c>
      <c r="E35" s="5" t="s">
        <v>94</v>
      </c>
      <c r="F35" s="5"/>
      <c r="G35" s="5"/>
      <c r="H35" s="5">
        <v>63</v>
      </c>
      <c r="I35" s="53"/>
      <c r="J35" s="61">
        <v>25</v>
      </c>
      <c r="K35" s="62"/>
      <c r="L35" s="5">
        <f t="shared" si="1"/>
        <v>1940.3999999999999</v>
      </c>
      <c r="M35" s="5"/>
      <c r="N35" s="5"/>
      <c r="O35" s="498"/>
      <c r="P35" s="498"/>
    </row>
    <row r="36" spans="3:16" hidden="1">
      <c r="C36" s="5">
        <f t="shared" si="0"/>
        <v>32</v>
      </c>
      <c r="D36" s="5" t="s">
        <v>1312</v>
      </c>
      <c r="E36" s="5" t="s">
        <v>81</v>
      </c>
      <c r="F36" s="5"/>
      <c r="G36" s="5"/>
      <c r="H36" s="5">
        <v>63</v>
      </c>
      <c r="I36" s="681">
        <v>200</v>
      </c>
      <c r="J36" s="681"/>
      <c r="K36" s="681"/>
      <c r="L36" s="5">
        <f t="shared" si="1"/>
        <v>2140.3999999999996</v>
      </c>
      <c r="M36" s="5"/>
      <c r="N36" s="5"/>
      <c r="O36" s="498"/>
      <c r="P36" s="498"/>
    </row>
    <row r="37" spans="3:16" hidden="1">
      <c r="C37" s="5">
        <f t="shared" si="0"/>
        <v>33</v>
      </c>
      <c r="D37" s="5" t="s">
        <v>1360</v>
      </c>
      <c r="E37" s="5" t="s">
        <v>1312</v>
      </c>
      <c r="F37" s="5"/>
      <c r="G37" s="5"/>
      <c r="H37" s="5">
        <v>63</v>
      </c>
      <c r="I37" s="712">
        <v>7</v>
      </c>
      <c r="J37" s="713"/>
      <c r="K37" s="714"/>
      <c r="L37" s="5">
        <f t="shared" si="1"/>
        <v>2147.3999999999996</v>
      </c>
      <c r="M37" s="5"/>
      <c r="N37" s="5"/>
      <c r="O37" s="498"/>
      <c r="P37" s="498"/>
    </row>
    <row r="38" spans="3:16" hidden="1">
      <c r="C38" s="5">
        <f t="shared" si="0"/>
        <v>34</v>
      </c>
      <c r="D38" s="5" t="s">
        <v>1360</v>
      </c>
      <c r="E38" s="5" t="s">
        <v>1164</v>
      </c>
      <c r="F38" s="5"/>
      <c r="G38" s="5"/>
      <c r="H38" s="5">
        <v>63</v>
      </c>
      <c r="I38" s="681">
        <v>57</v>
      </c>
      <c r="J38" s="681"/>
      <c r="K38" s="681"/>
      <c r="L38" s="5">
        <f t="shared" si="1"/>
        <v>2204.3999999999996</v>
      </c>
      <c r="M38" s="5"/>
      <c r="N38" s="5"/>
      <c r="O38" s="498"/>
      <c r="P38" s="498"/>
    </row>
    <row r="39" spans="3:16" hidden="1">
      <c r="C39" s="5">
        <f t="shared" si="0"/>
        <v>35</v>
      </c>
      <c r="D39" s="5" t="s">
        <v>1164</v>
      </c>
      <c r="E39" s="5" t="s">
        <v>1361</v>
      </c>
      <c r="F39" s="5"/>
      <c r="G39" s="5"/>
      <c r="H39" s="5">
        <v>63</v>
      </c>
      <c r="I39" s="681">
        <v>121.5</v>
      </c>
      <c r="J39" s="681"/>
      <c r="K39" s="681"/>
      <c r="L39" s="5">
        <f t="shared" si="1"/>
        <v>2325.8999999999996</v>
      </c>
      <c r="M39" s="5"/>
      <c r="N39" s="5"/>
      <c r="O39" s="498"/>
      <c r="P39" s="498"/>
    </row>
    <row r="40" spans="3:16" hidden="1">
      <c r="C40" s="5">
        <f t="shared" si="0"/>
        <v>36</v>
      </c>
      <c r="D40" s="5" t="s">
        <v>1361</v>
      </c>
      <c r="E40" s="5" t="s">
        <v>1172</v>
      </c>
      <c r="F40" s="5"/>
      <c r="G40" s="5"/>
      <c r="H40" s="5">
        <v>63</v>
      </c>
      <c r="I40" s="681">
        <v>102</v>
      </c>
      <c r="J40" s="681"/>
      <c r="K40" s="681"/>
      <c r="L40" s="5">
        <f t="shared" si="1"/>
        <v>2427.8999999999996</v>
      </c>
      <c r="M40" s="5"/>
      <c r="N40" s="5"/>
      <c r="O40" s="498"/>
      <c r="P40" s="498"/>
    </row>
    <row r="41" spans="3:16" hidden="1">
      <c r="C41" s="5">
        <f t="shared" si="0"/>
        <v>37</v>
      </c>
      <c r="D41" s="5" t="s">
        <v>1172</v>
      </c>
      <c r="E41" s="5" t="s">
        <v>1299</v>
      </c>
      <c r="F41" s="5"/>
      <c r="G41" s="5"/>
      <c r="H41" s="5">
        <v>63</v>
      </c>
      <c r="I41" s="681">
        <v>93</v>
      </c>
      <c r="J41" s="681"/>
      <c r="K41" s="681"/>
      <c r="L41" s="5">
        <f t="shared" si="1"/>
        <v>2520.8999999999996</v>
      </c>
      <c r="M41" s="5"/>
      <c r="N41" s="5"/>
      <c r="O41" s="498"/>
      <c r="P41" s="498"/>
    </row>
    <row r="42" spans="3:16" hidden="1">
      <c r="C42" s="5">
        <f t="shared" si="0"/>
        <v>38</v>
      </c>
      <c r="D42" s="5" t="s">
        <v>1299</v>
      </c>
      <c r="E42" s="5" t="s">
        <v>1362</v>
      </c>
      <c r="F42" s="5"/>
      <c r="G42" s="5"/>
      <c r="H42" s="5">
        <v>63</v>
      </c>
      <c r="I42" s="681">
        <v>10</v>
      </c>
      <c r="J42" s="681"/>
      <c r="K42" s="681"/>
      <c r="L42" s="5">
        <f t="shared" si="1"/>
        <v>2530.8999999999996</v>
      </c>
      <c r="M42" s="5"/>
      <c r="N42" s="5"/>
      <c r="O42" s="498"/>
      <c r="P42" s="498"/>
    </row>
    <row r="43" spans="3:16" hidden="1">
      <c r="C43" s="5">
        <f t="shared" si="0"/>
        <v>39</v>
      </c>
      <c r="D43" s="5" t="s">
        <v>1299</v>
      </c>
      <c r="E43" s="5" t="s">
        <v>883</v>
      </c>
      <c r="F43" s="5"/>
      <c r="G43" s="5"/>
      <c r="H43" s="5">
        <v>63</v>
      </c>
      <c r="I43" s="681">
        <v>70</v>
      </c>
      <c r="J43" s="681"/>
      <c r="K43" s="681"/>
      <c r="L43" s="5">
        <f t="shared" si="1"/>
        <v>2600.8999999999996</v>
      </c>
      <c r="M43" s="5"/>
      <c r="N43" s="5"/>
      <c r="O43" s="498"/>
      <c r="P43" s="498"/>
    </row>
    <row r="44" spans="3:16" hidden="1">
      <c r="C44" s="5">
        <f t="shared" si="0"/>
        <v>40</v>
      </c>
      <c r="D44" s="5" t="s">
        <v>1363</v>
      </c>
      <c r="E44" s="5" t="s">
        <v>47</v>
      </c>
      <c r="F44" s="5"/>
      <c r="G44" s="5"/>
      <c r="H44" s="5">
        <v>63</v>
      </c>
      <c r="I44" s="712">
        <v>34</v>
      </c>
      <c r="J44" s="713"/>
      <c r="K44" s="714"/>
      <c r="L44" s="5">
        <f t="shared" si="1"/>
        <v>2634.8999999999996</v>
      </c>
      <c r="M44" s="5"/>
      <c r="N44" s="5"/>
      <c r="O44" s="498"/>
      <c r="P44" s="498"/>
    </row>
    <row r="45" spans="3:16" hidden="1">
      <c r="C45" s="5">
        <f t="shared" si="0"/>
        <v>41</v>
      </c>
      <c r="D45" s="5" t="s">
        <v>1364</v>
      </c>
      <c r="E45" s="5" t="s">
        <v>1365</v>
      </c>
      <c r="F45" s="5"/>
      <c r="G45" s="5"/>
      <c r="H45" s="5">
        <v>63</v>
      </c>
      <c r="I45" s="681">
        <v>116</v>
      </c>
      <c r="J45" s="681"/>
      <c r="K45" s="681"/>
      <c r="L45" s="5">
        <f t="shared" si="1"/>
        <v>2750.8999999999996</v>
      </c>
      <c r="M45" s="5"/>
      <c r="N45" s="5"/>
      <c r="O45" s="498"/>
      <c r="P45" s="498"/>
    </row>
    <row r="46" spans="3:16" hidden="1">
      <c r="C46" s="5">
        <f t="shared" si="0"/>
        <v>42</v>
      </c>
      <c r="D46" s="5" t="s">
        <v>1172</v>
      </c>
      <c r="E46" s="5" t="s">
        <v>1366</v>
      </c>
      <c r="F46" s="5"/>
      <c r="G46" s="5"/>
      <c r="H46" s="5">
        <v>63</v>
      </c>
      <c r="I46" s="681">
        <v>142</v>
      </c>
      <c r="J46" s="681"/>
      <c r="K46" s="681"/>
      <c r="L46" s="5">
        <f t="shared" si="1"/>
        <v>2892.8999999999996</v>
      </c>
      <c r="M46" s="5"/>
      <c r="N46" s="5"/>
      <c r="O46" s="498"/>
      <c r="P46" s="498"/>
    </row>
    <row r="47" spans="3:16" hidden="1">
      <c r="C47" s="5">
        <f t="shared" si="0"/>
        <v>43</v>
      </c>
      <c r="D47" s="5" t="s">
        <v>39</v>
      </c>
      <c r="E47" s="5" t="s">
        <v>128</v>
      </c>
      <c r="F47" s="5"/>
      <c r="G47" s="5"/>
      <c r="H47" s="5">
        <v>63</v>
      </c>
      <c r="I47" s="681">
        <v>217.1</v>
      </c>
      <c r="J47" s="681"/>
      <c r="K47" s="681"/>
      <c r="L47" s="5">
        <f t="shared" si="1"/>
        <v>3109.9999999999995</v>
      </c>
      <c r="M47" s="5"/>
      <c r="N47" s="5"/>
      <c r="O47" s="498"/>
      <c r="P47" s="498"/>
    </row>
    <row r="48" spans="3:16" hidden="1">
      <c r="C48" s="5">
        <f t="shared" si="0"/>
        <v>44</v>
      </c>
      <c r="D48" s="5" t="s">
        <v>128</v>
      </c>
      <c r="E48" s="5" t="s">
        <v>83</v>
      </c>
      <c r="F48" s="5"/>
      <c r="G48" s="5"/>
      <c r="H48" s="5">
        <v>63</v>
      </c>
      <c r="I48" s="681">
        <v>10.8</v>
      </c>
      <c r="J48" s="681"/>
      <c r="K48" s="681"/>
      <c r="L48" s="5">
        <f t="shared" si="1"/>
        <v>3120.7999999999997</v>
      </c>
      <c r="M48" s="5"/>
      <c r="N48" s="5"/>
      <c r="O48" s="498"/>
      <c r="P48" s="498"/>
    </row>
    <row r="49" spans="3:16" hidden="1">
      <c r="C49" s="5">
        <f t="shared" si="0"/>
        <v>45</v>
      </c>
      <c r="D49" s="5" t="s">
        <v>83</v>
      </c>
      <c r="E49" s="5" t="s">
        <v>137</v>
      </c>
      <c r="F49" s="5"/>
      <c r="G49" s="5"/>
      <c r="H49" s="5">
        <v>63</v>
      </c>
      <c r="I49" s="681">
        <v>16.600000000000001</v>
      </c>
      <c r="J49" s="681"/>
      <c r="K49" s="681"/>
      <c r="L49" s="5">
        <f t="shared" si="1"/>
        <v>3137.3999999999996</v>
      </c>
      <c r="M49" s="5"/>
      <c r="N49" s="5"/>
      <c r="O49" s="498"/>
      <c r="P49" s="498"/>
    </row>
    <row r="50" spans="3:16" hidden="1">
      <c r="C50" s="5">
        <f t="shared" si="0"/>
        <v>46</v>
      </c>
      <c r="D50" s="5" t="s">
        <v>83</v>
      </c>
      <c r="E50" s="5" t="s">
        <v>1298</v>
      </c>
      <c r="F50" s="5"/>
      <c r="G50" s="5"/>
      <c r="H50" s="5">
        <v>63</v>
      </c>
      <c r="I50" s="681">
        <v>19.100000000000001</v>
      </c>
      <c r="J50" s="681"/>
      <c r="K50" s="681"/>
      <c r="L50" s="5">
        <f t="shared" si="1"/>
        <v>3156.4999999999995</v>
      </c>
      <c r="M50" s="5"/>
      <c r="N50" s="5"/>
      <c r="O50" s="498"/>
      <c r="P50" s="498"/>
    </row>
    <row r="51" spans="3:16" hidden="1">
      <c r="C51" s="5">
        <f t="shared" si="0"/>
        <v>47</v>
      </c>
      <c r="D51" s="5" t="s">
        <v>1298</v>
      </c>
      <c r="E51" s="5" t="s">
        <v>840</v>
      </c>
      <c r="F51" s="5"/>
      <c r="G51" s="5"/>
      <c r="H51" s="5">
        <v>63</v>
      </c>
      <c r="I51" s="681">
        <v>70</v>
      </c>
      <c r="J51" s="681"/>
      <c r="K51" s="681"/>
      <c r="L51" s="5">
        <f t="shared" si="1"/>
        <v>3226.4999999999995</v>
      </c>
      <c r="M51" s="5"/>
      <c r="N51" s="5"/>
      <c r="O51" s="498"/>
      <c r="P51" s="498"/>
    </row>
    <row r="52" spans="3:16" hidden="1">
      <c r="C52" s="5">
        <f t="shared" si="0"/>
        <v>48</v>
      </c>
      <c r="D52" s="5" t="s">
        <v>840</v>
      </c>
      <c r="E52" s="5" t="s">
        <v>926</v>
      </c>
      <c r="F52" s="5"/>
      <c r="G52" s="5"/>
      <c r="H52" s="5">
        <v>63</v>
      </c>
      <c r="I52" s="681">
        <v>65</v>
      </c>
      <c r="J52" s="681"/>
      <c r="K52" s="681"/>
      <c r="L52" s="5">
        <f t="shared" si="1"/>
        <v>3291.4999999999995</v>
      </c>
      <c r="M52" s="5"/>
      <c r="N52" s="5"/>
      <c r="O52" s="498"/>
      <c r="P52" s="498"/>
    </row>
    <row r="53" spans="3:16" hidden="1">
      <c r="C53" s="5">
        <f t="shared" si="0"/>
        <v>49</v>
      </c>
      <c r="D53" s="5" t="s">
        <v>926</v>
      </c>
      <c r="E53" s="5" t="s">
        <v>37</v>
      </c>
      <c r="F53" s="5"/>
      <c r="G53" s="5"/>
      <c r="H53" s="5">
        <v>63</v>
      </c>
      <c r="I53" s="681">
        <v>63.2</v>
      </c>
      <c r="J53" s="681"/>
      <c r="K53" s="681"/>
      <c r="L53" s="5">
        <f t="shared" si="1"/>
        <v>3354.6999999999994</v>
      </c>
      <c r="M53" s="5"/>
      <c r="N53" s="5"/>
      <c r="O53" s="498"/>
      <c r="P53" s="498"/>
    </row>
    <row r="54" spans="3:16" hidden="1">
      <c r="C54" s="5">
        <f t="shared" si="0"/>
        <v>50</v>
      </c>
      <c r="D54" s="5" t="s">
        <v>37</v>
      </c>
      <c r="E54" s="5" t="s">
        <v>62</v>
      </c>
      <c r="F54" s="5"/>
      <c r="G54" s="5"/>
      <c r="H54" s="5">
        <v>63</v>
      </c>
      <c r="I54" s="681">
        <v>54</v>
      </c>
      <c r="J54" s="681"/>
      <c r="K54" s="681"/>
      <c r="L54" s="5">
        <f t="shared" si="1"/>
        <v>3408.6999999999994</v>
      </c>
      <c r="M54" s="5"/>
      <c r="N54" s="5"/>
      <c r="O54" s="498"/>
      <c r="P54" s="498"/>
    </row>
    <row r="55" spans="3:16" hidden="1">
      <c r="C55" s="5">
        <f t="shared" si="0"/>
        <v>51</v>
      </c>
      <c r="D55" s="5" t="s">
        <v>1298</v>
      </c>
      <c r="E55" s="5" t="s">
        <v>95</v>
      </c>
      <c r="F55" s="5"/>
      <c r="G55" s="5"/>
      <c r="H55" s="5">
        <v>63</v>
      </c>
      <c r="I55" s="681">
        <v>74.099999999999994</v>
      </c>
      <c r="J55" s="681"/>
      <c r="K55" s="681"/>
      <c r="L55" s="5">
        <f t="shared" si="1"/>
        <v>3482.7999999999993</v>
      </c>
      <c r="M55" s="5"/>
      <c r="N55" s="5"/>
      <c r="O55" s="498"/>
      <c r="P55" s="498"/>
    </row>
    <row r="56" spans="3:16" hidden="1">
      <c r="C56" s="5">
        <f t="shared" si="0"/>
        <v>52</v>
      </c>
      <c r="D56" s="5" t="s">
        <v>1302</v>
      </c>
      <c r="E56" s="5" t="s">
        <v>926</v>
      </c>
      <c r="F56" s="5"/>
      <c r="G56" s="5"/>
      <c r="H56" s="5">
        <v>63</v>
      </c>
      <c r="I56" s="681">
        <v>62.7</v>
      </c>
      <c r="J56" s="681"/>
      <c r="K56" s="681"/>
      <c r="L56" s="5">
        <f t="shared" si="1"/>
        <v>3545.4999999999991</v>
      </c>
      <c r="M56" s="5"/>
      <c r="N56" s="5"/>
      <c r="O56" s="498"/>
      <c r="P56" s="498"/>
    </row>
    <row r="57" spans="3:16" hidden="1">
      <c r="C57" s="5">
        <f t="shared" si="0"/>
        <v>53</v>
      </c>
      <c r="D57" s="5" t="s">
        <v>1302</v>
      </c>
      <c r="E57" s="5" t="s">
        <v>37</v>
      </c>
      <c r="F57" s="5"/>
      <c r="G57" s="5"/>
      <c r="H57" s="5">
        <v>63</v>
      </c>
      <c r="I57" s="681">
        <v>112.4</v>
      </c>
      <c r="J57" s="681"/>
      <c r="K57" s="681"/>
      <c r="L57" s="5">
        <f t="shared" si="1"/>
        <v>3657.8999999999992</v>
      </c>
      <c r="M57" s="5"/>
      <c r="N57" s="5"/>
      <c r="O57" s="498"/>
      <c r="P57" s="498"/>
    </row>
    <row r="58" spans="3:16" hidden="1">
      <c r="C58" s="5">
        <f t="shared" si="0"/>
        <v>54</v>
      </c>
      <c r="D58" s="5" t="s">
        <v>128</v>
      </c>
      <c r="E58" s="5" t="s">
        <v>1168</v>
      </c>
      <c r="F58" s="5"/>
      <c r="G58" s="5"/>
      <c r="H58" s="5">
        <v>63</v>
      </c>
      <c r="I58" s="681">
        <v>32.200000000000003</v>
      </c>
      <c r="J58" s="681"/>
      <c r="K58" s="681"/>
      <c r="L58" s="5">
        <f t="shared" si="1"/>
        <v>3690.099999999999</v>
      </c>
      <c r="M58" s="5"/>
      <c r="N58" s="5"/>
      <c r="O58" s="498"/>
      <c r="P58" s="498"/>
    </row>
    <row r="59" spans="3:16" hidden="1">
      <c r="C59" s="5">
        <f t="shared" si="0"/>
        <v>55</v>
      </c>
      <c r="D59" s="5" t="s">
        <v>1168</v>
      </c>
      <c r="E59" s="5" t="s">
        <v>104</v>
      </c>
      <c r="F59" s="5"/>
      <c r="G59" s="5"/>
      <c r="H59" s="5">
        <v>63</v>
      </c>
      <c r="I59" s="681">
        <v>77.099999999999994</v>
      </c>
      <c r="J59" s="681"/>
      <c r="K59" s="681"/>
      <c r="L59" s="5">
        <f t="shared" si="1"/>
        <v>3767.1999999999989</v>
      </c>
      <c r="M59" s="5"/>
      <c r="N59" s="5"/>
      <c r="O59" s="498"/>
      <c r="P59" s="498"/>
    </row>
    <row r="60" spans="3:16" hidden="1">
      <c r="C60" s="5">
        <f t="shared" si="0"/>
        <v>56</v>
      </c>
      <c r="D60" s="5" t="s">
        <v>104</v>
      </c>
      <c r="E60" s="5" t="s">
        <v>106</v>
      </c>
      <c r="F60" s="5"/>
      <c r="G60" s="5"/>
      <c r="H60" s="5">
        <v>63</v>
      </c>
      <c r="I60" s="681">
        <v>84.1</v>
      </c>
      <c r="J60" s="681"/>
      <c r="K60" s="681"/>
      <c r="L60" s="5">
        <f t="shared" si="1"/>
        <v>3851.2999999999988</v>
      </c>
      <c r="M60" s="5"/>
      <c r="N60" s="5"/>
      <c r="O60" s="498"/>
      <c r="P60" s="498"/>
    </row>
    <row r="61" spans="3:16" hidden="1">
      <c r="C61" s="5">
        <f t="shared" si="0"/>
        <v>57</v>
      </c>
      <c r="D61" s="5" t="s">
        <v>1168</v>
      </c>
      <c r="E61" s="5" t="s">
        <v>84</v>
      </c>
      <c r="F61" s="5"/>
      <c r="G61" s="5"/>
      <c r="H61" s="5">
        <v>63</v>
      </c>
      <c r="I61" s="681">
        <v>108.9</v>
      </c>
      <c r="J61" s="681"/>
      <c r="K61" s="681"/>
      <c r="L61" s="5">
        <f t="shared" si="1"/>
        <v>3960.1999999999989</v>
      </c>
      <c r="M61" s="5"/>
      <c r="N61" s="5"/>
      <c r="O61" s="498"/>
      <c r="P61" s="498"/>
    </row>
    <row r="62" spans="3:16" hidden="1">
      <c r="C62" s="5">
        <f t="shared" si="0"/>
        <v>58</v>
      </c>
      <c r="D62" s="5" t="s">
        <v>84</v>
      </c>
      <c r="E62" s="5">
        <v>167</v>
      </c>
      <c r="F62" s="5"/>
      <c r="G62" s="5"/>
      <c r="H62" s="5">
        <v>63</v>
      </c>
      <c r="I62" s="681">
        <v>43.2</v>
      </c>
      <c r="J62" s="681"/>
      <c r="K62" s="681"/>
      <c r="L62" s="5">
        <f t="shared" si="1"/>
        <v>4003.3999999999987</v>
      </c>
      <c r="M62" s="5"/>
      <c r="N62" s="5"/>
      <c r="O62" s="498"/>
      <c r="P62" s="498"/>
    </row>
    <row r="63" spans="3:16" hidden="1">
      <c r="C63" s="5">
        <f t="shared" si="0"/>
        <v>59</v>
      </c>
      <c r="D63" s="5" t="s">
        <v>106</v>
      </c>
      <c r="E63" s="5" t="s">
        <v>82</v>
      </c>
      <c r="F63" s="5"/>
      <c r="G63" s="5"/>
      <c r="H63" s="5">
        <v>63</v>
      </c>
      <c r="I63" s="681">
        <v>21.9</v>
      </c>
      <c r="J63" s="681"/>
      <c r="K63" s="681"/>
      <c r="L63" s="5">
        <f t="shared" si="1"/>
        <v>4025.2999999999988</v>
      </c>
      <c r="M63" s="5"/>
      <c r="N63" s="5"/>
      <c r="O63" s="498"/>
      <c r="P63" s="498"/>
    </row>
    <row r="64" spans="3:16" hidden="1">
      <c r="C64" s="5">
        <f t="shared" si="0"/>
        <v>60</v>
      </c>
      <c r="D64" s="5" t="s">
        <v>82</v>
      </c>
      <c r="E64" s="5" t="s">
        <v>931</v>
      </c>
      <c r="F64" s="5"/>
      <c r="G64" s="5"/>
      <c r="H64" s="5">
        <v>63</v>
      </c>
      <c r="I64" s="681">
        <v>56.9</v>
      </c>
      <c r="J64" s="681"/>
      <c r="K64" s="681"/>
      <c r="L64" s="5">
        <f t="shared" si="1"/>
        <v>4082.1999999999989</v>
      </c>
      <c r="M64" s="5"/>
      <c r="N64" s="5"/>
      <c r="O64" s="498"/>
      <c r="P64" s="498"/>
    </row>
    <row r="65" spans="3:16" hidden="1">
      <c r="C65" s="5">
        <f t="shared" si="0"/>
        <v>61</v>
      </c>
      <c r="D65" s="5" t="s">
        <v>82</v>
      </c>
      <c r="E65" s="5" t="s">
        <v>1173</v>
      </c>
      <c r="F65" s="5"/>
      <c r="G65" s="5"/>
      <c r="H65" s="5">
        <v>63</v>
      </c>
      <c r="I65" s="681">
        <v>12.9</v>
      </c>
      <c r="J65" s="681"/>
      <c r="K65" s="681"/>
      <c r="L65" s="5">
        <f t="shared" si="1"/>
        <v>4095.099999999999</v>
      </c>
      <c r="M65" s="5"/>
      <c r="N65" s="5"/>
      <c r="O65" s="498"/>
      <c r="P65" s="498"/>
    </row>
    <row r="66" spans="3:16" hidden="1">
      <c r="C66" s="5">
        <f t="shared" si="0"/>
        <v>62</v>
      </c>
      <c r="D66" s="5" t="s">
        <v>832</v>
      </c>
      <c r="E66" s="5" t="s">
        <v>121</v>
      </c>
      <c r="F66" s="5"/>
      <c r="G66" s="5"/>
      <c r="H66" s="5">
        <v>63</v>
      </c>
      <c r="I66" s="681">
        <v>48.6</v>
      </c>
      <c r="J66" s="681"/>
      <c r="K66" s="681"/>
      <c r="L66" s="5">
        <f t="shared" si="1"/>
        <v>4143.6999999999989</v>
      </c>
      <c r="M66" s="5"/>
      <c r="N66" s="5"/>
      <c r="O66" s="498"/>
      <c r="P66" s="498"/>
    </row>
    <row r="67" spans="3:16" hidden="1">
      <c r="C67" s="5">
        <f t="shared" si="0"/>
        <v>63</v>
      </c>
      <c r="D67" s="5" t="s">
        <v>121</v>
      </c>
      <c r="E67" s="5" t="s">
        <v>109</v>
      </c>
      <c r="F67" s="5"/>
      <c r="G67" s="5"/>
      <c r="H67" s="5">
        <v>63</v>
      </c>
      <c r="I67" s="681">
        <v>81.8</v>
      </c>
      <c r="J67" s="681"/>
      <c r="K67" s="681"/>
      <c r="L67" s="5">
        <f t="shared" si="1"/>
        <v>4225.4999999999991</v>
      </c>
      <c r="M67" s="5"/>
      <c r="N67" s="5"/>
      <c r="O67" s="498"/>
      <c r="P67" s="498"/>
    </row>
    <row r="68" spans="3:16" hidden="1">
      <c r="C68" s="5">
        <f t="shared" si="0"/>
        <v>64</v>
      </c>
      <c r="D68" s="5" t="s">
        <v>109</v>
      </c>
      <c r="E68" s="5" t="s">
        <v>31</v>
      </c>
      <c r="F68" s="5"/>
      <c r="G68" s="5"/>
      <c r="H68" s="5">
        <v>63</v>
      </c>
      <c r="I68" s="681">
        <v>128.1</v>
      </c>
      <c r="J68" s="681"/>
      <c r="K68" s="681"/>
      <c r="L68" s="5">
        <f t="shared" si="1"/>
        <v>4353.5999999999995</v>
      </c>
      <c r="M68" s="5"/>
      <c r="N68" s="5"/>
      <c r="O68" s="498"/>
      <c r="P68" s="498"/>
    </row>
    <row r="69" spans="3:16" hidden="1">
      <c r="C69" s="5">
        <f t="shared" si="0"/>
        <v>65</v>
      </c>
      <c r="D69" s="5" t="s">
        <v>109</v>
      </c>
      <c r="E69" s="5" t="s">
        <v>31</v>
      </c>
      <c r="F69" s="5"/>
      <c r="G69" s="5"/>
      <c r="H69" s="5">
        <v>63</v>
      </c>
      <c r="I69" s="681">
        <f>84.5+26</f>
        <v>110.5</v>
      </c>
      <c r="J69" s="681"/>
      <c r="K69" s="681"/>
      <c r="L69" s="5">
        <f t="shared" si="1"/>
        <v>4464.0999999999995</v>
      </c>
      <c r="M69" s="5"/>
      <c r="N69" s="5"/>
      <c r="O69" s="498"/>
      <c r="P69" s="498"/>
    </row>
    <row r="70" spans="3:16">
      <c r="C70" s="5">
        <f t="shared" si="0"/>
        <v>66</v>
      </c>
      <c r="D70" s="5" t="s">
        <v>109</v>
      </c>
      <c r="E70" s="5" t="s">
        <v>31</v>
      </c>
      <c r="F70" s="5" t="s">
        <v>45</v>
      </c>
      <c r="G70" s="5">
        <v>0.36</v>
      </c>
      <c r="H70" s="5">
        <v>63</v>
      </c>
      <c r="I70" s="681">
        <f>38.6+10.4</f>
        <v>49</v>
      </c>
      <c r="J70" s="681"/>
      <c r="K70" s="681"/>
      <c r="L70" s="5">
        <f t="shared" si="1"/>
        <v>4513.0999999999995</v>
      </c>
      <c r="M70" s="5"/>
      <c r="N70" s="5"/>
      <c r="O70" s="498"/>
      <c r="P70" s="498"/>
    </row>
    <row r="71" spans="3:16">
      <c r="C71" s="5">
        <f t="shared" ref="C71:C134" si="2">1+C70</f>
        <v>67</v>
      </c>
      <c r="D71" s="5" t="s">
        <v>40</v>
      </c>
      <c r="E71" s="5" t="s">
        <v>724</v>
      </c>
      <c r="F71" s="5" t="s">
        <v>45</v>
      </c>
      <c r="G71" s="5">
        <v>0.36</v>
      </c>
      <c r="H71" s="5">
        <v>63</v>
      </c>
      <c r="I71" s="681">
        <v>40</v>
      </c>
      <c r="J71" s="681"/>
      <c r="K71" s="681"/>
      <c r="L71" s="5">
        <f t="shared" ref="L71:L134" si="3">+L70+I71</f>
        <v>4553.0999999999995</v>
      </c>
      <c r="M71" s="5"/>
      <c r="N71" s="5"/>
      <c r="O71" s="498"/>
      <c r="P71" s="498"/>
    </row>
    <row r="72" spans="3:16" hidden="1">
      <c r="C72" s="5">
        <f t="shared" si="2"/>
        <v>68</v>
      </c>
      <c r="D72" s="5" t="s">
        <v>121</v>
      </c>
      <c r="E72" s="5" t="s">
        <v>150</v>
      </c>
      <c r="F72" s="5"/>
      <c r="G72" s="5"/>
      <c r="H72" s="5">
        <v>63</v>
      </c>
      <c r="I72" s="681">
        <v>5</v>
      </c>
      <c r="J72" s="681"/>
      <c r="K72" s="681"/>
      <c r="L72" s="5">
        <f t="shared" si="3"/>
        <v>4558.0999999999995</v>
      </c>
      <c r="M72" s="5"/>
      <c r="N72" s="5"/>
      <c r="O72" s="498"/>
      <c r="P72" s="498"/>
    </row>
    <row r="73" spans="3:16">
      <c r="C73" s="5">
        <f t="shared" si="2"/>
        <v>69</v>
      </c>
      <c r="D73" s="5" t="s">
        <v>121</v>
      </c>
      <c r="E73" s="5" t="s">
        <v>150</v>
      </c>
      <c r="F73" s="5" t="s">
        <v>45</v>
      </c>
      <c r="G73" s="5">
        <v>0.36</v>
      </c>
      <c r="H73" s="5">
        <v>63</v>
      </c>
      <c r="I73" s="681">
        <v>48</v>
      </c>
      <c r="J73" s="681"/>
      <c r="K73" s="681"/>
      <c r="L73" s="5">
        <f t="shared" si="3"/>
        <v>4606.0999999999995</v>
      </c>
      <c r="M73" s="5"/>
      <c r="N73" s="5"/>
      <c r="O73" s="498"/>
      <c r="P73" s="498"/>
    </row>
    <row r="74" spans="3:16" hidden="1">
      <c r="C74" s="5">
        <f t="shared" si="2"/>
        <v>70</v>
      </c>
      <c r="D74" s="5" t="s">
        <v>150</v>
      </c>
      <c r="E74" s="5" t="s">
        <v>108</v>
      </c>
      <c r="F74" s="5"/>
      <c r="G74" s="5"/>
      <c r="H74" s="5">
        <v>63</v>
      </c>
      <c r="I74" s="681">
        <v>46</v>
      </c>
      <c r="J74" s="681"/>
      <c r="K74" s="681"/>
      <c r="L74" s="5">
        <f t="shared" si="3"/>
        <v>4652.0999999999995</v>
      </c>
      <c r="M74" s="5"/>
      <c r="N74" s="5"/>
      <c r="O74" s="498"/>
      <c r="P74" s="498"/>
    </row>
    <row r="75" spans="3:16">
      <c r="C75" s="5">
        <f t="shared" si="2"/>
        <v>71</v>
      </c>
      <c r="D75" s="5" t="s">
        <v>108</v>
      </c>
      <c r="E75" s="5" t="s">
        <v>47</v>
      </c>
      <c r="F75" s="5" t="s">
        <v>1367</v>
      </c>
      <c r="G75" s="5">
        <v>0.36</v>
      </c>
      <c r="H75" s="5">
        <v>63</v>
      </c>
      <c r="I75" s="681">
        <v>66.400000000000006</v>
      </c>
      <c r="J75" s="681"/>
      <c r="K75" s="681"/>
      <c r="L75" s="5">
        <f t="shared" si="3"/>
        <v>4718.4999999999991</v>
      </c>
      <c r="M75" s="5"/>
      <c r="N75" s="5"/>
      <c r="O75" s="498"/>
      <c r="P75" s="498"/>
    </row>
    <row r="76" spans="3:16">
      <c r="C76" s="5">
        <f t="shared" si="2"/>
        <v>72</v>
      </c>
      <c r="D76" s="5" t="s">
        <v>47</v>
      </c>
      <c r="E76" s="5" t="s">
        <v>69</v>
      </c>
      <c r="F76" s="5" t="s">
        <v>45</v>
      </c>
      <c r="G76" s="5">
        <v>0.36</v>
      </c>
      <c r="H76" s="5">
        <v>63</v>
      </c>
      <c r="I76" s="681">
        <v>100.1</v>
      </c>
      <c r="J76" s="681"/>
      <c r="K76" s="681"/>
      <c r="L76" s="5">
        <f t="shared" si="3"/>
        <v>4818.5999999999995</v>
      </c>
      <c r="M76" s="5"/>
      <c r="N76" s="5"/>
      <c r="O76" s="498"/>
      <c r="P76" s="498"/>
    </row>
    <row r="77" spans="3:16" hidden="1">
      <c r="C77" s="5">
        <f t="shared" si="2"/>
        <v>73</v>
      </c>
      <c r="D77" s="5" t="s">
        <v>47</v>
      </c>
      <c r="E77" s="5" t="s">
        <v>69</v>
      </c>
      <c r="F77" s="63"/>
      <c r="G77" s="5"/>
      <c r="H77" s="5">
        <v>63</v>
      </c>
      <c r="I77" s="681">
        <v>8</v>
      </c>
      <c r="J77" s="681"/>
      <c r="K77" s="681"/>
      <c r="L77" s="5">
        <f t="shared" si="3"/>
        <v>4826.5999999999995</v>
      </c>
      <c r="M77" s="5"/>
      <c r="N77" s="5"/>
      <c r="O77" s="498"/>
      <c r="P77" s="498"/>
    </row>
    <row r="78" spans="3:16">
      <c r="C78" s="5">
        <f t="shared" si="2"/>
        <v>74</v>
      </c>
      <c r="D78" s="5" t="s">
        <v>47</v>
      </c>
      <c r="E78" s="5" t="s">
        <v>40</v>
      </c>
      <c r="F78" s="5" t="s">
        <v>45</v>
      </c>
      <c r="G78" s="5">
        <v>0.36</v>
      </c>
      <c r="H78" s="5">
        <v>63</v>
      </c>
      <c r="I78" s="681">
        <v>49.5</v>
      </c>
      <c r="J78" s="681"/>
      <c r="K78" s="681"/>
      <c r="L78" s="5">
        <f t="shared" si="3"/>
        <v>4876.0999999999995</v>
      </c>
      <c r="M78" s="5"/>
      <c r="N78" s="5"/>
      <c r="O78" s="498"/>
      <c r="P78" s="498"/>
    </row>
    <row r="79" spans="3:16" hidden="1">
      <c r="C79" s="5">
        <f t="shared" si="2"/>
        <v>75</v>
      </c>
      <c r="D79" s="5" t="s">
        <v>836</v>
      </c>
      <c r="E79" s="5" t="s">
        <v>114</v>
      </c>
      <c r="F79" s="5"/>
      <c r="G79" s="5"/>
      <c r="H79" s="5">
        <v>63</v>
      </c>
      <c r="I79" s="681">
        <v>59.5</v>
      </c>
      <c r="J79" s="681"/>
      <c r="K79" s="681"/>
      <c r="L79" s="5">
        <f t="shared" si="3"/>
        <v>4935.5999999999995</v>
      </c>
      <c r="M79" s="5"/>
      <c r="N79" s="5"/>
      <c r="O79" s="498"/>
      <c r="P79" s="498"/>
    </row>
    <row r="80" spans="3:16" hidden="1">
      <c r="C80" s="5">
        <f t="shared" si="2"/>
        <v>76</v>
      </c>
      <c r="D80" s="5" t="s">
        <v>114</v>
      </c>
      <c r="E80" s="5" t="s">
        <v>150</v>
      </c>
      <c r="F80" s="5"/>
      <c r="G80" s="5"/>
      <c r="H80" s="5">
        <v>63</v>
      </c>
      <c r="I80" s="712">
        <v>69.5</v>
      </c>
      <c r="J80" s="713"/>
      <c r="K80" s="714"/>
      <c r="L80" s="5">
        <f t="shared" si="3"/>
        <v>5005.0999999999995</v>
      </c>
      <c r="M80" s="5"/>
      <c r="N80" s="5"/>
      <c r="O80" s="498"/>
      <c r="P80" s="498"/>
    </row>
    <row r="81" spans="3:16" hidden="1">
      <c r="C81" s="5">
        <f t="shared" si="2"/>
        <v>77</v>
      </c>
      <c r="D81" s="5" t="s">
        <v>114</v>
      </c>
      <c r="E81" s="5" t="s">
        <v>110</v>
      </c>
      <c r="F81" s="5"/>
      <c r="G81" s="5"/>
      <c r="H81" s="5">
        <v>63</v>
      </c>
      <c r="I81" s="712">
        <v>12.1</v>
      </c>
      <c r="J81" s="713"/>
      <c r="K81" s="714"/>
      <c r="L81" s="5">
        <f t="shared" si="3"/>
        <v>5017.2</v>
      </c>
      <c r="M81" s="5"/>
      <c r="N81" s="5"/>
      <c r="O81" s="498"/>
      <c r="P81" s="498"/>
    </row>
    <row r="82" spans="3:16" hidden="1">
      <c r="C82" s="5">
        <f t="shared" si="2"/>
        <v>78</v>
      </c>
      <c r="D82" s="5" t="s">
        <v>110</v>
      </c>
      <c r="E82" s="5" t="s">
        <v>166</v>
      </c>
      <c r="F82" s="5"/>
      <c r="G82" s="5"/>
      <c r="H82" s="5">
        <v>63</v>
      </c>
      <c r="I82" s="681">
        <v>52</v>
      </c>
      <c r="J82" s="681"/>
      <c r="K82" s="681"/>
      <c r="L82" s="5">
        <f t="shared" si="3"/>
        <v>5069.2</v>
      </c>
      <c r="M82" s="5"/>
      <c r="N82" s="5"/>
      <c r="O82" s="498"/>
      <c r="P82" s="498"/>
    </row>
    <row r="83" spans="3:16" hidden="1">
      <c r="C83" s="5">
        <f t="shared" si="2"/>
        <v>79</v>
      </c>
      <c r="D83" s="5" t="s">
        <v>166</v>
      </c>
      <c r="E83" s="5" t="s">
        <v>108</v>
      </c>
      <c r="F83" s="5"/>
      <c r="G83" s="5"/>
      <c r="H83" s="5">
        <v>63</v>
      </c>
      <c r="I83" s="681">
        <v>58</v>
      </c>
      <c r="J83" s="681"/>
      <c r="K83" s="681"/>
      <c r="L83" s="5">
        <f t="shared" si="3"/>
        <v>5127.2</v>
      </c>
      <c r="M83" s="5"/>
      <c r="N83" s="5"/>
      <c r="O83" s="498"/>
      <c r="P83" s="498"/>
    </row>
    <row r="84" spans="3:16">
      <c r="C84" s="5">
        <f t="shared" si="2"/>
        <v>80</v>
      </c>
      <c r="D84" s="5" t="s">
        <v>166</v>
      </c>
      <c r="E84" s="5" t="s">
        <v>722</v>
      </c>
      <c r="F84" s="5" t="s">
        <v>45</v>
      </c>
      <c r="G84" s="5">
        <v>0.36</v>
      </c>
      <c r="H84" s="5">
        <v>63</v>
      </c>
      <c r="I84" s="681">
        <v>33.1</v>
      </c>
      <c r="J84" s="681"/>
      <c r="K84" s="681"/>
      <c r="L84" s="5">
        <f t="shared" si="3"/>
        <v>5160.3</v>
      </c>
      <c r="M84" s="5"/>
      <c r="N84" s="5"/>
      <c r="O84" s="498"/>
      <c r="P84" s="498"/>
    </row>
    <row r="85" spans="3:16">
      <c r="C85" s="5">
        <f t="shared" si="2"/>
        <v>81</v>
      </c>
      <c r="D85" s="5" t="s">
        <v>722</v>
      </c>
      <c r="E85" s="5" t="s">
        <v>1363</v>
      </c>
      <c r="F85" s="5" t="s">
        <v>45</v>
      </c>
      <c r="G85" s="5">
        <v>0.36</v>
      </c>
      <c r="H85" s="5">
        <v>63</v>
      </c>
      <c r="I85" s="681">
        <v>23.7</v>
      </c>
      <c r="J85" s="681"/>
      <c r="K85" s="681"/>
      <c r="L85" s="5">
        <f t="shared" si="3"/>
        <v>5184</v>
      </c>
      <c r="M85" s="5"/>
      <c r="N85" s="5"/>
      <c r="O85" s="498"/>
      <c r="P85" s="498"/>
    </row>
    <row r="86" spans="3:16" hidden="1">
      <c r="C86" s="5">
        <f t="shared" si="2"/>
        <v>82</v>
      </c>
      <c r="D86" s="5" t="s">
        <v>722</v>
      </c>
      <c r="E86" s="5" t="s">
        <v>1363</v>
      </c>
      <c r="F86" s="5"/>
      <c r="G86" s="5"/>
      <c r="H86" s="5">
        <v>63</v>
      </c>
      <c r="I86" s="681">
        <v>49.5</v>
      </c>
      <c r="J86" s="681"/>
      <c r="K86" s="681"/>
      <c r="L86" s="5">
        <f t="shared" si="3"/>
        <v>5233.5</v>
      </c>
      <c r="M86" s="5"/>
      <c r="N86" s="5"/>
      <c r="O86" s="498"/>
      <c r="P86" s="498"/>
    </row>
    <row r="87" spans="3:16" hidden="1">
      <c r="C87" s="5">
        <f t="shared" si="2"/>
        <v>83</v>
      </c>
      <c r="D87" s="5" t="s">
        <v>1363</v>
      </c>
      <c r="E87" s="5" t="s">
        <v>66</v>
      </c>
      <c r="F87" s="5"/>
      <c r="G87" s="5"/>
      <c r="H87" s="5">
        <v>63</v>
      </c>
      <c r="I87" s="681">
        <v>38.4</v>
      </c>
      <c r="J87" s="681"/>
      <c r="K87" s="681"/>
      <c r="L87" s="5">
        <f t="shared" si="3"/>
        <v>5271.9</v>
      </c>
      <c r="M87" s="5"/>
      <c r="N87" s="5"/>
      <c r="O87" s="498"/>
      <c r="P87" s="498"/>
    </row>
    <row r="88" spans="3:16" hidden="1">
      <c r="C88" s="5">
        <f t="shared" si="2"/>
        <v>84</v>
      </c>
      <c r="D88" s="5" t="s">
        <v>66</v>
      </c>
      <c r="E88" s="5" t="s">
        <v>49</v>
      </c>
      <c r="F88" s="5"/>
      <c r="G88" s="5"/>
      <c r="H88" s="5">
        <v>63</v>
      </c>
      <c r="I88" s="681">
        <v>73.599999999999994</v>
      </c>
      <c r="J88" s="681"/>
      <c r="K88" s="681"/>
      <c r="L88" s="5">
        <f t="shared" si="3"/>
        <v>5345.5</v>
      </c>
      <c r="M88" s="5"/>
      <c r="N88" s="5"/>
      <c r="O88" s="498"/>
      <c r="P88" s="498"/>
    </row>
    <row r="89" spans="3:16" hidden="1">
      <c r="C89" s="5">
        <f t="shared" si="2"/>
        <v>85</v>
      </c>
      <c r="D89" s="5" t="s">
        <v>722</v>
      </c>
      <c r="E89" s="5" t="s">
        <v>1368</v>
      </c>
      <c r="F89" s="5"/>
      <c r="G89" s="5"/>
      <c r="H89" s="5">
        <v>63</v>
      </c>
      <c r="I89" s="681">
        <v>11.5</v>
      </c>
      <c r="J89" s="681"/>
      <c r="K89" s="681"/>
      <c r="L89" s="5">
        <f t="shared" si="3"/>
        <v>5357</v>
      </c>
      <c r="M89" s="5"/>
      <c r="N89" s="5"/>
      <c r="O89" s="498"/>
      <c r="P89" s="498"/>
    </row>
    <row r="90" spans="3:16" hidden="1">
      <c r="C90" s="5">
        <f t="shared" si="2"/>
        <v>86</v>
      </c>
      <c r="D90" s="5" t="s">
        <v>1368</v>
      </c>
      <c r="E90" s="5" t="s">
        <v>1369</v>
      </c>
      <c r="F90" s="5"/>
      <c r="G90" s="5"/>
      <c r="H90" s="5">
        <v>63</v>
      </c>
      <c r="I90" s="681">
        <v>45</v>
      </c>
      <c r="J90" s="681"/>
      <c r="K90" s="681"/>
      <c r="L90" s="5">
        <f t="shared" si="3"/>
        <v>5402</v>
      </c>
      <c r="M90" s="5"/>
      <c r="N90" s="5"/>
      <c r="O90" s="498"/>
      <c r="P90" s="498"/>
    </row>
    <row r="91" spans="3:16" hidden="1">
      <c r="C91" s="5">
        <f t="shared" si="2"/>
        <v>87</v>
      </c>
      <c r="D91" s="5" t="s">
        <v>1368</v>
      </c>
      <c r="E91" s="5" t="s">
        <v>42</v>
      </c>
      <c r="F91" s="5"/>
      <c r="G91" s="5"/>
      <c r="H91" s="5">
        <v>63</v>
      </c>
      <c r="I91" s="681">
        <v>66</v>
      </c>
      <c r="J91" s="681"/>
      <c r="K91" s="681"/>
      <c r="L91" s="5">
        <f t="shared" si="3"/>
        <v>5468</v>
      </c>
      <c r="M91" s="5"/>
      <c r="N91" s="5"/>
      <c r="O91" s="498"/>
      <c r="P91" s="498"/>
    </row>
    <row r="92" spans="3:16" hidden="1">
      <c r="C92" s="5">
        <f t="shared" si="2"/>
        <v>88</v>
      </c>
      <c r="D92" s="5" t="s">
        <v>42</v>
      </c>
      <c r="E92" s="5" t="s">
        <v>66</v>
      </c>
      <c r="F92" s="5"/>
      <c r="G92" s="5"/>
      <c r="H92" s="5">
        <v>63</v>
      </c>
      <c r="I92" s="681">
        <v>45.4</v>
      </c>
      <c r="J92" s="681"/>
      <c r="K92" s="681"/>
      <c r="L92" s="5">
        <f t="shared" si="3"/>
        <v>5513.4</v>
      </c>
      <c r="M92" s="5"/>
      <c r="N92" s="5"/>
      <c r="O92" s="498"/>
      <c r="P92" s="498"/>
    </row>
    <row r="93" spans="3:16" hidden="1">
      <c r="C93" s="5">
        <f t="shared" si="2"/>
        <v>89</v>
      </c>
      <c r="D93" s="5" t="s">
        <v>42</v>
      </c>
      <c r="E93" s="5" t="s">
        <v>130</v>
      </c>
      <c r="F93" s="5"/>
      <c r="G93" s="5"/>
      <c r="H93" s="5">
        <v>63</v>
      </c>
      <c r="I93" s="681">
        <v>133</v>
      </c>
      <c r="J93" s="681"/>
      <c r="K93" s="681"/>
      <c r="L93" s="5">
        <f t="shared" si="3"/>
        <v>5646.4</v>
      </c>
      <c r="M93" s="5"/>
      <c r="N93" s="5"/>
      <c r="O93" s="498"/>
      <c r="P93" s="498"/>
    </row>
    <row r="94" spans="3:16" hidden="1">
      <c r="C94" s="5">
        <f t="shared" si="2"/>
        <v>90</v>
      </c>
      <c r="D94" s="5" t="s">
        <v>110</v>
      </c>
      <c r="E94" s="5" t="s">
        <v>502</v>
      </c>
      <c r="F94" s="5"/>
      <c r="G94" s="5"/>
      <c r="H94" s="5">
        <v>63</v>
      </c>
      <c r="I94" s="681">
        <v>37.700000000000003</v>
      </c>
      <c r="J94" s="681"/>
      <c r="K94" s="681"/>
      <c r="L94" s="5">
        <f t="shared" si="3"/>
        <v>5684.0999999999995</v>
      </c>
      <c r="M94" s="5"/>
      <c r="N94" s="5"/>
      <c r="O94" s="498"/>
      <c r="P94" s="498"/>
    </row>
    <row r="95" spans="3:16" hidden="1">
      <c r="C95" s="5">
        <f t="shared" si="2"/>
        <v>91</v>
      </c>
      <c r="D95" s="5" t="s">
        <v>502</v>
      </c>
      <c r="E95" s="5" t="s">
        <v>160</v>
      </c>
      <c r="F95" s="5"/>
      <c r="G95" s="5"/>
      <c r="H95" s="5">
        <v>63</v>
      </c>
      <c r="I95" s="681">
        <v>39.4</v>
      </c>
      <c r="J95" s="681"/>
      <c r="K95" s="681"/>
      <c r="L95" s="5">
        <f t="shared" si="3"/>
        <v>5723.4999999999991</v>
      </c>
      <c r="M95" s="5"/>
      <c r="N95" s="5"/>
      <c r="O95" s="498"/>
      <c r="P95" s="498"/>
    </row>
    <row r="96" spans="3:16" hidden="1">
      <c r="C96" s="5">
        <f t="shared" si="2"/>
        <v>92</v>
      </c>
      <c r="D96" s="5" t="s">
        <v>502</v>
      </c>
      <c r="E96" s="5" t="s">
        <v>159</v>
      </c>
      <c r="F96" s="5"/>
      <c r="G96" s="5"/>
      <c r="H96" s="5">
        <v>63</v>
      </c>
      <c r="I96" s="681">
        <v>127.2</v>
      </c>
      <c r="J96" s="681"/>
      <c r="K96" s="681"/>
      <c r="L96" s="5">
        <f t="shared" si="3"/>
        <v>5850.6999999999989</v>
      </c>
      <c r="M96" s="5"/>
      <c r="N96" s="5"/>
      <c r="O96" s="498"/>
      <c r="P96" s="498"/>
    </row>
    <row r="97" spans="3:16" hidden="1">
      <c r="C97" s="5">
        <f t="shared" si="2"/>
        <v>93</v>
      </c>
      <c r="D97" s="5" t="s">
        <v>52</v>
      </c>
      <c r="E97" s="5" t="s">
        <v>725</v>
      </c>
      <c r="F97" s="5"/>
      <c r="G97" s="5"/>
      <c r="H97" s="5">
        <v>63</v>
      </c>
      <c r="I97" s="681">
        <v>10.7</v>
      </c>
      <c r="J97" s="681"/>
      <c r="K97" s="681"/>
      <c r="L97" s="5">
        <f t="shared" si="3"/>
        <v>5861.3999999999987</v>
      </c>
      <c r="M97" s="5"/>
      <c r="N97" s="5"/>
      <c r="O97" s="498"/>
      <c r="P97" s="498"/>
    </row>
    <row r="98" spans="3:16" hidden="1">
      <c r="C98" s="5">
        <f t="shared" si="2"/>
        <v>94</v>
      </c>
      <c r="D98" s="5" t="s">
        <v>725</v>
      </c>
      <c r="E98" s="5" t="s">
        <v>832</v>
      </c>
      <c r="F98" s="5"/>
      <c r="G98" s="5"/>
      <c r="H98" s="5">
        <v>63</v>
      </c>
      <c r="I98" s="681">
        <v>272.60000000000002</v>
      </c>
      <c r="J98" s="681"/>
      <c r="K98" s="681"/>
      <c r="L98" s="5">
        <f t="shared" si="3"/>
        <v>6133.9999999999991</v>
      </c>
      <c r="M98" s="5" t="s">
        <v>1370</v>
      </c>
      <c r="N98" s="5"/>
      <c r="O98" s="498"/>
      <c r="P98" s="498"/>
    </row>
    <row r="99" spans="3:16" hidden="1">
      <c r="C99" s="5">
        <f t="shared" si="2"/>
        <v>95</v>
      </c>
      <c r="D99" s="5" t="s">
        <v>832</v>
      </c>
      <c r="E99" s="5" t="s">
        <v>118</v>
      </c>
      <c r="F99" s="5" t="s">
        <v>149</v>
      </c>
      <c r="G99" s="5">
        <v>0.36</v>
      </c>
      <c r="H99" s="5">
        <v>63</v>
      </c>
      <c r="I99" s="681">
        <v>112.7</v>
      </c>
      <c r="J99" s="681"/>
      <c r="K99" s="681"/>
      <c r="L99" s="5">
        <f t="shared" si="3"/>
        <v>6246.6999999999989</v>
      </c>
      <c r="M99" s="5"/>
      <c r="N99" s="5"/>
      <c r="O99" s="498"/>
      <c r="P99" s="498"/>
    </row>
    <row r="100" spans="3:16" hidden="1">
      <c r="C100" s="5">
        <f t="shared" si="2"/>
        <v>96</v>
      </c>
      <c r="D100" s="5" t="s">
        <v>118</v>
      </c>
      <c r="E100" s="5" t="s">
        <v>117</v>
      </c>
      <c r="F100" s="5"/>
      <c r="G100" s="5"/>
      <c r="H100" s="5">
        <v>63</v>
      </c>
      <c r="I100" s="681">
        <v>44.7</v>
      </c>
      <c r="J100" s="681"/>
      <c r="K100" s="681"/>
      <c r="L100" s="5">
        <f t="shared" si="3"/>
        <v>6291.3999999999987</v>
      </c>
      <c r="M100" s="5"/>
      <c r="N100" s="5"/>
      <c r="O100" s="498"/>
      <c r="P100" s="498"/>
    </row>
    <row r="101" spans="3:16" hidden="1">
      <c r="C101" s="5">
        <f t="shared" si="2"/>
        <v>97</v>
      </c>
      <c r="D101" s="5" t="s">
        <v>118</v>
      </c>
      <c r="E101" s="5" t="s">
        <v>123</v>
      </c>
      <c r="F101" s="5"/>
      <c r="G101" s="5"/>
      <c r="H101" s="5">
        <v>63</v>
      </c>
      <c r="I101" s="681">
        <v>14.8</v>
      </c>
      <c r="J101" s="681"/>
      <c r="K101" s="681"/>
      <c r="L101" s="5">
        <f t="shared" si="3"/>
        <v>6306.1999999999989</v>
      </c>
      <c r="M101" s="5"/>
      <c r="N101" s="5"/>
      <c r="O101" s="498"/>
      <c r="P101" s="498"/>
    </row>
    <row r="102" spans="3:16">
      <c r="C102" s="5">
        <f t="shared" si="2"/>
        <v>98</v>
      </c>
      <c r="D102" s="5" t="s">
        <v>123</v>
      </c>
      <c r="E102" s="5" t="s">
        <v>138</v>
      </c>
      <c r="F102" s="5" t="s">
        <v>45</v>
      </c>
      <c r="G102" s="5">
        <v>0.36</v>
      </c>
      <c r="H102" s="5">
        <v>63</v>
      </c>
      <c r="I102" s="681">
        <v>37.1</v>
      </c>
      <c r="J102" s="681"/>
      <c r="K102" s="681"/>
      <c r="L102" s="5">
        <f t="shared" si="3"/>
        <v>6343.2999999999993</v>
      </c>
      <c r="M102" s="5"/>
      <c r="N102" s="5"/>
      <c r="O102" s="498"/>
      <c r="P102" s="498"/>
    </row>
    <row r="103" spans="3:16">
      <c r="C103" s="5">
        <f t="shared" si="2"/>
        <v>99</v>
      </c>
      <c r="D103" s="5" t="s">
        <v>138</v>
      </c>
      <c r="E103" s="5" t="s">
        <v>122</v>
      </c>
      <c r="F103" s="5" t="s">
        <v>45</v>
      </c>
      <c r="G103" s="5">
        <v>0.36</v>
      </c>
      <c r="H103" s="5">
        <v>63</v>
      </c>
      <c r="I103" s="681">
        <v>32</v>
      </c>
      <c r="J103" s="681"/>
      <c r="K103" s="681"/>
      <c r="L103" s="5">
        <f t="shared" si="3"/>
        <v>6375.2999999999993</v>
      </c>
      <c r="M103" s="5"/>
      <c r="N103" s="5"/>
      <c r="O103" s="498"/>
      <c r="P103" s="498"/>
    </row>
    <row r="104" spans="3:16" hidden="1">
      <c r="C104" s="5">
        <f t="shared" si="2"/>
        <v>100</v>
      </c>
      <c r="D104" s="5" t="s">
        <v>122</v>
      </c>
      <c r="E104" s="5" t="s">
        <v>252</v>
      </c>
      <c r="F104" s="5"/>
      <c r="G104" s="5"/>
      <c r="H104" s="5">
        <v>63</v>
      </c>
      <c r="I104" s="681">
        <v>121</v>
      </c>
      <c r="J104" s="681"/>
      <c r="K104" s="681"/>
      <c r="L104" s="5">
        <f t="shared" si="3"/>
        <v>6496.2999999999993</v>
      </c>
      <c r="M104" s="5"/>
      <c r="N104" s="5"/>
      <c r="O104" s="498"/>
      <c r="P104" s="498"/>
    </row>
    <row r="105" spans="3:16" hidden="1">
      <c r="C105" s="5">
        <f t="shared" si="2"/>
        <v>101</v>
      </c>
      <c r="D105" s="5" t="s">
        <v>32</v>
      </c>
      <c r="E105" s="5" t="s">
        <v>376</v>
      </c>
      <c r="F105" s="5"/>
      <c r="G105" s="5"/>
      <c r="H105" s="5">
        <v>63</v>
      </c>
      <c r="I105" s="681">
        <v>53</v>
      </c>
      <c r="J105" s="681"/>
      <c r="K105" s="681"/>
      <c r="L105" s="5">
        <f t="shared" si="3"/>
        <v>6549.2999999999993</v>
      </c>
      <c r="M105" s="5"/>
      <c r="N105" s="5"/>
      <c r="O105" s="498"/>
      <c r="P105" s="498"/>
    </row>
    <row r="106" spans="3:16" hidden="1">
      <c r="C106" s="5">
        <f t="shared" si="2"/>
        <v>102</v>
      </c>
      <c r="D106" s="5" t="s">
        <v>376</v>
      </c>
      <c r="E106" s="5" t="s">
        <v>724</v>
      </c>
      <c r="F106" s="5"/>
      <c r="G106" s="5"/>
      <c r="H106" s="5">
        <v>63</v>
      </c>
      <c r="I106" s="681">
        <v>112</v>
      </c>
      <c r="J106" s="681"/>
      <c r="K106" s="681"/>
      <c r="L106" s="5">
        <f t="shared" si="3"/>
        <v>6661.2999999999993</v>
      </c>
      <c r="M106" s="5"/>
      <c r="N106" s="5"/>
      <c r="O106" s="498"/>
      <c r="P106" s="498"/>
    </row>
    <row r="107" spans="3:16" hidden="1">
      <c r="C107" s="5">
        <f t="shared" si="2"/>
        <v>103</v>
      </c>
      <c r="D107" s="5" t="s">
        <v>724</v>
      </c>
      <c r="E107" s="5" t="s">
        <v>69</v>
      </c>
      <c r="F107" s="5"/>
      <c r="G107" s="5"/>
      <c r="H107" s="5">
        <v>63</v>
      </c>
      <c r="I107" s="681">
        <v>133.30000000000001</v>
      </c>
      <c r="J107" s="681"/>
      <c r="K107" s="681"/>
      <c r="L107" s="5">
        <f t="shared" si="3"/>
        <v>6794.5999999999995</v>
      </c>
      <c r="M107" s="5"/>
      <c r="N107" s="5"/>
      <c r="O107" s="498"/>
      <c r="P107" s="498"/>
    </row>
    <row r="108" spans="3:16" hidden="1">
      <c r="C108" s="5">
        <f t="shared" si="2"/>
        <v>104</v>
      </c>
      <c r="D108" s="5" t="s">
        <v>69</v>
      </c>
      <c r="E108" s="5" t="s">
        <v>49</v>
      </c>
      <c r="F108" s="5"/>
      <c r="G108" s="5"/>
      <c r="H108" s="5">
        <v>63</v>
      </c>
      <c r="I108" s="681">
        <v>58.5</v>
      </c>
      <c r="J108" s="681"/>
      <c r="K108" s="681"/>
      <c r="L108" s="5">
        <f t="shared" si="3"/>
        <v>6853.0999999999995</v>
      </c>
      <c r="M108" s="5"/>
      <c r="N108" s="5"/>
      <c r="O108" s="498"/>
      <c r="P108" s="498"/>
    </row>
    <row r="109" spans="3:16" hidden="1">
      <c r="C109" s="5">
        <f t="shared" si="2"/>
        <v>105</v>
      </c>
      <c r="D109" s="5" t="s">
        <v>49</v>
      </c>
      <c r="E109" s="5" t="s">
        <v>130</v>
      </c>
      <c r="F109" s="5"/>
      <c r="G109" s="5"/>
      <c r="H109" s="5">
        <v>63</v>
      </c>
      <c r="I109" s="681">
        <v>96</v>
      </c>
      <c r="J109" s="681"/>
      <c r="K109" s="681"/>
      <c r="L109" s="5">
        <f t="shared" si="3"/>
        <v>6949.0999999999995</v>
      </c>
      <c r="M109" s="5"/>
      <c r="N109" s="5"/>
      <c r="O109" s="498"/>
      <c r="P109" s="498"/>
    </row>
    <row r="110" spans="3:16" hidden="1">
      <c r="C110" s="5">
        <f t="shared" si="2"/>
        <v>106</v>
      </c>
      <c r="D110" s="5" t="s">
        <v>723</v>
      </c>
      <c r="E110" s="5" t="s">
        <v>171</v>
      </c>
      <c r="F110" s="5"/>
      <c r="G110" s="5"/>
      <c r="H110" s="5">
        <v>63</v>
      </c>
      <c r="I110" s="681">
        <v>61.1</v>
      </c>
      <c r="J110" s="681"/>
      <c r="K110" s="681"/>
      <c r="L110" s="5">
        <f t="shared" si="3"/>
        <v>7010.2</v>
      </c>
      <c r="M110" s="5"/>
      <c r="N110" s="5"/>
      <c r="O110" s="498"/>
      <c r="P110" s="498"/>
    </row>
    <row r="111" spans="3:16" hidden="1">
      <c r="C111" s="5">
        <f t="shared" si="2"/>
        <v>107</v>
      </c>
      <c r="D111" s="5" t="s">
        <v>29</v>
      </c>
      <c r="E111" s="5" t="s">
        <v>163</v>
      </c>
      <c r="F111" s="5"/>
      <c r="G111" s="5"/>
      <c r="H111" s="5">
        <v>63</v>
      </c>
      <c r="I111" s="681">
        <v>9.4</v>
      </c>
      <c r="J111" s="681"/>
      <c r="K111" s="681"/>
      <c r="L111" s="5">
        <f t="shared" si="3"/>
        <v>7019.5999999999995</v>
      </c>
      <c r="M111" s="5"/>
      <c r="N111" s="5"/>
      <c r="O111" s="498"/>
      <c r="P111" s="498"/>
    </row>
    <row r="112" spans="3:16" hidden="1">
      <c r="C112" s="5">
        <f t="shared" si="2"/>
        <v>108</v>
      </c>
      <c r="D112" s="5" t="s">
        <v>163</v>
      </c>
      <c r="E112" s="5" t="s">
        <v>839</v>
      </c>
      <c r="F112" s="5"/>
      <c r="G112" s="5"/>
      <c r="H112" s="5">
        <v>63</v>
      </c>
      <c r="I112" s="712">
        <v>109.5</v>
      </c>
      <c r="J112" s="713"/>
      <c r="K112" s="714"/>
      <c r="L112" s="5">
        <f t="shared" si="3"/>
        <v>7129.0999999999995</v>
      </c>
      <c r="M112" s="5"/>
      <c r="N112" s="5"/>
      <c r="O112" s="498"/>
      <c r="P112" s="498"/>
    </row>
    <row r="113" spans="3:16" hidden="1">
      <c r="C113" s="5">
        <f t="shared" si="2"/>
        <v>109</v>
      </c>
      <c r="D113" s="5" t="s">
        <v>825</v>
      </c>
      <c r="E113" s="5" t="s">
        <v>74</v>
      </c>
      <c r="F113" s="5"/>
      <c r="G113" s="5"/>
      <c r="H113" s="5">
        <v>63</v>
      </c>
      <c r="I113" s="681">
        <v>40</v>
      </c>
      <c r="J113" s="681"/>
      <c r="K113" s="681"/>
      <c r="L113" s="5">
        <f t="shared" si="3"/>
        <v>7169.0999999999995</v>
      </c>
      <c r="M113" s="5"/>
      <c r="N113" s="5"/>
      <c r="O113" s="498"/>
      <c r="P113" s="498"/>
    </row>
    <row r="114" spans="3:16" hidden="1">
      <c r="C114" s="5">
        <f t="shared" si="2"/>
        <v>110</v>
      </c>
      <c r="D114" s="5" t="s">
        <v>74</v>
      </c>
      <c r="E114" s="5" t="s">
        <v>1371</v>
      </c>
      <c r="F114" s="5" t="s">
        <v>149</v>
      </c>
      <c r="G114" s="5">
        <v>0.36</v>
      </c>
      <c r="H114" s="5">
        <v>63</v>
      </c>
      <c r="I114" s="681">
        <v>23.7</v>
      </c>
      <c r="J114" s="681"/>
      <c r="K114" s="681"/>
      <c r="L114" s="5">
        <f t="shared" si="3"/>
        <v>7192.7999999999993</v>
      </c>
      <c r="M114" s="5"/>
      <c r="N114" s="5"/>
      <c r="O114" s="498"/>
      <c r="P114" s="498"/>
    </row>
    <row r="115" spans="3:16" hidden="1">
      <c r="C115" s="5">
        <f t="shared" si="2"/>
        <v>111</v>
      </c>
      <c r="D115" s="5" t="s">
        <v>74</v>
      </c>
      <c r="E115" s="5" t="s">
        <v>73</v>
      </c>
      <c r="F115" s="5"/>
      <c r="G115" s="5"/>
      <c r="H115" s="5">
        <v>63</v>
      </c>
      <c r="I115" s="712">
        <v>51.3</v>
      </c>
      <c r="J115" s="713"/>
      <c r="K115" s="714"/>
      <c r="L115" s="5">
        <f t="shared" si="3"/>
        <v>7244.0999999999995</v>
      </c>
      <c r="M115" s="5"/>
      <c r="N115" s="5"/>
      <c r="O115" s="498"/>
      <c r="P115" s="498"/>
    </row>
    <row r="116" spans="3:16" hidden="1">
      <c r="C116" s="5">
        <f t="shared" si="2"/>
        <v>112</v>
      </c>
      <c r="D116" s="5" t="s">
        <v>55</v>
      </c>
      <c r="E116" s="5" t="s">
        <v>731</v>
      </c>
      <c r="F116" s="5" t="s">
        <v>1372</v>
      </c>
      <c r="G116" s="5">
        <v>0.36</v>
      </c>
      <c r="H116" s="5">
        <v>63</v>
      </c>
      <c r="I116" s="712">
        <v>7</v>
      </c>
      <c r="J116" s="713"/>
      <c r="K116" s="714"/>
      <c r="L116" s="5">
        <f t="shared" si="3"/>
        <v>7251.0999999999995</v>
      </c>
      <c r="M116" s="5"/>
      <c r="N116" s="5"/>
      <c r="O116" s="498"/>
      <c r="P116" s="498"/>
    </row>
    <row r="117" spans="3:16" hidden="1">
      <c r="C117" s="5">
        <f t="shared" si="2"/>
        <v>113</v>
      </c>
      <c r="D117" s="5" t="s">
        <v>55</v>
      </c>
      <c r="E117" s="5" t="s">
        <v>731</v>
      </c>
      <c r="F117" s="5"/>
      <c r="G117" s="5"/>
      <c r="H117" s="5">
        <v>63</v>
      </c>
      <c r="I117" s="712">
        <f>21-I116</f>
        <v>14</v>
      </c>
      <c r="J117" s="713"/>
      <c r="K117" s="714"/>
      <c r="L117" s="5">
        <f t="shared" si="3"/>
        <v>7265.0999999999995</v>
      </c>
      <c r="M117" s="5"/>
      <c r="N117" s="5"/>
      <c r="O117" s="498"/>
      <c r="P117" s="498"/>
    </row>
    <row r="118" spans="3:16">
      <c r="C118" s="5">
        <f t="shared" si="2"/>
        <v>114</v>
      </c>
      <c r="D118" s="5" t="s">
        <v>55</v>
      </c>
      <c r="E118" s="5" t="s">
        <v>1373</v>
      </c>
      <c r="F118" s="5" t="s">
        <v>45</v>
      </c>
      <c r="G118" s="5">
        <v>0.36</v>
      </c>
      <c r="H118" s="5">
        <v>63</v>
      </c>
      <c r="I118" s="712">
        <v>165</v>
      </c>
      <c r="J118" s="713"/>
      <c r="K118" s="714"/>
      <c r="L118" s="5">
        <f t="shared" si="3"/>
        <v>7430.0999999999995</v>
      </c>
      <c r="M118" s="5"/>
      <c r="N118" s="5"/>
      <c r="O118" s="498"/>
      <c r="P118" s="498"/>
    </row>
    <row r="119" spans="3:16" hidden="1">
      <c r="C119" s="5">
        <f t="shared" si="2"/>
        <v>115</v>
      </c>
      <c r="D119" s="5" t="s">
        <v>55</v>
      </c>
      <c r="E119" s="5" t="s">
        <v>1373</v>
      </c>
      <c r="F119" s="5"/>
      <c r="G119" s="5"/>
      <c r="H119" s="5">
        <v>63</v>
      </c>
      <c r="I119" s="712">
        <v>26.3</v>
      </c>
      <c r="J119" s="713"/>
      <c r="K119" s="714"/>
      <c r="L119" s="5">
        <f t="shared" si="3"/>
        <v>7456.4</v>
      </c>
      <c r="M119" s="5"/>
      <c r="N119" s="5"/>
      <c r="O119" s="498"/>
      <c r="P119" s="498"/>
    </row>
    <row r="120" spans="3:16" hidden="1">
      <c r="C120" s="5">
        <f t="shared" si="2"/>
        <v>116</v>
      </c>
      <c r="D120" s="5" t="s">
        <v>825</v>
      </c>
      <c r="E120" s="5" t="s">
        <v>1374</v>
      </c>
      <c r="F120" s="5"/>
      <c r="G120" s="5"/>
      <c r="H120" s="5">
        <v>63</v>
      </c>
      <c r="I120" s="712">
        <v>55.3</v>
      </c>
      <c r="J120" s="713"/>
      <c r="K120" s="714"/>
      <c r="L120" s="5">
        <f t="shared" si="3"/>
        <v>7511.7</v>
      </c>
      <c r="M120" s="5"/>
      <c r="N120" s="5"/>
      <c r="O120" s="498"/>
      <c r="P120" s="498"/>
    </row>
    <row r="121" spans="3:16" hidden="1">
      <c r="C121" s="5">
        <f t="shared" si="2"/>
        <v>117</v>
      </c>
      <c r="D121" s="5" t="s">
        <v>159</v>
      </c>
      <c r="E121" s="5" t="s">
        <v>836</v>
      </c>
      <c r="F121" s="5"/>
      <c r="G121" s="5"/>
      <c r="H121" s="5">
        <v>63</v>
      </c>
      <c r="I121" s="712">
        <v>154</v>
      </c>
      <c r="J121" s="713"/>
      <c r="K121" s="714"/>
      <c r="L121" s="5">
        <f t="shared" si="3"/>
        <v>7665.7</v>
      </c>
      <c r="M121" s="5"/>
      <c r="N121" s="5"/>
      <c r="O121" s="498"/>
      <c r="P121" s="498"/>
    </row>
    <row r="122" spans="3:16" hidden="1">
      <c r="C122" s="5">
        <f t="shared" si="2"/>
        <v>118</v>
      </c>
      <c r="D122" s="5" t="s">
        <v>832</v>
      </c>
      <c r="E122" s="5" t="s">
        <v>836</v>
      </c>
      <c r="F122" s="5" t="s">
        <v>149</v>
      </c>
      <c r="G122" s="5">
        <v>0.36</v>
      </c>
      <c r="H122" s="5">
        <v>63</v>
      </c>
      <c r="I122" s="712">
        <v>3.7</v>
      </c>
      <c r="J122" s="713"/>
      <c r="K122" s="714"/>
      <c r="L122" s="5">
        <f t="shared" si="3"/>
        <v>7669.4</v>
      </c>
      <c r="M122" s="5"/>
      <c r="N122" s="5"/>
      <c r="O122" s="498"/>
      <c r="P122" s="498"/>
    </row>
    <row r="123" spans="3:16" hidden="1">
      <c r="C123" s="5">
        <f t="shared" si="2"/>
        <v>119</v>
      </c>
      <c r="D123" s="5" t="s">
        <v>832</v>
      </c>
      <c r="E123" s="5" t="s">
        <v>836</v>
      </c>
      <c r="F123" s="5"/>
      <c r="G123" s="5"/>
      <c r="H123" s="5">
        <v>63</v>
      </c>
      <c r="I123" s="712">
        <v>8.3000000000000007</v>
      </c>
      <c r="J123" s="713"/>
      <c r="K123" s="714"/>
      <c r="L123" s="5">
        <f t="shared" si="3"/>
        <v>7677.7</v>
      </c>
      <c r="M123" s="5"/>
      <c r="N123" s="5"/>
      <c r="O123" s="498"/>
      <c r="P123" s="498"/>
    </row>
    <row r="124" spans="3:16" hidden="1">
      <c r="C124" s="5">
        <f t="shared" si="2"/>
        <v>120</v>
      </c>
      <c r="D124" s="5" t="s">
        <v>29</v>
      </c>
      <c r="E124" s="5" t="s">
        <v>723</v>
      </c>
      <c r="F124" s="5"/>
      <c r="G124" s="5"/>
      <c r="H124" s="5">
        <v>63</v>
      </c>
      <c r="I124" s="712">
        <v>10.199999999999999</v>
      </c>
      <c r="J124" s="713"/>
      <c r="K124" s="714"/>
      <c r="L124" s="5">
        <f t="shared" si="3"/>
        <v>7687.9</v>
      </c>
      <c r="M124" s="5"/>
      <c r="N124" s="5"/>
      <c r="O124" s="498"/>
      <c r="P124" s="498"/>
    </row>
    <row r="125" spans="3:16" hidden="1">
      <c r="C125" s="5">
        <f t="shared" si="2"/>
        <v>121</v>
      </c>
      <c r="D125" s="5" t="s">
        <v>914</v>
      </c>
      <c r="E125" s="5" t="s">
        <v>1375</v>
      </c>
      <c r="F125" s="5"/>
      <c r="G125" s="5"/>
      <c r="H125" s="5">
        <v>63</v>
      </c>
      <c r="I125" s="712">
        <v>163.5</v>
      </c>
      <c r="J125" s="713"/>
      <c r="K125" s="714"/>
      <c r="L125" s="5">
        <f t="shared" si="3"/>
        <v>7851.4</v>
      </c>
      <c r="M125" s="5"/>
      <c r="N125" s="5"/>
      <c r="O125" s="498"/>
      <c r="P125" s="498"/>
    </row>
    <row r="126" spans="3:16" hidden="1">
      <c r="C126" s="5">
        <f t="shared" si="2"/>
        <v>122</v>
      </c>
      <c r="D126" s="5" t="s">
        <v>1375</v>
      </c>
      <c r="E126" s="5" t="s">
        <v>44</v>
      </c>
      <c r="F126" s="5"/>
      <c r="G126" s="5"/>
      <c r="H126" s="5">
        <v>63</v>
      </c>
      <c r="I126" s="712">
        <v>58.6</v>
      </c>
      <c r="J126" s="713"/>
      <c r="K126" s="714"/>
      <c r="L126" s="5">
        <f t="shared" si="3"/>
        <v>7910</v>
      </c>
      <c r="M126" s="5"/>
      <c r="N126" s="5"/>
      <c r="O126" s="498"/>
      <c r="P126" s="498"/>
    </row>
    <row r="127" spans="3:16" hidden="1">
      <c r="C127" s="5">
        <f t="shared" si="2"/>
        <v>123</v>
      </c>
      <c r="D127" s="5" t="s">
        <v>1375</v>
      </c>
      <c r="E127" s="5" t="s">
        <v>1376</v>
      </c>
      <c r="F127" s="5"/>
      <c r="G127" s="5"/>
      <c r="H127" s="5">
        <v>63</v>
      </c>
      <c r="I127" s="712">
        <v>52.3</v>
      </c>
      <c r="J127" s="713"/>
      <c r="K127" s="714"/>
      <c r="L127" s="5">
        <f t="shared" si="3"/>
        <v>7962.3</v>
      </c>
      <c r="M127" s="5"/>
      <c r="N127" s="5"/>
      <c r="O127" s="498"/>
      <c r="P127" s="498"/>
    </row>
    <row r="128" spans="3:16" hidden="1">
      <c r="C128" s="5">
        <f t="shared" si="2"/>
        <v>124</v>
      </c>
      <c r="D128" s="5" t="s">
        <v>1376</v>
      </c>
      <c r="E128" s="5" t="s">
        <v>44</v>
      </c>
      <c r="F128" s="5"/>
      <c r="G128" s="5"/>
      <c r="H128" s="5">
        <v>63</v>
      </c>
      <c r="I128" s="712">
        <v>86.3</v>
      </c>
      <c r="J128" s="713"/>
      <c r="K128" s="714"/>
      <c r="L128" s="5">
        <f t="shared" si="3"/>
        <v>8048.6</v>
      </c>
      <c r="M128" s="5"/>
      <c r="N128" s="5"/>
      <c r="O128" s="498"/>
      <c r="P128" s="498"/>
    </row>
    <row r="129" spans="3:16" hidden="1">
      <c r="C129" s="5">
        <f t="shared" si="2"/>
        <v>125</v>
      </c>
      <c r="D129" s="5" t="s">
        <v>1376</v>
      </c>
      <c r="E129" s="5" t="s">
        <v>1377</v>
      </c>
      <c r="F129" s="5"/>
      <c r="G129" s="5"/>
      <c r="H129" s="5">
        <v>63</v>
      </c>
      <c r="I129" s="712">
        <v>43.1</v>
      </c>
      <c r="J129" s="713"/>
      <c r="K129" s="714"/>
      <c r="L129" s="5">
        <f t="shared" si="3"/>
        <v>8091.7000000000007</v>
      </c>
      <c r="M129" s="5"/>
      <c r="N129" s="5"/>
      <c r="O129" s="498"/>
      <c r="P129" s="498"/>
    </row>
    <row r="130" spans="3:16" hidden="1">
      <c r="C130" s="5">
        <f t="shared" si="2"/>
        <v>126</v>
      </c>
      <c r="D130" s="5" t="s">
        <v>1377</v>
      </c>
      <c r="E130" s="5" t="s">
        <v>58</v>
      </c>
      <c r="F130" s="5"/>
      <c r="G130" s="5"/>
      <c r="H130" s="5">
        <v>63</v>
      </c>
      <c r="I130" s="712">
        <v>37.6</v>
      </c>
      <c r="J130" s="713"/>
      <c r="K130" s="714"/>
      <c r="L130" s="5">
        <f t="shared" si="3"/>
        <v>8129.3000000000011</v>
      </c>
      <c r="M130" s="5"/>
      <c r="N130" s="5"/>
      <c r="O130" s="498"/>
      <c r="P130" s="498"/>
    </row>
    <row r="131" spans="3:16" hidden="1">
      <c r="C131" s="5">
        <f t="shared" si="2"/>
        <v>127</v>
      </c>
      <c r="D131" s="5" t="s">
        <v>58</v>
      </c>
      <c r="E131" s="5" t="s">
        <v>51</v>
      </c>
      <c r="F131" s="5"/>
      <c r="G131" s="5"/>
      <c r="H131" s="5">
        <v>63</v>
      </c>
      <c r="I131" s="712">
        <v>70.5</v>
      </c>
      <c r="J131" s="713"/>
      <c r="K131" s="714"/>
      <c r="L131" s="5">
        <f t="shared" si="3"/>
        <v>8199.8000000000011</v>
      </c>
      <c r="M131" s="5"/>
      <c r="N131" s="5"/>
      <c r="O131" s="498"/>
      <c r="P131" s="498"/>
    </row>
    <row r="132" spans="3:16" hidden="1">
      <c r="C132" s="5">
        <f t="shared" si="2"/>
        <v>128</v>
      </c>
      <c r="D132" s="5" t="s">
        <v>51</v>
      </c>
      <c r="E132" s="5" t="s">
        <v>90</v>
      </c>
      <c r="F132" s="5"/>
      <c r="G132" s="5"/>
      <c r="H132" s="5">
        <v>63</v>
      </c>
      <c r="I132" s="712">
        <v>170.1</v>
      </c>
      <c r="J132" s="713"/>
      <c r="K132" s="714"/>
      <c r="L132" s="5">
        <f t="shared" si="3"/>
        <v>8369.9000000000015</v>
      </c>
      <c r="M132" s="5"/>
      <c r="N132" s="5"/>
      <c r="O132" s="498"/>
      <c r="P132" s="498"/>
    </row>
    <row r="133" spans="3:16" s="60" customFormat="1" hidden="1">
      <c r="C133" s="5">
        <f t="shared" si="2"/>
        <v>129</v>
      </c>
      <c r="D133" s="6" t="s">
        <v>732</v>
      </c>
      <c r="E133" s="6" t="s">
        <v>88</v>
      </c>
      <c r="F133" s="6"/>
      <c r="G133" s="6"/>
      <c r="H133" s="6">
        <v>63</v>
      </c>
      <c r="I133" s="712">
        <v>83.8</v>
      </c>
      <c r="J133" s="713"/>
      <c r="K133" s="714"/>
      <c r="L133" s="5">
        <f t="shared" si="3"/>
        <v>8453.7000000000007</v>
      </c>
      <c r="M133" s="5"/>
      <c r="N133" s="5"/>
      <c r="O133" s="681"/>
      <c r="P133" s="681"/>
    </row>
    <row r="134" spans="3:16" hidden="1">
      <c r="C134" s="5">
        <f t="shared" si="2"/>
        <v>130</v>
      </c>
      <c r="D134" s="5" t="s">
        <v>911</v>
      </c>
      <c r="E134" s="5" t="s">
        <v>125</v>
      </c>
      <c r="F134" s="5"/>
      <c r="G134" s="5"/>
      <c r="H134" s="5">
        <v>63</v>
      </c>
      <c r="I134" s="712">
        <v>45</v>
      </c>
      <c r="J134" s="713"/>
      <c r="K134" s="714"/>
      <c r="L134" s="5">
        <f t="shared" si="3"/>
        <v>8498.7000000000007</v>
      </c>
      <c r="M134" s="5"/>
      <c r="N134" s="5"/>
      <c r="O134" s="498"/>
      <c r="P134" s="498"/>
    </row>
    <row r="135" spans="3:16" hidden="1">
      <c r="C135" s="5">
        <f t="shared" ref="C135:C198" si="4">1+C134</f>
        <v>131</v>
      </c>
      <c r="D135" s="5" t="s">
        <v>911</v>
      </c>
      <c r="E135" s="5" t="s">
        <v>79</v>
      </c>
      <c r="F135" s="5"/>
      <c r="G135" s="5"/>
      <c r="H135" s="5">
        <v>63</v>
      </c>
      <c r="I135" s="712">
        <v>25.1</v>
      </c>
      <c r="J135" s="713"/>
      <c r="K135" s="714"/>
      <c r="L135" s="5">
        <f t="shared" ref="L135:L198" si="5">+L134+I135</f>
        <v>8523.8000000000011</v>
      </c>
      <c r="M135" s="5"/>
      <c r="N135" s="5"/>
      <c r="O135" s="498"/>
      <c r="P135" s="498"/>
    </row>
    <row r="136" spans="3:16" hidden="1">
      <c r="C136" s="5">
        <f t="shared" si="4"/>
        <v>132</v>
      </c>
      <c r="D136" s="5" t="s">
        <v>79</v>
      </c>
      <c r="E136" s="5" t="s">
        <v>1378</v>
      </c>
      <c r="F136" s="5"/>
      <c r="G136" s="5"/>
      <c r="H136" s="5">
        <v>63</v>
      </c>
      <c r="I136" s="712">
        <v>27</v>
      </c>
      <c r="J136" s="713"/>
      <c r="K136" s="714"/>
      <c r="L136" s="5">
        <f t="shared" si="5"/>
        <v>8550.8000000000011</v>
      </c>
      <c r="M136" s="5"/>
      <c r="N136" s="5"/>
      <c r="O136" s="498"/>
      <c r="P136" s="498"/>
    </row>
    <row r="137" spans="3:16" hidden="1">
      <c r="C137" s="5">
        <f t="shared" si="4"/>
        <v>133</v>
      </c>
      <c r="D137" s="5" t="s">
        <v>1377</v>
      </c>
      <c r="E137" s="5" t="s">
        <v>1378</v>
      </c>
      <c r="F137" s="5"/>
      <c r="G137" s="5"/>
      <c r="H137" s="5">
        <v>63</v>
      </c>
      <c r="I137" s="712">
        <v>80.5</v>
      </c>
      <c r="J137" s="713"/>
      <c r="K137" s="714"/>
      <c r="L137" s="5">
        <f t="shared" si="5"/>
        <v>8631.3000000000011</v>
      </c>
      <c r="M137" s="5"/>
      <c r="N137" s="5"/>
      <c r="O137" s="498"/>
      <c r="P137" s="498"/>
    </row>
    <row r="138" spans="3:16" hidden="1">
      <c r="C138" s="5">
        <f t="shared" si="4"/>
        <v>134</v>
      </c>
      <c r="D138" s="5" t="s">
        <v>1378</v>
      </c>
      <c r="E138" s="5" t="s">
        <v>1379</v>
      </c>
      <c r="F138" s="5"/>
      <c r="G138" s="5"/>
      <c r="H138" s="5">
        <v>63</v>
      </c>
      <c r="I138" s="712">
        <v>29.6</v>
      </c>
      <c r="J138" s="713"/>
      <c r="K138" s="714"/>
      <c r="L138" s="5">
        <f t="shared" si="5"/>
        <v>8660.9000000000015</v>
      </c>
      <c r="M138" s="5"/>
      <c r="N138" s="5"/>
      <c r="O138" s="498"/>
      <c r="P138" s="498"/>
    </row>
    <row r="139" spans="3:16" hidden="1">
      <c r="C139" s="5">
        <f t="shared" si="4"/>
        <v>135</v>
      </c>
      <c r="D139" s="5" t="s">
        <v>1379</v>
      </c>
      <c r="E139" s="5" t="s">
        <v>90</v>
      </c>
      <c r="F139" s="5"/>
      <c r="G139" s="5"/>
      <c r="H139" s="5">
        <v>63</v>
      </c>
      <c r="I139" s="712">
        <v>54.5</v>
      </c>
      <c r="J139" s="713"/>
      <c r="K139" s="714"/>
      <c r="L139" s="5">
        <f t="shared" si="5"/>
        <v>8715.4000000000015</v>
      </c>
      <c r="M139" s="5"/>
      <c r="N139" s="5"/>
      <c r="O139" s="498"/>
      <c r="P139" s="498"/>
    </row>
    <row r="140" spans="3:16" hidden="1">
      <c r="C140" s="5">
        <f t="shared" si="4"/>
        <v>136</v>
      </c>
      <c r="D140" s="5" t="s">
        <v>90</v>
      </c>
      <c r="E140" s="5" t="s">
        <v>1380</v>
      </c>
      <c r="F140" s="5"/>
      <c r="G140" s="5"/>
      <c r="H140" s="5">
        <v>63</v>
      </c>
      <c r="I140" s="712">
        <v>33.700000000000003</v>
      </c>
      <c r="J140" s="713"/>
      <c r="K140" s="714"/>
      <c r="L140" s="5">
        <f t="shared" si="5"/>
        <v>8749.1000000000022</v>
      </c>
      <c r="M140" s="5"/>
      <c r="N140" s="5"/>
      <c r="O140" s="498"/>
      <c r="P140" s="498"/>
    </row>
    <row r="141" spans="3:16" s="60" customFormat="1" hidden="1">
      <c r="C141" s="5">
        <f t="shared" si="4"/>
        <v>137</v>
      </c>
      <c r="D141" s="6" t="s">
        <v>1131</v>
      </c>
      <c r="E141" s="6" t="s">
        <v>1332</v>
      </c>
      <c r="F141" s="6"/>
      <c r="G141" s="6"/>
      <c r="H141" s="6">
        <v>63</v>
      </c>
      <c r="I141" s="712">
        <v>86.4</v>
      </c>
      <c r="J141" s="713"/>
      <c r="K141" s="714"/>
      <c r="L141" s="5">
        <f t="shared" si="5"/>
        <v>8835.5000000000018</v>
      </c>
      <c r="M141" s="10"/>
      <c r="N141" s="10"/>
      <c r="O141" s="712"/>
      <c r="P141" s="714"/>
    </row>
    <row r="142" spans="3:16" hidden="1">
      <c r="C142" s="5">
        <f t="shared" si="4"/>
        <v>138</v>
      </c>
      <c r="D142" s="5" t="s">
        <v>1380</v>
      </c>
      <c r="E142" s="5" t="s">
        <v>1381</v>
      </c>
      <c r="F142" s="5"/>
      <c r="G142" s="5"/>
      <c r="H142" s="5">
        <v>63</v>
      </c>
      <c r="I142" s="712">
        <v>61.4</v>
      </c>
      <c r="J142" s="713"/>
      <c r="K142" s="714"/>
      <c r="L142" s="5">
        <f t="shared" si="5"/>
        <v>8896.9000000000015</v>
      </c>
      <c r="M142" s="5"/>
      <c r="N142" s="5"/>
      <c r="O142" s="498"/>
      <c r="P142" s="498"/>
    </row>
    <row r="143" spans="3:16">
      <c r="C143" s="5">
        <f t="shared" si="4"/>
        <v>139</v>
      </c>
      <c r="D143" s="5" t="s">
        <v>1381</v>
      </c>
      <c r="E143" s="5" t="s">
        <v>1382</v>
      </c>
      <c r="F143" s="5" t="s">
        <v>45</v>
      </c>
      <c r="G143" s="5">
        <v>0.36</v>
      </c>
      <c r="H143" s="5">
        <v>63</v>
      </c>
      <c r="I143" s="712">
        <v>114.5</v>
      </c>
      <c r="J143" s="713"/>
      <c r="K143" s="714"/>
      <c r="L143" s="5">
        <f t="shared" si="5"/>
        <v>9011.4000000000015</v>
      </c>
      <c r="M143" s="5"/>
      <c r="N143" s="5"/>
      <c r="O143" s="498"/>
      <c r="P143" s="498"/>
    </row>
    <row r="144" spans="3:16" hidden="1">
      <c r="C144" s="5">
        <f t="shared" si="4"/>
        <v>140</v>
      </c>
      <c r="D144" s="5" t="s">
        <v>1382</v>
      </c>
      <c r="E144" s="5" t="s">
        <v>1306</v>
      </c>
      <c r="F144" s="5"/>
      <c r="G144" s="5"/>
      <c r="H144" s="5">
        <v>63</v>
      </c>
      <c r="I144" s="712">
        <v>38.5</v>
      </c>
      <c r="J144" s="713"/>
      <c r="K144" s="714"/>
      <c r="L144" s="5">
        <f t="shared" si="5"/>
        <v>9049.9000000000015</v>
      </c>
      <c r="M144" s="5"/>
      <c r="N144" s="5"/>
      <c r="O144" s="498"/>
      <c r="P144" s="498"/>
    </row>
    <row r="145" spans="3:24" hidden="1">
      <c r="C145" s="5">
        <f t="shared" si="4"/>
        <v>141</v>
      </c>
      <c r="D145" s="5" t="s">
        <v>1382</v>
      </c>
      <c r="E145" s="5" t="s">
        <v>1383</v>
      </c>
      <c r="F145" s="5"/>
      <c r="G145" s="5"/>
      <c r="H145" s="5">
        <v>63</v>
      </c>
      <c r="I145" s="712">
        <v>7.1</v>
      </c>
      <c r="J145" s="713"/>
      <c r="K145" s="714"/>
      <c r="L145" s="5">
        <f t="shared" si="5"/>
        <v>9057.0000000000018</v>
      </c>
      <c r="M145" s="5"/>
      <c r="N145" s="5"/>
      <c r="O145" s="498"/>
      <c r="P145" s="498"/>
    </row>
    <row r="146" spans="3:24" hidden="1">
      <c r="C146" s="5">
        <f t="shared" si="4"/>
        <v>142</v>
      </c>
      <c r="D146" s="5" t="s">
        <v>1383</v>
      </c>
      <c r="E146" s="5" t="s">
        <v>1131</v>
      </c>
      <c r="F146" s="5"/>
      <c r="G146" s="5"/>
      <c r="H146" s="5">
        <v>63</v>
      </c>
      <c r="I146" s="712">
        <v>11.3</v>
      </c>
      <c r="J146" s="713"/>
      <c r="K146" s="714"/>
      <c r="L146" s="5">
        <f t="shared" si="5"/>
        <v>9068.3000000000011</v>
      </c>
      <c r="M146" s="5"/>
      <c r="N146" s="5"/>
      <c r="O146" s="498"/>
      <c r="P146" s="498"/>
    </row>
    <row r="147" spans="3:24" hidden="1">
      <c r="C147" s="5">
        <f t="shared" si="4"/>
        <v>143</v>
      </c>
      <c r="D147" s="5" t="s">
        <v>1383</v>
      </c>
      <c r="E147" s="5" t="s">
        <v>1131</v>
      </c>
      <c r="F147" s="5"/>
      <c r="G147" s="5"/>
      <c r="H147" s="5">
        <v>63</v>
      </c>
      <c r="I147" s="712">
        <v>116</v>
      </c>
      <c r="J147" s="713"/>
      <c r="K147" s="714"/>
      <c r="L147" s="5">
        <f t="shared" si="5"/>
        <v>9184.3000000000011</v>
      </c>
      <c r="M147" s="5"/>
      <c r="N147" s="5"/>
      <c r="O147" s="498"/>
      <c r="P147" s="498"/>
    </row>
    <row r="148" spans="3:24" hidden="1">
      <c r="C148" s="5">
        <f t="shared" si="4"/>
        <v>144</v>
      </c>
      <c r="D148" s="18" t="s">
        <v>1131</v>
      </c>
      <c r="E148" s="18" t="s">
        <v>1379</v>
      </c>
      <c r="F148" s="5"/>
      <c r="G148" s="5"/>
      <c r="H148" s="5">
        <v>63</v>
      </c>
      <c r="I148" s="712">
        <v>188</v>
      </c>
      <c r="J148" s="713"/>
      <c r="K148" s="714"/>
      <c r="L148" s="5">
        <f t="shared" si="5"/>
        <v>9372.3000000000011</v>
      </c>
      <c r="M148" s="5"/>
      <c r="N148" s="5"/>
      <c r="O148" s="498"/>
      <c r="P148" s="498"/>
    </row>
    <row r="149" spans="3:24" hidden="1">
      <c r="C149" s="5">
        <f t="shared" si="4"/>
        <v>145</v>
      </c>
      <c r="D149" s="18" t="s">
        <v>1383</v>
      </c>
      <c r="E149" s="18" t="s">
        <v>1384</v>
      </c>
      <c r="F149" s="5"/>
      <c r="G149" s="5"/>
      <c r="H149" s="5">
        <v>63</v>
      </c>
      <c r="I149" s="712">
        <v>182</v>
      </c>
      <c r="J149" s="713"/>
      <c r="K149" s="714"/>
      <c r="L149" s="5">
        <f t="shared" si="5"/>
        <v>9554.3000000000011</v>
      </c>
      <c r="M149" s="5"/>
      <c r="N149" s="5"/>
      <c r="O149" s="498"/>
      <c r="P149" s="498"/>
    </row>
    <row r="150" spans="3:24" hidden="1">
      <c r="C150" s="5">
        <f t="shared" si="4"/>
        <v>146</v>
      </c>
      <c r="D150" s="18" t="s">
        <v>51</v>
      </c>
      <c r="E150" s="18" t="s">
        <v>1385</v>
      </c>
      <c r="F150" s="5"/>
      <c r="G150" s="5"/>
      <c r="H150" s="5">
        <v>63</v>
      </c>
      <c r="I150" s="712">
        <v>150.5</v>
      </c>
      <c r="J150" s="713"/>
      <c r="K150" s="714"/>
      <c r="L150" s="5">
        <f t="shared" si="5"/>
        <v>9704.8000000000011</v>
      </c>
      <c r="M150" s="5"/>
      <c r="N150" s="5"/>
      <c r="O150" s="498"/>
      <c r="P150" s="498"/>
      <c r="Q150" s="18" t="s">
        <v>51</v>
      </c>
      <c r="R150" s="18" t="s">
        <v>1385</v>
      </c>
      <c r="S150" s="8"/>
      <c r="T150" s="8"/>
      <c r="U150" s="5">
        <v>63</v>
      </c>
      <c r="V150" s="706">
        <v>150.5</v>
      </c>
      <c r="W150" s="707"/>
      <c r="X150" s="708"/>
    </row>
    <row r="151" spans="3:24" hidden="1">
      <c r="C151" s="5">
        <f t="shared" si="4"/>
        <v>147</v>
      </c>
      <c r="D151" s="18" t="s">
        <v>1375</v>
      </c>
      <c r="E151" s="18" t="s">
        <v>1386</v>
      </c>
      <c r="F151" s="5"/>
      <c r="G151" s="5"/>
      <c r="H151" s="5">
        <v>63</v>
      </c>
      <c r="I151" s="712">
        <v>31</v>
      </c>
      <c r="J151" s="713"/>
      <c r="K151" s="714"/>
      <c r="L151" s="5">
        <f t="shared" si="5"/>
        <v>9735.8000000000011</v>
      </c>
      <c r="M151" s="5"/>
      <c r="N151" s="5"/>
      <c r="O151" s="498"/>
      <c r="P151" s="498"/>
      <c r="Q151" s="18" t="s">
        <v>1375</v>
      </c>
      <c r="R151" s="18" t="s">
        <v>1386</v>
      </c>
      <c r="S151" s="8"/>
      <c r="T151" s="8"/>
      <c r="U151" s="5">
        <v>63</v>
      </c>
      <c r="V151" s="706">
        <v>31</v>
      </c>
      <c r="W151" s="707"/>
      <c r="X151" s="708"/>
    </row>
    <row r="152" spans="3:24" hidden="1">
      <c r="C152" s="5">
        <f t="shared" si="4"/>
        <v>148</v>
      </c>
      <c r="D152" s="18" t="s">
        <v>44</v>
      </c>
      <c r="E152" s="18" t="s">
        <v>1387</v>
      </c>
      <c r="F152" s="5"/>
      <c r="G152" s="5"/>
      <c r="H152" s="5">
        <v>63</v>
      </c>
      <c r="I152" s="712">
        <v>56.8</v>
      </c>
      <c r="J152" s="713"/>
      <c r="K152" s="714"/>
      <c r="L152" s="5">
        <f t="shared" si="5"/>
        <v>9792.6</v>
      </c>
      <c r="M152" s="5"/>
      <c r="N152" s="5"/>
      <c r="O152" s="498"/>
      <c r="P152" s="498"/>
      <c r="Q152" s="18" t="s">
        <v>44</v>
      </c>
      <c r="R152" s="18" t="s">
        <v>1387</v>
      </c>
      <c r="S152" s="8"/>
      <c r="T152" s="8"/>
      <c r="U152" s="5">
        <v>63</v>
      </c>
      <c r="V152" s="706">
        <v>58</v>
      </c>
      <c r="W152" s="707"/>
      <c r="X152" s="708"/>
    </row>
    <row r="153" spans="3:24" hidden="1">
      <c r="C153" s="5">
        <f t="shared" si="4"/>
        <v>149</v>
      </c>
      <c r="D153" s="5" t="s">
        <v>1384</v>
      </c>
      <c r="E153" s="5" t="s">
        <v>1311</v>
      </c>
      <c r="F153" s="5"/>
      <c r="G153" s="5"/>
      <c r="H153" s="5">
        <v>63</v>
      </c>
      <c r="I153" s="712">
        <v>65</v>
      </c>
      <c r="J153" s="713"/>
      <c r="K153" s="714"/>
      <c r="L153" s="5">
        <f t="shared" si="5"/>
        <v>9857.6</v>
      </c>
      <c r="M153" s="5"/>
      <c r="N153" s="5"/>
      <c r="O153" s="498"/>
      <c r="P153" s="498"/>
      <c r="Q153" s="5" t="s">
        <v>55</v>
      </c>
      <c r="R153" s="5" t="s">
        <v>1373</v>
      </c>
      <c r="S153" s="5" t="s">
        <v>45</v>
      </c>
      <c r="T153" s="8"/>
      <c r="U153" s="5">
        <v>63</v>
      </c>
      <c r="V153" s="706">
        <v>165</v>
      </c>
      <c r="W153" s="707"/>
      <c r="X153" s="708"/>
    </row>
    <row r="154" spans="3:24">
      <c r="C154" s="5">
        <f t="shared" si="4"/>
        <v>150</v>
      </c>
      <c r="D154" s="5" t="s">
        <v>1327</v>
      </c>
      <c r="E154" s="5" t="s">
        <v>1307</v>
      </c>
      <c r="F154" s="5" t="s">
        <v>45</v>
      </c>
      <c r="G154" s="5">
        <v>0.36</v>
      </c>
      <c r="H154" s="5">
        <v>63</v>
      </c>
      <c r="I154" s="712">
        <v>78</v>
      </c>
      <c r="J154" s="713"/>
      <c r="K154" s="714"/>
      <c r="L154" s="5">
        <f t="shared" si="5"/>
        <v>9935.6</v>
      </c>
      <c r="M154" s="5"/>
      <c r="N154" s="5"/>
      <c r="O154" s="498"/>
      <c r="P154" s="498"/>
      <c r="Q154" s="5" t="s">
        <v>55</v>
      </c>
      <c r="R154" s="5" t="s">
        <v>1373</v>
      </c>
      <c r="S154" s="8"/>
      <c r="T154" s="8"/>
      <c r="U154" s="5">
        <v>63</v>
      </c>
      <c r="V154" s="706">
        <v>26.3</v>
      </c>
      <c r="W154" s="707"/>
      <c r="X154" s="708"/>
    </row>
    <row r="155" spans="3:24" hidden="1">
      <c r="C155" s="5">
        <f t="shared" si="4"/>
        <v>151</v>
      </c>
      <c r="D155" s="5" t="s">
        <v>1307</v>
      </c>
      <c r="E155" s="5" t="s">
        <v>1133</v>
      </c>
      <c r="F155" s="5" t="s">
        <v>149</v>
      </c>
      <c r="G155" s="5">
        <v>0.36</v>
      </c>
      <c r="H155" s="5">
        <v>63</v>
      </c>
      <c r="I155" s="712">
        <v>17</v>
      </c>
      <c r="J155" s="713"/>
      <c r="K155" s="714"/>
      <c r="L155" s="5">
        <f t="shared" si="5"/>
        <v>9952.6</v>
      </c>
      <c r="M155" s="5"/>
      <c r="N155" s="5"/>
      <c r="O155" s="498"/>
      <c r="P155" s="498"/>
      <c r="Q155" s="5" t="s">
        <v>825</v>
      </c>
      <c r="R155" s="5" t="s">
        <v>1374</v>
      </c>
      <c r="S155" s="8"/>
      <c r="T155" s="8"/>
      <c r="U155" s="5">
        <v>63</v>
      </c>
      <c r="V155" s="706">
        <v>55.3</v>
      </c>
      <c r="W155" s="707"/>
      <c r="X155" s="708"/>
    </row>
    <row r="156" spans="3:24" hidden="1">
      <c r="C156" s="5">
        <f t="shared" si="4"/>
        <v>152</v>
      </c>
      <c r="D156" s="6" t="s">
        <v>1133</v>
      </c>
      <c r="E156" s="6" t="s">
        <v>1388</v>
      </c>
      <c r="F156" s="5" t="s">
        <v>149</v>
      </c>
      <c r="G156" s="5">
        <v>0.36</v>
      </c>
      <c r="H156" s="5">
        <v>63</v>
      </c>
      <c r="I156" s="712">
        <v>54.5</v>
      </c>
      <c r="J156" s="713"/>
      <c r="K156" s="714"/>
      <c r="L156" s="5">
        <f t="shared" si="5"/>
        <v>10007.1</v>
      </c>
      <c r="M156" s="5"/>
      <c r="N156" s="5"/>
      <c r="O156" s="498"/>
      <c r="P156" s="498"/>
      <c r="Q156" s="5" t="s">
        <v>1364</v>
      </c>
      <c r="R156" s="5" t="s">
        <v>1365</v>
      </c>
      <c r="S156" s="5"/>
      <c r="T156" s="5"/>
      <c r="U156" s="5">
        <v>63</v>
      </c>
      <c r="V156" s="715">
        <v>116</v>
      </c>
      <c r="W156" s="715"/>
      <c r="X156" s="715"/>
    </row>
    <row r="157" spans="3:24" hidden="1">
      <c r="C157" s="5">
        <f t="shared" si="4"/>
        <v>153</v>
      </c>
      <c r="D157" s="5" t="s">
        <v>1388</v>
      </c>
      <c r="E157" s="5" t="s">
        <v>1359</v>
      </c>
      <c r="F157" s="5" t="s">
        <v>149</v>
      </c>
      <c r="G157" s="5">
        <v>0.36</v>
      </c>
      <c r="H157" s="5">
        <v>63</v>
      </c>
      <c r="I157" s="712">
        <v>96</v>
      </c>
      <c r="J157" s="713"/>
      <c r="K157" s="714"/>
      <c r="L157" s="5">
        <f t="shared" si="5"/>
        <v>10103.1</v>
      </c>
      <c r="M157" s="5" t="s">
        <v>1389</v>
      </c>
      <c r="N157" s="5"/>
      <c r="O157" s="498"/>
      <c r="P157" s="498"/>
      <c r="Q157" s="5" t="s">
        <v>1390</v>
      </c>
      <c r="R157" s="5" t="s">
        <v>1391</v>
      </c>
      <c r="S157" s="5"/>
      <c r="T157" s="5"/>
      <c r="U157" s="5">
        <v>63</v>
      </c>
      <c r="V157" s="706">
        <v>15.8</v>
      </c>
      <c r="W157" s="707"/>
      <c r="X157" s="708"/>
    </row>
    <row r="158" spans="3:24" hidden="1">
      <c r="C158" s="5">
        <f t="shared" si="4"/>
        <v>154</v>
      </c>
      <c r="D158" s="5" t="s">
        <v>1388</v>
      </c>
      <c r="E158" s="5" t="s">
        <v>1392</v>
      </c>
      <c r="F158" s="5" t="s">
        <v>149</v>
      </c>
      <c r="G158" s="5">
        <v>0.36</v>
      </c>
      <c r="H158" s="5">
        <v>63</v>
      </c>
      <c r="I158" s="712">
        <v>4.7</v>
      </c>
      <c r="J158" s="713"/>
      <c r="K158" s="714"/>
      <c r="L158" s="5">
        <f t="shared" si="5"/>
        <v>10107.800000000001</v>
      </c>
      <c r="M158" s="5"/>
      <c r="N158" s="5"/>
      <c r="O158" s="498"/>
      <c r="P158" s="498"/>
      <c r="Q158" s="5" t="s">
        <v>1393</v>
      </c>
      <c r="R158" s="5" t="s">
        <v>1394</v>
      </c>
      <c r="S158" s="5"/>
      <c r="T158" s="8"/>
      <c r="U158" s="5">
        <v>63</v>
      </c>
      <c r="V158" s="706">
        <v>36</v>
      </c>
      <c r="W158" s="707"/>
      <c r="X158" s="708"/>
    </row>
    <row r="159" spans="3:24">
      <c r="C159" s="5">
        <f t="shared" si="4"/>
        <v>155</v>
      </c>
      <c r="D159" s="5" t="s">
        <v>1388</v>
      </c>
      <c r="E159" s="5" t="s">
        <v>1392</v>
      </c>
      <c r="F159" s="5" t="s">
        <v>45</v>
      </c>
      <c r="G159" s="5">
        <v>0.36</v>
      </c>
      <c r="H159" s="5">
        <v>63</v>
      </c>
      <c r="I159" s="712">
        <v>49.7</v>
      </c>
      <c r="J159" s="713"/>
      <c r="K159" s="714"/>
      <c r="L159" s="5">
        <f t="shared" si="5"/>
        <v>10157.500000000002</v>
      </c>
      <c r="M159" s="5"/>
      <c r="N159" s="5"/>
      <c r="O159" s="498"/>
      <c r="P159" s="498"/>
      <c r="Q159" s="5" t="s">
        <v>844</v>
      </c>
      <c r="R159" s="5" t="s">
        <v>1395</v>
      </c>
      <c r="S159" s="5"/>
      <c r="T159" s="8"/>
      <c r="U159" s="5">
        <v>63</v>
      </c>
      <c r="V159" s="706">
        <v>96</v>
      </c>
      <c r="W159" s="707"/>
      <c r="X159" s="708"/>
    </row>
    <row r="160" spans="3:24" hidden="1">
      <c r="C160" s="5">
        <f t="shared" si="4"/>
        <v>156</v>
      </c>
      <c r="D160" s="5" t="s">
        <v>1392</v>
      </c>
      <c r="E160" s="5" t="s">
        <v>1164</v>
      </c>
      <c r="F160" s="5"/>
      <c r="G160" s="5"/>
      <c r="H160" s="5">
        <v>63</v>
      </c>
      <c r="I160" s="712">
        <v>69.3</v>
      </c>
      <c r="J160" s="713"/>
      <c r="K160" s="714"/>
      <c r="L160" s="5">
        <f t="shared" si="5"/>
        <v>10226.800000000001</v>
      </c>
      <c r="M160" s="5" t="s">
        <v>1396</v>
      </c>
      <c r="N160" s="5"/>
      <c r="O160" s="498"/>
      <c r="P160" s="498"/>
      <c r="T160" s="657" t="s">
        <v>1397</v>
      </c>
      <c r="U160" s="657"/>
      <c r="V160" s="657">
        <f>+SUM(V150:X159)</f>
        <v>749.9</v>
      </c>
      <c r="W160" s="657"/>
      <c r="X160" s="657"/>
    </row>
    <row r="161" spans="3:16" hidden="1">
      <c r="C161" s="5">
        <f t="shared" si="4"/>
        <v>157</v>
      </c>
      <c r="D161" s="5" t="s">
        <v>1392</v>
      </c>
      <c r="E161" s="5" t="s">
        <v>1398</v>
      </c>
      <c r="F161" s="5"/>
      <c r="G161" s="5"/>
      <c r="H161" s="5">
        <v>63</v>
      </c>
      <c r="I161" s="712">
        <v>114.5</v>
      </c>
      <c r="J161" s="713"/>
      <c r="K161" s="714"/>
      <c r="L161" s="5">
        <f t="shared" si="5"/>
        <v>10341.300000000001</v>
      </c>
      <c r="M161" s="5"/>
      <c r="N161" s="5"/>
      <c r="O161" s="498"/>
      <c r="P161" s="498"/>
    </row>
    <row r="162" spans="3:16" hidden="1">
      <c r="C162" s="5">
        <f t="shared" si="4"/>
        <v>158</v>
      </c>
      <c r="D162" s="5" t="s">
        <v>1398</v>
      </c>
      <c r="E162" s="5" t="s">
        <v>1399</v>
      </c>
      <c r="F162" s="5"/>
      <c r="G162" s="5"/>
      <c r="H162" s="5">
        <v>63</v>
      </c>
      <c r="I162" s="712">
        <v>56</v>
      </c>
      <c r="J162" s="713"/>
      <c r="K162" s="714"/>
      <c r="L162" s="5">
        <f t="shared" si="5"/>
        <v>10397.300000000001</v>
      </c>
      <c r="M162" s="5"/>
      <c r="N162" s="5"/>
      <c r="O162" s="498"/>
      <c r="P162" s="498"/>
    </row>
    <row r="163" spans="3:16" hidden="1">
      <c r="C163" s="5">
        <f t="shared" si="4"/>
        <v>159</v>
      </c>
      <c r="D163" s="5" t="s">
        <v>1398</v>
      </c>
      <c r="E163" s="5" t="s">
        <v>132</v>
      </c>
      <c r="F163" s="5"/>
      <c r="G163" s="5"/>
      <c r="H163" s="5">
        <v>63</v>
      </c>
      <c r="I163" s="712">
        <v>61</v>
      </c>
      <c r="J163" s="713"/>
      <c r="K163" s="714"/>
      <c r="L163" s="5">
        <f t="shared" si="5"/>
        <v>10458.300000000001</v>
      </c>
      <c r="M163" s="5"/>
      <c r="N163" s="5"/>
      <c r="O163" s="498"/>
      <c r="P163" s="498"/>
    </row>
    <row r="164" spans="3:16" hidden="1">
      <c r="C164" s="5">
        <f t="shared" si="4"/>
        <v>160</v>
      </c>
      <c r="D164" s="5" t="s">
        <v>1400</v>
      </c>
      <c r="E164" s="5" t="s">
        <v>1401</v>
      </c>
      <c r="F164" s="5"/>
      <c r="G164" s="5"/>
      <c r="H164" s="5">
        <v>63</v>
      </c>
      <c r="I164" s="712">
        <v>51.9</v>
      </c>
      <c r="J164" s="713"/>
      <c r="K164" s="714"/>
      <c r="L164" s="5">
        <f t="shared" si="5"/>
        <v>10510.2</v>
      </c>
      <c r="M164" s="5"/>
      <c r="N164" s="5"/>
      <c r="O164" s="498"/>
      <c r="P164" s="498"/>
    </row>
    <row r="165" spans="3:16">
      <c r="C165" s="5">
        <f t="shared" si="4"/>
        <v>161</v>
      </c>
      <c r="D165" s="5" t="s">
        <v>1400</v>
      </c>
      <c r="E165" s="5" t="s">
        <v>1327</v>
      </c>
      <c r="F165" s="5" t="s">
        <v>45</v>
      </c>
      <c r="G165" s="5">
        <v>0.36</v>
      </c>
      <c r="H165" s="5">
        <v>63</v>
      </c>
      <c r="I165" s="712">
        <v>45.2</v>
      </c>
      <c r="J165" s="713"/>
      <c r="K165" s="714"/>
      <c r="L165" s="5">
        <f t="shared" si="5"/>
        <v>10555.400000000001</v>
      </c>
      <c r="M165" s="5"/>
      <c r="N165" s="5"/>
      <c r="O165" s="498"/>
      <c r="P165" s="498"/>
    </row>
    <row r="166" spans="3:16" hidden="1">
      <c r="C166" s="5">
        <f t="shared" si="4"/>
        <v>162</v>
      </c>
      <c r="D166" s="5" t="s">
        <v>1327</v>
      </c>
      <c r="E166" s="5" t="s">
        <v>1402</v>
      </c>
      <c r="F166" s="5"/>
      <c r="G166" s="5"/>
      <c r="H166" s="5">
        <v>63</v>
      </c>
      <c r="I166" s="712">
        <v>23.2</v>
      </c>
      <c r="J166" s="713"/>
      <c r="K166" s="714"/>
      <c r="L166" s="5">
        <f t="shared" si="5"/>
        <v>10578.600000000002</v>
      </c>
      <c r="M166" s="5"/>
      <c r="N166" s="5"/>
      <c r="O166" s="498"/>
      <c r="P166" s="498"/>
    </row>
    <row r="167" spans="3:16">
      <c r="C167" s="5">
        <f t="shared" si="4"/>
        <v>163</v>
      </c>
      <c r="D167" s="5" t="s">
        <v>1402</v>
      </c>
      <c r="E167" s="5" t="s">
        <v>1403</v>
      </c>
      <c r="F167" s="5" t="s">
        <v>1367</v>
      </c>
      <c r="G167" s="5">
        <v>0.36</v>
      </c>
      <c r="H167" s="5">
        <v>63</v>
      </c>
      <c r="I167" s="712">
        <v>35.5</v>
      </c>
      <c r="J167" s="713"/>
      <c r="K167" s="714"/>
      <c r="L167" s="5">
        <f t="shared" si="5"/>
        <v>10614.100000000002</v>
      </c>
      <c r="M167" s="5"/>
      <c r="N167" s="5"/>
      <c r="O167" s="498"/>
      <c r="P167" s="498"/>
    </row>
    <row r="168" spans="3:16" hidden="1">
      <c r="C168" s="5">
        <f t="shared" si="4"/>
        <v>164</v>
      </c>
      <c r="D168" s="5" t="s">
        <v>1402</v>
      </c>
      <c r="E168" s="5" t="s">
        <v>1403</v>
      </c>
      <c r="F168" s="5"/>
      <c r="G168" s="5"/>
      <c r="H168" s="5">
        <v>63</v>
      </c>
      <c r="I168" s="712">
        <v>76.900000000000006</v>
      </c>
      <c r="J168" s="713"/>
      <c r="K168" s="714"/>
      <c r="L168" s="5">
        <f t="shared" si="5"/>
        <v>10691.000000000002</v>
      </c>
      <c r="M168" s="5"/>
      <c r="N168" s="5"/>
      <c r="O168" s="498"/>
      <c r="P168" s="498"/>
    </row>
    <row r="169" spans="3:16" hidden="1">
      <c r="C169" s="5">
        <f t="shared" si="4"/>
        <v>165</v>
      </c>
      <c r="D169" s="5" t="s">
        <v>1390</v>
      </c>
      <c r="E169" s="5" t="s">
        <v>1391</v>
      </c>
      <c r="F169" s="5"/>
      <c r="G169" s="5"/>
      <c r="H169" s="5">
        <v>63</v>
      </c>
      <c r="I169" s="712">
        <v>15.8</v>
      </c>
      <c r="J169" s="713"/>
      <c r="K169" s="714"/>
      <c r="L169" s="5">
        <f t="shared" si="5"/>
        <v>10706.800000000001</v>
      </c>
      <c r="M169" s="5"/>
      <c r="N169" s="5"/>
      <c r="O169" s="498"/>
      <c r="P169" s="498"/>
    </row>
    <row r="170" spans="3:16" hidden="1">
      <c r="C170" s="5">
        <f t="shared" si="4"/>
        <v>166</v>
      </c>
      <c r="D170" s="5" t="s">
        <v>1311</v>
      </c>
      <c r="E170" s="5" t="s">
        <v>1403</v>
      </c>
      <c r="F170" s="5"/>
      <c r="G170" s="5"/>
      <c r="H170" s="5">
        <v>63</v>
      </c>
      <c r="I170" s="712">
        <v>98.6</v>
      </c>
      <c r="J170" s="713"/>
      <c r="K170" s="714"/>
      <c r="L170" s="5">
        <f t="shared" si="5"/>
        <v>10805.400000000001</v>
      </c>
      <c r="M170" s="5"/>
      <c r="N170" s="5"/>
      <c r="O170" s="498"/>
      <c r="P170" s="498"/>
    </row>
    <row r="171" spans="3:16" hidden="1">
      <c r="C171" s="5">
        <f t="shared" si="4"/>
        <v>167</v>
      </c>
      <c r="D171" s="5" t="s">
        <v>1403</v>
      </c>
      <c r="E171" s="5" t="s">
        <v>80</v>
      </c>
      <c r="F171" s="5"/>
      <c r="G171" s="5"/>
      <c r="H171" s="5">
        <v>63</v>
      </c>
      <c r="I171" s="712">
        <v>69</v>
      </c>
      <c r="J171" s="713"/>
      <c r="K171" s="714"/>
      <c r="L171" s="5">
        <f t="shared" si="5"/>
        <v>10874.400000000001</v>
      </c>
      <c r="M171" s="5"/>
      <c r="N171" s="5"/>
      <c r="O171" s="498"/>
      <c r="P171" s="498"/>
    </row>
    <row r="172" spans="3:16" hidden="1">
      <c r="C172" s="5">
        <f t="shared" si="4"/>
        <v>168</v>
      </c>
      <c r="D172" s="5" t="s">
        <v>80</v>
      </c>
      <c r="E172" s="5" t="s">
        <v>91</v>
      </c>
      <c r="F172" s="5"/>
      <c r="G172" s="5"/>
      <c r="H172" s="5">
        <v>63</v>
      </c>
      <c r="I172" s="712">
        <v>18.5</v>
      </c>
      <c r="J172" s="713"/>
      <c r="K172" s="714"/>
      <c r="L172" s="5">
        <f t="shared" si="5"/>
        <v>10892.900000000001</v>
      </c>
      <c r="M172" s="5"/>
      <c r="N172" s="5"/>
      <c r="O172" s="498"/>
      <c r="P172" s="498"/>
    </row>
    <row r="173" spans="3:16" hidden="1">
      <c r="C173" s="5">
        <f t="shared" si="4"/>
        <v>169</v>
      </c>
      <c r="D173" s="5" t="s">
        <v>91</v>
      </c>
      <c r="E173" s="5" t="s">
        <v>1310</v>
      </c>
      <c r="F173" s="5"/>
      <c r="G173" s="5"/>
      <c r="H173" s="5">
        <v>63</v>
      </c>
      <c r="I173" s="712">
        <v>53.1</v>
      </c>
      <c r="J173" s="713"/>
      <c r="K173" s="714"/>
      <c r="L173" s="5">
        <f t="shared" si="5"/>
        <v>10946.000000000002</v>
      </c>
      <c r="M173" s="5"/>
      <c r="N173" s="5"/>
      <c r="O173" s="498"/>
      <c r="P173" s="498"/>
    </row>
    <row r="174" spans="3:16" hidden="1">
      <c r="C174" s="5">
        <f t="shared" si="4"/>
        <v>170</v>
      </c>
      <c r="D174" s="5" t="s">
        <v>91</v>
      </c>
      <c r="E174" s="5" t="s">
        <v>132</v>
      </c>
      <c r="F174" s="5"/>
      <c r="G174" s="5"/>
      <c r="H174" s="5">
        <v>63</v>
      </c>
      <c r="I174" s="712">
        <v>81</v>
      </c>
      <c r="J174" s="713"/>
      <c r="K174" s="714"/>
      <c r="L174" s="5">
        <f t="shared" si="5"/>
        <v>11027.000000000002</v>
      </c>
      <c r="M174" s="5"/>
      <c r="N174" s="5"/>
      <c r="O174" s="498"/>
      <c r="P174" s="498"/>
    </row>
    <row r="175" spans="3:16" hidden="1">
      <c r="C175" s="5">
        <f t="shared" si="4"/>
        <v>171</v>
      </c>
      <c r="D175" s="5" t="s">
        <v>1384</v>
      </c>
      <c r="E175" s="5" t="s">
        <v>92</v>
      </c>
      <c r="F175" s="5"/>
      <c r="G175" s="5"/>
      <c r="H175" s="5">
        <v>63</v>
      </c>
      <c r="I175" s="712">
        <v>62</v>
      </c>
      <c r="J175" s="713"/>
      <c r="K175" s="714"/>
      <c r="L175" s="5">
        <f t="shared" si="5"/>
        <v>11089.000000000002</v>
      </c>
      <c r="M175" s="5"/>
      <c r="N175" s="5"/>
      <c r="O175" s="498"/>
      <c r="P175" s="498"/>
    </row>
    <row r="176" spans="3:16" hidden="1">
      <c r="C176" s="5">
        <f t="shared" si="4"/>
        <v>172</v>
      </c>
      <c r="D176" s="5" t="s">
        <v>92</v>
      </c>
      <c r="E176" s="5" t="s">
        <v>1403</v>
      </c>
      <c r="F176" s="5"/>
      <c r="G176" s="5"/>
      <c r="H176" s="5">
        <v>63</v>
      </c>
      <c r="I176" s="712">
        <v>68</v>
      </c>
      <c r="J176" s="713"/>
      <c r="K176" s="714"/>
      <c r="L176" s="5">
        <f t="shared" si="5"/>
        <v>11157.000000000002</v>
      </c>
      <c r="M176" s="5"/>
      <c r="N176" s="5"/>
      <c r="O176" s="498"/>
      <c r="P176" s="498"/>
    </row>
    <row r="177" spans="3:16" hidden="1">
      <c r="C177" s="5">
        <f t="shared" si="4"/>
        <v>173</v>
      </c>
      <c r="D177" s="5" t="s">
        <v>1358</v>
      </c>
      <c r="E177" s="5" t="s">
        <v>1357</v>
      </c>
      <c r="F177" s="5"/>
      <c r="G177" s="5"/>
      <c r="H177" s="5">
        <v>63</v>
      </c>
      <c r="I177" s="712">
        <v>104</v>
      </c>
      <c r="J177" s="713"/>
      <c r="K177" s="714"/>
      <c r="L177" s="5">
        <f t="shared" si="5"/>
        <v>11261.000000000002</v>
      </c>
      <c r="M177" s="5"/>
      <c r="N177" s="5"/>
      <c r="O177" s="498"/>
      <c r="P177" s="498"/>
    </row>
    <row r="178" spans="3:16" hidden="1">
      <c r="C178" s="5">
        <f t="shared" si="4"/>
        <v>174</v>
      </c>
      <c r="D178" s="5" t="s">
        <v>1404</v>
      </c>
      <c r="E178" s="5" t="s">
        <v>1315</v>
      </c>
      <c r="F178" s="5"/>
      <c r="G178" s="5"/>
      <c r="H178" s="5">
        <v>63</v>
      </c>
      <c r="I178" s="712">
        <v>25</v>
      </c>
      <c r="J178" s="713"/>
      <c r="K178" s="714"/>
      <c r="L178" s="5">
        <f t="shared" si="5"/>
        <v>11286.000000000002</v>
      </c>
      <c r="M178" s="5"/>
      <c r="N178" s="5"/>
      <c r="O178" s="498"/>
      <c r="P178" s="498"/>
    </row>
    <row r="179" spans="3:16" hidden="1">
      <c r="C179" s="5">
        <f t="shared" si="4"/>
        <v>175</v>
      </c>
      <c r="D179" s="5" t="s">
        <v>1357</v>
      </c>
      <c r="E179" s="5" t="s">
        <v>1404</v>
      </c>
      <c r="F179" s="5"/>
      <c r="G179" s="5"/>
      <c r="H179" s="5">
        <v>63</v>
      </c>
      <c r="I179" s="712">
        <v>91</v>
      </c>
      <c r="J179" s="713"/>
      <c r="K179" s="714"/>
      <c r="L179" s="5">
        <f t="shared" si="5"/>
        <v>11377.000000000002</v>
      </c>
      <c r="M179" s="5"/>
      <c r="N179" s="5"/>
      <c r="O179" s="498"/>
      <c r="P179" s="498"/>
    </row>
    <row r="180" spans="3:16">
      <c r="C180" s="5">
        <f t="shared" si="4"/>
        <v>176</v>
      </c>
      <c r="D180" s="5" t="s">
        <v>1305</v>
      </c>
      <c r="E180" s="5" t="s">
        <v>1301</v>
      </c>
      <c r="F180" s="5" t="s">
        <v>45</v>
      </c>
      <c r="G180" s="5">
        <v>0.36</v>
      </c>
      <c r="H180" s="5">
        <v>63</v>
      </c>
      <c r="I180" s="712">
        <v>29.8</v>
      </c>
      <c r="J180" s="713"/>
      <c r="K180" s="714"/>
      <c r="L180" s="5">
        <f t="shared" si="5"/>
        <v>11406.800000000001</v>
      </c>
      <c r="M180" s="5"/>
      <c r="N180" s="5"/>
      <c r="O180" s="498"/>
      <c r="P180" s="498"/>
    </row>
    <row r="181" spans="3:16">
      <c r="C181" s="5">
        <f t="shared" si="4"/>
        <v>177</v>
      </c>
      <c r="D181" s="5" t="s">
        <v>1301</v>
      </c>
      <c r="E181" s="5" t="s">
        <v>1357</v>
      </c>
      <c r="F181" s="5" t="s">
        <v>1367</v>
      </c>
      <c r="G181" s="5">
        <v>0.36</v>
      </c>
      <c r="H181" s="5">
        <v>63</v>
      </c>
      <c r="I181" s="712">
        <v>9</v>
      </c>
      <c r="J181" s="713"/>
      <c r="K181" s="714"/>
      <c r="L181" s="5">
        <f t="shared" si="5"/>
        <v>11415.800000000001</v>
      </c>
      <c r="M181" s="5"/>
      <c r="N181" s="5"/>
      <c r="O181" s="498"/>
      <c r="P181" s="498"/>
    </row>
    <row r="182" spans="3:16">
      <c r="C182" s="5">
        <f t="shared" si="4"/>
        <v>178</v>
      </c>
      <c r="D182" s="5" t="s">
        <v>1301</v>
      </c>
      <c r="E182" s="5" t="s">
        <v>929</v>
      </c>
      <c r="F182" s="5" t="s">
        <v>45</v>
      </c>
      <c r="G182" s="5">
        <v>0.36</v>
      </c>
      <c r="H182" s="5">
        <v>63</v>
      </c>
      <c r="I182" s="712">
        <v>36.200000000000003</v>
      </c>
      <c r="J182" s="713"/>
      <c r="K182" s="714"/>
      <c r="L182" s="5">
        <f t="shared" si="5"/>
        <v>11452.000000000002</v>
      </c>
      <c r="M182" s="5"/>
      <c r="N182" s="5"/>
      <c r="O182" s="498"/>
      <c r="P182" s="498"/>
    </row>
    <row r="183" spans="3:16" hidden="1">
      <c r="C183" s="5">
        <f t="shared" si="4"/>
        <v>179</v>
      </c>
      <c r="D183" s="5" t="s">
        <v>148</v>
      </c>
      <c r="E183" s="5" t="s">
        <v>1237</v>
      </c>
      <c r="F183" s="5"/>
      <c r="G183" s="5"/>
      <c r="H183" s="5">
        <v>63</v>
      </c>
      <c r="I183" s="712">
        <v>19.2</v>
      </c>
      <c r="J183" s="713"/>
      <c r="K183" s="714"/>
      <c r="L183" s="5">
        <f t="shared" si="5"/>
        <v>11471.200000000003</v>
      </c>
      <c r="M183" s="5"/>
      <c r="N183" s="5"/>
      <c r="O183" s="498"/>
      <c r="P183" s="498"/>
    </row>
    <row r="184" spans="3:16" hidden="1">
      <c r="C184" s="5">
        <f t="shared" si="4"/>
        <v>180</v>
      </c>
      <c r="D184" s="5" t="s">
        <v>148</v>
      </c>
      <c r="E184" s="5" t="s">
        <v>732</v>
      </c>
      <c r="F184" s="5"/>
      <c r="G184" s="5"/>
      <c r="H184" s="5">
        <v>63</v>
      </c>
      <c r="I184" s="712">
        <v>128.6</v>
      </c>
      <c r="J184" s="713"/>
      <c r="K184" s="714"/>
      <c r="L184" s="5">
        <f t="shared" si="5"/>
        <v>11599.800000000003</v>
      </c>
      <c r="M184" s="5"/>
      <c r="N184" s="5"/>
      <c r="O184" s="498"/>
      <c r="P184" s="498"/>
    </row>
    <row r="185" spans="3:16" hidden="1">
      <c r="C185" s="5">
        <f t="shared" si="4"/>
        <v>181</v>
      </c>
      <c r="D185" s="5" t="s">
        <v>732</v>
      </c>
      <c r="E185" s="5" t="s">
        <v>127</v>
      </c>
      <c r="F185" s="5" t="s">
        <v>149</v>
      </c>
      <c r="G185" s="5">
        <v>0.36</v>
      </c>
      <c r="H185" s="5">
        <v>63</v>
      </c>
      <c r="I185" s="712">
        <v>52.6</v>
      </c>
      <c r="J185" s="713"/>
      <c r="K185" s="714"/>
      <c r="L185" s="5">
        <f t="shared" si="5"/>
        <v>11652.400000000003</v>
      </c>
      <c r="M185" s="5"/>
      <c r="N185" s="5"/>
      <c r="O185" s="498"/>
      <c r="P185" s="498"/>
    </row>
    <row r="186" spans="3:16" hidden="1">
      <c r="C186" s="5">
        <f t="shared" si="4"/>
        <v>182</v>
      </c>
      <c r="D186" s="5" t="s">
        <v>41</v>
      </c>
      <c r="E186" s="5" t="s">
        <v>43</v>
      </c>
      <c r="F186" s="5"/>
      <c r="G186" s="5"/>
      <c r="H186" s="5">
        <v>63</v>
      </c>
      <c r="I186" s="712">
        <v>33</v>
      </c>
      <c r="J186" s="713"/>
      <c r="K186" s="714"/>
      <c r="L186" s="5">
        <f t="shared" si="5"/>
        <v>11685.400000000003</v>
      </c>
      <c r="M186" s="5"/>
      <c r="N186" s="5"/>
      <c r="O186" s="498"/>
      <c r="P186" s="498"/>
    </row>
    <row r="187" spans="3:16" hidden="1">
      <c r="C187" s="5">
        <f t="shared" si="4"/>
        <v>183</v>
      </c>
      <c r="D187" s="5" t="s">
        <v>43</v>
      </c>
      <c r="E187" s="5" t="s">
        <v>1405</v>
      </c>
      <c r="F187" s="5"/>
      <c r="G187" s="5"/>
      <c r="H187" s="5">
        <v>63</v>
      </c>
      <c r="I187" s="712">
        <v>22</v>
      </c>
      <c r="J187" s="713"/>
      <c r="K187" s="714"/>
      <c r="L187" s="5">
        <f t="shared" si="5"/>
        <v>11707.400000000003</v>
      </c>
      <c r="M187" s="5"/>
      <c r="N187" s="5"/>
      <c r="O187" s="498"/>
      <c r="P187" s="498"/>
    </row>
    <row r="188" spans="3:16" hidden="1">
      <c r="C188" s="5">
        <f t="shared" si="4"/>
        <v>184</v>
      </c>
      <c r="D188" s="5" t="s">
        <v>43</v>
      </c>
      <c r="E188" s="5" t="s">
        <v>930</v>
      </c>
      <c r="F188" s="5"/>
      <c r="G188" s="5"/>
      <c r="H188" s="5">
        <v>63</v>
      </c>
      <c r="I188" s="712">
        <v>116.1</v>
      </c>
      <c r="J188" s="713"/>
      <c r="K188" s="714"/>
      <c r="L188" s="5">
        <f t="shared" si="5"/>
        <v>11823.500000000004</v>
      </c>
      <c r="M188" s="5" t="s">
        <v>1406</v>
      </c>
      <c r="N188" s="5"/>
      <c r="O188" s="498"/>
      <c r="P188" s="498"/>
    </row>
    <row r="189" spans="3:16" hidden="1">
      <c r="C189" s="5">
        <f t="shared" si="4"/>
        <v>185</v>
      </c>
      <c r="D189" s="5" t="s">
        <v>844</v>
      </c>
      <c r="E189" s="5" t="s">
        <v>1407</v>
      </c>
      <c r="F189" s="5"/>
      <c r="G189" s="5"/>
      <c r="H189" s="5">
        <v>63</v>
      </c>
      <c r="I189" s="712">
        <v>63</v>
      </c>
      <c r="J189" s="713"/>
      <c r="K189" s="714"/>
      <c r="L189" s="5">
        <f t="shared" si="5"/>
        <v>11886.500000000004</v>
      </c>
      <c r="M189" s="5"/>
      <c r="N189" s="5"/>
      <c r="O189" s="498"/>
      <c r="P189" s="498"/>
    </row>
    <row r="190" spans="3:16">
      <c r="C190" s="5">
        <f t="shared" si="4"/>
        <v>186</v>
      </c>
      <c r="D190" s="5" t="s">
        <v>844</v>
      </c>
      <c r="E190" s="5" t="s">
        <v>134</v>
      </c>
      <c r="F190" s="5" t="s">
        <v>45</v>
      </c>
      <c r="G190" s="5">
        <v>0.36</v>
      </c>
      <c r="H190" s="5">
        <v>63</v>
      </c>
      <c r="I190" s="712">
        <v>69</v>
      </c>
      <c r="J190" s="713"/>
      <c r="K190" s="714"/>
      <c r="L190" s="5">
        <f t="shared" si="5"/>
        <v>11955.500000000004</v>
      </c>
      <c r="M190" s="5"/>
      <c r="N190" s="5"/>
      <c r="O190" s="498"/>
      <c r="P190" s="498"/>
    </row>
    <row r="191" spans="3:16" hidden="1">
      <c r="C191" s="5">
        <f t="shared" si="4"/>
        <v>187</v>
      </c>
      <c r="D191" s="5" t="s">
        <v>60</v>
      </c>
      <c r="E191" s="5" t="s">
        <v>126</v>
      </c>
      <c r="F191" s="5"/>
      <c r="G191" s="5"/>
      <c r="H191" s="5">
        <v>63</v>
      </c>
      <c r="I191" s="712">
        <v>29</v>
      </c>
      <c r="J191" s="713"/>
      <c r="K191" s="714"/>
      <c r="L191" s="5">
        <f t="shared" si="5"/>
        <v>11984.500000000004</v>
      </c>
      <c r="M191" s="5"/>
      <c r="N191" s="5"/>
      <c r="O191" s="498"/>
      <c r="P191" s="498"/>
    </row>
    <row r="192" spans="3:16">
      <c r="C192" s="5">
        <f t="shared" si="4"/>
        <v>188</v>
      </c>
      <c r="D192" s="5" t="s">
        <v>126</v>
      </c>
      <c r="E192" s="5" t="s">
        <v>726</v>
      </c>
      <c r="F192" s="5" t="s">
        <v>45</v>
      </c>
      <c r="G192" s="5">
        <v>0.36</v>
      </c>
      <c r="H192" s="5">
        <v>63</v>
      </c>
      <c r="I192" s="712">
        <v>26</v>
      </c>
      <c r="J192" s="713"/>
      <c r="K192" s="714"/>
      <c r="L192" s="5">
        <f t="shared" si="5"/>
        <v>12010.500000000004</v>
      </c>
      <c r="M192" s="5"/>
      <c r="N192" s="5"/>
      <c r="O192" s="498"/>
      <c r="P192" s="498"/>
    </row>
    <row r="193" spans="3:16" hidden="1">
      <c r="C193" s="5">
        <f t="shared" si="4"/>
        <v>189</v>
      </c>
      <c r="D193" s="5" t="s">
        <v>126</v>
      </c>
      <c r="E193" s="5" t="s">
        <v>75</v>
      </c>
      <c r="F193" s="5"/>
      <c r="G193" s="5"/>
      <c r="H193" s="5">
        <v>63</v>
      </c>
      <c r="I193" s="712">
        <v>18</v>
      </c>
      <c r="J193" s="713"/>
      <c r="K193" s="714"/>
      <c r="L193" s="5">
        <f t="shared" si="5"/>
        <v>12028.500000000004</v>
      </c>
      <c r="M193" s="5"/>
      <c r="N193" s="5"/>
      <c r="O193" s="498"/>
      <c r="P193" s="498"/>
    </row>
    <row r="194" spans="3:16" hidden="1">
      <c r="C194" s="5">
        <f t="shared" si="4"/>
        <v>190</v>
      </c>
      <c r="D194" s="5" t="s">
        <v>126</v>
      </c>
      <c r="E194" s="5" t="s">
        <v>75</v>
      </c>
      <c r="F194" s="5"/>
      <c r="G194" s="5"/>
      <c r="H194" s="5">
        <v>63</v>
      </c>
      <c r="I194" s="712">
        <v>30</v>
      </c>
      <c r="J194" s="713"/>
      <c r="K194" s="714"/>
      <c r="L194" s="5">
        <f t="shared" si="5"/>
        <v>12058.500000000004</v>
      </c>
      <c r="M194" s="5"/>
      <c r="N194" s="5"/>
      <c r="O194" s="498"/>
      <c r="P194" s="498"/>
    </row>
    <row r="195" spans="3:16" hidden="1">
      <c r="C195" s="5">
        <f t="shared" si="4"/>
        <v>191</v>
      </c>
      <c r="D195" s="5" t="s">
        <v>75</v>
      </c>
      <c r="E195" s="5" t="s">
        <v>89</v>
      </c>
      <c r="F195" s="5"/>
      <c r="G195" s="5"/>
      <c r="H195" s="5">
        <v>63</v>
      </c>
      <c r="I195" s="712">
        <v>14.6</v>
      </c>
      <c r="J195" s="713"/>
      <c r="K195" s="714"/>
      <c r="L195" s="5">
        <f t="shared" si="5"/>
        <v>12073.100000000004</v>
      </c>
      <c r="M195" s="5"/>
      <c r="N195" s="5"/>
      <c r="O195" s="498"/>
      <c r="P195" s="498"/>
    </row>
    <row r="196" spans="3:16" hidden="1">
      <c r="C196" s="5">
        <f t="shared" si="4"/>
        <v>192</v>
      </c>
      <c r="D196" s="5" t="s">
        <v>89</v>
      </c>
      <c r="E196" s="5" t="s">
        <v>50</v>
      </c>
      <c r="F196" s="5"/>
      <c r="G196" s="5"/>
      <c r="H196" s="5">
        <v>63</v>
      </c>
      <c r="I196" s="712">
        <v>45.2</v>
      </c>
      <c r="J196" s="713"/>
      <c r="K196" s="714"/>
      <c r="L196" s="5">
        <f t="shared" si="5"/>
        <v>12118.300000000005</v>
      </c>
      <c r="M196" s="5"/>
      <c r="N196" s="5"/>
      <c r="O196" s="498"/>
      <c r="P196" s="498"/>
    </row>
    <row r="197" spans="3:16" hidden="1">
      <c r="C197" s="5">
        <f t="shared" si="4"/>
        <v>193</v>
      </c>
      <c r="D197" s="5" t="s">
        <v>89</v>
      </c>
      <c r="E197" s="5" t="s">
        <v>86</v>
      </c>
      <c r="F197" s="5"/>
      <c r="G197" s="5"/>
      <c r="H197" s="5">
        <v>63</v>
      </c>
      <c r="I197" s="712">
        <v>55.9</v>
      </c>
      <c r="J197" s="713"/>
      <c r="K197" s="714"/>
      <c r="L197" s="5">
        <f t="shared" si="5"/>
        <v>12174.200000000004</v>
      </c>
      <c r="M197" s="5"/>
      <c r="N197" s="5"/>
      <c r="O197" s="498"/>
      <c r="P197" s="498"/>
    </row>
    <row r="198" spans="3:16">
      <c r="C198" s="5">
        <f t="shared" si="4"/>
        <v>194</v>
      </c>
      <c r="D198" s="5" t="s">
        <v>75</v>
      </c>
      <c r="E198" s="5" t="s">
        <v>78</v>
      </c>
      <c r="F198" s="5" t="s">
        <v>45</v>
      </c>
      <c r="G198" s="5">
        <v>0.36</v>
      </c>
      <c r="H198" s="5">
        <v>63</v>
      </c>
      <c r="I198" s="712">
        <v>8.3000000000000007</v>
      </c>
      <c r="J198" s="713"/>
      <c r="K198" s="714"/>
      <c r="L198" s="5">
        <f t="shared" si="5"/>
        <v>12182.500000000004</v>
      </c>
      <c r="M198" s="5"/>
      <c r="N198" s="5"/>
      <c r="O198" s="498"/>
      <c r="P198" s="498"/>
    </row>
    <row r="199" spans="3:16" hidden="1">
      <c r="C199" s="5">
        <f t="shared" ref="C199:C262" si="6">1+C198</f>
        <v>195</v>
      </c>
      <c r="D199" s="5" t="s">
        <v>78</v>
      </c>
      <c r="E199" s="5" t="s">
        <v>133</v>
      </c>
      <c r="F199" s="5"/>
      <c r="G199" s="5"/>
      <c r="H199" s="5">
        <v>63</v>
      </c>
      <c r="I199" s="712">
        <v>33.299999999999997</v>
      </c>
      <c r="J199" s="713"/>
      <c r="K199" s="714"/>
      <c r="L199" s="5">
        <f t="shared" ref="L199:L262" si="7">+L198+I199</f>
        <v>12215.800000000003</v>
      </c>
      <c r="M199" s="5"/>
      <c r="N199" s="5"/>
      <c r="O199" s="498"/>
      <c r="P199" s="498"/>
    </row>
    <row r="200" spans="3:16">
      <c r="C200" s="5">
        <f t="shared" si="6"/>
        <v>196</v>
      </c>
      <c r="D200" s="5" t="s">
        <v>78</v>
      </c>
      <c r="E200" s="5" t="s">
        <v>107</v>
      </c>
      <c r="F200" s="5" t="s">
        <v>45</v>
      </c>
      <c r="G200" s="5">
        <v>0.36</v>
      </c>
      <c r="H200" s="5">
        <v>63</v>
      </c>
      <c r="I200" s="712">
        <v>92</v>
      </c>
      <c r="J200" s="713"/>
      <c r="K200" s="714"/>
      <c r="L200" s="5">
        <f t="shared" si="7"/>
        <v>12307.800000000003</v>
      </c>
      <c r="M200" s="5"/>
      <c r="N200" s="5"/>
      <c r="O200" s="498"/>
      <c r="P200" s="498"/>
    </row>
    <row r="201" spans="3:16" hidden="1">
      <c r="C201" s="5">
        <f t="shared" si="6"/>
        <v>197</v>
      </c>
      <c r="D201" s="5" t="s">
        <v>107</v>
      </c>
      <c r="E201" s="5" t="s">
        <v>1408</v>
      </c>
      <c r="F201" s="5"/>
      <c r="G201" s="5"/>
      <c r="H201" s="5">
        <v>63</v>
      </c>
      <c r="I201" s="712">
        <v>30.6</v>
      </c>
      <c r="J201" s="713"/>
      <c r="K201" s="714"/>
      <c r="L201" s="5">
        <f t="shared" si="7"/>
        <v>12338.400000000003</v>
      </c>
      <c r="M201" s="5"/>
      <c r="N201" s="5"/>
      <c r="O201" s="498"/>
      <c r="P201" s="498"/>
    </row>
    <row r="202" spans="3:16">
      <c r="C202" s="5">
        <f t="shared" si="6"/>
        <v>198</v>
      </c>
      <c r="D202" s="5" t="s">
        <v>107</v>
      </c>
      <c r="E202" s="5" t="s">
        <v>53</v>
      </c>
      <c r="F202" s="5" t="s">
        <v>45</v>
      </c>
      <c r="G202" s="5">
        <v>0.36</v>
      </c>
      <c r="H202" s="5">
        <v>63</v>
      </c>
      <c r="I202" s="712">
        <v>56.5</v>
      </c>
      <c r="J202" s="713"/>
      <c r="K202" s="714"/>
      <c r="L202" s="5">
        <f t="shared" si="7"/>
        <v>12394.900000000003</v>
      </c>
      <c r="M202" s="5"/>
      <c r="N202" s="5"/>
      <c r="O202" s="498"/>
      <c r="P202" s="498"/>
    </row>
    <row r="203" spans="3:16" hidden="1">
      <c r="C203" s="5">
        <f t="shared" si="6"/>
        <v>199</v>
      </c>
      <c r="D203" s="5" t="s">
        <v>107</v>
      </c>
      <c r="E203" s="5" t="s">
        <v>53</v>
      </c>
      <c r="F203" s="5"/>
      <c r="G203" s="5"/>
      <c r="H203" s="5">
        <v>63</v>
      </c>
      <c r="I203" s="712">
        <v>13.4</v>
      </c>
      <c r="J203" s="713"/>
      <c r="K203" s="714"/>
      <c r="L203" s="5">
        <f t="shared" si="7"/>
        <v>12408.300000000003</v>
      </c>
      <c r="M203" s="5"/>
      <c r="N203" s="5"/>
      <c r="O203" s="498"/>
      <c r="P203" s="498"/>
    </row>
    <row r="204" spans="3:16">
      <c r="C204" s="5">
        <f t="shared" si="6"/>
        <v>200</v>
      </c>
      <c r="D204" s="5" t="s">
        <v>107</v>
      </c>
      <c r="E204" s="5" t="s">
        <v>53</v>
      </c>
      <c r="F204" s="5" t="s">
        <v>45</v>
      </c>
      <c r="G204" s="5">
        <v>0.36</v>
      </c>
      <c r="H204" s="5">
        <v>63</v>
      </c>
      <c r="I204" s="712">
        <v>15.8</v>
      </c>
      <c r="J204" s="713"/>
      <c r="K204" s="714"/>
      <c r="L204" s="5">
        <f t="shared" si="7"/>
        <v>12424.100000000002</v>
      </c>
      <c r="M204" s="5"/>
      <c r="N204" s="5"/>
      <c r="O204" s="498"/>
      <c r="P204" s="498"/>
    </row>
    <row r="205" spans="3:16" hidden="1">
      <c r="C205" s="5">
        <f t="shared" si="6"/>
        <v>201</v>
      </c>
      <c r="D205" s="5" t="s">
        <v>53</v>
      </c>
      <c r="E205" s="5" t="s">
        <v>56</v>
      </c>
      <c r="F205" s="5"/>
      <c r="G205" s="5"/>
      <c r="H205" s="5">
        <v>63</v>
      </c>
      <c r="I205" s="712">
        <v>19.8</v>
      </c>
      <c r="J205" s="713"/>
      <c r="K205" s="714"/>
      <c r="L205" s="5">
        <f t="shared" si="7"/>
        <v>12443.900000000001</v>
      </c>
      <c r="M205" s="5"/>
      <c r="N205" s="5"/>
      <c r="O205" s="498"/>
      <c r="P205" s="498"/>
    </row>
    <row r="206" spans="3:16" hidden="1">
      <c r="C206" s="5">
        <f t="shared" si="6"/>
        <v>202</v>
      </c>
      <c r="D206" s="5" t="s">
        <v>833</v>
      </c>
      <c r="E206" s="5" t="s">
        <v>85</v>
      </c>
      <c r="F206" s="5"/>
      <c r="G206" s="5"/>
      <c r="H206" s="5">
        <v>63</v>
      </c>
      <c r="I206" s="712">
        <v>39.4</v>
      </c>
      <c r="J206" s="713"/>
      <c r="K206" s="714"/>
      <c r="L206" s="5">
        <f t="shared" si="7"/>
        <v>12483.300000000001</v>
      </c>
      <c r="M206" s="5"/>
      <c r="N206" s="5"/>
      <c r="O206" s="498"/>
      <c r="P206" s="498"/>
    </row>
    <row r="207" spans="3:16" hidden="1">
      <c r="C207" s="5">
        <f t="shared" si="6"/>
        <v>203</v>
      </c>
      <c r="D207" s="5" t="s">
        <v>833</v>
      </c>
      <c r="E207" s="5" t="s">
        <v>70</v>
      </c>
      <c r="F207" s="5"/>
      <c r="G207" s="5"/>
      <c r="H207" s="5">
        <v>63</v>
      </c>
      <c r="I207" s="712">
        <v>25.5</v>
      </c>
      <c r="J207" s="713"/>
      <c r="K207" s="714"/>
      <c r="L207" s="5">
        <f t="shared" si="7"/>
        <v>12508.800000000001</v>
      </c>
      <c r="M207" s="5"/>
      <c r="N207" s="5"/>
      <c r="O207" s="498"/>
      <c r="P207" s="498"/>
    </row>
    <row r="208" spans="3:16" hidden="1">
      <c r="C208" s="5">
        <f t="shared" si="6"/>
        <v>204</v>
      </c>
      <c r="D208" s="5" t="s">
        <v>70</v>
      </c>
      <c r="E208" s="5" t="s">
        <v>906</v>
      </c>
      <c r="F208" s="5"/>
      <c r="G208" s="5"/>
      <c r="H208" s="5">
        <v>63</v>
      </c>
      <c r="I208" s="712">
        <v>37.700000000000003</v>
      </c>
      <c r="J208" s="713"/>
      <c r="K208" s="714"/>
      <c r="L208" s="5">
        <f t="shared" si="7"/>
        <v>12546.500000000002</v>
      </c>
      <c r="M208" s="5"/>
      <c r="N208" s="5"/>
      <c r="O208" s="498"/>
      <c r="P208" s="498"/>
    </row>
    <row r="209" spans="3:16" hidden="1">
      <c r="C209" s="5">
        <f t="shared" si="6"/>
        <v>205</v>
      </c>
      <c r="D209" s="5" t="s">
        <v>70</v>
      </c>
      <c r="E209" s="5" t="s">
        <v>131</v>
      </c>
      <c r="F209" s="5"/>
      <c r="G209" s="5"/>
      <c r="H209" s="5">
        <v>63</v>
      </c>
      <c r="I209" s="712">
        <v>12</v>
      </c>
      <c r="J209" s="713"/>
      <c r="K209" s="714"/>
      <c r="L209" s="5">
        <f t="shared" si="7"/>
        <v>12558.500000000002</v>
      </c>
      <c r="M209" s="5"/>
      <c r="N209" s="5"/>
      <c r="O209" s="498"/>
      <c r="P209" s="498"/>
    </row>
    <row r="210" spans="3:16">
      <c r="C210" s="5">
        <f t="shared" si="6"/>
        <v>206</v>
      </c>
      <c r="D210" s="5" t="s">
        <v>70</v>
      </c>
      <c r="E210" s="5" t="s">
        <v>131</v>
      </c>
      <c r="F210" s="5" t="s">
        <v>45</v>
      </c>
      <c r="G210" s="5">
        <v>0.36</v>
      </c>
      <c r="H210" s="5">
        <v>63</v>
      </c>
      <c r="I210" s="712">
        <v>27</v>
      </c>
      <c r="J210" s="713"/>
      <c r="K210" s="714"/>
      <c r="L210" s="5">
        <f t="shared" si="7"/>
        <v>12585.500000000002</v>
      </c>
      <c r="M210" s="5"/>
      <c r="N210" s="5"/>
      <c r="O210" s="498"/>
      <c r="P210" s="498"/>
    </row>
    <row r="211" spans="3:16" hidden="1">
      <c r="C211" s="5">
        <f t="shared" si="6"/>
        <v>207</v>
      </c>
      <c r="D211" s="5" t="s">
        <v>1409</v>
      </c>
      <c r="E211" s="5" t="s">
        <v>1410</v>
      </c>
      <c r="F211" s="5"/>
      <c r="G211" s="5"/>
      <c r="H211" s="5">
        <v>63</v>
      </c>
      <c r="I211" s="712">
        <v>37</v>
      </c>
      <c r="J211" s="713"/>
      <c r="K211" s="714"/>
      <c r="L211" s="5">
        <f t="shared" si="7"/>
        <v>12622.500000000002</v>
      </c>
      <c r="M211" s="5"/>
      <c r="N211" s="5"/>
      <c r="O211" s="498"/>
      <c r="P211" s="498"/>
    </row>
    <row r="212" spans="3:16" hidden="1">
      <c r="C212" s="5">
        <f t="shared" si="6"/>
        <v>208</v>
      </c>
      <c r="D212" s="5" t="s">
        <v>1393</v>
      </c>
      <c r="E212" s="5" t="s">
        <v>1394</v>
      </c>
      <c r="F212" s="5"/>
      <c r="G212" s="5"/>
      <c r="H212" s="5">
        <v>63</v>
      </c>
      <c r="I212" s="712">
        <v>36</v>
      </c>
      <c r="J212" s="713"/>
      <c r="K212" s="714"/>
      <c r="L212" s="5">
        <f t="shared" si="7"/>
        <v>12658.500000000002</v>
      </c>
      <c r="M212" s="5"/>
      <c r="N212" s="5"/>
      <c r="O212" s="498"/>
      <c r="P212" s="498"/>
    </row>
    <row r="213" spans="3:16" hidden="1">
      <c r="C213" s="5">
        <f t="shared" si="6"/>
        <v>209</v>
      </c>
      <c r="D213" s="5" t="s">
        <v>844</v>
      </c>
      <c r="E213" s="5" t="s">
        <v>1395</v>
      </c>
      <c r="F213" s="5"/>
      <c r="G213" s="5"/>
      <c r="H213" s="5">
        <v>63</v>
      </c>
      <c r="I213" s="712">
        <v>96</v>
      </c>
      <c r="J213" s="713"/>
      <c r="K213" s="714"/>
      <c r="L213" s="5">
        <f t="shared" si="7"/>
        <v>12754.500000000002</v>
      </c>
      <c r="M213" s="5"/>
      <c r="N213" s="5"/>
      <c r="O213" s="498"/>
      <c r="P213" s="498"/>
    </row>
    <row r="214" spans="3:16" hidden="1">
      <c r="C214" s="5">
        <f t="shared" si="6"/>
        <v>210</v>
      </c>
      <c r="D214" s="5" t="s">
        <v>84</v>
      </c>
      <c r="E214" s="5" t="s">
        <v>1331</v>
      </c>
      <c r="F214" s="5"/>
      <c r="G214" s="5"/>
      <c r="H214" s="5">
        <v>63</v>
      </c>
      <c r="I214" s="712">
        <v>108.1</v>
      </c>
      <c r="J214" s="713"/>
      <c r="K214" s="714"/>
      <c r="L214" s="5">
        <f t="shared" si="7"/>
        <v>12862.600000000002</v>
      </c>
      <c r="M214" s="5"/>
      <c r="N214" s="5"/>
      <c r="O214" s="498"/>
      <c r="P214" s="498"/>
    </row>
    <row r="215" spans="3:16" hidden="1">
      <c r="C215" s="5">
        <f t="shared" si="6"/>
        <v>211</v>
      </c>
      <c r="D215" s="5" t="s">
        <v>1331</v>
      </c>
      <c r="E215" s="5" t="s">
        <v>928</v>
      </c>
      <c r="F215" s="5"/>
      <c r="G215" s="5"/>
      <c r="H215" s="5">
        <v>63</v>
      </c>
      <c r="I215" s="712">
        <v>103.2</v>
      </c>
      <c r="J215" s="713"/>
      <c r="K215" s="714"/>
      <c r="L215" s="5">
        <f t="shared" si="7"/>
        <v>12965.800000000003</v>
      </c>
      <c r="M215" s="5"/>
      <c r="N215" s="5"/>
      <c r="O215" s="498"/>
      <c r="P215" s="498"/>
    </row>
    <row r="216" spans="3:16" hidden="1">
      <c r="C216" s="5">
        <f t="shared" si="6"/>
        <v>212</v>
      </c>
      <c r="D216" s="5" t="s">
        <v>1331</v>
      </c>
      <c r="E216" s="5" t="s">
        <v>1297</v>
      </c>
      <c r="F216" s="5"/>
      <c r="G216" s="5"/>
      <c r="H216" s="5">
        <v>63</v>
      </c>
      <c r="I216" s="712">
        <v>75.2</v>
      </c>
      <c r="J216" s="713"/>
      <c r="K216" s="714"/>
      <c r="L216" s="5">
        <f t="shared" si="7"/>
        <v>13041.000000000004</v>
      </c>
      <c r="M216" s="5"/>
      <c r="N216" s="5"/>
      <c r="O216" s="498"/>
      <c r="P216" s="498"/>
    </row>
    <row r="217" spans="3:16" hidden="1">
      <c r="C217" s="5">
        <f t="shared" si="6"/>
        <v>213</v>
      </c>
      <c r="D217" s="5" t="s">
        <v>1173</v>
      </c>
      <c r="E217" s="5" t="s">
        <v>1411</v>
      </c>
      <c r="F217" s="5"/>
      <c r="G217" s="5"/>
      <c r="H217" s="5">
        <v>63</v>
      </c>
      <c r="I217" s="712">
        <v>71.2</v>
      </c>
      <c r="J217" s="713"/>
      <c r="K217" s="714"/>
      <c r="L217" s="5">
        <f t="shared" si="7"/>
        <v>13112.200000000004</v>
      </c>
      <c r="M217" s="5"/>
      <c r="N217" s="5"/>
      <c r="O217" s="498"/>
      <c r="P217" s="498"/>
    </row>
    <row r="218" spans="3:16" hidden="1">
      <c r="C218" s="5">
        <f t="shared" si="6"/>
        <v>214</v>
      </c>
      <c r="D218" s="5" t="s">
        <v>1334</v>
      </c>
      <c r="E218" s="5" t="s">
        <v>87</v>
      </c>
      <c r="F218" s="5"/>
      <c r="G218" s="5"/>
      <c r="H218" s="5">
        <v>63</v>
      </c>
      <c r="I218" s="712">
        <v>142.5</v>
      </c>
      <c r="J218" s="713"/>
      <c r="K218" s="714"/>
      <c r="L218" s="5">
        <f t="shared" si="7"/>
        <v>13254.700000000004</v>
      </c>
      <c r="M218" s="5"/>
      <c r="N218" s="5"/>
      <c r="O218" s="498"/>
      <c r="P218" s="498"/>
    </row>
    <row r="219" spans="3:16" hidden="1">
      <c r="C219" s="5">
        <f t="shared" si="6"/>
        <v>215</v>
      </c>
      <c r="D219" s="5" t="s">
        <v>1411</v>
      </c>
      <c r="E219" s="5" t="s">
        <v>1297</v>
      </c>
      <c r="F219" s="5"/>
      <c r="G219" s="5"/>
      <c r="H219" s="5">
        <v>63</v>
      </c>
      <c r="I219" s="712">
        <v>21.3</v>
      </c>
      <c r="J219" s="713"/>
      <c r="K219" s="714"/>
      <c r="L219" s="5">
        <f t="shared" si="7"/>
        <v>13276.000000000004</v>
      </c>
      <c r="M219" s="5"/>
      <c r="N219" s="5"/>
      <c r="O219" s="498"/>
      <c r="P219" s="498"/>
    </row>
    <row r="220" spans="3:16" hidden="1">
      <c r="C220" s="5">
        <f t="shared" si="6"/>
        <v>216</v>
      </c>
      <c r="D220" s="5" t="s">
        <v>1297</v>
      </c>
      <c r="E220" s="5" t="s">
        <v>927</v>
      </c>
      <c r="F220" s="5"/>
      <c r="G220" s="5"/>
      <c r="H220" s="5">
        <v>63</v>
      </c>
      <c r="I220" s="712">
        <v>68.599999999999994</v>
      </c>
      <c r="J220" s="713"/>
      <c r="K220" s="714"/>
      <c r="L220" s="5">
        <f t="shared" si="7"/>
        <v>13344.600000000004</v>
      </c>
      <c r="M220" s="5"/>
      <c r="N220" s="5"/>
      <c r="O220" s="498"/>
      <c r="P220" s="498"/>
    </row>
    <row r="221" spans="3:16" hidden="1">
      <c r="C221" s="5">
        <f t="shared" si="6"/>
        <v>217</v>
      </c>
      <c r="D221" s="5" t="s">
        <v>87</v>
      </c>
      <c r="E221" s="5" t="s">
        <v>1300</v>
      </c>
      <c r="F221" s="5"/>
      <c r="G221" s="5"/>
      <c r="H221" s="5">
        <v>63</v>
      </c>
      <c r="I221" s="712">
        <v>28.4</v>
      </c>
      <c r="J221" s="713"/>
      <c r="K221" s="714"/>
      <c r="L221" s="5">
        <f t="shared" si="7"/>
        <v>13373.000000000004</v>
      </c>
      <c r="M221" s="5"/>
      <c r="N221" s="5"/>
      <c r="O221" s="498"/>
      <c r="P221" s="498"/>
    </row>
    <row r="222" spans="3:16" hidden="1">
      <c r="C222" s="5">
        <f t="shared" si="6"/>
        <v>218</v>
      </c>
      <c r="D222" s="5" t="s">
        <v>1300</v>
      </c>
      <c r="E222" s="5" t="s">
        <v>103</v>
      </c>
      <c r="F222" s="5"/>
      <c r="G222" s="5"/>
      <c r="H222" s="5">
        <v>63</v>
      </c>
      <c r="I222" s="712">
        <v>109.8</v>
      </c>
      <c r="J222" s="713"/>
      <c r="K222" s="714"/>
      <c r="L222" s="5">
        <f t="shared" si="7"/>
        <v>13482.800000000003</v>
      </c>
      <c r="M222" s="5"/>
      <c r="N222" s="5"/>
      <c r="O222" s="498"/>
      <c r="P222" s="498"/>
    </row>
    <row r="223" spans="3:16" hidden="1">
      <c r="C223" s="5">
        <f t="shared" si="6"/>
        <v>219</v>
      </c>
      <c r="D223" s="5" t="s">
        <v>103</v>
      </c>
      <c r="E223" s="5" t="s">
        <v>59</v>
      </c>
      <c r="F223" s="5"/>
      <c r="G223" s="5"/>
      <c r="H223" s="5">
        <v>63</v>
      </c>
      <c r="I223" s="712">
        <v>61.7</v>
      </c>
      <c r="J223" s="713"/>
      <c r="K223" s="714"/>
      <c r="L223" s="5">
        <f t="shared" si="7"/>
        <v>13544.500000000004</v>
      </c>
      <c r="M223" s="5"/>
      <c r="N223" s="5"/>
      <c r="O223" s="498"/>
      <c r="P223" s="498"/>
    </row>
    <row r="224" spans="3:16" hidden="1">
      <c r="C224" s="5">
        <f t="shared" si="6"/>
        <v>220</v>
      </c>
      <c r="D224" s="5" t="s">
        <v>1300</v>
      </c>
      <c r="E224" s="5" t="s">
        <v>93</v>
      </c>
      <c r="F224" s="5"/>
      <c r="G224" s="5"/>
      <c r="H224" s="5">
        <v>63</v>
      </c>
      <c r="I224" s="712">
        <v>82.3</v>
      </c>
      <c r="J224" s="713"/>
      <c r="K224" s="714"/>
      <c r="L224" s="5">
        <f t="shared" si="7"/>
        <v>13626.800000000003</v>
      </c>
      <c r="M224" s="5"/>
      <c r="N224" s="5"/>
      <c r="O224" s="498"/>
      <c r="P224" s="498"/>
    </row>
    <row r="225" spans="3:16" hidden="1">
      <c r="C225" s="5">
        <f t="shared" si="6"/>
        <v>221</v>
      </c>
      <c r="D225" s="5" t="s">
        <v>93</v>
      </c>
      <c r="E225" s="5" t="s">
        <v>71</v>
      </c>
      <c r="F225" s="5"/>
      <c r="G225" s="5"/>
      <c r="H225" s="5">
        <v>63</v>
      </c>
      <c r="I225" s="712">
        <v>144.5</v>
      </c>
      <c r="J225" s="713"/>
      <c r="K225" s="714"/>
      <c r="L225" s="5">
        <f t="shared" si="7"/>
        <v>13771.300000000003</v>
      </c>
      <c r="M225" s="5"/>
      <c r="N225" s="5"/>
      <c r="O225" s="498"/>
      <c r="P225" s="498"/>
    </row>
    <row r="226" spans="3:16" hidden="1">
      <c r="C226" s="5">
        <f t="shared" si="6"/>
        <v>222</v>
      </c>
      <c r="D226" s="5" t="s">
        <v>927</v>
      </c>
      <c r="E226" s="5" t="s">
        <v>68</v>
      </c>
      <c r="F226" s="5"/>
      <c r="G226" s="5"/>
      <c r="H226" s="5">
        <v>63</v>
      </c>
      <c r="I226" s="712">
        <v>149.6</v>
      </c>
      <c r="J226" s="713"/>
      <c r="K226" s="714"/>
      <c r="L226" s="5">
        <f t="shared" si="7"/>
        <v>13920.900000000003</v>
      </c>
      <c r="M226" s="5"/>
      <c r="N226" s="5"/>
      <c r="O226" s="498"/>
      <c r="P226" s="498"/>
    </row>
    <row r="227" spans="3:16" hidden="1">
      <c r="C227" s="5">
        <f t="shared" si="6"/>
        <v>223</v>
      </c>
      <c r="D227" s="5" t="s">
        <v>834</v>
      </c>
      <c r="E227" s="5" t="s">
        <v>1241</v>
      </c>
      <c r="F227" s="5"/>
      <c r="G227" s="5"/>
      <c r="H227" s="5">
        <v>63</v>
      </c>
      <c r="I227" s="712">
        <f>21.1-I232</f>
        <v>14.100000000000001</v>
      </c>
      <c r="J227" s="713"/>
      <c r="K227" s="714"/>
      <c r="L227" s="5">
        <f t="shared" si="7"/>
        <v>13935.000000000004</v>
      </c>
      <c r="M227" s="5"/>
      <c r="N227" s="5"/>
      <c r="O227" s="498"/>
      <c r="P227" s="498"/>
    </row>
    <row r="228" spans="3:16" hidden="1">
      <c r="C228" s="5">
        <f t="shared" si="6"/>
        <v>224</v>
      </c>
      <c r="D228" s="5" t="s">
        <v>1412</v>
      </c>
      <c r="E228" s="5" t="s">
        <v>1413</v>
      </c>
      <c r="F228" s="5"/>
      <c r="G228" s="5"/>
      <c r="H228" s="5">
        <v>63</v>
      </c>
      <c r="I228" s="712">
        <v>124</v>
      </c>
      <c r="J228" s="713"/>
      <c r="K228" s="714"/>
      <c r="L228" s="5">
        <f t="shared" si="7"/>
        <v>14059.000000000004</v>
      </c>
      <c r="M228" s="5"/>
      <c r="N228" s="5"/>
      <c r="O228" s="498"/>
      <c r="P228" s="498"/>
    </row>
    <row r="229" spans="3:16" hidden="1">
      <c r="C229" s="5">
        <f t="shared" si="6"/>
        <v>225</v>
      </c>
      <c r="D229" s="5" t="s">
        <v>1414</v>
      </c>
      <c r="E229" s="5" t="s">
        <v>1415</v>
      </c>
      <c r="F229" s="5"/>
      <c r="G229" s="5"/>
      <c r="H229" s="5">
        <v>63</v>
      </c>
      <c r="I229" s="712">
        <v>32</v>
      </c>
      <c r="J229" s="713"/>
      <c r="K229" s="714"/>
      <c r="L229" s="5">
        <f t="shared" si="7"/>
        <v>14091.000000000004</v>
      </c>
      <c r="M229" s="5"/>
      <c r="N229" s="5"/>
      <c r="O229" s="498"/>
      <c r="P229" s="498"/>
    </row>
    <row r="230" spans="3:16" hidden="1">
      <c r="C230" s="5">
        <f t="shared" si="6"/>
        <v>226</v>
      </c>
      <c r="D230" s="5" t="s">
        <v>1414</v>
      </c>
      <c r="E230" s="5" t="s">
        <v>1415</v>
      </c>
      <c r="F230" s="5"/>
      <c r="G230" s="5"/>
      <c r="H230" s="5">
        <v>63</v>
      </c>
      <c r="I230" s="53"/>
      <c r="J230" s="61">
        <v>3</v>
      </c>
      <c r="K230" s="62"/>
      <c r="L230" s="5">
        <f t="shared" si="7"/>
        <v>14091.000000000004</v>
      </c>
      <c r="M230" s="5"/>
      <c r="N230" s="5"/>
      <c r="O230" s="498"/>
      <c r="P230" s="498"/>
    </row>
    <row r="231" spans="3:16" hidden="1">
      <c r="C231" s="5">
        <f t="shared" si="6"/>
        <v>227</v>
      </c>
      <c r="D231" s="5" t="s">
        <v>1411</v>
      </c>
      <c r="E231" s="5" t="s">
        <v>1297</v>
      </c>
      <c r="F231" s="5"/>
      <c r="G231" s="5"/>
      <c r="H231" s="5">
        <v>63</v>
      </c>
      <c r="I231" s="712">
        <v>7</v>
      </c>
      <c r="J231" s="713"/>
      <c r="K231" s="714"/>
      <c r="L231" s="5">
        <f t="shared" si="7"/>
        <v>14098.000000000004</v>
      </c>
      <c r="M231" s="5"/>
      <c r="N231" s="5"/>
      <c r="O231" s="498"/>
      <c r="P231" s="498"/>
    </row>
    <row r="232" spans="3:16" hidden="1">
      <c r="C232" s="5">
        <f t="shared" si="6"/>
        <v>228</v>
      </c>
      <c r="D232" s="5" t="s">
        <v>834</v>
      </c>
      <c r="E232" s="5" t="s">
        <v>1241</v>
      </c>
      <c r="F232" s="5"/>
      <c r="G232" s="5"/>
      <c r="H232" s="5">
        <v>63</v>
      </c>
      <c r="I232" s="712">
        <v>7</v>
      </c>
      <c r="J232" s="713"/>
      <c r="K232" s="714"/>
      <c r="L232" s="5">
        <f t="shared" si="7"/>
        <v>14105.000000000004</v>
      </c>
      <c r="M232" s="5"/>
      <c r="N232" s="5"/>
      <c r="O232" s="498"/>
      <c r="P232" s="498"/>
    </row>
    <row r="233" spans="3:16" hidden="1">
      <c r="C233" s="5">
        <f t="shared" si="6"/>
        <v>229</v>
      </c>
      <c r="D233" s="5" t="s">
        <v>74</v>
      </c>
      <c r="E233" s="5" t="s">
        <v>73</v>
      </c>
      <c r="F233" s="5"/>
      <c r="G233" s="5"/>
      <c r="H233" s="5">
        <v>63</v>
      </c>
      <c r="I233" s="712">
        <v>7</v>
      </c>
      <c r="J233" s="713"/>
      <c r="K233" s="714"/>
      <c r="L233" s="5">
        <f t="shared" si="7"/>
        <v>14112.000000000004</v>
      </c>
      <c r="M233" s="5"/>
      <c r="N233" s="5"/>
      <c r="O233" s="498"/>
      <c r="P233" s="498"/>
    </row>
    <row r="234" spans="3:16" hidden="1">
      <c r="C234" s="5">
        <f t="shared" si="6"/>
        <v>230</v>
      </c>
      <c r="D234" s="5" t="s">
        <v>1301</v>
      </c>
      <c r="E234" s="5" t="s">
        <v>929</v>
      </c>
      <c r="F234" s="5"/>
      <c r="G234" s="5"/>
      <c r="H234" s="5">
        <v>63</v>
      </c>
      <c r="I234" s="712">
        <v>8</v>
      </c>
      <c r="J234" s="713"/>
      <c r="K234" s="714"/>
      <c r="L234" s="5">
        <f t="shared" si="7"/>
        <v>14120.000000000004</v>
      </c>
      <c r="M234" s="5"/>
      <c r="N234" s="5"/>
      <c r="O234" s="498"/>
      <c r="P234" s="498"/>
    </row>
    <row r="235" spans="3:16">
      <c r="C235" s="5">
        <f t="shared" si="6"/>
        <v>231</v>
      </c>
      <c r="D235" s="5" t="s">
        <v>1312</v>
      </c>
      <c r="E235" s="5" t="s">
        <v>81</v>
      </c>
      <c r="F235" s="5" t="s">
        <v>1367</v>
      </c>
      <c r="G235" s="5">
        <v>0.36</v>
      </c>
      <c r="H235" s="5">
        <v>63</v>
      </c>
      <c r="I235" s="712">
        <v>46.1</v>
      </c>
      <c r="J235" s="713"/>
      <c r="K235" s="714"/>
      <c r="L235" s="5">
        <f t="shared" si="7"/>
        <v>14166.100000000004</v>
      </c>
      <c r="M235" s="5"/>
      <c r="N235" s="5"/>
      <c r="O235" s="498"/>
      <c r="P235" s="498"/>
    </row>
    <row r="236" spans="3:16">
      <c r="C236" s="5">
        <f t="shared" si="6"/>
        <v>232</v>
      </c>
      <c r="D236" s="5" t="s">
        <v>1416</v>
      </c>
      <c r="E236" s="5" t="s">
        <v>1417</v>
      </c>
      <c r="F236" s="5" t="s">
        <v>1367</v>
      </c>
      <c r="G236" s="5">
        <v>0.36</v>
      </c>
      <c r="H236" s="5">
        <v>63</v>
      </c>
      <c r="I236" s="712">
        <v>15.9</v>
      </c>
      <c r="J236" s="713"/>
      <c r="K236" s="714"/>
      <c r="L236" s="5">
        <f t="shared" si="7"/>
        <v>14182.000000000004</v>
      </c>
      <c r="M236" s="5"/>
      <c r="N236" s="5"/>
      <c r="O236" s="498"/>
      <c r="P236" s="498"/>
    </row>
    <row r="237" spans="3:16" hidden="1">
      <c r="C237" s="5">
        <f t="shared" si="6"/>
        <v>233</v>
      </c>
      <c r="D237" s="5" t="s">
        <v>1416</v>
      </c>
      <c r="E237" s="5" t="s">
        <v>1417</v>
      </c>
      <c r="F237" s="5"/>
      <c r="G237" s="5"/>
      <c r="H237" s="5">
        <v>63</v>
      </c>
      <c r="I237" s="712">
        <v>17</v>
      </c>
      <c r="J237" s="713"/>
      <c r="K237" s="714"/>
      <c r="L237" s="5">
        <f t="shared" si="7"/>
        <v>14199.000000000004</v>
      </c>
      <c r="M237" s="5"/>
      <c r="N237" s="5"/>
      <c r="O237" s="498"/>
      <c r="P237" s="498"/>
    </row>
    <row r="238" spans="3:16">
      <c r="C238" s="5">
        <f t="shared" si="6"/>
        <v>234</v>
      </c>
      <c r="D238" s="5" t="s">
        <v>325</v>
      </c>
      <c r="E238" s="5" t="s">
        <v>188</v>
      </c>
      <c r="F238" s="5" t="s">
        <v>1367</v>
      </c>
      <c r="G238" s="5">
        <v>0.36</v>
      </c>
      <c r="H238" s="5">
        <v>63</v>
      </c>
      <c r="I238" s="712">
        <v>26.7</v>
      </c>
      <c r="J238" s="713"/>
      <c r="K238" s="714"/>
      <c r="L238" s="5">
        <f t="shared" si="7"/>
        <v>14225.700000000004</v>
      </c>
      <c r="M238" s="5"/>
      <c r="N238" s="5"/>
      <c r="O238" s="498"/>
      <c r="P238" s="498"/>
    </row>
    <row r="239" spans="3:16" hidden="1">
      <c r="C239" s="5">
        <f t="shared" si="6"/>
        <v>235</v>
      </c>
      <c r="D239" s="5" t="s">
        <v>325</v>
      </c>
      <c r="E239" s="5" t="s">
        <v>188</v>
      </c>
      <c r="F239" s="5"/>
      <c r="G239" s="5"/>
      <c r="H239" s="5">
        <v>63</v>
      </c>
      <c r="I239" s="712">
        <v>50.4</v>
      </c>
      <c r="J239" s="713"/>
      <c r="K239" s="714"/>
      <c r="L239" s="5">
        <f t="shared" si="7"/>
        <v>14276.100000000004</v>
      </c>
      <c r="M239" s="5"/>
      <c r="N239" s="5"/>
      <c r="O239" s="498"/>
      <c r="P239" s="498"/>
    </row>
    <row r="240" spans="3:16" hidden="1">
      <c r="C240" s="5">
        <f t="shared" si="6"/>
        <v>236</v>
      </c>
      <c r="D240" s="5" t="s">
        <v>217</v>
      </c>
      <c r="E240" s="5" t="s">
        <v>706</v>
      </c>
      <c r="F240" s="5"/>
      <c r="G240" s="5"/>
      <c r="H240" s="5">
        <v>63</v>
      </c>
      <c r="I240" s="712">
        <v>43.6</v>
      </c>
      <c r="J240" s="713"/>
      <c r="K240" s="714"/>
      <c r="L240" s="5">
        <f t="shared" si="7"/>
        <v>14319.700000000004</v>
      </c>
      <c r="M240" s="5"/>
      <c r="N240" s="5"/>
      <c r="O240" s="498"/>
      <c r="P240" s="498"/>
    </row>
    <row r="241" spans="3:16" hidden="1">
      <c r="C241" s="5">
        <f t="shared" si="6"/>
        <v>237</v>
      </c>
      <c r="D241" s="5" t="s">
        <v>351</v>
      </c>
      <c r="E241" s="5" t="s">
        <v>276</v>
      </c>
      <c r="F241" s="5"/>
      <c r="G241" s="5"/>
      <c r="H241" s="5">
        <v>75</v>
      </c>
      <c r="I241" s="712">
        <f>30.1-9</f>
        <v>21.1</v>
      </c>
      <c r="J241" s="713"/>
      <c r="K241" s="714"/>
      <c r="L241" s="5">
        <f t="shared" si="7"/>
        <v>14340.800000000005</v>
      </c>
      <c r="M241" s="5"/>
      <c r="N241" s="5"/>
      <c r="O241" s="498"/>
      <c r="P241" s="498"/>
    </row>
    <row r="242" spans="3:16" hidden="1">
      <c r="C242" s="5">
        <f t="shared" si="6"/>
        <v>238</v>
      </c>
      <c r="D242" s="5" t="s">
        <v>161</v>
      </c>
      <c r="E242" s="5" t="s">
        <v>1418</v>
      </c>
      <c r="F242" s="5" t="s">
        <v>45</v>
      </c>
      <c r="G242" s="5">
        <v>0.37</v>
      </c>
      <c r="H242" s="5">
        <v>75</v>
      </c>
      <c r="I242" s="712">
        <f>260.4-9</f>
        <v>251.39999999999998</v>
      </c>
      <c r="J242" s="713"/>
      <c r="K242" s="714"/>
      <c r="L242" s="5">
        <f t="shared" si="7"/>
        <v>14592.200000000004</v>
      </c>
      <c r="M242" s="5"/>
      <c r="N242" s="5"/>
      <c r="O242" s="498"/>
      <c r="P242" s="498"/>
    </row>
    <row r="243" spans="3:16" hidden="1">
      <c r="C243" s="5">
        <f t="shared" si="6"/>
        <v>239</v>
      </c>
      <c r="D243" s="5" t="s">
        <v>73</v>
      </c>
      <c r="E243" s="5" t="s">
        <v>1358</v>
      </c>
      <c r="F243" s="5"/>
      <c r="G243" s="5"/>
      <c r="H243" s="5">
        <v>75</v>
      </c>
      <c r="I243" s="712">
        <f>355-9</f>
        <v>346</v>
      </c>
      <c r="J243" s="713"/>
      <c r="K243" s="714"/>
      <c r="L243" s="5">
        <f t="shared" si="7"/>
        <v>14938.200000000004</v>
      </c>
      <c r="M243" s="5"/>
      <c r="N243" s="5"/>
      <c r="O243" s="498"/>
      <c r="P243" s="498"/>
    </row>
    <row r="244" spans="3:16" hidden="1">
      <c r="C244" s="5">
        <f t="shared" si="6"/>
        <v>240</v>
      </c>
      <c r="D244" s="5" t="s">
        <v>1332</v>
      </c>
      <c r="E244" s="5" t="s">
        <v>56</v>
      </c>
      <c r="F244" s="5"/>
      <c r="G244" s="5"/>
      <c r="H244" s="5">
        <v>75</v>
      </c>
      <c r="I244" s="712">
        <f>202.3-9</f>
        <v>193.3</v>
      </c>
      <c r="J244" s="713"/>
      <c r="K244" s="714"/>
      <c r="L244" s="5">
        <f t="shared" si="7"/>
        <v>15131.500000000004</v>
      </c>
      <c r="M244" s="5"/>
      <c r="N244" s="5"/>
      <c r="O244" s="498"/>
      <c r="P244" s="498"/>
    </row>
    <row r="245" spans="3:16" hidden="1">
      <c r="C245" s="5">
        <f t="shared" si="6"/>
        <v>241</v>
      </c>
      <c r="D245" s="5" t="s">
        <v>68</v>
      </c>
      <c r="E245" s="5" t="s">
        <v>54</v>
      </c>
      <c r="F245" s="5"/>
      <c r="G245" s="5"/>
      <c r="H245" s="5">
        <v>90</v>
      </c>
      <c r="I245" s="712">
        <f>218.6-2</f>
        <v>216.6</v>
      </c>
      <c r="J245" s="713"/>
      <c r="K245" s="714"/>
      <c r="L245" s="5">
        <f t="shared" si="7"/>
        <v>15348.100000000004</v>
      </c>
      <c r="M245" s="5"/>
      <c r="N245" s="5"/>
      <c r="O245" s="498"/>
      <c r="P245" s="498"/>
    </row>
    <row r="246" spans="3:16" hidden="1">
      <c r="C246" s="5">
        <f t="shared" si="6"/>
        <v>242</v>
      </c>
      <c r="D246" s="5" t="s">
        <v>68</v>
      </c>
      <c r="E246" s="5" t="s">
        <v>54</v>
      </c>
      <c r="F246" s="5"/>
      <c r="G246" s="5"/>
      <c r="H246" s="5">
        <v>90</v>
      </c>
      <c r="I246" s="712">
        <f>101.4-2</f>
        <v>99.4</v>
      </c>
      <c r="J246" s="713"/>
      <c r="K246" s="714"/>
      <c r="L246" s="5">
        <f t="shared" si="7"/>
        <v>15447.500000000004</v>
      </c>
      <c r="M246" s="5"/>
      <c r="N246" s="5"/>
      <c r="O246" s="498"/>
      <c r="P246" s="498"/>
    </row>
    <row r="247" spans="3:16" hidden="1">
      <c r="C247" s="5">
        <f t="shared" si="6"/>
        <v>243</v>
      </c>
      <c r="D247" s="5" t="s">
        <v>68</v>
      </c>
      <c r="E247" s="5" t="s">
        <v>54</v>
      </c>
      <c r="F247" s="5"/>
      <c r="G247" s="5"/>
      <c r="H247" s="5">
        <v>90</v>
      </c>
      <c r="I247" s="712">
        <v>6</v>
      </c>
      <c r="J247" s="713"/>
      <c r="K247" s="714"/>
      <c r="L247" s="5">
        <f t="shared" si="7"/>
        <v>15453.500000000004</v>
      </c>
      <c r="M247" s="5"/>
      <c r="N247" s="5"/>
      <c r="O247" s="498"/>
      <c r="P247" s="498"/>
    </row>
    <row r="248" spans="3:16" hidden="1">
      <c r="C248" s="5">
        <f t="shared" si="6"/>
        <v>244</v>
      </c>
      <c r="D248" s="5" t="s">
        <v>68</v>
      </c>
      <c r="E248" s="5" t="s">
        <v>54</v>
      </c>
      <c r="F248" s="5"/>
      <c r="G248" s="5"/>
      <c r="H248" s="5">
        <v>90</v>
      </c>
      <c r="I248" s="712">
        <f>322.5-2</f>
        <v>320.5</v>
      </c>
      <c r="J248" s="713"/>
      <c r="K248" s="714"/>
      <c r="L248" s="5">
        <f t="shared" si="7"/>
        <v>15774.000000000004</v>
      </c>
      <c r="M248" s="5"/>
      <c r="N248" s="5"/>
      <c r="O248" s="498"/>
      <c r="P248" s="498"/>
    </row>
    <row r="249" spans="3:16" hidden="1">
      <c r="C249" s="5">
        <f t="shared" si="6"/>
        <v>245</v>
      </c>
      <c r="D249" s="5" t="s">
        <v>68</v>
      </c>
      <c r="E249" s="5" t="s">
        <v>54</v>
      </c>
      <c r="F249" s="5"/>
      <c r="G249" s="5"/>
      <c r="H249" s="5">
        <v>90</v>
      </c>
      <c r="I249" s="712">
        <v>14.6</v>
      </c>
      <c r="J249" s="713"/>
      <c r="K249" s="714"/>
      <c r="L249" s="5">
        <f t="shared" si="7"/>
        <v>15788.600000000004</v>
      </c>
      <c r="M249" s="5" t="s">
        <v>1419</v>
      </c>
      <c r="N249" s="5"/>
      <c r="O249" s="498"/>
      <c r="P249" s="498"/>
    </row>
    <row r="250" spans="3:16" hidden="1">
      <c r="C250" s="5">
        <f t="shared" si="6"/>
        <v>246</v>
      </c>
      <c r="D250" s="5" t="s">
        <v>159</v>
      </c>
      <c r="E250" s="5" t="s">
        <v>46</v>
      </c>
      <c r="F250" s="5" t="s">
        <v>149</v>
      </c>
      <c r="G250" s="5">
        <v>0.39</v>
      </c>
      <c r="H250" s="5">
        <v>90</v>
      </c>
      <c r="I250" s="712">
        <f>234-2</f>
        <v>232</v>
      </c>
      <c r="J250" s="713"/>
      <c r="K250" s="714"/>
      <c r="L250" s="5">
        <f t="shared" si="7"/>
        <v>16020.600000000004</v>
      </c>
      <c r="M250" s="5"/>
      <c r="N250" s="5"/>
      <c r="O250" s="498"/>
      <c r="P250" s="498"/>
    </row>
    <row r="251" spans="3:16" hidden="1">
      <c r="C251" s="5">
        <f t="shared" si="6"/>
        <v>247</v>
      </c>
      <c r="D251" s="5" t="s">
        <v>56</v>
      </c>
      <c r="E251" s="5" t="s">
        <v>73</v>
      </c>
      <c r="F251" s="5"/>
      <c r="G251" s="5"/>
      <c r="H251" s="5">
        <v>90</v>
      </c>
      <c r="I251" s="712">
        <v>23.2</v>
      </c>
      <c r="J251" s="713"/>
      <c r="K251" s="714"/>
      <c r="L251" s="5">
        <f t="shared" si="7"/>
        <v>16043.800000000005</v>
      </c>
      <c r="M251" s="5" t="s">
        <v>1420</v>
      </c>
      <c r="N251" s="5"/>
      <c r="O251" s="498"/>
      <c r="P251" s="498"/>
    </row>
    <row r="252" spans="3:16" hidden="1">
      <c r="C252" s="5">
        <f t="shared" si="6"/>
        <v>248</v>
      </c>
      <c r="D252" s="5" t="s">
        <v>893</v>
      </c>
      <c r="E252" s="5" t="s">
        <v>41</v>
      </c>
      <c r="F252" s="5"/>
      <c r="G252" s="5"/>
      <c r="H252" s="5">
        <v>90</v>
      </c>
      <c r="I252" s="712">
        <v>43</v>
      </c>
      <c r="J252" s="713"/>
      <c r="K252" s="714"/>
      <c r="L252" s="5">
        <f t="shared" si="7"/>
        <v>16086.800000000005</v>
      </c>
      <c r="M252" s="5"/>
      <c r="N252" s="5"/>
      <c r="O252" s="498"/>
      <c r="P252" s="498"/>
    </row>
    <row r="253" spans="3:16" hidden="1">
      <c r="C253" s="5">
        <f t="shared" si="6"/>
        <v>249</v>
      </c>
      <c r="D253" s="5" t="s">
        <v>41</v>
      </c>
      <c r="E253" s="5" t="s">
        <v>60</v>
      </c>
      <c r="F253" s="5" t="s">
        <v>45</v>
      </c>
      <c r="G253" s="5">
        <v>0.39</v>
      </c>
      <c r="H253" s="5">
        <v>90</v>
      </c>
      <c r="I253" s="712">
        <v>44.6</v>
      </c>
      <c r="J253" s="713"/>
      <c r="K253" s="714"/>
      <c r="L253" s="5">
        <f t="shared" si="7"/>
        <v>16131.400000000005</v>
      </c>
      <c r="M253" s="5"/>
      <c r="N253" s="5"/>
      <c r="O253" s="498"/>
      <c r="P253" s="498"/>
    </row>
    <row r="254" spans="3:16" hidden="1">
      <c r="C254" s="5">
        <f t="shared" si="6"/>
        <v>250</v>
      </c>
      <c r="D254" s="5" t="s">
        <v>1418</v>
      </c>
      <c r="E254" s="5" t="s">
        <v>52</v>
      </c>
      <c r="F254" s="5"/>
      <c r="G254" s="5"/>
      <c r="H254" s="5">
        <v>110</v>
      </c>
      <c r="I254" s="712">
        <v>7</v>
      </c>
      <c r="J254" s="713"/>
      <c r="K254" s="714"/>
      <c r="L254" s="5">
        <f t="shared" si="7"/>
        <v>16138.400000000005</v>
      </c>
      <c r="M254" s="5"/>
      <c r="N254" s="5"/>
      <c r="O254" s="498"/>
      <c r="P254" s="498"/>
    </row>
    <row r="255" spans="3:16" hidden="1">
      <c r="C255" s="5">
        <f t="shared" si="6"/>
        <v>251</v>
      </c>
      <c r="D255" s="5" t="s">
        <v>1418</v>
      </c>
      <c r="E255" s="5" t="s">
        <v>52</v>
      </c>
      <c r="F255" s="5"/>
      <c r="G255" s="5"/>
      <c r="H255" s="5">
        <v>110</v>
      </c>
      <c r="I255" s="712">
        <f>351.6-2</f>
        <v>349.6</v>
      </c>
      <c r="J255" s="713"/>
      <c r="K255" s="714"/>
      <c r="L255" s="5">
        <f t="shared" si="7"/>
        <v>16488.000000000004</v>
      </c>
      <c r="M255" s="5"/>
      <c r="N255" s="5"/>
      <c r="O255" s="498"/>
      <c r="P255" s="498"/>
    </row>
    <row r="256" spans="3:16" hidden="1">
      <c r="C256" s="5">
        <f t="shared" si="6"/>
        <v>252</v>
      </c>
      <c r="D256" s="5" t="s">
        <v>73</v>
      </c>
      <c r="E256" s="5" t="s">
        <v>55</v>
      </c>
      <c r="F256" s="5"/>
      <c r="G256" s="5"/>
      <c r="H256" s="5">
        <v>110</v>
      </c>
      <c r="I256" s="712">
        <f>110.4-1</f>
        <v>109.4</v>
      </c>
      <c r="J256" s="713"/>
      <c r="K256" s="714"/>
      <c r="L256" s="5">
        <f t="shared" si="7"/>
        <v>16597.400000000005</v>
      </c>
      <c r="M256" s="5"/>
      <c r="N256" s="5"/>
      <c r="O256" s="498"/>
      <c r="P256" s="498"/>
    </row>
    <row r="257" spans="3:23" hidden="1">
      <c r="C257" s="5">
        <f t="shared" si="6"/>
        <v>253</v>
      </c>
      <c r="D257" s="5" t="s">
        <v>55</v>
      </c>
      <c r="E257" s="5" t="s">
        <v>930</v>
      </c>
      <c r="F257" s="5"/>
      <c r="G257" s="5"/>
      <c r="H257" s="5">
        <v>110</v>
      </c>
      <c r="I257" s="712">
        <v>14</v>
      </c>
      <c r="J257" s="713"/>
      <c r="K257" s="714"/>
      <c r="L257" s="5">
        <f t="shared" si="7"/>
        <v>16611.400000000005</v>
      </c>
      <c r="M257" s="5"/>
      <c r="N257" s="5"/>
      <c r="O257" s="498"/>
      <c r="P257" s="498"/>
    </row>
    <row r="258" spans="3:23" hidden="1">
      <c r="C258" s="5">
        <f t="shared" si="6"/>
        <v>254</v>
      </c>
      <c r="D258" s="5" t="s">
        <v>724</v>
      </c>
      <c r="E258" s="5" t="s">
        <v>52</v>
      </c>
      <c r="F258" s="5"/>
      <c r="G258" s="5"/>
      <c r="H258" s="5">
        <v>125</v>
      </c>
      <c r="I258" s="712">
        <f>419-2</f>
        <v>417</v>
      </c>
      <c r="J258" s="713"/>
      <c r="K258" s="714"/>
      <c r="L258" s="5">
        <f t="shared" si="7"/>
        <v>17028.400000000005</v>
      </c>
      <c r="M258" s="5"/>
      <c r="N258" s="5"/>
      <c r="O258" s="498"/>
      <c r="P258" s="498"/>
    </row>
    <row r="259" spans="3:23" hidden="1">
      <c r="C259" s="5">
        <f t="shared" si="6"/>
        <v>255</v>
      </c>
      <c r="D259" s="5" t="s">
        <v>930</v>
      </c>
      <c r="E259" s="5" t="s">
        <v>894</v>
      </c>
      <c r="F259" s="5"/>
      <c r="G259" s="5"/>
      <c r="H259" s="5">
        <v>125</v>
      </c>
      <c r="I259" s="712">
        <f>121.1-1</f>
        <v>120.1</v>
      </c>
      <c r="J259" s="713"/>
      <c r="K259" s="714"/>
      <c r="L259" s="5">
        <f t="shared" si="7"/>
        <v>17148.500000000004</v>
      </c>
      <c r="M259" s="5"/>
      <c r="N259" s="5"/>
      <c r="O259" s="498"/>
      <c r="P259" s="498"/>
    </row>
    <row r="260" spans="3:23" hidden="1">
      <c r="C260" s="5">
        <f t="shared" si="6"/>
        <v>256</v>
      </c>
      <c r="D260" s="5" t="s">
        <v>728</v>
      </c>
      <c r="E260" s="5" t="s">
        <v>46</v>
      </c>
      <c r="F260" s="5"/>
      <c r="G260" s="5"/>
      <c r="H260" s="5">
        <v>140</v>
      </c>
      <c r="I260" s="712">
        <f>488-3</f>
        <v>485</v>
      </c>
      <c r="J260" s="713"/>
      <c r="K260" s="714"/>
      <c r="L260" s="5">
        <f t="shared" si="7"/>
        <v>17633.500000000004</v>
      </c>
      <c r="M260" s="5"/>
      <c r="N260" s="5"/>
      <c r="O260" s="498"/>
      <c r="P260" s="498"/>
    </row>
    <row r="261" spans="3:23" hidden="1">
      <c r="C261" s="5">
        <f t="shared" si="6"/>
        <v>257</v>
      </c>
      <c r="D261" s="5" t="s">
        <v>894</v>
      </c>
      <c r="E261" s="5" t="s">
        <v>893</v>
      </c>
      <c r="F261" s="5"/>
      <c r="G261" s="5"/>
      <c r="H261" s="5">
        <v>140</v>
      </c>
      <c r="I261" s="712">
        <v>79.3</v>
      </c>
      <c r="J261" s="713"/>
      <c r="K261" s="714"/>
      <c r="L261" s="5">
        <f t="shared" si="7"/>
        <v>17712.800000000003</v>
      </c>
      <c r="M261" s="5" t="s">
        <v>1421</v>
      </c>
      <c r="N261" s="5"/>
      <c r="O261" s="498"/>
      <c r="P261" s="498"/>
    </row>
    <row r="262" spans="3:23" hidden="1">
      <c r="C262" s="5">
        <f t="shared" si="6"/>
        <v>258</v>
      </c>
      <c r="D262" s="5" t="s">
        <v>894</v>
      </c>
      <c r="E262" s="5" t="s">
        <v>728</v>
      </c>
      <c r="F262" s="5"/>
      <c r="G262" s="5"/>
      <c r="H262" s="5">
        <v>160</v>
      </c>
      <c r="I262" s="712">
        <v>11.7</v>
      </c>
      <c r="J262" s="713"/>
      <c r="K262" s="714"/>
      <c r="L262" s="5">
        <f t="shared" si="7"/>
        <v>17724.500000000004</v>
      </c>
      <c r="M262" s="5"/>
      <c r="N262" s="5"/>
      <c r="O262" s="498"/>
      <c r="P262" s="498"/>
    </row>
    <row r="263" spans="3:23" hidden="1">
      <c r="C263" s="5">
        <f t="shared" ref="C263:C264" si="8">1+C262</f>
        <v>259</v>
      </c>
      <c r="D263" s="5" t="s">
        <v>728</v>
      </c>
      <c r="E263" s="5" t="s">
        <v>29</v>
      </c>
      <c r="F263" s="5"/>
      <c r="G263" s="5"/>
      <c r="H263" s="5">
        <v>160</v>
      </c>
      <c r="I263" s="712">
        <v>7</v>
      </c>
      <c r="J263" s="713"/>
      <c r="K263" s="714"/>
      <c r="L263" s="5">
        <f t="shared" ref="L263:L264" si="9">+L262+I263</f>
        <v>17731.500000000004</v>
      </c>
      <c r="M263" s="5"/>
      <c r="N263" s="5"/>
      <c r="O263" s="498"/>
      <c r="P263" s="498"/>
    </row>
    <row r="264" spans="3:23" hidden="1">
      <c r="C264" s="5">
        <f t="shared" si="8"/>
        <v>260</v>
      </c>
      <c r="D264" s="5" t="s">
        <v>728</v>
      </c>
      <c r="E264" s="5" t="s">
        <v>29</v>
      </c>
      <c r="F264" s="5"/>
      <c r="G264" s="5"/>
      <c r="H264" s="5">
        <v>160</v>
      </c>
      <c r="I264" s="712">
        <v>124</v>
      </c>
      <c r="J264" s="713"/>
      <c r="K264" s="714"/>
      <c r="L264" s="5">
        <f t="shared" si="9"/>
        <v>17855.500000000004</v>
      </c>
      <c r="M264" s="5"/>
      <c r="N264" s="5"/>
      <c r="O264" s="498"/>
      <c r="P264" s="498"/>
    </row>
    <row r="265" spans="3:23">
      <c r="C265" s="5"/>
      <c r="D265" s="5"/>
      <c r="E265" s="5"/>
      <c r="F265" s="5"/>
      <c r="G265" s="5"/>
      <c r="H265" s="5"/>
      <c r="I265" s="53"/>
      <c r="J265" s="61"/>
      <c r="K265" s="62"/>
      <c r="L265" s="5"/>
      <c r="M265" s="5"/>
      <c r="N265" s="5"/>
      <c r="O265" s="498"/>
      <c r="P265" s="498"/>
    </row>
    <row r="266" spans="3:23">
      <c r="C266" s="5"/>
      <c r="D266" s="5"/>
      <c r="E266" s="5">
        <v>63</v>
      </c>
      <c r="F266" s="5">
        <v>75</v>
      </c>
      <c r="G266" s="5">
        <v>90</v>
      </c>
      <c r="H266" s="5">
        <v>110</v>
      </c>
      <c r="I266" s="5">
        <v>125</v>
      </c>
      <c r="J266" s="5">
        <v>140</v>
      </c>
      <c r="K266" s="5">
        <v>160</v>
      </c>
      <c r="L266" s="5"/>
      <c r="M266" s="5"/>
      <c r="N266" s="5"/>
      <c r="O266" s="498"/>
      <c r="P266" s="498"/>
    </row>
    <row r="267" spans="3:23">
      <c r="C267" s="5"/>
      <c r="D267" s="5"/>
      <c r="E267" s="5">
        <f t="shared" ref="E267:K267" si="10">+SUMIF($H$5:$H$264,E266,$I$5:$K$264)</f>
        <v>14319.700000000004</v>
      </c>
      <c r="F267" s="5">
        <f t="shared" si="10"/>
        <v>811.8</v>
      </c>
      <c r="G267" s="5">
        <f t="shared" si="10"/>
        <v>999.90000000000009</v>
      </c>
      <c r="H267" s="5">
        <f t="shared" si="10"/>
        <v>480</v>
      </c>
      <c r="I267" s="5">
        <f t="shared" si="10"/>
        <v>537.1</v>
      </c>
      <c r="J267" s="5">
        <f t="shared" si="10"/>
        <v>564.29999999999995</v>
      </c>
      <c r="K267" s="5">
        <f t="shared" si="10"/>
        <v>142.69999999999999</v>
      </c>
      <c r="L267" s="5">
        <f>+E267+F267+G267+H267+I267+J267+K267</f>
        <v>17855.5</v>
      </c>
      <c r="M267" s="5"/>
      <c r="N267" s="5"/>
      <c r="O267" s="498"/>
      <c r="P267" s="498"/>
    </row>
    <row r="268" spans="3:23" ht="18.75">
      <c r="C268" s="5"/>
      <c r="D268" s="5"/>
      <c r="E268" s="68">
        <v>17139</v>
      </c>
      <c r="F268" s="68">
        <v>813</v>
      </c>
      <c r="G268" s="68">
        <v>1002</v>
      </c>
      <c r="H268" s="68">
        <v>483</v>
      </c>
      <c r="I268" s="68">
        <v>539</v>
      </c>
      <c r="J268" s="68">
        <v>566</v>
      </c>
      <c r="K268" s="68">
        <v>163</v>
      </c>
      <c r="L268" s="68">
        <f>+SUM(E268:K268)</f>
        <v>20705</v>
      </c>
      <c r="M268" s="68"/>
      <c r="N268" s="68"/>
      <c r="O268" s="498"/>
      <c r="P268" s="498"/>
    </row>
    <row r="269" spans="3:23" ht="15.75">
      <c r="C269" s="7" t="s">
        <v>365</v>
      </c>
      <c r="D269" s="8"/>
      <c r="E269" s="8"/>
      <c r="F269" s="8"/>
      <c r="G269" s="8" t="s">
        <v>366</v>
      </c>
      <c r="H269" s="8"/>
      <c r="I269" s="8"/>
      <c r="J269" s="8"/>
      <c r="K269" s="8"/>
      <c r="L269" s="8" t="s">
        <v>367</v>
      </c>
      <c r="M269" s="8"/>
      <c r="N269" s="8"/>
      <c r="O269" s="8"/>
      <c r="P269" s="8"/>
      <c r="Q269" s="8"/>
      <c r="R269" s="5" t="s">
        <v>735</v>
      </c>
      <c r="S269" s="5" t="s">
        <v>736</v>
      </c>
      <c r="T269" s="5" t="s">
        <v>737</v>
      </c>
      <c r="U269" s="5" t="s">
        <v>738</v>
      </c>
      <c r="V269" s="5" t="s">
        <v>739</v>
      </c>
      <c r="W269" t="s">
        <v>740</v>
      </c>
    </row>
    <row r="270" spans="3:23" ht="15.75">
      <c r="C270" s="7" t="s">
        <v>368</v>
      </c>
      <c r="D270" s="8"/>
      <c r="E270" s="498"/>
      <c r="F270" s="498"/>
      <c r="G270" s="8" t="s">
        <v>368</v>
      </c>
      <c r="H270" s="498"/>
      <c r="I270" s="498"/>
      <c r="J270" s="498"/>
      <c r="K270" s="498"/>
      <c r="L270" s="8" t="s">
        <v>368</v>
      </c>
      <c r="M270" s="8"/>
      <c r="N270" s="8"/>
      <c r="O270" s="498"/>
      <c r="P270" s="498"/>
      <c r="Q270" s="498"/>
      <c r="R270" s="5">
        <v>63</v>
      </c>
      <c r="S270" s="5">
        <v>17139</v>
      </c>
      <c r="T270" s="5">
        <v>14000</v>
      </c>
      <c r="U270" s="5">
        <v>10364</v>
      </c>
      <c r="V270" s="5">
        <v>3636</v>
      </c>
    </row>
    <row r="271" spans="3:23" ht="15.75">
      <c r="C271" s="7" t="s">
        <v>369</v>
      </c>
      <c r="D271" s="498"/>
      <c r="E271" s="498"/>
      <c r="F271" s="498"/>
      <c r="G271" s="8" t="s">
        <v>369</v>
      </c>
      <c r="H271" s="498"/>
      <c r="I271" s="498"/>
      <c r="J271" s="498"/>
      <c r="K271" s="498"/>
      <c r="L271" s="8" t="s">
        <v>369</v>
      </c>
      <c r="M271" s="8"/>
      <c r="N271" s="8"/>
      <c r="O271" s="498"/>
      <c r="P271" s="498"/>
      <c r="Q271" s="498"/>
      <c r="R271" s="5">
        <v>75</v>
      </c>
      <c r="S271" s="5">
        <v>813</v>
      </c>
      <c r="T271" s="5">
        <v>600</v>
      </c>
      <c r="U271" s="5">
        <v>600</v>
      </c>
      <c r="V271" s="5">
        <v>0</v>
      </c>
    </row>
    <row r="272" spans="3:23" ht="15.75">
      <c r="C272" s="7" t="s">
        <v>370</v>
      </c>
      <c r="D272" s="8"/>
      <c r="E272" s="498"/>
      <c r="F272" s="498"/>
      <c r="G272" s="8" t="s">
        <v>370</v>
      </c>
      <c r="H272" s="498"/>
      <c r="I272" s="498"/>
      <c r="J272" s="498"/>
      <c r="K272" s="498"/>
      <c r="L272" s="8" t="s">
        <v>370</v>
      </c>
      <c r="M272" s="8"/>
      <c r="N272" s="8"/>
      <c r="O272" s="498"/>
      <c r="P272" s="498"/>
      <c r="Q272" s="8"/>
      <c r="R272" s="5">
        <v>90</v>
      </c>
      <c r="S272" s="5">
        <v>1002</v>
      </c>
      <c r="T272" s="5">
        <v>1050</v>
      </c>
      <c r="U272" s="5">
        <v>725</v>
      </c>
      <c r="V272" s="5">
        <v>325</v>
      </c>
    </row>
    <row r="273" spans="9:22">
      <c r="I273" s="609"/>
      <c r="J273" s="609"/>
      <c r="K273" s="609"/>
      <c r="O273" s="609"/>
      <c r="P273" s="609"/>
      <c r="R273" s="5">
        <v>110</v>
      </c>
      <c r="S273" s="5">
        <v>483</v>
      </c>
      <c r="T273" s="5">
        <v>525</v>
      </c>
      <c r="U273" s="5">
        <v>436</v>
      </c>
      <c r="V273" s="5">
        <v>89</v>
      </c>
    </row>
    <row r="274" spans="9:22">
      <c r="I274" s="609"/>
      <c r="J274" s="609"/>
      <c r="K274" s="609"/>
      <c r="O274" s="609"/>
      <c r="P274" s="609"/>
      <c r="R274" s="5">
        <v>125</v>
      </c>
      <c r="S274" s="5">
        <v>539</v>
      </c>
      <c r="T274" s="5">
        <v>540</v>
      </c>
      <c r="U274" s="5">
        <v>539</v>
      </c>
      <c r="V274" s="5">
        <v>1</v>
      </c>
    </row>
    <row r="275" spans="9:22">
      <c r="I275" s="609"/>
      <c r="J275" s="609"/>
      <c r="K275" s="609"/>
      <c r="O275" s="609"/>
      <c r="P275" s="609"/>
      <c r="R275" s="5">
        <v>140</v>
      </c>
      <c r="S275" s="5">
        <v>566</v>
      </c>
      <c r="T275" s="5">
        <v>576</v>
      </c>
      <c r="U275" s="5">
        <v>566</v>
      </c>
      <c r="V275" s="5">
        <v>10</v>
      </c>
    </row>
    <row r="276" spans="9:22">
      <c r="I276" s="609"/>
      <c r="J276" s="609"/>
      <c r="K276" s="609"/>
      <c r="O276" s="609"/>
      <c r="P276" s="609"/>
      <c r="R276" s="5">
        <v>160</v>
      </c>
      <c r="S276" s="5">
        <v>163</v>
      </c>
      <c r="T276" s="5">
        <v>168</v>
      </c>
      <c r="U276" s="5">
        <v>135</v>
      </c>
      <c r="V276" s="5">
        <v>33</v>
      </c>
    </row>
    <row r="277" spans="9:22">
      <c r="O277" s="609"/>
      <c r="P277" s="609"/>
    </row>
    <row r="278" spans="9:22">
      <c r="O278" s="609"/>
      <c r="P278" s="609"/>
    </row>
    <row r="279" spans="9:22">
      <c r="O279" s="609"/>
      <c r="P279" s="609"/>
    </row>
    <row r="280" spans="9:22">
      <c r="I280" s="609"/>
      <c r="J280" s="609"/>
      <c r="K280" s="609"/>
      <c r="O280" s="609"/>
      <c r="P280" s="609"/>
    </row>
    <row r="281" spans="9:22">
      <c r="I281" s="609"/>
      <c r="J281" s="609"/>
      <c r="K281" s="609"/>
      <c r="O281" s="609"/>
      <c r="P281" s="609"/>
    </row>
    <row r="282" spans="9:22">
      <c r="I282" s="609"/>
      <c r="J282" s="609"/>
      <c r="K282" s="609"/>
      <c r="O282" s="609"/>
      <c r="P282" s="609"/>
    </row>
    <row r="283" spans="9:22">
      <c r="I283" s="609"/>
      <c r="J283" s="609"/>
      <c r="K283" s="609"/>
      <c r="O283" s="609"/>
      <c r="P283" s="609"/>
    </row>
    <row r="284" spans="9:22">
      <c r="I284" s="609"/>
      <c r="J284" s="609"/>
      <c r="K284" s="609"/>
      <c r="O284" s="609"/>
      <c r="P284" s="609"/>
    </row>
    <row r="285" spans="9:22">
      <c r="I285" s="609"/>
      <c r="J285" s="609"/>
      <c r="K285" s="609"/>
      <c r="O285" s="609"/>
      <c r="P285" s="609"/>
    </row>
    <row r="286" spans="9:22">
      <c r="I286" s="609"/>
      <c r="J286" s="609"/>
      <c r="K286" s="609"/>
      <c r="O286" s="609"/>
      <c r="P286" s="609"/>
    </row>
    <row r="287" spans="9:22">
      <c r="I287" s="609"/>
      <c r="J287" s="609"/>
      <c r="K287" s="609"/>
      <c r="O287" s="609"/>
      <c r="P287" s="609"/>
    </row>
    <row r="288" spans="9:22">
      <c r="I288" s="609"/>
      <c r="J288" s="609"/>
      <c r="K288" s="609"/>
      <c r="O288" s="609"/>
      <c r="P288" s="609"/>
    </row>
    <row r="289" spans="9:16">
      <c r="I289" s="609"/>
      <c r="J289" s="609"/>
      <c r="K289" s="609"/>
      <c r="O289" s="609"/>
      <c r="P289" s="609"/>
    </row>
    <row r="290" spans="9:16">
      <c r="I290" s="609"/>
      <c r="J290" s="609"/>
      <c r="K290" s="609"/>
      <c r="O290" s="609"/>
      <c r="P290" s="609"/>
    </row>
    <row r="291" spans="9:16">
      <c r="I291" s="609"/>
      <c r="J291" s="609"/>
      <c r="K291" s="609"/>
      <c r="O291" s="609"/>
      <c r="P291" s="609"/>
    </row>
    <row r="292" spans="9:16">
      <c r="I292" s="609"/>
      <c r="J292" s="609"/>
      <c r="K292" s="609"/>
      <c r="O292" s="609"/>
      <c r="P292" s="609"/>
    </row>
    <row r="293" spans="9:16">
      <c r="I293" s="609"/>
      <c r="J293" s="609"/>
      <c r="K293" s="609"/>
      <c r="O293" s="609"/>
      <c r="P293" s="609"/>
    </row>
    <row r="294" spans="9:16">
      <c r="I294" s="609"/>
      <c r="J294" s="609"/>
      <c r="K294" s="609"/>
      <c r="O294" s="609"/>
      <c r="P294" s="609"/>
    </row>
    <row r="295" spans="9:16">
      <c r="I295" s="609"/>
      <c r="J295" s="609"/>
      <c r="K295" s="609"/>
      <c r="O295" s="609"/>
      <c r="P295" s="609"/>
    </row>
    <row r="296" spans="9:16">
      <c r="I296" s="609"/>
      <c r="J296" s="609"/>
      <c r="K296" s="609"/>
      <c r="O296" s="609"/>
      <c r="P296" s="609"/>
    </row>
    <row r="297" spans="9:16">
      <c r="I297" s="609"/>
      <c r="J297" s="609"/>
      <c r="K297" s="609"/>
      <c r="O297" s="609"/>
      <c r="P297" s="609"/>
    </row>
    <row r="298" spans="9:16">
      <c r="I298" s="609"/>
      <c r="J298" s="609"/>
      <c r="K298" s="609"/>
      <c r="O298" s="609"/>
      <c r="P298" s="609"/>
    </row>
    <row r="299" spans="9:16">
      <c r="I299" s="609"/>
      <c r="J299" s="609"/>
      <c r="K299" s="609"/>
      <c r="O299" s="609"/>
      <c r="P299" s="609"/>
    </row>
    <row r="300" spans="9:16">
      <c r="I300" s="609"/>
      <c r="J300" s="609"/>
      <c r="K300" s="609"/>
      <c r="O300" s="609"/>
      <c r="P300" s="609"/>
    </row>
    <row r="301" spans="9:16">
      <c r="I301" s="609"/>
      <c r="J301" s="609"/>
      <c r="K301" s="609"/>
      <c r="O301" s="609"/>
      <c r="P301" s="609"/>
    </row>
    <row r="302" spans="9:16">
      <c r="I302" s="609"/>
      <c r="J302" s="609"/>
      <c r="K302" s="609"/>
      <c r="O302" s="609"/>
      <c r="P302" s="609"/>
    </row>
    <row r="303" spans="9:16">
      <c r="I303" s="609"/>
      <c r="J303" s="609"/>
      <c r="K303" s="609"/>
      <c r="O303" s="609"/>
      <c r="P303" s="609"/>
    </row>
    <row r="304" spans="9:16">
      <c r="I304" s="609"/>
      <c r="J304" s="609"/>
      <c r="K304" s="609"/>
      <c r="O304" s="609"/>
      <c r="P304" s="609"/>
    </row>
    <row r="305" spans="9:16">
      <c r="I305" s="609"/>
      <c r="J305" s="609"/>
      <c r="K305" s="609"/>
      <c r="O305" s="609"/>
      <c r="P305" s="609"/>
    </row>
    <row r="306" spans="9:16">
      <c r="I306" s="609"/>
      <c r="J306" s="609"/>
      <c r="K306" s="609"/>
      <c r="O306" s="609"/>
      <c r="P306" s="609"/>
    </row>
    <row r="307" spans="9:16">
      <c r="I307" s="609"/>
      <c r="J307" s="609"/>
      <c r="K307" s="609"/>
      <c r="O307" s="609"/>
      <c r="P307" s="609"/>
    </row>
    <row r="308" spans="9:16">
      <c r="I308" s="609"/>
      <c r="J308" s="609"/>
      <c r="K308" s="609"/>
      <c r="O308" s="609"/>
      <c r="P308" s="609"/>
    </row>
    <row r="309" spans="9:16">
      <c r="I309" s="609"/>
      <c r="J309" s="609"/>
      <c r="K309" s="609"/>
      <c r="O309" s="609"/>
      <c r="P309" s="609"/>
    </row>
    <row r="310" spans="9:16">
      <c r="I310" s="609"/>
      <c r="J310" s="609"/>
      <c r="K310" s="609"/>
      <c r="O310" s="609"/>
      <c r="P310" s="609"/>
    </row>
    <row r="311" spans="9:16">
      <c r="I311" s="609"/>
      <c r="J311" s="609"/>
      <c r="K311" s="609"/>
      <c r="O311" s="609"/>
      <c r="P311" s="609"/>
    </row>
    <row r="312" spans="9:16">
      <c r="I312" s="609"/>
      <c r="J312" s="609"/>
      <c r="K312" s="609"/>
      <c r="O312" s="609"/>
      <c r="P312" s="609"/>
    </row>
    <row r="313" spans="9:16">
      <c r="I313" s="609"/>
      <c r="J313" s="609"/>
      <c r="K313" s="609"/>
      <c r="O313" s="609"/>
      <c r="P313" s="609"/>
    </row>
    <row r="314" spans="9:16">
      <c r="I314" s="609"/>
      <c r="J314" s="609"/>
      <c r="K314" s="609"/>
      <c r="O314" s="609"/>
      <c r="P314" s="609"/>
    </row>
    <row r="315" spans="9:16">
      <c r="I315" s="609"/>
      <c r="J315" s="609"/>
      <c r="K315" s="609"/>
      <c r="O315" s="609"/>
      <c r="P315" s="609"/>
    </row>
    <row r="316" spans="9:16">
      <c r="I316" s="609"/>
      <c r="J316" s="609"/>
      <c r="K316" s="609"/>
      <c r="O316" s="609"/>
      <c r="P316" s="609"/>
    </row>
    <row r="317" spans="9:16">
      <c r="I317" s="609"/>
      <c r="J317" s="609"/>
      <c r="K317" s="609"/>
      <c r="O317" s="609"/>
      <c r="P317" s="609"/>
    </row>
    <row r="318" spans="9:16">
      <c r="I318" s="609"/>
      <c r="J318" s="609"/>
      <c r="K318" s="609"/>
      <c r="O318" s="609"/>
      <c r="P318" s="609"/>
    </row>
    <row r="319" spans="9:16">
      <c r="I319" s="609"/>
      <c r="J319" s="609"/>
      <c r="K319" s="609"/>
      <c r="O319" s="609"/>
      <c r="P319" s="609"/>
    </row>
    <row r="320" spans="9:16">
      <c r="I320" s="609"/>
      <c r="J320" s="609"/>
      <c r="K320" s="609"/>
      <c r="O320" s="609"/>
      <c r="P320" s="609"/>
    </row>
    <row r="321" spans="9:16">
      <c r="I321" s="609"/>
      <c r="J321" s="609"/>
      <c r="K321" s="609"/>
      <c r="O321" s="609"/>
      <c r="P321" s="609"/>
    </row>
    <row r="322" spans="9:16">
      <c r="I322" s="609"/>
      <c r="J322" s="609"/>
      <c r="K322" s="609"/>
      <c r="O322" s="609"/>
      <c r="P322" s="609"/>
    </row>
    <row r="323" spans="9:16">
      <c r="I323" s="609"/>
      <c r="J323" s="609"/>
      <c r="K323" s="609"/>
      <c r="O323" s="609"/>
      <c r="P323" s="609"/>
    </row>
    <row r="324" spans="9:16">
      <c r="I324" s="609"/>
      <c r="J324" s="609"/>
      <c r="K324" s="609"/>
      <c r="O324" s="609"/>
      <c r="P324" s="609"/>
    </row>
    <row r="325" spans="9:16">
      <c r="I325" s="609"/>
      <c r="J325" s="609"/>
      <c r="K325" s="609"/>
      <c r="O325" s="609"/>
      <c r="P325" s="609"/>
    </row>
    <row r="326" spans="9:16">
      <c r="I326" s="609"/>
      <c r="J326" s="609"/>
      <c r="K326" s="609"/>
      <c r="O326" s="609"/>
      <c r="P326" s="609"/>
    </row>
    <row r="327" spans="9:16">
      <c r="I327" s="609"/>
      <c r="J327" s="609"/>
      <c r="K327" s="609"/>
      <c r="O327" s="609"/>
      <c r="P327" s="609"/>
    </row>
    <row r="328" spans="9:16">
      <c r="I328" s="609"/>
      <c r="J328" s="609"/>
      <c r="K328" s="609"/>
      <c r="O328" s="609"/>
      <c r="P328" s="609"/>
    </row>
    <row r="329" spans="9:16">
      <c r="I329" s="609"/>
      <c r="J329" s="609"/>
      <c r="K329" s="609"/>
      <c r="O329" s="609"/>
      <c r="P329" s="609"/>
    </row>
    <row r="330" spans="9:16">
      <c r="I330" s="609"/>
      <c r="J330" s="609"/>
      <c r="K330" s="609"/>
      <c r="O330" s="609"/>
      <c r="P330" s="609"/>
    </row>
    <row r="331" spans="9:16">
      <c r="I331" s="609"/>
      <c r="J331" s="609"/>
      <c r="K331" s="609"/>
      <c r="O331" s="609"/>
      <c r="P331" s="609"/>
    </row>
    <row r="332" spans="9:16">
      <c r="I332" s="609"/>
      <c r="J332" s="609"/>
      <c r="K332" s="609"/>
      <c r="O332" s="609"/>
      <c r="P332" s="609"/>
    </row>
    <row r="333" spans="9:16">
      <c r="I333" s="609"/>
      <c r="J333" s="609"/>
      <c r="K333" s="609"/>
      <c r="O333" s="609"/>
      <c r="P333" s="609"/>
    </row>
    <row r="334" spans="9:16">
      <c r="I334" s="609"/>
      <c r="J334" s="609"/>
      <c r="K334" s="609"/>
      <c r="O334" s="609"/>
      <c r="P334" s="609"/>
    </row>
    <row r="335" spans="9:16">
      <c r="I335" s="609"/>
      <c r="J335" s="609"/>
      <c r="K335" s="609"/>
      <c r="O335" s="609"/>
      <c r="P335" s="609"/>
    </row>
    <row r="336" spans="9:16">
      <c r="I336" s="609"/>
      <c r="J336" s="609"/>
      <c r="K336" s="609"/>
      <c r="O336" s="609"/>
      <c r="P336" s="609"/>
    </row>
    <row r="337" spans="9:16">
      <c r="I337" s="609"/>
      <c r="J337" s="609"/>
      <c r="K337" s="609"/>
      <c r="O337" s="609"/>
      <c r="P337" s="609"/>
    </row>
    <row r="338" spans="9:16">
      <c r="I338" s="609"/>
      <c r="J338" s="609"/>
      <c r="K338" s="609"/>
      <c r="O338" s="609"/>
      <c r="P338" s="609"/>
    </row>
    <row r="339" spans="9:16">
      <c r="I339" s="609"/>
      <c r="J339" s="609"/>
      <c r="K339" s="609"/>
      <c r="O339" s="609"/>
      <c r="P339" s="609"/>
    </row>
    <row r="340" spans="9:16">
      <c r="I340" s="609"/>
      <c r="J340" s="609"/>
      <c r="K340" s="609"/>
      <c r="O340" s="609"/>
      <c r="P340" s="609"/>
    </row>
    <row r="341" spans="9:16">
      <c r="I341" s="609"/>
      <c r="J341" s="609"/>
      <c r="K341" s="609"/>
    </row>
    <row r="342" spans="9:16">
      <c r="I342" s="609"/>
      <c r="J342" s="609"/>
      <c r="K342" s="609"/>
    </row>
    <row r="343" spans="9:16">
      <c r="I343" s="609"/>
      <c r="J343" s="609"/>
      <c r="K343" s="609"/>
    </row>
    <row r="344" spans="9:16">
      <c r="I344" s="609"/>
      <c r="J344" s="609"/>
      <c r="K344" s="609"/>
    </row>
    <row r="345" spans="9:16">
      <c r="I345" s="609"/>
      <c r="J345" s="609"/>
      <c r="K345" s="609"/>
    </row>
    <row r="346" spans="9:16">
      <c r="I346" s="609"/>
      <c r="J346" s="609"/>
      <c r="K346" s="609"/>
    </row>
    <row r="347" spans="9:16">
      <c r="I347" s="609"/>
      <c r="J347" s="609"/>
      <c r="K347" s="609"/>
    </row>
    <row r="348" spans="9:16">
      <c r="I348" s="609"/>
      <c r="J348" s="609"/>
      <c r="K348" s="609"/>
    </row>
    <row r="349" spans="9:16">
      <c r="I349" s="609"/>
      <c r="J349" s="609"/>
      <c r="K349" s="609"/>
    </row>
    <row r="350" spans="9:16">
      <c r="I350" s="609"/>
      <c r="J350" s="609"/>
      <c r="K350" s="609"/>
    </row>
    <row r="351" spans="9:16">
      <c r="I351" s="609"/>
      <c r="J351" s="609"/>
      <c r="K351" s="609"/>
    </row>
    <row r="352" spans="9:16">
      <c r="I352" s="609"/>
      <c r="J352" s="609"/>
      <c r="K352" s="609"/>
    </row>
    <row r="353" spans="9:11">
      <c r="I353" s="609"/>
      <c r="J353" s="609"/>
      <c r="K353" s="609"/>
    </row>
    <row r="354" spans="9:11">
      <c r="I354" s="609"/>
      <c r="J354" s="609"/>
      <c r="K354" s="609"/>
    </row>
    <row r="355" spans="9:11">
      <c r="I355" s="609"/>
      <c r="J355" s="609"/>
      <c r="K355" s="609"/>
    </row>
    <row r="356" spans="9:11">
      <c r="I356" s="609"/>
      <c r="J356" s="609"/>
      <c r="K356" s="609"/>
    </row>
    <row r="357" spans="9:11">
      <c r="I357" s="609"/>
      <c r="J357" s="609"/>
      <c r="K357" s="609"/>
    </row>
    <row r="358" spans="9:11">
      <c r="I358" s="609"/>
      <c r="J358" s="609"/>
      <c r="K358" s="609"/>
    </row>
    <row r="359" spans="9:11">
      <c r="I359" s="609"/>
      <c r="J359" s="609"/>
      <c r="K359" s="609"/>
    </row>
    <row r="360" spans="9:11">
      <c r="I360" s="609"/>
      <c r="J360" s="609"/>
      <c r="K360" s="609"/>
    </row>
    <row r="361" spans="9:11">
      <c r="I361" s="609"/>
      <c r="J361" s="609"/>
      <c r="K361" s="609"/>
    </row>
    <row r="362" spans="9:11">
      <c r="I362" s="609"/>
      <c r="J362" s="609"/>
      <c r="K362" s="609"/>
    </row>
    <row r="363" spans="9:11">
      <c r="I363" s="609"/>
      <c r="J363" s="609"/>
      <c r="K363" s="609"/>
    </row>
    <row r="364" spans="9:11">
      <c r="I364" s="609"/>
      <c r="J364" s="609"/>
      <c r="K364" s="609"/>
    </row>
    <row r="365" spans="9:11">
      <c r="I365" s="609"/>
      <c r="J365" s="609"/>
      <c r="K365" s="609"/>
    </row>
    <row r="366" spans="9:11">
      <c r="I366" s="609"/>
      <c r="J366" s="609"/>
      <c r="K366" s="609"/>
    </row>
    <row r="367" spans="9:11">
      <c r="I367" s="609"/>
      <c r="J367" s="609"/>
      <c r="K367" s="609"/>
    </row>
    <row r="368" spans="9:11">
      <c r="I368" s="609"/>
      <c r="J368" s="609"/>
      <c r="K368" s="609"/>
    </row>
    <row r="369" spans="9:11">
      <c r="I369" s="609"/>
      <c r="J369" s="609"/>
      <c r="K369" s="609"/>
    </row>
    <row r="370" spans="9:11">
      <c r="I370" s="609"/>
      <c r="J370" s="609"/>
      <c r="K370" s="609"/>
    </row>
    <row r="371" spans="9:11">
      <c r="I371" s="609"/>
      <c r="J371" s="609"/>
      <c r="K371" s="609"/>
    </row>
    <row r="372" spans="9:11">
      <c r="I372" s="609"/>
      <c r="J372" s="609"/>
      <c r="K372" s="609"/>
    </row>
    <row r="373" spans="9:11">
      <c r="I373" s="609"/>
      <c r="J373" s="609"/>
      <c r="K373" s="609"/>
    </row>
    <row r="374" spans="9:11">
      <c r="I374" s="609"/>
      <c r="J374" s="609"/>
      <c r="K374" s="609"/>
    </row>
    <row r="375" spans="9:11">
      <c r="I375" s="609"/>
      <c r="J375" s="609"/>
      <c r="K375" s="609"/>
    </row>
    <row r="376" spans="9:11">
      <c r="I376" s="609"/>
      <c r="J376" s="609"/>
      <c r="K376" s="609"/>
    </row>
    <row r="377" spans="9:11">
      <c r="I377" s="609"/>
      <c r="J377" s="609"/>
      <c r="K377" s="609"/>
    </row>
    <row r="378" spans="9:11">
      <c r="I378" s="609"/>
      <c r="J378" s="609"/>
      <c r="K378" s="609"/>
    </row>
    <row r="379" spans="9:11">
      <c r="I379" s="609"/>
      <c r="J379" s="609"/>
      <c r="K379" s="609"/>
    </row>
    <row r="380" spans="9:11">
      <c r="I380" s="609"/>
      <c r="J380" s="609"/>
      <c r="K380" s="609"/>
    </row>
    <row r="381" spans="9:11">
      <c r="I381" s="609"/>
      <c r="J381" s="609"/>
      <c r="K381" s="609"/>
    </row>
    <row r="382" spans="9:11">
      <c r="I382" s="609"/>
      <c r="J382" s="609"/>
      <c r="K382" s="609"/>
    </row>
    <row r="383" spans="9:11">
      <c r="I383" s="609"/>
      <c r="J383" s="609"/>
      <c r="K383" s="609"/>
    </row>
    <row r="384" spans="9:11">
      <c r="I384" s="609"/>
      <c r="J384" s="609"/>
      <c r="K384" s="609"/>
    </row>
    <row r="385" spans="9:11">
      <c r="I385" s="609"/>
      <c r="J385" s="609"/>
      <c r="K385" s="609"/>
    </row>
    <row r="386" spans="9:11">
      <c r="I386" s="609"/>
      <c r="J386" s="609"/>
      <c r="K386" s="609"/>
    </row>
    <row r="387" spans="9:11">
      <c r="I387" s="609"/>
      <c r="J387" s="609"/>
      <c r="K387" s="609"/>
    </row>
    <row r="388" spans="9:11">
      <c r="I388" s="609"/>
      <c r="J388" s="609"/>
      <c r="K388" s="609"/>
    </row>
    <row r="389" spans="9:11">
      <c r="I389" s="609"/>
      <c r="J389" s="609"/>
      <c r="K389" s="609"/>
    </row>
    <row r="390" spans="9:11">
      <c r="I390" s="609"/>
      <c r="J390" s="609"/>
      <c r="K390" s="609"/>
    </row>
    <row r="391" spans="9:11">
      <c r="I391" s="609"/>
      <c r="J391" s="609"/>
      <c r="K391" s="609"/>
    </row>
    <row r="392" spans="9:11">
      <c r="I392" s="609"/>
      <c r="J392" s="609"/>
      <c r="K392" s="609"/>
    </row>
    <row r="393" spans="9:11">
      <c r="I393" s="609"/>
      <c r="J393" s="609"/>
      <c r="K393" s="609"/>
    </row>
    <row r="394" spans="9:11">
      <c r="I394" s="609"/>
      <c r="J394" s="609"/>
      <c r="K394" s="609"/>
    </row>
    <row r="395" spans="9:11">
      <c r="I395" s="609"/>
      <c r="J395" s="609"/>
      <c r="K395" s="609"/>
    </row>
    <row r="396" spans="9:11">
      <c r="I396" s="609"/>
      <c r="J396" s="609"/>
      <c r="K396" s="609"/>
    </row>
    <row r="397" spans="9:11">
      <c r="I397" s="609"/>
      <c r="J397" s="609"/>
      <c r="K397" s="609"/>
    </row>
    <row r="398" spans="9:11">
      <c r="I398" s="609"/>
      <c r="J398" s="609"/>
      <c r="K398" s="609"/>
    </row>
    <row r="399" spans="9:11">
      <c r="I399" s="609"/>
      <c r="J399" s="609"/>
      <c r="K399" s="609"/>
    </row>
    <row r="400" spans="9:11">
      <c r="I400" s="609"/>
      <c r="J400" s="609"/>
      <c r="K400" s="609"/>
    </row>
    <row r="401" spans="9:11">
      <c r="I401" s="609"/>
      <c r="J401" s="609"/>
      <c r="K401" s="609"/>
    </row>
    <row r="402" spans="9:11">
      <c r="I402" s="609"/>
      <c r="J402" s="609"/>
      <c r="K402" s="609"/>
    </row>
    <row r="403" spans="9:11">
      <c r="I403" s="609"/>
      <c r="J403" s="609"/>
      <c r="K403" s="609"/>
    </row>
    <row r="404" spans="9:11">
      <c r="I404" s="609"/>
      <c r="J404" s="609"/>
      <c r="K404" s="609"/>
    </row>
    <row r="405" spans="9:11">
      <c r="I405" s="609"/>
      <c r="J405" s="609"/>
      <c r="K405" s="609"/>
    </row>
    <row r="406" spans="9:11">
      <c r="I406" s="609"/>
      <c r="J406" s="609"/>
      <c r="K406" s="609"/>
    </row>
    <row r="407" spans="9:11">
      <c r="I407" s="609"/>
      <c r="J407" s="609"/>
      <c r="K407" s="609"/>
    </row>
    <row r="408" spans="9:11">
      <c r="I408" s="609"/>
      <c r="J408" s="609"/>
      <c r="K408" s="609"/>
    </row>
    <row r="409" spans="9:11">
      <c r="I409" s="609"/>
      <c r="J409" s="609"/>
      <c r="K409" s="609"/>
    </row>
    <row r="410" spans="9:11">
      <c r="I410" s="609"/>
      <c r="J410" s="609"/>
      <c r="K410" s="609"/>
    </row>
    <row r="411" spans="9:11">
      <c r="I411" s="609"/>
      <c r="J411" s="609"/>
      <c r="K411" s="609"/>
    </row>
    <row r="412" spans="9:11">
      <c r="I412" s="609"/>
      <c r="J412" s="609"/>
      <c r="K412" s="609"/>
    </row>
    <row r="413" spans="9:11">
      <c r="I413" s="609"/>
      <c r="J413" s="609"/>
      <c r="K413" s="609"/>
    </row>
    <row r="414" spans="9:11">
      <c r="I414" s="609"/>
      <c r="J414" s="609"/>
      <c r="K414" s="609"/>
    </row>
    <row r="415" spans="9:11">
      <c r="I415" s="609"/>
      <c r="J415" s="609"/>
      <c r="K415" s="609"/>
    </row>
    <row r="416" spans="9:11">
      <c r="I416" s="609"/>
      <c r="J416" s="609"/>
      <c r="K416" s="609"/>
    </row>
    <row r="417" spans="9:11">
      <c r="I417" s="609"/>
      <c r="J417" s="609"/>
      <c r="K417" s="609"/>
    </row>
    <row r="418" spans="9:11">
      <c r="I418" s="609"/>
      <c r="J418" s="609"/>
      <c r="K418" s="609"/>
    </row>
    <row r="419" spans="9:11">
      <c r="I419" s="609"/>
      <c r="J419" s="609"/>
      <c r="K419" s="609"/>
    </row>
    <row r="420" spans="9:11">
      <c r="I420" s="609"/>
      <c r="J420" s="609"/>
      <c r="K420" s="609"/>
    </row>
    <row r="421" spans="9:11">
      <c r="I421" s="609"/>
      <c r="J421" s="609"/>
      <c r="K421" s="609"/>
    </row>
    <row r="422" spans="9:11">
      <c r="I422" s="609"/>
      <c r="J422" s="609"/>
      <c r="K422" s="609"/>
    </row>
    <row r="423" spans="9:11">
      <c r="I423" s="609"/>
      <c r="J423" s="609"/>
      <c r="K423" s="609"/>
    </row>
    <row r="424" spans="9:11">
      <c r="I424" s="609"/>
      <c r="J424" s="609"/>
      <c r="K424" s="609"/>
    </row>
    <row r="425" spans="9:11">
      <c r="I425" s="609"/>
      <c r="J425" s="609"/>
      <c r="K425" s="609"/>
    </row>
    <row r="426" spans="9:11">
      <c r="I426" s="609"/>
      <c r="J426" s="609"/>
      <c r="K426" s="609"/>
    </row>
    <row r="427" spans="9:11">
      <c r="I427" s="609"/>
      <c r="J427" s="609"/>
      <c r="K427" s="609"/>
    </row>
    <row r="428" spans="9:11">
      <c r="I428" s="609"/>
      <c r="J428" s="609"/>
      <c r="K428" s="609"/>
    </row>
    <row r="429" spans="9:11">
      <c r="I429" s="609"/>
      <c r="J429" s="609"/>
      <c r="K429" s="609"/>
    </row>
    <row r="430" spans="9:11">
      <c r="I430" s="609"/>
      <c r="J430" s="609"/>
      <c r="K430" s="609"/>
    </row>
    <row r="431" spans="9:11">
      <c r="I431" s="609"/>
      <c r="J431" s="609"/>
      <c r="K431" s="609"/>
    </row>
    <row r="432" spans="9:11">
      <c r="I432" s="609"/>
      <c r="J432" s="609"/>
      <c r="K432" s="609"/>
    </row>
    <row r="433" spans="9:11">
      <c r="I433" s="609"/>
      <c r="J433" s="609"/>
      <c r="K433" s="609"/>
    </row>
    <row r="434" spans="9:11">
      <c r="I434" s="609"/>
      <c r="J434" s="609"/>
      <c r="K434" s="609"/>
    </row>
    <row r="435" spans="9:11">
      <c r="I435" s="609"/>
      <c r="J435" s="609"/>
      <c r="K435" s="609"/>
    </row>
    <row r="436" spans="9:11">
      <c r="I436" s="609"/>
      <c r="J436" s="609"/>
      <c r="K436" s="609"/>
    </row>
    <row r="437" spans="9:11">
      <c r="I437" s="609"/>
      <c r="J437" s="609"/>
      <c r="K437" s="609"/>
    </row>
    <row r="438" spans="9:11">
      <c r="I438" s="609"/>
      <c r="J438" s="609"/>
      <c r="K438" s="609"/>
    </row>
    <row r="439" spans="9:11">
      <c r="I439" s="609"/>
      <c r="J439" s="609"/>
      <c r="K439" s="609"/>
    </row>
    <row r="440" spans="9:11">
      <c r="I440" s="609"/>
      <c r="J440" s="609"/>
      <c r="K440" s="609"/>
    </row>
    <row r="441" spans="9:11">
      <c r="I441" s="609"/>
      <c r="J441" s="609"/>
      <c r="K441" s="609"/>
    </row>
    <row r="442" spans="9:11">
      <c r="I442" s="609"/>
      <c r="J442" s="609"/>
      <c r="K442" s="609"/>
    </row>
    <row r="443" spans="9:11">
      <c r="I443" s="609"/>
      <c r="J443" s="609"/>
      <c r="K443" s="609"/>
    </row>
    <row r="444" spans="9:11">
      <c r="I444" s="609"/>
      <c r="J444" s="609"/>
      <c r="K444" s="609"/>
    </row>
    <row r="445" spans="9:11">
      <c r="I445" s="609"/>
      <c r="J445" s="609"/>
      <c r="K445" s="609"/>
    </row>
    <row r="446" spans="9:11">
      <c r="I446" s="609"/>
      <c r="J446" s="609"/>
      <c r="K446" s="609"/>
    </row>
    <row r="447" spans="9:11">
      <c r="I447" s="609"/>
      <c r="J447" s="609"/>
      <c r="K447" s="609"/>
    </row>
    <row r="448" spans="9:11">
      <c r="I448" s="609"/>
      <c r="J448" s="609"/>
      <c r="K448" s="609"/>
    </row>
    <row r="449" spans="9:11">
      <c r="I449" s="609"/>
      <c r="J449" s="609"/>
      <c r="K449" s="609"/>
    </row>
    <row r="450" spans="9:11">
      <c r="I450" s="609"/>
      <c r="J450" s="609"/>
      <c r="K450" s="609"/>
    </row>
    <row r="451" spans="9:11">
      <c r="I451" s="609"/>
      <c r="J451" s="609"/>
      <c r="K451" s="609"/>
    </row>
    <row r="452" spans="9:11">
      <c r="I452" s="609"/>
      <c r="J452" s="609"/>
      <c r="K452" s="609"/>
    </row>
    <row r="453" spans="9:11">
      <c r="I453" s="609"/>
      <c r="J453" s="609"/>
      <c r="K453" s="609"/>
    </row>
    <row r="454" spans="9:11">
      <c r="I454" s="609"/>
      <c r="J454" s="609"/>
      <c r="K454" s="609"/>
    </row>
    <row r="455" spans="9:11">
      <c r="I455" s="609"/>
      <c r="J455" s="609"/>
      <c r="K455" s="609"/>
    </row>
    <row r="456" spans="9:11">
      <c r="I456" s="609"/>
      <c r="J456" s="609"/>
      <c r="K456" s="609"/>
    </row>
    <row r="457" spans="9:11">
      <c r="I457" s="609"/>
      <c r="J457" s="609"/>
      <c r="K457" s="609"/>
    </row>
    <row r="458" spans="9:11">
      <c r="I458" s="609"/>
      <c r="J458" s="609"/>
      <c r="K458" s="609"/>
    </row>
  </sheetData>
  <autoFilter ref="C4:X264">
    <filterColumn colId="3">
      <filters>
        <filter val="brick road"/>
        <filter val="brickroad"/>
      </filters>
    </filterColumn>
    <filterColumn colId="5">
      <filters>
        <filter val="63"/>
      </filters>
    </filterColumn>
    <filterColumn colId="6" showButton="0"/>
    <filterColumn colId="7" showButton="0"/>
    <filterColumn colId="12" showButton="0"/>
  </autoFilter>
  <mergeCells count="797">
    <mergeCell ref="C3:P3"/>
    <mergeCell ref="I4:K4"/>
    <mergeCell ref="O4:P4"/>
    <mergeCell ref="I5:K5"/>
    <mergeCell ref="O5:P5"/>
    <mergeCell ref="I6:K6"/>
    <mergeCell ref="O6:P6"/>
    <mergeCell ref="I7:K7"/>
    <mergeCell ref="O7:P7"/>
    <mergeCell ref="I8:K8"/>
    <mergeCell ref="O8:P8"/>
    <mergeCell ref="I9:K9"/>
    <mergeCell ref="O9:P9"/>
    <mergeCell ref="I10:K10"/>
    <mergeCell ref="O10:P10"/>
    <mergeCell ref="I11:K11"/>
    <mergeCell ref="O11:P11"/>
    <mergeCell ref="I12:K12"/>
    <mergeCell ref="O12:P12"/>
    <mergeCell ref="I13:K13"/>
    <mergeCell ref="O13:P13"/>
    <mergeCell ref="I14:K14"/>
    <mergeCell ref="O14:P14"/>
    <mergeCell ref="I15:K15"/>
    <mergeCell ref="O15:P15"/>
    <mergeCell ref="I16:K16"/>
    <mergeCell ref="O16:P16"/>
    <mergeCell ref="I17:K17"/>
    <mergeCell ref="O17:P17"/>
    <mergeCell ref="I18:K18"/>
    <mergeCell ref="O18:P18"/>
    <mergeCell ref="I19:K19"/>
    <mergeCell ref="O19:P19"/>
    <mergeCell ref="I20:K20"/>
    <mergeCell ref="O20:P20"/>
    <mergeCell ref="I21:K21"/>
    <mergeCell ref="O21:P21"/>
    <mergeCell ref="I22:K22"/>
    <mergeCell ref="O22:P22"/>
    <mergeCell ref="I23:K23"/>
    <mergeCell ref="O23:P23"/>
    <mergeCell ref="I24:K24"/>
    <mergeCell ref="O24:P24"/>
    <mergeCell ref="I25:K25"/>
    <mergeCell ref="O25:P25"/>
    <mergeCell ref="I26:K26"/>
    <mergeCell ref="O26:P26"/>
    <mergeCell ref="I27:K27"/>
    <mergeCell ref="O27:P27"/>
    <mergeCell ref="I28:K28"/>
    <mergeCell ref="O28:P28"/>
    <mergeCell ref="I29:K29"/>
    <mergeCell ref="O29:P29"/>
    <mergeCell ref="I30:K30"/>
    <mergeCell ref="O30:P30"/>
    <mergeCell ref="I31:K31"/>
    <mergeCell ref="O31:P31"/>
    <mergeCell ref="I32:K32"/>
    <mergeCell ref="O32:P32"/>
    <mergeCell ref="I33:K33"/>
    <mergeCell ref="O33:P33"/>
    <mergeCell ref="I34:K34"/>
    <mergeCell ref="O34:P34"/>
    <mergeCell ref="O35:P35"/>
    <mergeCell ref="I36:K36"/>
    <mergeCell ref="O36:P36"/>
    <mergeCell ref="I37:K37"/>
    <mergeCell ref="O37:P37"/>
    <mergeCell ref="I38:K38"/>
    <mergeCell ref="O38:P38"/>
    <mergeCell ref="I39:K39"/>
    <mergeCell ref="O39:P39"/>
    <mergeCell ref="I40:K40"/>
    <mergeCell ref="O40:P40"/>
    <mergeCell ref="I41:K41"/>
    <mergeCell ref="O41:P41"/>
    <mergeCell ref="I42:K42"/>
    <mergeCell ref="O42:P42"/>
    <mergeCell ref="I43:K43"/>
    <mergeCell ref="O43:P43"/>
    <mergeCell ref="I44:K44"/>
    <mergeCell ref="O44:P44"/>
    <mergeCell ref="I45:K45"/>
    <mergeCell ref="O45:P45"/>
    <mergeCell ref="I46:K46"/>
    <mergeCell ref="O46:P46"/>
    <mergeCell ref="I47:K47"/>
    <mergeCell ref="O47:P47"/>
    <mergeCell ref="I48:K48"/>
    <mergeCell ref="O48:P48"/>
    <mergeCell ref="I49:K49"/>
    <mergeCell ref="O49:P49"/>
    <mergeCell ref="I50:K50"/>
    <mergeCell ref="O50:P50"/>
    <mergeCell ref="I51:K51"/>
    <mergeCell ref="O51:P51"/>
    <mergeCell ref="I52:K52"/>
    <mergeCell ref="O52:P52"/>
    <mergeCell ref="I53:K53"/>
    <mergeCell ref="O53:P53"/>
    <mergeCell ref="I54:K54"/>
    <mergeCell ref="O54:P54"/>
    <mergeCell ref="I55:K55"/>
    <mergeCell ref="O55:P55"/>
    <mergeCell ref="I56:K56"/>
    <mergeCell ref="O56:P56"/>
    <mergeCell ref="I57:K57"/>
    <mergeCell ref="O57:P57"/>
    <mergeCell ref="I58:K58"/>
    <mergeCell ref="O58:P58"/>
    <mergeCell ref="I59:K59"/>
    <mergeCell ref="O59:P59"/>
    <mergeCell ref="I60:K60"/>
    <mergeCell ref="O60:P60"/>
    <mergeCell ref="I61:K61"/>
    <mergeCell ref="O61:P61"/>
    <mergeCell ref="I62:K62"/>
    <mergeCell ref="O62:P62"/>
    <mergeCell ref="I63:K63"/>
    <mergeCell ref="O63:P63"/>
    <mergeCell ref="I64:K64"/>
    <mergeCell ref="O64:P64"/>
    <mergeCell ref="I65:K65"/>
    <mergeCell ref="O65:P65"/>
    <mergeCell ref="I66:K66"/>
    <mergeCell ref="O66:P66"/>
    <mergeCell ref="I67:K67"/>
    <mergeCell ref="O67:P67"/>
    <mergeCell ref="I68:K68"/>
    <mergeCell ref="O68:P68"/>
    <mergeCell ref="I69:K69"/>
    <mergeCell ref="O69:P69"/>
    <mergeCell ref="I70:K70"/>
    <mergeCell ref="O70:P70"/>
    <mergeCell ref="I71:K71"/>
    <mergeCell ref="O71:P71"/>
    <mergeCell ref="I72:K72"/>
    <mergeCell ref="O72:P72"/>
    <mergeCell ref="I73:K73"/>
    <mergeCell ref="O73:P73"/>
    <mergeCell ref="I74:K74"/>
    <mergeCell ref="O74:P74"/>
    <mergeCell ref="I75:K75"/>
    <mergeCell ref="O75:P75"/>
    <mergeCell ref="I76:K76"/>
    <mergeCell ref="O76:P76"/>
    <mergeCell ref="I77:K77"/>
    <mergeCell ref="O77:P77"/>
    <mergeCell ref="I78:K78"/>
    <mergeCell ref="O78:P78"/>
    <mergeCell ref="I79:K79"/>
    <mergeCell ref="O79:P79"/>
    <mergeCell ref="I80:K80"/>
    <mergeCell ref="O80:P80"/>
    <mergeCell ref="I81:K81"/>
    <mergeCell ref="O81:P81"/>
    <mergeCell ref="I82:K82"/>
    <mergeCell ref="O82:P82"/>
    <mergeCell ref="I83:K83"/>
    <mergeCell ref="O83:P83"/>
    <mergeCell ref="I84:K84"/>
    <mergeCell ref="O84:P84"/>
    <mergeCell ref="I85:K85"/>
    <mergeCell ref="O85:P85"/>
    <mergeCell ref="I86:K86"/>
    <mergeCell ref="O86:P86"/>
    <mergeCell ref="I87:K87"/>
    <mergeCell ref="O87:P87"/>
    <mergeCell ref="I88:K88"/>
    <mergeCell ref="O88:P88"/>
    <mergeCell ref="I89:K89"/>
    <mergeCell ref="O89:P89"/>
    <mergeCell ref="I90:K90"/>
    <mergeCell ref="O90:P90"/>
    <mergeCell ref="I91:K91"/>
    <mergeCell ref="O91:P91"/>
    <mergeCell ref="I92:K92"/>
    <mergeCell ref="O92:P92"/>
    <mergeCell ref="I93:K93"/>
    <mergeCell ref="O93:P93"/>
    <mergeCell ref="I94:K94"/>
    <mergeCell ref="O94:P94"/>
    <mergeCell ref="I95:K95"/>
    <mergeCell ref="O95:P95"/>
    <mergeCell ref="I96:K96"/>
    <mergeCell ref="O96:P96"/>
    <mergeCell ref="I97:K97"/>
    <mergeCell ref="O97:P97"/>
    <mergeCell ref="I98:K98"/>
    <mergeCell ref="O98:P98"/>
    <mergeCell ref="I99:K99"/>
    <mergeCell ref="O99:P99"/>
    <mergeCell ref="I100:K100"/>
    <mergeCell ref="O100:P100"/>
    <mergeCell ref="I101:K101"/>
    <mergeCell ref="O101:P101"/>
    <mergeCell ref="I102:K102"/>
    <mergeCell ref="O102:P102"/>
    <mergeCell ref="I103:K103"/>
    <mergeCell ref="O103:P103"/>
    <mergeCell ref="I104:K104"/>
    <mergeCell ref="O104:P104"/>
    <mergeCell ref="I105:K105"/>
    <mergeCell ref="O105:P105"/>
    <mergeCell ref="I106:K106"/>
    <mergeCell ref="O106:P106"/>
    <mergeCell ref="I107:K107"/>
    <mergeCell ref="O107:P107"/>
    <mergeCell ref="I108:K108"/>
    <mergeCell ref="O108:P108"/>
    <mergeCell ref="I109:K109"/>
    <mergeCell ref="O109:P109"/>
    <mergeCell ref="I110:K110"/>
    <mergeCell ref="O110:P110"/>
    <mergeCell ref="I111:K111"/>
    <mergeCell ref="O111:P111"/>
    <mergeCell ref="I112:K112"/>
    <mergeCell ref="O112:P112"/>
    <mergeCell ref="I113:K113"/>
    <mergeCell ref="O113:P113"/>
    <mergeCell ref="I114:K114"/>
    <mergeCell ref="O114:P114"/>
    <mergeCell ref="I115:K115"/>
    <mergeCell ref="O115:P115"/>
    <mergeCell ref="I116:K116"/>
    <mergeCell ref="O116:P116"/>
    <mergeCell ref="I117:K117"/>
    <mergeCell ref="O117:P117"/>
    <mergeCell ref="I118:K118"/>
    <mergeCell ref="O118:P118"/>
    <mergeCell ref="I119:K119"/>
    <mergeCell ref="O119:P119"/>
    <mergeCell ref="I120:K120"/>
    <mergeCell ref="O120:P120"/>
    <mergeCell ref="I121:K121"/>
    <mergeCell ref="O121:P121"/>
    <mergeCell ref="I122:K122"/>
    <mergeCell ref="O122:P122"/>
    <mergeCell ref="I123:K123"/>
    <mergeCell ref="O123:P123"/>
    <mergeCell ref="I124:K124"/>
    <mergeCell ref="O124:P124"/>
    <mergeCell ref="I125:K125"/>
    <mergeCell ref="O125:P125"/>
    <mergeCell ref="I126:K126"/>
    <mergeCell ref="O126:P126"/>
    <mergeCell ref="I127:K127"/>
    <mergeCell ref="O127:P127"/>
    <mergeCell ref="I128:K128"/>
    <mergeCell ref="O128:P128"/>
    <mergeCell ref="I129:K129"/>
    <mergeCell ref="O129:P129"/>
    <mergeCell ref="I130:K130"/>
    <mergeCell ref="O130:P130"/>
    <mergeCell ref="I131:K131"/>
    <mergeCell ref="O131:P131"/>
    <mergeCell ref="I132:K132"/>
    <mergeCell ref="O132:P132"/>
    <mergeCell ref="I133:K133"/>
    <mergeCell ref="O133:P133"/>
    <mergeCell ref="I134:K134"/>
    <mergeCell ref="O134:P134"/>
    <mergeCell ref="I135:K135"/>
    <mergeCell ref="O135:P135"/>
    <mergeCell ref="I136:K136"/>
    <mergeCell ref="O136:P136"/>
    <mergeCell ref="I137:K137"/>
    <mergeCell ref="O137:P137"/>
    <mergeCell ref="I138:K138"/>
    <mergeCell ref="O138:P138"/>
    <mergeCell ref="I139:K139"/>
    <mergeCell ref="O139:P139"/>
    <mergeCell ref="I140:K140"/>
    <mergeCell ref="O140:P140"/>
    <mergeCell ref="I141:K141"/>
    <mergeCell ref="O141:P141"/>
    <mergeCell ref="I142:K142"/>
    <mergeCell ref="O142:P142"/>
    <mergeCell ref="I143:K143"/>
    <mergeCell ref="O143:P143"/>
    <mergeCell ref="I144:K144"/>
    <mergeCell ref="O144:P144"/>
    <mergeCell ref="I145:K145"/>
    <mergeCell ref="O145:P145"/>
    <mergeCell ref="I146:K146"/>
    <mergeCell ref="O146:P146"/>
    <mergeCell ref="I147:K147"/>
    <mergeCell ref="O147:P147"/>
    <mergeCell ref="I148:K148"/>
    <mergeCell ref="O148:P148"/>
    <mergeCell ref="I149:K149"/>
    <mergeCell ref="O149:P149"/>
    <mergeCell ref="I150:K150"/>
    <mergeCell ref="O150:P150"/>
    <mergeCell ref="V150:X150"/>
    <mergeCell ref="I151:K151"/>
    <mergeCell ref="O151:P151"/>
    <mergeCell ref="V151:X151"/>
    <mergeCell ref="I152:K152"/>
    <mergeCell ref="O152:P152"/>
    <mergeCell ref="V152:X152"/>
    <mergeCell ref="I153:K153"/>
    <mergeCell ref="O153:P153"/>
    <mergeCell ref="V153:X153"/>
    <mergeCell ref="I154:K154"/>
    <mergeCell ref="O154:P154"/>
    <mergeCell ref="V154:X154"/>
    <mergeCell ref="I155:K155"/>
    <mergeCell ref="O155:P155"/>
    <mergeCell ref="V155:X155"/>
    <mergeCell ref="I156:K156"/>
    <mergeCell ref="O156:P156"/>
    <mergeCell ref="V156:X156"/>
    <mergeCell ref="I157:K157"/>
    <mergeCell ref="O157:P157"/>
    <mergeCell ref="V157:X157"/>
    <mergeCell ref="I158:K158"/>
    <mergeCell ref="O158:P158"/>
    <mergeCell ref="V158:X158"/>
    <mergeCell ref="I159:K159"/>
    <mergeCell ref="O159:P159"/>
    <mergeCell ref="V159:X159"/>
    <mergeCell ref="I160:K160"/>
    <mergeCell ref="O160:P160"/>
    <mergeCell ref="T160:U160"/>
    <mergeCell ref="V160:X160"/>
    <mergeCell ref="I161:K161"/>
    <mergeCell ref="O161:P161"/>
    <mergeCell ref="I162:K162"/>
    <mergeCell ref="O162:P162"/>
    <mergeCell ref="I163:K163"/>
    <mergeCell ref="O163:P163"/>
    <mergeCell ref="I164:K164"/>
    <mergeCell ref="O164:P164"/>
    <mergeCell ref="I165:K165"/>
    <mergeCell ref="O165:P165"/>
    <mergeCell ref="I166:K166"/>
    <mergeCell ref="O166:P166"/>
    <mergeCell ref="I167:K167"/>
    <mergeCell ref="O167:P167"/>
    <mergeCell ref="I168:K168"/>
    <mergeCell ref="O168:P168"/>
    <mergeCell ref="I169:K169"/>
    <mergeCell ref="O169:P169"/>
    <mergeCell ref="I170:K170"/>
    <mergeCell ref="O170:P170"/>
    <mergeCell ref="I171:K171"/>
    <mergeCell ref="O171:P171"/>
    <mergeCell ref="I172:K172"/>
    <mergeCell ref="O172:P172"/>
    <mergeCell ref="I173:K173"/>
    <mergeCell ref="O173:P173"/>
    <mergeCell ref="I174:K174"/>
    <mergeCell ref="O174:P174"/>
    <mergeCell ref="I175:K175"/>
    <mergeCell ref="O175:P175"/>
    <mergeCell ref="I176:K176"/>
    <mergeCell ref="O176:P176"/>
    <mergeCell ref="I177:K177"/>
    <mergeCell ref="O177:P177"/>
    <mergeCell ref="I178:K178"/>
    <mergeCell ref="O178:P178"/>
    <mergeCell ref="I179:K179"/>
    <mergeCell ref="O179:P179"/>
    <mergeCell ref="I180:K180"/>
    <mergeCell ref="O180:P180"/>
    <mergeCell ref="I181:K181"/>
    <mergeCell ref="O181:P181"/>
    <mergeCell ref="I182:K182"/>
    <mergeCell ref="O182:P182"/>
    <mergeCell ref="I183:K183"/>
    <mergeCell ref="O183:P183"/>
    <mergeCell ref="I184:K184"/>
    <mergeCell ref="O184:P184"/>
    <mergeCell ref="I185:K185"/>
    <mergeCell ref="O185:P185"/>
    <mergeCell ref="I186:K186"/>
    <mergeCell ref="O186:P186"/>
    <mergeCell ref="I187:K187"/>
    <mergeCell ref="O187:P187"/>
    <mergeCell ref="I188:K188"/>
    <mergeCell ref="O188:P188"/>
    <mergeCell ref="I189:K189"/>
    <mergeCell ref="O189:P189"/>
    <mergeCell ref="I190:K190"/>
    <mergeCell ref="O190:P190"/>
    <mergeCell ref="I191:K191"/>
    <mergeCell ref="O191:P191"/>
    <mergeCell ref="I192:K192"/>
    <mergeCell ref="O192:P192"/>
    <mergeCell ref="I193:K193"/>
    <mergeCell ref="O193:P193"/>
    <mergeCell ref="I194:K194"/>
    <mergeCell ref="O194:P194"/>
    <mergeCell ref="I195:K195"/>
    <mergeCell ref="O195:P195"/>
    <mergeCell ref="I196:K196"/>
    <mergeCell ref="O196:P196"/>
    <mergeCell ref="I197:K197"/>
    <mergeCell ref="O197:P197"/>
    <mergeCell ref="I198:K198"/>
    <mergeCell ref="O198:P198"/>
    <mergeCell ref="I199:K199"/>
    <mergeCell ref="O199:P199"/>
    <mergeCell ref="I200:K200"/>
    <mergeCell ref="O200:P200"/>
    <mergeCell ref="I201:K201"/>
    <mergeCell ref="O201:P201"/>
    <mergeCell ref="I202:K202"/>
    <mergeCell ref="O202:P202"/>
    <mergeCell ref="I203:K203"/>
    <mergeCell ref="O203:P203"/>
    <mergeCell ref="I204:K204"/>
    <mergeCell ref="O204:P204"/>
    <mergeCell ref="I205:K205"/>
    <mergeCell ref="O205:P205"/>
    <mergeCell ref="I206:K206"/>
    <mergeCell ref="O206:P206"/>
    <mergeCell ref="I207:K207"/>
    <mergeCell ref="O207:P207"/>
    <mergeCell ref="I208:K208"/>
    <mergeCell ref="O208:P208"/>
    <mergeCell ref="I209:K209"/>
    <mergeCell ref="O209:P209"/>
    <mergeCell ref="I210:K210"/>
    <mergeCell ref="O210:P210"/>
    <mergeCell ref="I211:K211"/>
    <mergeCell ref="O211:P211"/>
    <mergeCell ref="I212:K212"/>
    <mergeCell ref="O212:P212"/>
    <mergeCell ref="I213:K213"/>
    <mergeCell ref="O213:P213"/>
    <mergeCell ref="I214:K214"/>
    <mergeCell ref="O214:P214"/>
    <mergeCell ref="I215:K215"/>
    <mergeCell ref="O215:P215"/>
    <mergeCell ref="I216:K216"/>
    <mergeCell ref="O216:P216"/>
    <mergeCell ref="I217:K217"/>
    <mergeCell ref="O217:P217"/>
    <mergeCell ref="I218:K218"/>
    <mergeCell ref="O218:P218"/>
    <mergeCell ref="I219:K219"/>
    <mergeCell ref="O219:P219"/>
    <mergeCell ref="I220:K220"/>
    <mergeCell ref="O220:P220"/>
    <mergeCell ref="I221:K221"/>
    <mergeCell ref="O221:P221"/>
    <mergeCell ref="I222:K222"/>
    <mergeCell ref="O222:P222"/>
    <mergeCell ref="I223:K223"/>
    <mergeCell ref="O223:P223"/>
    <mergeCell ref="I224:K224"/>
    <mergeCell ref="O224:P224"/>
    <mergeCell ref="I225:K225"/>
    <mergeCell ref="O225:P225"/>
    <mergeCell ref="I226:K226"/>
    <mergeCell ref="O226:P226"/>
    <mergeCell ref="I227:K227"/>
    <mergeCell ref="O227:P227"/>
    <mergeCell ref="I228:K228"/>
    <mergeCell ref="O228:P228"/>
    <mergeCell ref="I229:K229"/>
    <mergeCell ref="O229:P229"/>
    <mergeCell ref="O230:P230"/>
    <mergeCell ref="I231:K231"/>
    <mergeCell ref="O231:P231"/>
    <mergeCell ref="I232:K232"/>
    <mergeCell ref="O232:P232"/>
    <mergeCell ref="I233:K233"/>
    <mergeCell ref="O233:P233"/>
    <mergeCell ref="I234:K234"/>
    <mergeCell ref="O234:P234"/>
    <mergeCell ref="I235:K235"/>
    <mergeCell ref="O235:P235"/>
    <mergeCell ref="I236:K236"/>
    <mergeCell ref="O236:P236"/>
    <mergeCell ref="I237:K237"/>
    <mergeCell ref="O237:P237"/>
    <mergeCell ref="I238:K238"/>
    <mergeCell ref="O238:P238"/>
    <mergeCell ref="I239:K239"/>
    <mergeCell ref="O239:P239"/>
    <mergeCell ref="I240:K240"/>
    <mergeCell ref="O240:P240"/>
    <mergeCell ref="I241:K241"/>
    <mergeCell ref="O241:P241"/>
    <mergeCell ref="I242:K242"/>
    <mergeCell ref="O242:P242"/>
    <mergeCell ref="I243:K243"/>
    <mergeCell ref="O243:P243"/>
    <mergeCell ref="I244:K244"/>
    <mergeCell ref="O244:P244"/>
    <mergeCell ref="I245:K245"/>
    <mergeCell ref="O245:P245"/>
    <mergeCell ref="I246:K246"/>
    <mergeCell ref="O246:P246"/>
    <mergeCell ref="I247:K247"/>
    <mergeCell ref="O247:P247"/>
    <mergeCell ref="I248:K248"/>
    <mergeCell ref="O248:P248"/>
    <mergeCell ref="I249:K249"/>
    <mergeCell ref="O249:P249"/>
    <mergeCell ref="I250:K250"/>
    <mergeCell ref="O250:P250"/>
    <mergeCell ref="I251:K251"/>
    <mergeCell ref="O251:P251"/>
    <mergeCell ref="I252:K252"/>
    <mergeCell ref="O252:P252"/>
    <mergeCell ref="I253:K253"/>
    <mergeCell ref="O253:P253"/>
    <mergeCell ref="I254:K254"/>
    <mergeCell ref="O254:P254"/>
    <mergeCell ref="I255:K255"/>
    <mergeCell ref="O255:P255"/>
    <mergeCell ref="I256:K256"/>
    <mergeCell ref="O256:P256"/>
    <mergeCell ref="I257:K257"/>
    <mergeCell ref="O257:P257"/>
    <mergeCell ref="I258:K258"/>
    <mergeCell ref="O258:P258"/>
    <mergeCell ref="I259:K259"/>
    <mergeCell ref="O259:P259"/>
    <mergeCell ref="I260:K260"/>
    <mergeCell ref="O260:P260"/>
    <mergeCell ref="I261:K261"/>
    <mergeCell ref="O261:P261"/>
    <mergeCell ref="I262:K262"/>
    <mergeCell ref="O262:P262"/>
    <mergeCell ref="I263:K263"/>
    <mergeCell ref="O263:P263"/>
    <mergeCell ref="I264:K264"/>
    <mergeCell ref="O264:P264"/>
    <mergeCell ref="O265:P265"/>
    <mergeCell ref="O266:P266"/>
    <mergeCell ref="O267:P267"/>
    <mergeCell ref="O268:P268"/>
    <mergeCell ref="E270:F270"/>
    <mergeCell ref="H270:K270"/>
    <mergeCell ref="O270:Q270"/>
    <mergeCell ref="D271:F271"/>
    <mergeCell ref="H271:K271"/>
    <mergeCell ref="O271:Q271"/>
    <mergeCell ref="E272:F272"/>
    <mergeCell ref="H272:K272"/>
    <mergeCell ref="O272:P272"/>
    <mergeCell ref="I273:K273"/>
    <mergeCell ref="O273:P273"/>
    <mergeCell ref="I274:K274"/>
    <mergeCell ref="O274:P274"/>
    <mergeCell ref="I275:K275"/>
    <mergeCell ref="O275:P275"/>
    <mergeCell ref="I276:K276"/>
    <mergeCell ref="O276:P276"/>
    <mergeCell ref="O277:P277"/>
    <mergeCell ref="O278:P278"/>
    <mergeCell ref="O279:P279"/>
    <mergeCell ref="I280:K280"/>
    <mergeCell ref="O280:P280"/>
    <mergeCell ref="I281:K281"/>
    <mergeCell ref="O281:P281"/>
    <mergeCell ref="I282:K282"/>
    <mergeCell ref="O282:P282"/>
    <mergeCell ref="I283:K283"/>
    <mergeCell ref="O283:P283"/>
    <mergeCell ref="I284:K284"/>
    <mergeCell ref="O284:P284"/>
    <mergeCell ref="I285:K285"/>
    <mergeCell ref="O285:P285"/>
    <mergeCell ref="I286:K286"/>
    <mergeCell ref="O286:P286"/>
    <mergeCell ref="I287:K287"/>
    <mergeCell ref="O287:P287"/>
    <mergeCell ref="I288:K288"/>
    <mergeCell ref="O288:P288"/>
    <mergeCell ref="I289:K289"/>
    <mergeCell ref="O289:P289"/>
    <mergeCell ref="I290:K290"/>
    <mergeCell ref="O290:P290"/>
    <mergeCell ref="I291:K291"/>
    <mergeCell ref="O291:P291"/>
    <mergeCell ref="I292:K292"/>
    <mergeCell ref="O292:P292"/>
    <mergeCell ref="I293:K293"/>
    <mergeCell ref="O293:P293"/>
    <mergeCell ref="I294:K294"/>
    <mergeCell ref="O294:P294"/>
    <mergeCell ref="I295:K295"/>
    <mergeCell ref="O295:P295"/>
    <mergeCell ref="I296:K296"/>
    <mergeCell ref="O296:P296"/>
    <mergeCell ref="I297:K297"/>
    <mergeCell ref="O297:P297"/>
    <mergeCell ref="I298:K298"/>
    <mergeCell ref="O298:P298"/>
    <mergeCell ref="I299:K299"/>
    <mergeCell ref="O299:P299"/>
    <mergeCell ref="I300:K300"/>
    <mergeCell ref="O300:P300"/>
    <mergeCell ref="I301:K301"/>
    <mergeCell ref="O301:P301"/>
    <mergeCell ref="I302:K302"/>
    <mergeCell ref="O302:P302"/>
    <mergeCell ref="I303:K303"/>
    <mergeCell ref="O303:P303"/>
    <mergeCell ref="I304:K304"/>
    <mergeCell ref="O304:P304"/>
    <mergeCell ref="I305:K305"/>
    <mergeCell ref="O305:P305"/>
    <mergeCell ref="I306:K306"/>
    <mergeCell ref="O306:P306"/>
    <mergeCell ref="I307:K307"/>
    <mergeCell ref="O307:P307"/>
    <mergeCell ref="I308:K308"/>
    <mergeCell ref="O308:P308"/>
    <mergeCell ref="I309:K309"/>
    <mergeCell ref="O309:P309"/>
    <mergeCell ref="I310:K310"/>
    <mergeCell ref="O310:P310"/>
    <mergeCell ref="I311:K311"/>
    <mergeCell ref="O311:P311"/>
    <mergeCell ref="I312:K312"/>
    <mergeCell ref="O312:P312"/>
    <mergeCell ref="I313:K313"/>
    <mergeCell ref="O313:P313"/>
    <mergeCell ref="I314:K314"/>
    <mergeCell ref="O314:P314"/>
    <mergeCell ref="I315:K315"/>
    <mergeCell ref="O315:P315"/>
    <mergeCell ref="I316:K316"/>
    <mergeCell ref="O316:P316"/>
    <mergeCell ref="I317:K317"/>
    <mergeCell ref="O317:P317"/>
    <mergeCell ref="I318:K318"/>
    <mergeCell ref="O318:P318"/>
    <mergeCell ref="I319:K319"/>
    <mergeCell ref="O319:P319"/>
    <mergeCell ref="I320:K320"/>
    <mergeCell ref="O320:P320"/>
    <mergeCell ref="I321:K321"/>
    <mergeCell ref="O321:P321"/>
    <mergeCell ref="I322:K322"/>
    <mergeCell ref="O322:P322"/>
    <mergeCell ref="I323:K323"/>
    <mergeCell ref="O323:P323"/>
    <mergeCell ref="I324:K324"/>
    <mergeCell ref="O324:P324"/>
    <mergeCell ref="I325:K325"/>
    <mergeCell ref="O325:P325"/>
    <mergeCell ref="I326:K326"/>
    <mergeCell ref="O326:P326"/>
    <mergeCell ref="I327:K327"/>
    <mergeCell ref="O327:P327"/>
    <mergeCell ref="I328:K328"/>
    <mergeCell ref="O328:P328"/>
    <mergeCell ref="I329:K329"/>
    <mergeCell ref="O329:P329"/>
    <mergeCell ref="I330:K330"/>
    <mergeCell ref="O330:P330"/>
    <mergeCell ref="I331:K331"/>
    <mergeCell ref="O331:P331"/>
    <mergeCell ref="I332:K332"/>
    <mergeCell ref="O332:P332"/>
    <mergeCell ref="I333:K333"/>
    <mergeCell ref="O333:P333"/>
    <mergeCell ref="I334:K334"/>
    <mergeCell ref="O334:P334"/>
    <mergeCell ref="I335:K335"/>
    <mergeCell ref="O335:P335"/>
    <mergeCell ref="I336:K336"/>
    <mergeCell ref="O336:P336"/>
    <mergeCell ref="I337:K337"/>
    <mergeCell ref="O337:P337"/>
    <mergeCell ref="I338:K338"/>
    <mergeCell ref="O338:P338"/>
    <mergeCell ref="I339:K339"/>
    <mergeCell ref="O339:P339"/>
    <mergeCell ref="I340:K340"/>
    <mergeCell ref="O340:P340"/>
    <mergeCell ref="I341:K341"/>
    <mergeCell ref="I342:K342"/>
    <mergeCell ref="I343:K343"/>
    <mergeCell ref="I344:K344"/>
    <mergeCell ref="I345:K345"/>
    <mergeCell ref="I346:K346"/>
    <mergeCell ref="I347:K347"/>
    <mergeCell ref="I348:K348"/>
    <mergeCell ref="I349:K349"/>
    <mergeCell ref="I350:K350"/>
    <mergeCell ref="I351:K351"/>
    <mergeCell ref="I352:K352"/>
    <mergeCell ref="I353:K353"/>
    <mergeCell ref="I354:K354"/>
    <mergeCell ref="I355:K355"/>
    <mergeCell ref="I356:K356"/>
    <mergeCell ref="I357:K357"/>
    <mergeCell ref="I358:K358"/>
    <mergeCell ref="I359:K359"/>
    <mergeCell ref="I360:K360"/>
    <mergeCell ref="I361:K361"/>
    <mergeCell ref="I362:K362"/>
    <mergeCell ref="I363:K363"/>
    <mergeCell ref="I364:K364"/>
    <mergeCell ref="I365:K365"/>
    <mergeCell ref="I366:K366"/>
    <mergeCell ref="I367:K367"/>
    <mergeCell ref="I368:K368"/>
    <mergeCell ref="I369:K369"/>
    <mergeCell ref="I370:K370"/>
    <mergeCell ref="I371:K371"/>
    <mergeCell ref="I372:K372"/>
    <mergeCell ref="I373:K373"/>
    <mergeCell ref="I374:K374"/>
    <mergeCell ref="I375:K375"/>
    <mergeCell ref="I376:K376"/>
    <mergeCell ref="I377:K377"/>
    <mergeCell ref="I378:K378"/>
    <mergeCell ref="I379:K379"/>
    <mergeCell ref="I380:K380"/>
    <mergeCell ref="I381:K381"/>
    <mergeCell ref="I382:K382"/>
    <mergeCell ref="I383:K383"/>
    <mergeCell ref="I384:K384"/>
    <mergeCell ref="I385:K385"/>
    <mergeCell ref="I386:K386"/>
    <mergeCell ref="I387:K387"/>
    <mergeCell ref="I388:K388"/>
    <mergeCell ref="I389:K389"/>
    <mergeCell ref="I390:K390"/>
    <mergeCell ref="I391:K391"/>
    <mergeCell ref="I392:K392"/>
    <mergeCell ref="I393:K393"/>
    <mergeCell ref="I394:K394"/>
    <mergeCell ref="I395:K395"/>
    <mergeCell ref="I396:K396"/>
    <mergeCell ref="I397:K397"/>
    <mergeCell ref="I398:K398"/>
    <mergeCell ref="I399:K399"/>
    <mergeCell ref="I400:K400"/>
    <mergeCell ref="I401:K401"/>
    <mergeCell ref="I402:K402"/>
    <mergeCell ref="I403:K403"/>
    <mergeCell ref="I404:K404"/>
    <mergeCell ref="I405:K405"/>
    <mergeCell ref="I406:K406"/>
    <mergeCell ref="I407:K407"/>
    <mergeCell ref="I408:K408"/>
    <mergeCell ref="I409:K409"/>
    <mergeCell ref="I410:K410"/>
    <mergeCell ref="I411:K411"/>
    <mergeCell ref="I412:K412"/>
    <mergeCell ref="I413:K413"/>
    <mergeCell ref="I414:K414"/>
    <mergeCell ref="I415:K415"/>
    <mergeCell ref="I416:K416"/>
    <mergeCell ref="I417:K417"/>
    <mergeCell ref="I418:K418"/>
    <mergeCell ref="I419:K419"/>
    <mergeCell ref="I420:K420"/>
    <mergeCell ref="I421:K421"/>
    <mergeCell ref="I422:K422"/>
    <mergeCell ref="I423:K423"/>
    <mergeCell ref="I424:K424"/>
    <mergeCell ref="I425:K425"/>
    <mergeCell ref="I426:K426"/>
    <mergeCell ref="I427:K427"/>
    <mergeCell ref="I428:K428"/>
    <mergeCell ref="I429:K429"/>
    <mergeCell ref="I430:K430"/>
    <mergeCell ref="I431:K431"/>
    <mergeCell ref="I432:K432"/>
    <mergeCell ref="I433:K433"/>
    <mergeCell ref="I434:K434"/>
    <mergeCell ref="I435:K435"/>
    <mergeCell ref="I436:K436"/>
    <mergeCell ref="I437:K437"/>
    <mergeCell ref="I438:K438"/>
    <mergeCell ref="I439:K439"/>
    <mergeCell ref="I440:K440"/>
    <mergeCell ref="I441:K441"/>
    <mergeCell ref="I442:K442"/>
    <mergeCell ref="I443:K443"/>
    <mergeCell ref="I444:K444"/>
    <mergeCell ref="I445:K445"/>
    <mergeCell ref="I446:K446"/>
    <mergeCell ref="I447:K447"/>
    <mergeCell ref="I448:K448"/>
    <mergeCell ref="I449:K449"/>
    <mergeCell ref="I450:K450"/>
    <mergeCell ref="I451:K451"/>
    <mergeCell ref="I452:K452"/>
    <mergeCell ref="I453:K453"/>
    <mergeCell ref="I454:K454"/>
    <mergeCell ref="I455:K455"/>
    <mergeCell ref="I456:K456"/>
    <mergeCell ref="I457:K457"/>
    <mergeCell ref="I458:K458"/>
  </mergeCells>
  <printOptions horizontalCentered="1"/>
  <pageMargins left="0.70866141732283505" right="0.31496062992126" top="0.74803149606299202" bottom="0.74803149606299202" header="0.31496062992126" footer="0.31496062992126"/>
  <pageSetup paperSize="9" scale="89" fitToHeight="0" orientation="landscape" horizontalDpi="300" verticalDpi="300"/>
  <rowBreaks count="7" manualBreakCount="7">
    <brk id="37" max="12" man="1"/>
    <brk id="73" max="12" man="1"/>
    <brk id="109" max="12" man="1"/>
    <brk id="145" max="12" man="1"/>
    <brk id="181" max="12" man="1"/>
    <brk id="217" max="12" man="1"/>
    <brk id="253" max="12" man="1"/>
  </rowBreaks>
  <colBreaks count="1" manualBreakCount="1">
    <brk id="2" max="23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L212"/>
  <sheetViews>
    <sheetView topLeftCell="A139" workbookViewId="0">
      <selection activeCell="M32" sqref="M32"/>
    </sheetView>
  </sheetViews>
  <sheetFormatPr defaultColWidth="9" defaultRowHeight="15"/>
  <cols>
    <col min="3" max="3" width="13.7109375" customWidth="1"/>
    <col min="4" max="4" width="12.140625" customWidth="1"/>
    <col min="5" max="5" width="16" customWidth="1"/>
    <col min="6" max="6" width="14.5703125" customWidth="1"/>
    <col min="7" max="7" width="21.42578125" customWidth="1"/>
    <col min="8" max="8" width="19.5703125" customWidth="1"/>
    <col min="9" max="10" width="16.7109375" customWidth="1"/>
    <col min="11" max="11" width="15.28515625" customWidth="1"/>
    <col min="12" max="12" width="9.140625" hidden="1" customWidth="1"/>
  </cols>
  <sheetData>
    <row r="2" spans="2:12" ht="18.75">
      <c r="B2" s="721" t="s">
        <v>1422</v>
      </c>
      <c r="C2" s="643"/>
      <c r="D2" s="643"/>
      <c r="E2" s="643"/>
      <c r="F2" s="643"/>
      <c r="G2" s="643"/>
      <c r="H2" s="643"/>
      <c r="I2" s="643"/>
      <c r="J2" s="643"/>
      <c r="K2" s="643"/>
      <c r="L2" s="722"/>
    </row>
    <row r="3" spans="2:12" ht="47.25">
      <c r="B3" s="50" t="s">
        <v>448</v>
      </c>
      <c r="C3" s="25" t="s">
        <v>180</v>
      </c>
      <c r="D3" s="25" t="s">
        <v>13</v>
      </c>
      <c r="E3" s="25" t="s">
        <v>181</v>
      </c>
      <c r="F3" s="27" t="s">
        <v>449</v>
      </c>
      <c r="G3" s="25" t="s">
        <v>183</v>
      </c>
      <c r="H3" s="51" t="s">
        <v>184</v>
      </c>
      <c r="I3" s="26" t="s">
        <v>185</v>
      </c>
      <c r="J3" s="26" t="s">
        <v>186</v>
      </c>
      <c r="K3" s="26" t="s">
        <v>187</v>
      </c>
      <c r="L3" s="54"/>
    </row>
    <row r="4" spans="2:12">
      <c r="B4" s="6">
        <v>1</v>
      </c>
      <c r="C4" s="5" t="s">
        <v>501</v>
      </c>
      <c r="D4" s="5" t="s">
        <v>826</v>
      </c>
      <c r="E4" s="5"/>
      <c r="F4" s="52"/>
      <c r="G4" s="5">
        <v>63</v>
      </c>
      <c r="H4" s="6">
        <v>460.7</v>
      </c>
      <c r="I4" s="5">
        <f>+H4</f>
        <v>460.7</v>
      </c>
      <c r="J4" s="5">
        <v>1.04</v>
      </c>
      <c r="K4" s="5"/>
      <c r="L4" s="11"/>
    </row>
    <row r="5" spans="2:12">
      <c r="B5" s="6">
        <f>+B4+1</f>
        <v>2</v>
      </c>
      <c r="C5" s="5" t="s">
        <v>826</v>
      </c>
      <c r="D5" s="5" t="s">
        <v>159</v>
      </c>
      <c r="E5" s="5"/>
      <c r="F5" s="5"/>
      <c r="G5" s="5">
        <v>63</v>
      </c>
      <c r="H5" s="6">
        <v>40.5</v>
      </c>
      <c r="I5" s="5">
        <f>+I4+H5</f>
        <v>501.2</v>
      </c>
      <c r="J5" s="5">
        <v>1.03</v>
      </c>
      <c r="K5" s="5"/>
      <c r="L5" s="11"/>
    </row>
    <row r="6" spans="2:12">
      <c r="B6" s="6">
        <f t="shared" ref="B6:B69" si="0">+B5+1</f>
        <v>3</v>
      </c>
      <c r="C6" s="5" t="s">
        <v>159</v>
      </c>
      <c r="D6" s="5" t="s">
        <v>828</v>
      </c>
      <c r="E6" s="5"/>
      <c r="F6" s="5"/>
      <c r="G6" s="5">
        <v>63</v>
      </c>
      <c r="H6" s="6">
        <v>58.4</v>
      </c>
      <c r="I6" s="5">
        <f t="shared" ref="I6:I69" si="1">+I5+H6</f>
        <v>559.6</v>
      </c>
      <c r="J6" s="5">
        <v>1.03</v>
      </c>
      <c r="K6" s="5"/>
      <c r="L6" s="8"/>
    </row>
    <row r="7" spans="2:12">
      <c r="B7" s="6">
        <f t="shared" si="0"/>
        <v>4</v>
      </c>
      <c r="C7" s="5" t="s">
        <v>828</v>
      </c>
      <c r="D7" s="5" t="s">
        <v>156</v>
      </c>
      <c r="E7" s="5"/>
      <c r="F7" s="5"/>
      <c r="G7" s="5">
        <v>63</v>
      </c>
      <c r="H7" s="6">
        <v>52.3</v>
      </c>
      <c r="I7" s="5">
        <f t="shared" si="1"/>
        <v>611.9</v>
      </c>
      <c r="J7" s="5">
        <v>1.03</v>
      </c>
      <c r="K7" s="5"/>
      <c r="L7" s="8"/>
    </row>
    <row r="8" spans="2:12">
      <c r="B8" s="6">
        <f t="shared" si="0"/>
        <v>5</v>
      </c>
      <c r="C8" s="5" t="s">
        <v>828</v>
      </c>
      <c r="D8" s="5" t="s">
        <v>836</v>
      </c>
      <c r="E8" s="5"/>
      <c r="F8" s="5"/>
      <c r="G8" s="5">
        <v>63</v>
      </c>
      <c r="H8" s="6">
        <v>23</v>
      </c>
      <c r="I8" s="5">
        <f t="shared" si="1"/>
        <v>634.9</v>
      </c>
      <c r="J8" s="5">
        <v>1.03</v>
      </c>
      <c r="K8" s="5"/>
      <c r="L8" s="8"/>
    </row>
    <row r="9" spans="2:12">
      <c r="B9" s="6">
        <f t="shared" si="0"/>
        <v>6</v>
      </c>
      <c r="C9" s="5" t="s">
        <v>836</v>
      </c>
      <c r="D9" s="5" t="s">
        <v>145</v>
      </c>
      <c r="E9" s="5"/>
      <c r="F9" s="5"/>
      <c r="G9" s="5">
        <v>63</v>
      </c>
      <c r="H9" s="6">
        <v>33.299999999999997</v>
      </c>
      <c r="I9" s="5">
        <f t="shared" si="1"/>
        <v>668.19999999999993</v>
      </c>
      <c r="J9" s="5">
        <v>1.03</v>
      </c>
      <c r="K9" s="5"/>
      <c r="L9" s="8"/>
    </row>
    <row r="10" spans="2:12">
      <c r="B10" s="6">
        <f t="shared" si="0"/>
        <v>7</v>
      </c>
      <c r="C10" s="5" t="s">
        <v>540</v>
      </c>
      <c r="D10" s="5" t="s">
        <v>628</v>
      </c>
      <c r="E10" s="5"/>
      <c r="F10" s="5"/>
      <c r="G10" s="5">
        <v>63</v>
      </c>
      <c r="H10" s="6">
        <v>19.100000000000001</v>
      </c>
      <c r="I10" s="5">
        <f t="shared" si="1"/>
        <v>687.3</v>
      </c>
      <c r="J10" s="5">
        <v>1.03</v>
      </c>
      <c r="K10" s="5"/>
      <c r="L10" s="8"/>
    </row>
    <row r="11" spans="2:12">
      <c r="B11" s="6">
        <f t="shared" si="0"/>
        <v>8</v>
      </c>
      <c r="C11" s="5" t="s">
        <v>540</v>
      </c>
      <c r="D11" s="5" t="s">
        <v>315</v>
      </c>
      <c r="E11" s="5"/>
      <c r="F11" s="5"/>
      <c r="G11" s="5">
        <v>63</v>
      </c>
      <c r="H11" s="6">
        <v>14.2</v>
      </c>
      <c r="I11" s="5">
        <f t="shared" si="1"/>
        <v>701.5</v>
      </c>
      <c r="J11" s="5">
        <v>1.03</v>
      </c>
      <c r="K11" s="5"/>
      <c r="L11" s="8"/>
    </row>
    <row r="12" spans="2:12">
      <c r="B12" s="6">
        <f t="shared" si="0"/>
        <v>9</v>
      </c>
      <c r="C12" s="5" t="s">
        <v>1423</v>
      </c>
      <c r="D12" s="5" t="s">
        <v>1424</v>
      </c>
      <c r="E12" s="5"/>
      <c r="F12" s="5"/>
      <c r="G12" s="5">
        <v>63</v>
      </c>
      <c r="H12" s="6">
        <v>25.7</v>
      </c>
      <c r="I12" s="5">
        <f t="shared" si="1"/>
        <v>727.2</v>
      </c>
      <c r="J12" s="5">
        <v>1.03</v>
      </c>
      <c r="K12" s="5"/>
      <c r="L12" s="8"/>
    </row>
    <row r="13" spans="2:12">
      <c r="B13" s="6">
        <f t="shared" si="0"/>
        <v>10</v>
      </c>
      <c r="C13" s="5" t="s">
        <v>1425</v>
      </c>
      <c r="D13" s="5" t="s">
        <v>1426</v>
      </c>
      <c r="E13" s="5"/>
      <c r="F13" s="5"/>
      <c r="G13" s="5">
        <v>63</v>
      </c>
      <c r="H13" s="6">
        <f>125.8+8</f>
        <v>133.80000000000001</v>
      </c>
      <c r="I13" s="5">
        <f t="shared" si="1"/>
        <v>861</v>
      </c>
      <c r="J13" s="5">
        <v>1.05</v>
      </c>
      <c r="K13" s="5"/>
      <c r="L13" s="8"/>
    </row>
    <row r="14" spans="2:12">
      <c r="B14" s="6">
        <f t="shared" si="0"/>
        <v>11</v>
      </c>
      <c r="C14" s="5" t="s">
        <v>1425</v>
      </c>
      <c r="D14" s="5" t="s">
        <v>1426</v>
      </c>
      <c r="E14" s="5" t="s">
        <v>199</v>
      </c>
      <c r="F14" s="5">
        <v>0.36</v>
      </c>
      <c r="G14" s="5">
        <v>63</v>
      </c>
      <c r="H14" s="6">
        <v>2.6</v>
      </c>
      <c r="I14" s="5">
        <f t="shared" si="1"/>
        <v>863.6</v>
      </c>
      <c r="J14" s="5">
        <v>1.03</v>
      </c>
      <c r="K14" s="5"/>
      <c r="L14" s="8"/>
    </row>
    <row r="15" spans="2:12">
      <c r="B15" s="6">
        <f t="shared" si="0"/>
        <v>12</v>
      </c>
      <c r="C15" s="5" t="s">
        <v>868</v>
      </c>
      <c r="D15" s="5" t="s">
        <v>595</v>
      </c>
      <c r="E15" s="5"/>
      <c r="F15" s="5"/>
      <c r="G15" s="5">
        <v>63</v>
      </c>
      <c r="H15" s="6">
        <v>77.400000000000006</v>
      </c>
      <c r="I15" s="5">
        <f t="shared" si="1"/>
        <v>941</v>
      </c>
      <c r="J15" s="5">
        <v>1.03</v>
      </c>
      <c r="K15" s="5"/>
      <c r="L15" s="8"/>
    </row>
    <row r="16" spans="2:12">
      <c r="B16" s="6">
        <f t="shared" si="0"/>
        <v>13</v>
      </c>
      <c r="C16" s="5" t="s">
        <v>595</v>
      </c>
      <c r="D16" s="5" t="s">
        <v>382</v>
      </c>
      <c r="E16" s="5" t="s">
        <v>199</v>
      </c>
      <c r="F16" s="5">
        <v>0.36</v>
      </c>
      <c r="G16" s="5">
        <v>63</v>
      </c>
      <c r="H16" s="6">
        <v>33.4</v>
      </c>
      <c r="I16" s="5">
        <f t="shared" si="1"/>
        <v>974.4</v>
      </c>
      <c r="J16" s="5">
        <v>1.05</v>
      </c>
      <c r="K16" s="5"/>
      <c r="L16" s="8"/>
    </row>
    <row r="17" spans="2:12">
      <c r="B17" s="6">
        <f t="shared" si="0"/>
        <v>14</v>
      </c>
      <c r="C17" s="5" t="s">
        <v>595</v>
      </c>
      <c r="D17" s="5" t="s">
        <v>382</v>
      </c>
      <c r="E17" s="5"/>
      <c r="F17" s="5"/>
      <c r="G17" s="5">
        <v>63</v>
      </c>
      <c r="H17" s="6">
        <v>10.4</v>
      </c>
      <c r="I17" s="5">
        <f t="shared" si="1"/>
        <v>984.8</v>
      </c>
      <c r="J17" s="5">
        <v>1.03</v>
      </c>
      <c r="K17" s="5"/>
      <c r="L17" s="8"/>
    </row>
    <row r="18" spans="2:12">
      <c r="B18" s="6">
        <f t="shared" si="0"/>
        <v>15</v>
      </c>
      <c r="C18" s="5" t="s">
        <v>595</v>
      </c>
      <c r="D18" s="5" t="s">
        <v>250</v>
      </c>
      <c r="E18" s="5"/>
      <c r="F18" s="5"/>
      <c r="G18" s="5">
        <v>63</v>
      </c>
      <c r="H18" s="6">
        <v>25.1</v>
      </c>
      <c r="I18" s="5">
        <f t="shared" si="1"/>
        <v>1009.9</v>
      </c>
      <c r="J18" s="5">
        <v>1.03</v>
      </c>
      <c r="K18" s="5"/>
      <c r="L18" s="8"/>
    </row>
    <row r="19" spans="2:12">
      <c r="B19" s="6">
        <f t="shared" si="0"/>
        <v>16</v>
      </c>
      <c r="C19" s="5" t="s">
        <v>595</v>
      </c>
      <c r="D19" s="5" t="s">
        <v>250</v>
      </c>
      <c r="E19" s="5" t="s">
        <v>199</v>
      </c>
      <c r="F19" s="5">
        <v>0.36</v>
      </c>
      <c r="G19" s="5">
        <v>63</v>
      </c>
      <c r="H19" s="53">
        <v>15</v>
      </c>
      <c r="I19" s="5">
        <f t="shared" si="1"/>
        <v>1024.9000000000001</v>
      </c>
      <c r="J19" s="5">
        <v>1.06</v>
      </c>
      <c r="K19" s="5"/>
      <c r="L19" s="8"/>
    </row>
    <row r="20" spans="2:12">
      <c r="B20" s="6">
        <f t="shared" si="0"/>
        <v>17</v>
      </c>
      <c r="C20" s="5" t="s">
        <v>250</v>
      </c>
      <c r="D20" s="5" t="s">
        <v>314</v>
      </c>
      <c r="F20" s="5"/>
      <c r="G20" s="5">
        <v>63</v>
      </c>
      <c r="H20" s="6">
        <v>8.5</v>
      </c>
      <c r="I20" s="5">
        <f t="shared" si="1"/>
        <v>1033.4000000000001</v>
      </c>
      <c r="J20" s="5">
        <v>1.05</v>
      </c>
      <c r="K20" s="5"/>
      <c r="L20" s="8"/>
    </row>
    <row r="21" spans="2:12">
      <c r="B21" s="6">
        <f t="shared" si="0"/>
        <v>18</v>
      </c>
      <c r="C21" s="5" t="s">
        <v>250</v>
      </c>
      <c r="D21" s="5" t="s">
        <v>314</v>
      </c>
      <c r="E21" s="5"/>
      <c r="F21" s="5"/>
      <c r="G21" s="5">
        <v>63</v>
      </c>
      <c r="H21" s="6">
        <v>3.1</v>
      </c>
      <c r="I21" s="5">
        <f t="shared" si="1"/>
        <v>1036.5</v>
      </c>
      <c r="J21" s="5"/>
      <c r="K21" s="5" t="s">
        <v>304</v>
      </c>
      <c r="L21" s="8"/>
    </row>
    <row r="22" spans="2:12">
      <c r="B22" s="6">
        <f t="shared" si="0"/>
        <v>19</v>
      </c>
      <c r="C22" s="5" t="s">
        <v>250</v>
      </c>
      <c r="D22" s="5" t="s">
        <v>314</v>
      </c>
      <c r="E22" s="5" t="s">
        <v>199</v>
      </c>
      <c r="F22" s="5">
        <v>0.36</v>
      </c>
      <c r="G22" s="5">
        <v>63</v>
      </c>
      <c r="H22" s="6">
        <v>143.1</v>
      </c>
      <c r="I22" s="5">
        <f t="shared" si="1"/>
        <v>1179.5999999999999</v>
      </c>
      <c r="J22" s="5">
        <v>1.03</v>
      </c>
      <c r="K22" s="5"/>
      <c r="L22" s="8"/>
    </row>
    <row r="23" spans="2:12">
      <c r="B23" s="6">
        <f t="shared" si="0"/>
        <v>20</v>
      </c>
      <c r="C23" s="5" t="s">
        <v>249</v>
      </c>
      <c r="D23" s="5" t="s">
        <v>250</v>
      </c>
      <c r="E23" s="5" t="s">
        <v>199</v>
      </c>
      <c r="F23" s="5">
        <v>0.36</v>
      </c>
      <c r="G23" s="5">
        <v>63</v>
      </c>
      <c r="H23" s="6">
        <v>14.4</v>
      </c>
      <c r="I23" s="5">
        <f t="shared" si="1"/>
        <v>1194</v>
      </c>
      <c r="J23" s="5">
        <v>1.06</v>
      </c>
      <c r="K23" s="5"/>
      <c r="L23" s="8"/>
    </row>
    <row r="24" spans="2:12">
      <c r="B24" s="6">
        <f t="shared" si="0"/>
        <v>21</v>
      </c>
      <c r="C24" s="5" t="s">
        <v>249</v>
      </c>
      <c r="D24" s="5" t="s">
        <v>250</v>
      </c>
      <c r="E24" s="5"/>
      <c r="F24" s="5"/>
      <c r="G24" s="5">
        <v>63</v>
      </c>
      <c r="H24" s="6">
        <v>7.5</v>
      </c>
      <c r="I24" s="5">
        <f t="shared" si="1"/>
        <v>1201.5</v>
      </c>
      <c r="J24" s="10">
        <v>1.06</v>
      </c>
      <c r="K24" s="5"/>
      <c r="L24" s="8"/>
    </row>
    <row r="25" spans="2:12">
      <c r="B25" s="6">
        <f t="shared" si="0"/>
        <v>22</v>
      </c>
      <c r="C25" s="5" t="s">
        <v>1427</v>
      </c>
      <c r="D25" s="5" t="s">
        <v>275</v>
      </c>
      <c r="E25" s="5" t="s">
        <v>199</v>
      </c>
      <c r="F25" s="5">
        <v>0.36</v>
      </c>
      <c r="G25" s="5">
        <v>63</v>
      </c>
      <c r="H25" s="6">
        <v>84.4</v>
      </c>
      <c r="I25" s="5">
        <f t="shared" si="1"/>
        <v>1285.9000000000001</v>
      </c>
      <c r="J25" s="5">
        <v>1.06</v>
      </c>
      <c r="K25" s="5"/>
      <c r="L25" s="8"/>
    </row>
    <row r="26" spans="2:12">
      <c r="B26" s="6">
        <f t="shared" si="0"/>
        <v>23</v>
      </c>
      <c r="C26" s="5" t="s">
        <v>1427</v>
      </c>
      <c r="D26" s="5" t="s">
        <v>275</v>
      </c>
      <c r="E26" s="5"/>
      <c r="F26" s="5"/>
      <c r="G26" s="5">
        <v>63</v>
      </c>
      <c r="H26" s="6">
        <v>141.80000000000001</v>
      </c>
      <c r="I26" s="5">
        <f t="shared" si="1"/>
        <v>1427.7</v>
      </c>
      <c r="J26" s="10">
        <v>0.95</v>
      </c>
      <c r="K26" s="5"/>
      <c r="L26" s="8"/>
    </row>
    <row r="27" spans="2:12">
      <c r="B27" s="6">
        <f t="shared" si="0"/>
        <v>24</v>
      </c>
      <c r="C27" s="5" t="s">
        <v>1427</v>
      </c>
      <c r="D27" s="5" t="s">
        <v>276</v>
      </c>
      <c r="E27" s="5"/>
      <c r="F27" s="5"/>
      <c r="G27" s="5">
        <v>63</v>
      </c>
      <c r="H27" s="6">
        <v>101.5</v>
      </c>
      <c r="I27" s="5">
        <f t="shared" si="1"/>
        <v>1529.2</v>
      </c>
      <c r="J27" s="5">
        <v>0.96</v>
      </c>
      <c r="K27" s="5"/>
      <c r="L27" s="8"/>
    </row>
    <row r="28" spans="2:12">
      <c r="B28" s="6">
        <f t="shared" si="0"/>
        <v>25</v>
      </c>
      <c r="C28" s="5" t="s">
        <v>1427</v>
      </c>
      <c r="D28" s="5" t="s">
        <v>524</v>
      </c>
      <c r="E28" s="5" t="s">
        <v>193</v>
      </c>
      <c r="F28" s="5">
        <v>0.36</v>
      </c>
      <c r="G28" s="5">
        <v>63</v>
      </c>
      <c r="H28" s="6">
        <v>4.2</v>
      </c>
      <c r="I28" s="5">
        <f t="shared" si="1"/>
        <v>1533.4</v>
      </c>
      <c r="J28" s="5">
        <v>0.96</v>
      </c>
      <c r="K28" s="5"/>
      <c r="L28" s="8"/>
    </row>
    <row r="29" spans="2:12">
      <c r="B29" s="6">
        <f t="shared" si="0"/>
        <v>26</v>
      </c>
      <c r="C29" s="5" t="s">
        <v>1427</v>
      </c>
      <c r="D29" s="5" t="s">
        <v>524</v>
      </c>
      <c r="E29" s="5"/>
      <c r="F29" s="5"/>
      <c r="G29" s="5">
        <v>63</v>
      </c>
      <c r="H29" s="6">
        <v>85.7</v>
      </c>
      <c r="I29" s="5">
        <f t="shared" si="1"/>
        <v>1619.1000000000001</v>
      </c>
      <c r="J29" s="10">
        <v>1.05</v>
      </c>
      <c r="K29" s="5"/>
      <c r="L29" s="8"/>
    </row>
    <row r="30" spans="2:12">
      <c r="B30" s="6">
        <f t="shared" si="0"/>
        <v>27</v>
      </c>
      <c r="C30" s="5" t="s">
        <v>524</v>
      </c>
      <c r="D30" s="5" t="s">
        <v>270</v>
      </c>
      <c r="E30" s="5"/>
      <c r="F30" s="5"/>
      <c r="G30" s="5">
        <v>63</v>
      </c>
      <c r="H30" s="6">
        <v>165.5</v>
      </c>
      <c r="I30" s="5">
        <f t="shared" si="1"/>
        <v>1784.6000000000001</v>
      </c>
      <c r="J30" s="10">
        <v>1.06</v>
      </c>
      <c r="K30" s="5"/>
      <c r="L30" s="8"/>
    </row>
    <row r="31" spans="2:12">
      <c r="B31" s="6">
        <f t="shared" si="0"/>
        <v>28</v>
      </c>
      <c r="C31" s="5" t="s">
        <v>524</v>
      </c>
      <c r="D31" s="5" t="s">
        <v>625</v>
      </c>
      <c r="E31" s="5"/>
      <c r="F31" s="5"/>
      <c r="G31" s="5">
        <v>63</v>
      </c>
      <c r="H31" s="6">
        <v>86.5</v>
      </c>
      <c r="I31" s="5">
        <f t="shared" si="1"/>
        <v>1871.1000000000001</v>
      </c>
      <c r="J31" s="10">
        <v>1.06</v>
      </c>
      <c r="K31" s="5"/>
      <c r="L31" s="8"/>
    </row>
    <row r="32" spans="2:12">
      <c r="B32" s="6">
        <f t="shared" si="0"/>
        <v>29</v>
      </c>
      <c r="C32" s="5" t="s">
        <v>268</v>
      </c>
      <c r="D32" s="5" t="s">
        <v>625</v>
      </c>
      <c r="E32" s="5" t="s">
        <v>193</v>
      </c>
      <c r="F32" s="5">
        <v>0.36</v>
      </c>
      <c r="G32" s="5">
        <v>63</v>
      </c>
      <c r="H32" s="6">
        <v>4.2</v>
      </c>
      <c r="I32" s="5">
        <f t="shared" si="1"/>
        <v>1875.3000000000002</v>
      </c>
      <c r="J32" s="10">
        <v>1.06</v>
      </c>
      <c r="K32" s="5"/>
      <c r="L32" s="8"/>
    </row>
    <row r="33" spans="2:12">
      <c r="B33" s="6">
        <f t="shared" si="0"/>
        <v>30</v>
      </c>
      <c r="C33" s="5" t="s">
        <v>268</v>
      </c>
      <c r="D33" s="5" t="s">
        <v>625</v>
      </c>
      <c r="E33" s="5"/>
      <c r="F33" s="5"/>
      <c r="G33" s="5">
        <v>63</v>
      </c>
      <c r="H33" s="6">
        <v>4.0999999999999996</v>
      </c>
      <c r="I33" s="5">
        <f t="shared" si="1"/>
        <v>1879.4</v>
      </c>
      <c r="J33" s="10">
        <v>1.06</v>
      </c>
      <c r="K33" s="5"/>
      <c r="L33" s="8"/>
    </row>
    <row r="34" spans="2:12">
      <c r="B34" s="6">
        <f t="shared" si="0"/>
        <v>31</v>
      </c>
      <c r="C34" s="5" t="s">
        <v>625</v>
      </c>
      <c r="D34" s="5" t="s">
        <v>267</v>
      </c>
      <c r="E34" s="5"/>
      <c r="F34" s="5"/>
      <c r="G34" s="5">
        <v>63</v>
      </c>
      <c r="H34" s="6">
        <f>179.2+6.3</f>
        <v>185.5</v>
      </c>
      <c r="I34" s="5">
        <f t="shared" si="1"/>
        <v>2064.9</v>
      </c>
      <c r="J34" s="5">
        <v>1.02</v>
      </c>
      <c r="K34" s="5"/>
      <c r="L34" s="8"/>
    </row>
    <row r="35" spans="2:12">
      <c r="B35" s="6">
        <f t="shared" si="0"/>
        <v>32</v>
      </c>
      <c r="C35" s="5" t="s">
        <v>625</v>
      </c>
      <c r="D35" s="5" t="s">
        <v>267</v>
      </c>
      <c r="E35" s="5"/>
      <c r="F35" s="5"/>
      <c r="G35" s="5">
        <v>63</v>
      </c>
      <c r="H35" s="6">
        <v>49.5</v>
      </c>
      <c r="I35" s="5">
        <f t="shared" si="1"/>
        <v>2114.4</v>
      </c>
      <c r="J35" s="5">
        <v>1.02</v>
      </c>
      <c r="K35" s="5"/>
      <c r="L35" s="8"/>
    </row>
    <row r="36" spans="2:12">
      <c r="B36" s="6">
        <f t="shared" si="0"/>
        <v>33</v>
      </c>
      <c r="C36" s="5" t="s">
        <v>267</v>
      </c>
      <c r="D36" s="5" t="s">
        <v>248</v>
      </c>
      <c r="E36" s="5" t="s">
        <v>199</v>
      </c>
      <c r="F36" s="5">
        <v>0.36</v>
      </c>
      <c r="G36" s="5">
        <v>63</v>
      </c>
      <c r="H36" s="6">
        <v>3</v>
      </c>
      <c r="I36" s="5">
        <f t="shared" si="1"/>
        <v>2117.4</v>
      </c>
      <c r="J36" s="5">
        <v>1.02</v>
      </c>
      <c r="K36" s="5"/>
      <c r="L36" s="8"/>
    </row>
    <row r="37" spans="2:12">
      <c r="B37" s="6">
        <f t="shared" si="0"/>
        <v>34</v>
      </c>
      <c r="C37" s="5" t="s">
        <v>267</v>
      </c>
      <c r="D37" s="5" t="s">
        <v>248</v>
      </c>
      <c r="E37" s="5"/>
      <c r="F37" s="5"/>
      <c r="G37" s="5">
        <v>63</v>
      </c>
      <c r="H37" s="6">
        <v>73.2</v>
      </c>
      <c r="I37" s="5">
        <f t="shared" si="1"/>
        <v>2190.6</v>
      </c>
      <c r="J37" s="5">
        <v>1.02</v>
      </c>
      <c r="K37" s="5"/>
      <c r="L37" s="8"/>
    </row>
    <row r="38" spans="2:12">
      <c r="B38" s="6">
        <f t="shared" si="0"/>
        <v>35</v>
      </c>
      <c r="C38" s="5" t="s">
        <v>248</v>
      </c>
      <c r="D38" s="5" t="s">
        <v>507</v>
      </c>
      <c r="E38" s="5"/>
      <c r="F38" s="5"/>
      <c r="G38" s="5">
        <v>63</v>
      </c>
      <c r="H38" s="6">
        <v>51.6</v>
      </c>
      <c r="I38" s="5">
        <f t="shared" si="1"/>
        <v>2242.1999999999998</v>
      </c>
      <c r="J38" s="5">
        <v>1.04</v>
      </c>
      <c r="K38" s="5"/>
      <c r="L38" s="8"/>
    </row>
    <row r="39" spans="2:12">
      <c r="B39" s="6">
        <f t="shared" si="0"/>
        <v>36</v>
      </c>
      <c r="C39" s="5" t="s">
        <v>248</v>
      </c>
      <c r="D39" s="5" t="s">
        <v>247</v>
      </c>
      <c r="E39" s="5" t="s">
        <v>193</v>
      </c>
      <c r="F39" s="5">
        <v>0.36</v>
      </c>
      <c r="G39" s="5">
        <v>63</v>
      </c>
      <c r="H39" s="6">
        <v>3</v>
      </c>
      <c r="I39" s="5">
        <f t="shared" si="1"/>
        <v>2245.1999999999998</v>
      </c>
      <c r="J39" s="5">
        <v>1.06</v>
      </c>
      <c r="K39" s="5"/>
      <c r="L39" s="8"/>
    </row>
    <row r="40" spans="2:12">
      <c r="B40" s="6">
        <f t="shared" si="0"/>
        <v>37</v>
      </c>
      <c r="C40" s="5" t="s">
        <v>248</v>
      </c>
      <c r="D40" s="5" t="s">
        <v>247</v>
      </c>
      <c r="E40" s="5"/>
      <c r="F40" s="5"/>
      <c r="G40" s="5">
        <v>63</v>
      </c>
      <c r="H40" s="6">
        <v>41.4</v>
      </c>
      <c r="I40" s="5">
        <f t="shared" si="1"/>
        <v>2286.6</v>
      </c>
      <c r="J40" s="5">
        <v>1.04</v>
      </c>
      <c r="K40" s="5"/>
      <c r="L40" s="8"/>
    </row>
    <row r="41" spans="2:12">
      <c r="B41" s="6">
        <f t="shared" si="0"/>
        <v>38</v>
      </c>
      <c r="C41" s="5" t="s">
        <v>164</v>
      </c>
      <c r="D41" s="5" t="s">
        <v>111</v>
      </c>
      <c r="E41" s="5" t="s">
        <v>199</v>
      </c>
      <c r="F41" s="5">
        <v>0.36</v>
      </c>
      <c r="G41" s="5">
        <v>63</v>
      </c>
      <c r="H41" s="6">
        <v>7.8</v>
      </c>
      <c r="I41" s="5">
        <f t="shared" si="1"/>
        <v>2294.4</v>
      </c>
      <c r="J41" s="5">
        <v>1.04</v>
      </c>
      <c r="K41" s="5"/>
      <c r="L41" s="8"/>
    </row>
    <row r="42" spans="2:12">
      <c r="B42" s="6">
        <f t="shared" si="0"/>
        <v>39</v>
      </c>
      <c r="C42" s="5" t="s">
        <v>164</v>
      </c>
      <c r="D42" s="5" t="s">
        <v>111</v>
      </c>
      <c r="E42" s="5"/>
      <c r="F42" s="5"/>
      <c r="G42" s="5">
        <v>63</v>
      </c>
      <c r="H42" s="6">
        <v>48.5</v>
      </c>
      <c r="I42" s="5">
        <f t="shared" si="1"/>
        <v>2342.9</v>
      </c>
      <c r="J42" s="10">
        <v>1.04</v>
      </c>
      <c r="K42" s="5"/>
      <c r="L42" s="8"/>
    </row>
    <row r="43" spans="2:12">
      <c r="B43" s="6">
        <f t="shared" si="0"/>
        <v>40</v>
      </c>
      <c r="C43" s="5" t="s">
        <v>111</v>
      </c>
      <c r="D43" s="5" t="s">
        <v>167</v>
      </c>
      <c r="E43" s="5" t="s">
        <v>199</v>
      </c>
      <c r="F43" s="5">
        <v>0.36</v>
      </c>
      <c r="G43" s="5">
        <v>63</v>
      </c>
      <c r="H43" s="6">
        <v>5.8</v>
      </c>
      <c r="I43" s="5">
        <f t="shared" si="1"/>
        <v>2348.7000000000003</v>
      </c>
      <c r="J43" s="10">
        <v>1.06</v>
      </c>
      <c r="K43" s="5"/>
      <c r="L43" s="8"/>
    </row>
    <row r="44" spans="2:12">
      <c r="B44" s="6">
        <f t="shared" si="0"/>
        <v>41</v>
      </c>
      <c r="C44" s="5" t="s">
        <v>111</v>
      </c>
      <c r="D44" s="5" t="s">
        <v>167</v>
      </c>
      <c r="E44" s="5"/>
      <c r="F44" s="5"/>
      <c r="G44" s="5">
        <v>63</v>
      </c>
      <c r="H44" s="6">
        <v>9</v>
      </c>
      <c r="I44" s="5">
        <f t="shared" si="1"/>
        <v>2357.7000000000003</v>
      </c>
      <c r="J44" s="10">
        <v>1.06</v>
      </c>
      <c r="K44" s="5"/>
      <c r="L44" s="8"/>
    </row>
    <row r="45" spans="2:12">
      <c r="B45" s="6">
        <f t="shared" si="0"/>
        <v>42</v>
      </c>
      <c r="C45" s="5" t="s">
        <v>111</v>
      </c>
      <c r="D45" s="5" t="s">
        <v>167</v>
      </c>
      <c r="E45" s="5"/>
      <c r="F45" s="5"/>
      <c r="G45" s="5">
        <v>63</v>
      </c>
      <c r="H45" s="6">
        <v>32.5</v>
      </c>
      <c r="I45" s="5">
        <f t="shared" si="1"/>
        <v>2390.2000000000003</v>
      </c>
      <c r="J45" s="10">
        <v>1.06</v>
      </c>
      <c r="K45" s="5"/>
      <c r="L45" s="8"/>
    </row>
    <row r="46" spans="2:12">
      <c r="B46" s="6">
        <f t="shared" si="0"/>
        <v>43</v>
      </c>
      <c r="C46" s="5" t="s">
        <v>111</v>
      </c>
      <c r="D46" s="5" t="s">
        <v>1356</v>
      </c>
      <c r="E46" s="5" t="s">
        <v>199</v>
      </c>
      <c r="F46" s="5">
        <v>0.36</v>
      </c>
      <c r="G46" s="5">
        <v>63</v>
      </c>
      <c r="H46" s="6">
        <v>6.1</v>
      </c>
      <c r="I46" s="5">
        <f t="shared" si="1"/>
        <v>2396.3000000000002</v>
      </c>
      <c r="J46" s="10">
        <v>1.06</v>
      </c>
      <c r="K46" s="5"/>
      <c r="L46" s="8"/>
    </row>
    <row r="47" spans="2:12">
      <c r="B47" s="6">
        <f t="shared" si="0"/>
        <v>44</v>
      </c>
      <c r="C47" s="5" t="s">
        <v>111</v>
      </c>
      <c r="D47" s="5" t="s">
        <v>1356</v>
      </c>
      <c r="E47" s="5"/>
      <c r="F47" s="5"/>
      <c r="G47" s="5">
        <v>63</v>
      </c>
      <c r="H47" s="6">
        <v>16.100000000000001</v>
      </c>
      <c r="I47" s="5">
        <f t="shared" si="1"/>
        <v>2412.4</v>
      </c>
      <c r="J47" s="10">
        <v>1.06</v>
      </c>
      <c r="K47" s="5"/>
      <c r="L47" s="8"/>
    </row>
    <row r="48" spans="2:12">
      <c r="B48" s="6">
        <f t="shared" si="0"/>
        <v>45</v>
      </c>
      <c r="C48" s="5" t="s">
        <v>602</v>
      </c>
      <c r="D48" s="5" t="s">
        <v>674</v>
      </c>
      <c r="E48" s="5"/>
      <c r="F48" s="5"/>
      <c r="G48" s="5">
        <v>63</v>
      </c>
      <c r="H48" s="6">
        <v>72.7</v>
      </c>
      <c r="I48" s="5">
        <f t="shared" si="1"/>
        <v>2485.1</v>
      </c>
      <c r="J48" s="10">
        <v>1.04</v>
      </c>
      <c r="K48" s="5"/>
      <c r="L48" s="8"/>
    </row>
    <row r="49" spans="2:12">
      <c r="B49" s="6">
        <f t="shared" si="0"/>
        <v>46</v>
      </c>
      <c r="C49" s="5" t="s">
        <v>1356</v>
      </c>
      <c r="D49" s="5" t="s">
        <v>1428</v>
      </c>
      <c r="E49" s="5"/>
      <c r="F49" s="5"/>
      <c r="G49" s="5">
        <v>63</v>
      </c>
      <c r="H49" s="6">
        <f>2.5+1.5</f>
        <v>4</v>
      </c>
      <c r="I49" s="5">
        <f t="shared" si="1"/>
        <v>2489.1</v>
      </c>
      <c r="J49" s="10">
        <v>1.04</v>
      </c>
      <c r="K49" s="5"/>
      <c r="L49" s="8"/>
    </row>
    <row r="50" spans="2:12">
      <c r="B50" s="6">
        <f t="shared" si="0"/>
        <v>47</v>
      </c>
      <c r="C50" s="5" t="s">
        <v>1356</v>
      </c>
      <c r="D50" s="5" t="s">
        <v>1428</v>
      </c>
      <c r="E50" s="5" t="s">
        <v>199</v>
      </c>
      <c r="F50" s="5">
        <v>0.36</v>
      </c>
      <c r="G50" s="5">
        <v>63</v>
      </c>
      <c r="H50" s="6">
        <v>3.8</v>
      </c>
      <c r="I50" s="5">
        <f t="shared" si="1"/>
        <v>2492.9</v>
      </c>
      <c r="J50" s="10">
        <v>1.06</v>
      </c>
      <c r="K50" s="5"/>
      <c r="L50" s="8"/>
    </row>
    <row r="51" spans="2:12">
      <c r="B51" s="6">
        <f t="shared" si="0"/>
        <v>48</v>
      </c>
      <c r="C51" s="5" t="s">
        <v>1428</v>
      </c>
      <c r="D51" s="5" t="s">
        <v>1429</v>
      </c>
      <c r="E51" s="5" t="s">
        <v>199</v>
      </c>
      <c r="F51" s="5">
        <v>0.36</v>
      </c>
      <c r="G51" s="5">
        <v>63</v>
      </c>
      <c r="H51" s="6">
        <v>9.8000000000000007</v>
      </c>
      <c r="I51" s="5">
        <f t="shared" si="1"/>
        <v>2502.7000000000003</v>
      </c>
      <c r="J51" s="10">
        <v>1.04</v>
      </c>
      <c r="K51" s="5"/>
      <c r="L51" s="8"/>
    </row>
    <row r="52" spans="2:12">
      <c r="B52" s="6">
        <f t="shared" si="0"/>
        <v>49</v>
      </c>
      <c r="C52" s="5" t="s">
        <v>1428</v>
      </c>
      <c r="D52" s="5" t="s">
        <v>1429</v>
      </c>
      <c r="E52" s="5"/>
      <c r="F52" s="5"/>
      <c r="G52" s="5">
        <v>63</v>
      </c>
      <c r="H52" s="6">
        <f>22.5+15.1</f>
        <v>37.6</v>
      </c>
      <c r="I52" s="5">
        <f t="shared" si="1"/>
        <v>2540.3000000000002</v>
      </c>
      <c r="J52" s="10">
        <v>1.06</v>
      </c>
      <c r="K52" s="5"/>
      <c r="L52" s="8"/>
    </row>
    <row r="53" spans="2:12">
      <c r="B53" s="6">
        <f t="shared" si="0"/>
        <v>50</v>
      </c>
      <c r="C53" s="5" t="s">
        <v>1429</v>
      </c>
      <c r="D53" s="5" t="s">
        <v>1430</v>
      </c>
      <c r="E53" s="5"/>
      <c r="F53" s="5"/>
      <c r="G53" s="5">
        <v>63</v>
      </c>
      <c r="H53" s="6">
        <v>49</v>
      </c>
      <c r="I53" s="5">
        <f t="shared" si="1"/>
        <v>2589.3000000000002</v>
      </c>
      <c r="J53" s="10">
        <v>1.06</v>
      </c>
      <c r="K53" s="5"/>
      <c r="L53" s="8"/>
    </row>
    <row r="54" spans="2:12">
      <c r="B54" s="6">
        <f t="shared" si="0"/>
        <v>51</v>
      </c>
      <c r="C54" s="5" t="s">
        <v>1429</v>
      </c>
      <c r="D54" s="5" t="s">
        <v>39</v>
      </c>
      <c r="E54" s="5"/>
      <c r="F54" s="5"/>
      <c r="G54" s="5">
        <v>63</v>
      </c>
      <c r="H54" s="6">
        <v>104.7</v>
      </c>
      <c r="I54" s="5">
        <f t="shared" si="1"/>
        <v>2694</v>
      </c>
      <c r="J54" s="10">
        <v>1.06</v>
      </c>
      <c r="K54" s="5"/>
      <c r="L54" s="8"/>
    </row>
    <row r="55" spans="2:12">
      <c r="B55" s="6">
        <f t="shared" si="0"/>
        <v>52</v>
      </c>
      <c r="C55" s="5" t="s">
        <v>39</v>
      </c>
      <c r="D55" s="5" t="s">
        <v>36</v>
      </c>
      <c r="E55" s="5"/>
      <c r="F55" s="5"/>
      <c r="G55" s="5">
        <v>63</v>
      </c>
      <c r="H55" s="6">
        <v>27.2</v>
      </c>
      <c r="I55" s="5">
        <f t="shared" si="1"/>
        <v>2721.2</v>
      </c>
      <c r="J55" s="10">
        <v>1.03</v>
      </c>
      <c r="K55" s="5"/>
      <c r="L55" s="8"/>
    </row>
    <row r="56" spans="2:12">
      <c r="B56" s="6">
        <f t="shared" si="0"/>
        <v>53</v>
      </c>
      <c r="C56" s="5" t="s">
        <v>39</v>
      </c>
      <c r="D56" s="5" t="s">
        <v>171</v>
      </c>
      <c r="E56" s="5"/>
      <c r="F56" s="5"/>
      <c r="G56" s="5">
        <v>63</v>
      </c>
      <c r="H56" s="6">
        <f>3.9+5.1</f>
        <v>9</v>
      </c>
      <c r="I56" s="5">
        <f t="shared" si="1"/>
        <v>2730.2</v>
      </c>
      <c r="J56" s="10">
        <v>1.03</v>
      </c>
      <c r="K56" s="5"/>
      <c r="L56" s="8"/>
    </row>
    <row r="57" spans="2:12">
      <c r="B57" s="6">
        <f t="shared" si="0"/>
        <v>54</v>
      </c>
      <c r="C57" s="5" t="s">
        <v>39</v>
      </c>
      <c r="D57" s="5" t="s">
        <v>171</v>
      </c>
      <c r="E57" s="5" t="s">
        <v>199</v>
      </c>
      <c r="F57" s="5">
        <v>0.36</v>
      </c>
      <c r="G57" s="5">
        <v>63</v>
      </c>
      <c r="H57" s="6">
        <v>11</v>
      </c>
      <c r="I57" s="5">
        <f t="shared" si="1"/>
        <v>2741.2</v>
      </c>
      <c r="J57" s="10">
        <v>1.03</v>
      </c>
      <c r="K57" s="5"/>
      <c r="L57" s="8"/>
    </row>
    <row r="58" spans="2:12">
      <c r="B58" s="6">
        <f t="shared" si="0"/>
        <v>55</v>
      </c>
      <c r="C58" s="5" t="s">
        <v>1428</v>
      </c>
      <c r="D58" s="5" t="s">
        <v>112</v>
      </c>
      <c r="E58" s="5"/>
      <c r="F58" s="5"/>
      <c r="G58" s="5">
        <v>63</v>
      </c>
      <c r="H58" s="6">
        <v>35.5</v>
      </c>
      <c r="I58" s="5">
        <f t="shared" si="1"/>
        <v>2776.7</v>
      </c>
      <c r="J58" s="10">
        <v>1.03</v>
      </c>
      <c r="K58" s="5"/>
      <c r="L58" s="8"/>
    </row>
    <row r="59" spans="2:12">
      <c r="B59" s="6">
        <f t="shared" si="0"/>
        <v>56</v>
      </c>
      <c r="C59" s="5" t="s">
        <v>1356</v>
      </c>
      <c r="D59" s="5" t="s">
        <v>170</v>
      </c>
      <c r="E59" s="5" t="s">
        <v>199</v>
      </c>
      <c r="F59" s="5">
        <v>0.36</v>
      </c>
      <c r="G59" s="5">
        <v>63</v>
      </c>
      <c r="H59" s="6">
        <v>85.2</v>
      </c>
      <c r="I59" s="5">
        <f t="shared" si="1"/>
        <v>2861.8999999999996</v>
      </c>
      <c r="J59" s="10">
        <v>1.03</v>
      </c>
      <c r="K59" s="5"/>
      <c r="L59" s="8"/>
    </row>
    <row r="60" spans="2:12">
      <c r="B60" s="6">
        <f t="shared" si="0"/>
        <v>57</v>
      </c>
      <c r="C60" s="5" t="s">
        <v>1356</v>
      </c>
      <c r="D60" s="5" t="s">
        <v>170</v>
      </c>
      <c r="E60" s="5"/>
      <c r="F60" s="5"/>
      <c r="G60" s="5">
        <v>63</v>
      </c>
      <c r="H60" s="6">
        <v>15.7</v>
      </c>
      <c r="I60" s="5">
        <f t="shared" si="1"/>
        <v>2877.5999999999995</v>
      </c>
      <c r="J60" s="10">
        <v>1.05</v>
      </c>
      <c r="K60" s="5"/>
      <c r="L60" s="8"/>
    </row>
    <row r="61" spans="2:12">
      <c r="B61" s="6">
        <f t="shared" si="0"/>
        <v>58</v>
      </c>
      <c r="C61" s="5" t="s">
        <v>159</v>
      </c>
      <c r="D61" s="5" t="s">
        <v>1431</v>
      </c>
      <c r="E61" s="5"/>
      <c r="F61" s="5"/>
      <c r="G61" s="5">
        <v>63</v>
      </c>
      <c r="H61" s="6">
        <v>22.9</v>
      </c>
      <c r="I61" s="5">
        <f t="shared" si="1"/>
        <v>2900.4999999999995</v>
      </c>
      <c r="J61" s="10">
        <v>1.05</v>
      </c>
      <c r="K61" s="5"/>
      <c r="L61" s="8"/>
    </row>
    <row r="62" spans="2:12">
      <c r="B62" s="6">
        <f t="shared" si="0"/>
        <v>59</v>
      </c>
      <c r="C62" s="5" t="s">
        <v>1432</v>
      </c>
      <c r="D62" s="5" t="s">
        <v>1433</v>
      </c>
      <c r="E62" s="5" t="s">
        <v>199</v>
      </c>
      <c r="F62" s="5">
        <v>0.36</v>
      </c>
      <c r="G62" s="5">
        <v>63</v>
      </c>
      <c r="H62" s="6">
        <v>1.9</v>
      </c>
      <c r="I62" s="5">
        <f t="shared" si="1"/>
        <v>2902.3999999999996</v>
      </c>
      <c r="J62" s="10">
        <v>1.05</v>
      </c>
      <c r="K62" s="5"/>
      <c r="L62" s="8"/>
    </row>
    <row r="63" spans="2:12">
      <c r="B63" s="6">
        <f t="shared" si="0"/>
        <v>60</v>
      </c>
      <c r="C63" s="5" t="s">
        <v>1432</v>
      </c>
      <c r="D63" s="5" t="s">
        <v>1433</v>
      </c>
      <c r="E63" s="5"/>
      <c r="F63" s="5"/>
      <c r="G63" s="5">
        <v>63</v>
      </c>
      <c r="H63" s="6">
        <v>14.5</v>
      </c>
      <c r="I63" s="5">
        <f t="shared" si="1"/>
        <v>2916.8999999999996</v>
      </c>
      <c r="J63" s="10">
        <v>1.05</v>
      </c>
      <c r="K63" s="5"/>
      <c r="L63" s="8"/>
    </row>
    <row r="64" spans="2:12">
      <c r="B64" s="6">
        <f t="shared" si="0"/>
        <v>61</v>
      </c>
      <c r="C64" s="5" t="s">
        <v>1434</v>
      </c>
      <c r="D64" s="5" t="s">
        <v>1435</v>
      </c>
      <c r="E64" s="5"/>
      <c r="F64" s="5"/>
      <c r="G64" s="5">
        <v>63</v>
      </c>
      <c r="H64" s="6">
        <v>42.4</v>
      </c>
      <c r="I64" s="5">
        <f t="shared" si="1"/>
        <v>2959.2999999999997</v>
      </c>
      <c r="J64" s="10">
        <v>1.06</v>
      </c>
      <c r="K64" s="5"/>
      <c r="L64" s="8"/>
    </row>
    <row r="65" spans="2:12">
      <c r="B65" s="6">
        <f t="shared" si="0"/>
        <v>62</v>
      </c>
      <c r="C65" s="5" t="s">
        <v>1436</v>
      </c>
      <c r="D65" s="5" t="s">
        <v>1437</v>
      </c>
      <c r="E65" s="5"/>
      <c r="F65" s="5"/>
      <c r="G65" s="5">
        <v>63</v>
      </c>
      <c r="H65" s="6">
        <v>10.3</v>
      </c>
      <c r="I65" s="5">
        <f t="shared" si="1"/>
        <v>2969.6</v>
      </c>
      <c r="J65" s="10">
        <v>1.04</v>
      </c>
      <c r="K65" s="5"/>
      <c r="L65" s="8"/>
    </row>
    <row r="66" spans="2:12">
      <c r="B66" s="6">
        <f t="shared" si="0"/>
        <v>63</v>
      </c>
      <c r="C66" s="5" t="s">
        <v>1431</v>
      </c>
      <c r="D66" s="5" t="s">
        <v>1438</v>
      </c>
      <c r="E66" s="5"/>
      <c r="F66" s="5"/>
      <c r="G66" s="5">
        <v>63</v>
      </c>
      <c r="H66" s="6">
        <v>6.4</v>
      </c>
      <c r="I66" s="5">
        <f t="shared" si="1"/>
        <v>2976</v>
      </c>
      <c r="J66" s="10">
        <v>1.04</v>
      </c>
      <c r="K66" s="5"/>
      <c r="L66" s="8"/>
    </row>
    <row r="67" spans="2:12">
      <c r="B67" s="6">
        <f t="shared" si="0"/>
        <v>64</v>
      </c>
      <c r="C67" s="5" t="s">
        <v>1439</v>
      </c>
      <c r="D67" s="5" t="s">
        <v>1440</v>
      </c>
      <c r="E67" s="5"/>
      <c r="F67" s="5"/>
      <c r="G67" s="5">
        <v>63</v>
      </c>
      <c r="H67" s="6">
        <v>31.1</v>
      </c>
      <c r="I67" s="5">
        <f t="shared" si="1"/>
        <v>3007.1</v>
      </c>
      <c r="J67" s="10">
        <v>1.04</v>
      </c>
      <c r="K67" s="5"/>
      <c r="L67" s="8"/>
    </row>
    <row r="68" spans="2:12">
      <c r="B68" s="6">
        <f t="shared" si="0"/>
        <v>65</v>
      </c>
      <c r="C68" s="5" t="s">
        <v>1438</v>
      </c>
      <c r="D68" s="5" t="s">
        <v>502</v>
      </c>
      <c r="E68" s="5"/>
      <c r="F68" s="5"/>
      <c r="G68" s="5">
        <v>63</v>
      </c>
      <c r="H68" s="6">
        <f>54+5.4</f>
        <v>59.4</v>
      </c>
      <c r="I68" s="5">
        <f t="shared" si="1"/>
        <v>3066.5</v>
      </c>
      <c r="J68" s="10">
        <v>1.06</v>
      </c>
      <c r="K68" s="5"/>
      <c r="L68" s="8"/>
    </row>
    <row r="69" spans="2:12">
      <c r="B69" s="6">
        <f t="shared" si="0"/>
        <v>66</v>
      </c>
      <c r="C69" s="5" t="s">
        <v>1438</v>
      </c>
      <c r="D69" s="5" t="s">
        <v>502</v>
      </c>
      <c r="E69" s="5" t="s">
        <v>199</v>
      </c>
      <c r="F69" s="5">
        <v>0.36</v>
      </c>
      <c r="G69" s="5">
        <v>63</v>
      </c>
      <c r="H69" s="6">
        <v>5.6</v>
      </c>
      <c r="I69" s="5">
        <f t="shared" si="1"/>
        <v>3072.1</v>
      </c>
      <c r="J69" s="10">
        <v>1.05</v>
      </c>
      <c r="K69" s="5"/>
      <c r="L69" s="8"/>
    </row>
    <row r="70" spans="2:12">
      <c r="B70" s="6">
        <f t="shared" ref="B70:B133" si="2">+B69+1</f>
        <v>67</v>
      </c>
      <c r="C70" s="5" t="s">
        <v>1441</v>
      </c>
      <c r="D70" s="5" t="s">
        <v>1442</v>
      </c>
      <c r="E70" s="5" t="s">
        <v>193</v>
      </c>
      <c r="F70" s="5">
        <v>0.36</v>
      </c>
      <c r="G70" s="5">
        <v>63</v>
      </c>
      <c r="H70" s="6">
        <v>2.4</v>
      </c>
      <c r="I70" s="5">
        <f t="shared" ref="I70:I133" si="3">+I69+H70</f>
        <v>3074.5</v>
      </c>
      <c r="J70" s="10">
        <v>1.05</v>
      </c>
      <c r="K70" s="5"/>
      <c r="L70" s="8"/>
    </row>
    <row r="71" spans="2:12">
      <c r="B71" s="6">
        <f t="shared" si="2"/>
        <v>68</v>
      </c>
      <c r="C71" s="5" t="s">
        <v>1441</v>
      </c>
      <c r="D71" s="5" t="s">
        <v>1442</v>
      </c>
      <c r="E71" s="5"/>
      <c r="F71" s="5"/>
      <c r="G71" s="5">
        <v>63</v>
      </c>
      <c r="H71" s="6">
        <v>37.1</v>
      </c>
      <c r="I71" s="5">
        <f t="shared" si="3"/>
        <v>3111.6</v>
      </c>
      <c r="J71" s="10">
        <v>1.06</v>
      </c>
      <c r="K71" s="5"/>
      <c r="L71" s="8"/>
    </row>
    <row r="72" spans="2:12">
      <c r="B72" s="6">
        <f t="shared" si="2"/>
        <v>69</v>
      </c>
      <c r="C72" s="5" t="s">
        <v>66</v>
      </c>
      <c r="D72" s="5" t="s">
        <v>1441</v>
      </c>
      <c r="E72" s="8"/>
      <c r="F72" s="5"/>
      <c r="G72" s="5">
        <v>63</v>
      </c>
      <c r="H72" s="6">
        <v>3.7</v>
      </c>
      <c r="I72" s="5">
        <f t="shared" si="3"/>
        <v>3115.2999999999997</v>
      </c>
      <c r="J72" s="10">
        <v>1.06</v>
      </c>
      <c r="K72" s="8"/>
      <c r="L72" s="8"/>
    </row>
    <row r="73" spans="2:12">
      <c r="B73" s="6">
        <f t="shared" si="2"/>
        <v>70</v>
      </c>
      <c r="C73" s="5" t="s">
        <v>1441</v>
      </c>
      <c r="D73" s="5" t="s">
        <v>65</v>
      </c>
      <c r="E73" s="8"/>
      <c r="F73" s="5"/>
      <c r="G73" s="5">
        <v>63</v>
      </c>
      <c r="H73" s="6">
        <v>36.6</v>
      </c>
      <c r="I73" s="5">
        <f t="shared" si="3"/>
        <v>3151.8999999999996</v>
      </c>
      <c r="J73" s="10">
        <v>1.06</v>
      </c>
      <c r="K73" s="8"/>
      <c r="L73" s="8"/>
    </row>
    <row r="74" spans="2:12">
      <c r="B74" s="6">
        <f t="shared" si="2"/>
        <v>71</v>
      </c>
      <c r="C74" s="5" t="s">
        <v>65</v>
      </c>
      <c r="D74" s="5" t="s">
        <v>37</v>
      </c>
      <c r="E74" s="8"/>
      <c r="F74" s="5"/>
      <c r="G74" s="5">
        <v>63</v>
      </c>
      <c r="H74" s="6">
        <f>17.1+48</f>
        <v>65.099999999999994</v>
      </c>
      <c r="I74" s="5">
        <f t="shared" si="3"/>
        <v>3216.9999999999995</v>
      </c>
      <c r="J74" s="10">
        <v>0.96</v>
      </c>
      <c r="K74" s="8"/>
      <c r="L74" s="8"/>
    </row>
    <row r="75" spans="2:12">
      <c r="B75" s="6">
        <f t="shared" si="2"/>
        <v>72</v>
      </c>
      <c r="C75" s="5" t="s">
        <v>65</v>
      </c>
      <c r="D75" s="5" t="s">
        <v>37</v>
      </c>
      <c r="E75" s="5" t="s">
        <v>199</v>
      </c>
      <c r="F75" s="5">
        <v>0.36</v>
      </c>
      <c r="G75" s="5">
        <v>63</v>
      </c>
      <c r="H75" s="6">
        <f>43+2.7</f>
        <v>45.7</v>
      </c>
      <c r="I75" s="5">
        <f t="shared" si="3"/>
        <v>3262.6999999999994</v>
      </c>
      <c r="J75" s="10">
        <v>0.96</v>
      </c>
      <c r="K75" s="8"/>
      <c r="L75" s="8"/>
    </row>
    <row r="76" spans="2:12">
      <c r="B76" s="6">
        <f t="shared" si="2"/>
        <v>73</v>
      </c>
      <c r="C76" s="17" t="s">
        <v>65</v>
      </c>
      <c r="D76" s="17" t="s">
        <v>63</v>
      </c>
      <c r="E76" s="5"/>
      <c r="F76" s="5"/>
      <c r="G76" s="5">
        <v>63</v>
      </c>
      <c r="H76" s="6">
        <v>69.7</v>
      </c>
      <c r="I76" s="5">
        <f t="shared" si="3"/>
        <v>3332.3999999999992</v>
      </c>
      <c r="J76" s="10">
        <v>0.96</v>
      </c>
      <c r="K76" s="8"/>
      <c r="L76" s="8"/>
    </row>
    <row r="77" spans="2:12">
      <c r="B77" s="6">
        <f t="shared" si="2"/>
        <v>74</v>
      </c>
      <c r="C77" s="17" t="s">
        <v>63</v>
      </c>
      <c r="D77" s="17" t="s">
        <v>64</v>
      </c>
      <c r="E77" s="5"/>
      <c r="F77" s="5"/>
      <c r="G77" s="5">
        <v>63</v>
      </c>
      <c r="H77" s="6">
        <v>54.6</v>
      </c>
      <c r="I77" s="5">
        <f t="shared" si="3"/>
        <v>3386.9999999999991</v>
      </c>
      <c r="J77" s="10">
        <v>1.06</v>
      </c>
      <c r="K77" s="8"/>
      <c r="L77" s="8"/>
    </row>
    <row r="78" spans="2:12">
      <c r="B78" s="6">
        <f t="shared" si="2"/>
        <v>75</v>
      </c>
      <c r="C78" s="17" t="s">
        <v>63</v>
      </c>
      <c r="D78" s="17" t="s">
        <v>64</v>
      </c>
      <c r="E78" s="5" t="s">
        <v>193</v>
      </c>
      <c r="F78" s="5">
        <v>0.36</v>
      </c>
      <c r="G78" s="5">
        <v>63</v>
      </c>
      <c r="H78" s="6">
        <v>3.2</v>
      </c>
      <c r="I78" s="5">
        <f t="shared" si="3"/>
        <v>3390.1999999999989</v>
      </c>
      <c r="J78" s="10">
        <v>1.06</v>
      </c>
      <c r="K78" s="8"/>
      <c r="L78" s="8"/>
    </row>
    <row r="79" spans="2:12">
      <c r="B79" s="6">
        <f t="shared" si="2"/>
        <v>76</v>
      </c>
      <c r="C79" s="17" t="s">
        <v>63</v>
      </c>
      <c r="D79" s="17" t="s">
        <v>31</v>
      </c>
      <c r="E79" s="5"/>
      <c r="F79" s="5"/>
      <c r="G79" s="5">
        <v>63</v>
      </c>
      <c r="H79" s="6">
        <v>52.3</v>
      </c>
      <c r="I79" s="5">
        <f t="shared" si="3"/>
        <v>3442.4999999999991</v>
      </c>
      <c r="J79" s="10">
        <v>1.06</v>
      </c>
      <c r="K79" s="8"/>
      <c r="L79" s="8"/>
    </row>
    <row r="80" spans="2:12">
      <c r="B80" s="6">
        <f t="shared" si="2"/>
        <v>77</v>
      </c>
      <c r="C80" s="17" t="s">
        <v>31</v>
      </c>
      <c r="D80" s="17" t="s">
        <v>33</v>
      </c>
      <c r="E80" s="5"/>
      <c r="F80" s="5"/>
      <c r="G80" s="5">
        <v>63</v>
      </c>
      <c r="H80" s="6">
        <v>9.6</v>
      </c>
      <c r="I80" s="5">
        <f t="shared" si="3"/>
        <v>3452.099999999999</v>
      </c>
      <c r="J80" s="10">
        <v>1.06</v>
      </c>
      <c r="K80" s="8"/>
      <c r="L80" s="8"/>
    </row>
    <row r="81" spans="2:12">
      <c r="B81" s="6">
        <f t="shared" si="2"/>
        <v>78</v>
      </c>
      <c r="C81" s="17" t="s">
        <v>31</v>
      </c>
      <c r="D81" s="17" t="s">
        <v>33</v>
      </c>
      <c r="E81" s="5" t="s">
        <v>199</v>
      </c>
      <c r="F81" s="5">
        <v>0.36</v>
      </c>
      <c r="G81" s="5">
        <v>63</v>
      </c>
      <c r="H81" s="6">
        <v>37</v>
      </c>
      <c r="I81" s="5">
        <f t="shared" si="3"/>
        <v>3489.099999999999</v>
      </c>
      <c r="J81" s="10">
        <v>1.06</v>
      </c>
      <c r="K81" s="8"/>
      <c r="L81" s="8"/>
    </row>
    <row r="82" spans="2:12">
      <c r="B82" s="6">
        <f t="shared" si="2"/>
        <v>79</v>
      </c>
      <c r="C82" s="17" t="s">
        <v>31</v>
      </c>
      <c r="D82" s="17" t="s">
        <v>1443</v>
      </c>
      <c r="E82" s="8"/>
      <c r="F82" s="5"/>
      <c r="G82" s="5">
        <v>63</v>
      </c>
      <c r="H82" s="6">
        <v>284</v>
      </c>
      <c r="I82" s="5">
        <f t="shared" si="3"/>
        <v>3773.099999999999</v>
      </c>
      <c r="J82" s="10">
        <v>1.06</v>
      </c>
      <c r="K82" s="8"/>
      <c r="L82" s="8"/>
    </row>
    <row r="83" spans="2:12">
      <c r="B83" s="6">
        <f t="shared" si="2"/>
        <v>80</v>
      </c>
      <c r="C83" s="5" t="s">
        <v>1331</v>
      </c>
      <c r="D83" s="5" t="s">
        <v>1444</v>
      </c>
      <c r="E83" s="5" t="s">
        <v>199</v>
      </c>
      <c r="F83" s="5">
        <v>0.36</v>
      </c>
      <c r="G83" s="5">
        <v>63</v>
      </c>
      <c r="H83" s="6">
        <v>3.3</v>
      </c>
      <c r="I83" s="5">
        <f t="shared" si="3"/>
        <v>3776.3999999999992</v>
      </c>
      <c r="J83" s="10">
        <v>1.06</v>
      </c>
      <c r="K83" s="8"/>
      <c r="L83" s="8"/>
    </row>
    <row r="84" spans="2:12">
      <c r="B84" s="6">
        <f t="shared" si="2"/>
        <v>81</v>
      </c>
      <c r="C84" s="5" t="s">
        <v>1331</v>
      </c>
      <c r="D84" s="5" t="s">
        <v>1444</v>
      </c>
      <c r="E84" s="5"/>
      <c r="F84" s="5"/>
      <c r="G84" s="5">
        <v>63</v>
      </c>
      <c r="H84" s="6">
        <v>8.1</v>
      </c>
      <c r="I84" s="5">
        <f t="shared" si="3"/>
        <v>3784.4999999999991</v>
      </c>
      <c r="J84" s="10">
        <v>0.98</v>
      </c>
      <c r="K84" s="8"/>
      <c r="L84" s="8"/>
    </row>
    <row r="85" spans="2:12">
      <c r="B85" s="6">
        <f t="shared" si="2"/>
        <v>82</v>
      </c>
      <c r="C85" s="5" t="s">
        <v>1331</v>
      </c>
      <c r="D85" s="5" t="s">
        <v>1444</v>
      </c>
      <c r="E85" s="5" t="s">
        <v>199</v>
      </c>
      <c r="F85" s="5">
        <v>0.36</v>
      </c>
      <c r="G85" s="5">
        <v>63</v>
      </c>
      <c r="H85" s="6">
        <v>6.9</v>
      </c>
      <c r="I85" s="5">
        <f t="shared" si="3"/>
        <v>3791.3999999999992</v>
      </c>
      <c r="J85" s="10">
        <v>1.06</v>
      </c>
      <c r="K85" s="8"/>
      <c r="L85" s="8"/>
    </row>
    <row r="86" spans="2:12">
      <c r="B86" s="6">
        <f t="shared" si="2"/>
        <v>83</v>
      </c>
      <c r="C86" s="5" t="s">
        <v>1444</v>
      </c>
      <c r="D86" s="5" t="s">
        <v>1445</v>
      </c>
      <c r="E86" s="5" t="s">
        <v>199</v>
      </c>
      <c r="F86" s="5">
        <v>0.36</v>
      </c>
      <c r="G86" s="5">
        <v>63</v>
      </c>
      <c r="H86" s="6">
        <v>2.2000000000000002</v>
      </c>
      <c r="I86" s="5">
        <f t="shared" si="3"/>
        <v>3793.599999999999</v>
      </c>
      <c r="J86" s="10">
        <v>1.06</v>
      </c>
      <c r="K86" s="8"/>
      <c r="L86" s="8"/>
    </row>
    <row r="87" spans="2:12">
      <c r="B87" s="6">
        <f t="shared" si="2"/>
        <v>84</v>
      </c>
      <c r="C87" s="5" t="s">
        <v>1444</v>
      </c>
      <c r="D87" s="5" t="s">
        <v>1445</v>
      </c>
      <c r="E87" s="5"/>
      <c r="F87" s="5"/>
      <c r="G87" s="5">
        <v>63</v>
      </c>
      <c r="H87" s="6">
        <v>20.399999999999999</v>
      </c>
      <c r="I87" s="5">
        <f t="shared" si="3"/>
        <v>3813.9999999999991</v>
      </c>
      <c r="J87" s="10">
        <v>0.98</v>
      </c>
      <c r="K87" s="8"/>
      <c r="L87" s="8"/>
    </row>
    <row r="88" spans="2:12">
      <c r="B88" s="6">
        <f t="shared" si="2"/>
        <v>85</v>
      </c>
      <c r="C88" s="5" t="s">
        <v>1446</v>
      </c>
      <c r="D88" s="5" t="s">
        <v>61</v>
      </c>
      <c r="E88" s="5" t="s">
        <v>199</v>
      </c>
      <c r="F88" s="5">
        <v>0.36</v>
      </c>
      <c r="G88" s="5">
        <v>63</v>
      </c>
      <c r="H88" s="6">
        <v>19.100000000000001</v>
      </c>
      <c r="I88" s="5">
        <f t="shared" si="3"/>
        <v>3833.099999999999</v>
      </c>
      <c r="J88" s="10">
        <v>1.06</v>
      </c>
      <c r="K88" s="8"/>
      <c r="L88" s="8"/>
    </row>
    <row r="89" spans="2:12">
      <c r="B89" s="6">
        <f t="shared" si="2"/>
        <v>86</v>
      </c>
      <c r="C89" s="5" t="s">
        <v>61</v>
      </c>
      <c r="D89" s="5" t="s">
        <v>1168</v>
      </c>
      <c r="E89" s="5" t="s">
        <v>199</v>
      </c>
      <c r="F89" s="5">
        <v>0.36</v>
      </c>
      <c r="G89" s="5">
        <v>63</v>
      </c>
      <c r="H89" s="6">
        <v>29.5</v>
      </c>
      <c r="I89" s="5">
        <f t="shared" si="3"/>
        <v>3862.599999999999</v>
      </c>
      <c r="J89" s="10">
        <v>1.06</v>
      </c>
      <c r="K89" s="8"/>
      <c r="L89" s="8"/>
    </row>
    <row r="90" spans="2:12">
      <c r="B90" s="6">
        <f t="shared" si="2"/>
        <v>87</v>
      </c>
      <c r="C90" s="5" t="s">
        <v>1168</v>
      </c>
      <c r="D90" s="5" t="s">
        <v>59</v>
      </c>
      <c r="E90" s="5" t="s">
        <v>199</v>
      </c>
      <c r="F90" s="5">
        <v>0.36</v>
      </c>
      <c r="G90" s="5">
        <v>63</v>
      </c>
      <c r="H90" s="6">
        <f>54.2+34</f>
        <v>88.2</v>
      </c>
      <c r="I90" s="5">
        <f t="shared" si="3"/>
        <v>3950.7999999999988</v>
      </c>
      <c r="J90" s="10">
        <v>1.06</v>
      </c>
      <c r="K90" s="8"/>
      <c r="L90" s="8"/>
    </row>
    <row r="91" spans="2:12">
      <c r="B91" s="6">
        <f t="shared" si="2"/>
        <v>88</v>
      </c>
      <c r="C91" s="5" t="s">
        <v>1168</v>
      </c>
      <c r="D91" s="5" t="s">
        <v>59</v>
      </c>
      <c r="E91" s="5"/>
      <c r="F91" s="5"/>
      <c r="G91" s="5">
        <v>63</v>
      </c>
      <c r="H91" s="6">
        <v>53.1</v>
      </c>
      <c r="I91" s="5">
        <f t="shared" si="3"/>
        <v>4003.8999999999987</v>
      </c>
      <c r="J91" s="10">
        <v>0.95</v>
      </c>
      <c r="K91" s="8"/>
      <c r="L91" s="8"/>
    </row>
    <row r="92" spans="2:12">
      <c r="B92" s="6">
        <f t="shared" si="2"/>
        <v>89</v>
      </c>
      <c r="C92" s="5" t="s">
        <v>1168</v>
      </c>
      <c r="D92" s="5" t="s">
        <v>732</v>
      </c>
      <c r="E92" s="5" t="s">
        <v>199</v>
      </c>
      <c r="F92" s="5">
        <v>0.36</v>
      </c>
      <c r="G92" s="5">
        <v>63</v>
      </c>
      <c r="H92" s="6">
        <v>25.4</v>
      </c>
      <c r="I92" s="5">
        <f t="shared" si="3"/>
        <v>4029.2999999999988</v>
      </c>
      <c r="J92" s="10">
        <v>0.95</v>
      </c>
      <c r="K92" s="8"/>
      <c r="L92" s="8"/>
    </row>
    <row r="93" spans="2:12">
      <c r="B93" s="6">
        <f t="shared" si="2"/>
        <v>90</v>
      </c>
      <c r="C93" s="5" t="s">
        <v>1168</v>
      </c>
      <c r="D93" s="5" t="s">
        <v>732</v>
      </c>
      <c r="E93" s="5"/>
      <c r="F93" s="5"/>
      <c r="G93" s="5">
        <v>63</v>
      </c>
      <c r="H93" s="53">
        <f>41.8+13.3</f>
        <v>55.099999999999994</v>
      </c>
      <c r="I93" s="5">
        <f t="shared" si="3"/>
        <v>4084.3999999999987</v>
      </c>
      <c r="J93" s="10">
        <v>1.06</v>
      </c>
      <c r="K93" s="8"/>
      <c r="L93" s="8"/>
    </row>
    <row r="94" spans="2:12">
      <c r="B94" s="6">
        <f t="shared" si="2"/>
        <v>91</v>
      </c>
      <c r="C94" s="5" t="s">
        <v>51</v>
      </c>
      <c r="D94" s="5" t="s">
        <v>732</v>
      </c>
      <c r="E94" s="5"/>
      <c r="F94" s="5"/>
      <c r="G94" s="5">
        <v>63</v>
      </c>
      <c r="H94" s="6">
        <v>33.9</v>
      </c>
      <c r="I94" s="5">
        <f t="shared" si="3"/>
        <v>4118.2999999999984</v>
      </c>
      <c r="J94" s="10">
        <v>1.06</v>
      </c>
      <c r="K94" s="8"/>
      <c r="L94" s="8"/>
    </row>
    <row r="95" spans="2:12">
      <c r="B95" s="6">
        <f t="shared" si="2"/>
        <v>92</v>
      </c>
      <c r="C95" s="5" t="s">
        <v>732</v>
      </c>
      <c r="D95" s="5" t="s">
        <v>50</v>
      </c>
      <c r="E95" s="5"/>
      <c r="F95" s="5"/>
      <c r="G95" s="5">
        <v>63</v>
      </c>
      <c r="H95" s="6">
        <v>34</v>
      </c>
      <c r="I95" s="5">
        <f t="shared" si="3"/>
        <v>4152.2999999999984</v>
      </c>
      <c r="J95" s="10">
        <v>1.06</v>
      </c>
      <c r="K95" s="8"/>
      <c r="L95" s="8"/>
    </row>
    <row r="96" spans="2:12">
      <c r="B96" s="6">
        <f t="shared" si="2"/>
        <v>93</v>
      </c>
      <c r="C96" s="5" t="s">
        <v>1237</v>
      </c>
      <c r="D96" s="5" t="s">
        <v>1238</v>
      </c>
      <c r="E96" s="5"/>
      <c r="F96" s="5"/>
      <c r="G96" s="5">
        <v>63</v>
      </c>
      <c r="H96" s="6">
        <v>126.4</v>
      </c>
      <c r="I96" s="5">
        <f t="shared" si="3"/>
        <v>4278.699999999998</v>
      </c>
      <c r="J96" s="55">
        <v>1.06</v>
      </c>
      <c r="K96" s="8"/>
      <c r="L96" s="8"/>
    </row>
    <row r="97" spans="2:12">
      <c r="B97" s="6">
        <f t="shared" si="2"/>
        <v>94</v>
      </c>
      <c r="C97" s="5" t="s">
        <v>1238</v>
      </c>
      <c r="D97" s="5" t="s">
        <v>57</v>
      </c>
      <c r="E97" s="5" t="s">
        <v>199</v>
      </c>
      <c r="F97" s="5">
        <v>0.36</v>
      </c>
      <c r="G97" s="5">
        <v>63</v>
      </c>
      <c r="H97" s="6">
        <f>40.2+96.4</f>
        <v>136.60000000000002</v>
      </c>
      <c r="I97" s="5">
        <f t="shared" si="3"/>
        <v>4415.2999999999984</v>
      </c>
      <c r="J97" s="55">
        <v>1.06</v>
      </c>
      <c r="K97" s="8"/>
      <c r="L97" s="8"/>
    </row>
    <row r="98" spans="2:12">
      <c r="B98" s="6">
        <f t="shared" si="2"/>
        <v>95</v>
      </c>
      <c r="C98" s="5" t="s">
        <v>1238</v>
      </c>
      <c r="D98" s="5" t="s">
        <v>57</v>
      </c>
      <c r="E98" s="5"/>
      <c r="F98" s="5"/>
      <c r="G98" s="5">
        <v>63</v>
      </c>
      <c r="H98" s="6">
        <v>57.1</v>
      </c>
      <c r="I98" s="5">
        <f t="shared" si="3"/>
        <v>4472.3999999999987</v>
      </c>
      <c r="J98" s="55">
        <v>1.06</v>
      </c>
      <c r="K98" s="8"/>
      <c r="L98" s="8"/>
    </row>
    <row r="99" spans="2:12">
      <c r="B99" s="6">
        <f t="shared" si="2"/>
        <v>96</v>
      </c>
      <c r="C99" s="5" t="s">
        <v>57</v>
      </c>
      <c r="D99" s="5" t="s">
        <v>930</v>
      </c>
      <c r="E99" s="5"/>
      <c r="F99" s="5"/>
      <c r="G99" s="5">
        <v>63</v>
      </c>
      <c r="H99" s="6">
        <v>55.2</v>
      </c>
      <c r="I99" s="5">
        <f t="shared" si="3"/>
        <v>4527.5999999999985</v>
      </c>
      <c r="J99" s="55">
        <v>1.04</v>
      </c>
      <c r="K99" s="8"/>
      <c r="L99" s="8"/>
    </row>
    <row r="100" spans="2:12">
      <c r="B100" s="6">
        <f t="shared" si="2"/>
        <v>97</v>
      </c>
      <c r="C100" s="5" t="s">
        <v>1238</v>
      </c>
      <c r="D100" s="5" t="s">
        <v>894</v>
      </c>
      <c r="E100" s="5"/>
      <c r="F100" s="5"/>
      <c r="G100" s="5">
        <v>63</v>
      </c>
      <c r="H100" s="6">
        <f>74.7+2.7</f>
        <v>77.400000000000006</v>
      </c>
      <c r="I100" s="5">
        <f t="shared" si="3"/>
        <v>4604.9999999999982</v>
      </c>
      <c r="J100" s="55">
        <v>1.05</v>
      </c>
      <c r="K100" s="8"/>
      <c r="L100" s="8"/>
    </row>
    <row r="101" spans="2:12">
      <c r="B101" s="6">
        <f t="shared" si="2"/>
        <v>98</v>
      </c>
      <c r="C101" s="5" t="s">
        <v>894</v>
      </c>
      <c r="D101" s="5" t="s">
        <v>1331</v>
      </c>
      <c r="E101" s="5" t="s">
        <v>199</v>
      </c>
      <c r="F101" s="5">
        <v>0.36</v>
      </c>
      <c r="G101" s="5">
        <v>63</v>
      </c>
      <c r="H101" s="6">
        <v>3</v>
      </c>
      <c r="I101" s="5">
        <f t="shared" si="3"/>
        <v>4607.9999999999982</v>
      </c>
      <c r="J101" s="5">
        <v>1.02</v>
      </c>
      <c r="K101" s="8"/>
      <c r="L101" s="8"/>
    </row>
    <row r="102" spans="2:12">
      <c r="B102" s="6">
        <f t="shared" si="2"/>
        <v>99</v>
      </c>
      <c r="C102" s="5" t="s">
        <v>894</v>
      </c>
      <c r="D102" s="5" t="s">
        <v>1331</v>
      </c>
      <c r="E102" s="5"/>
      <c r="F102" s="5"/>
      <c r="G102" s="5">
        <v>63</v>
      </c>
      <c r="H102" s="6">
        <f>115.7+2.5</f>
        <v>118.2</v>
      </c>
      <c r="I102" s="5">
        <f t="shared" si="3"/>
        <v>4726.199999999998</v>
      </c>
      <c r="J102" s="5">
        <v>1.02</v>
      </c>
      <c r="K102" s="8"/>
      <c r="L102" s="8"/>
    </row>
    <row r="103" spans="2:12">
      <c r="B103" s="6">
        <f t="shared" si="2"/>
        <v>100</v>
      </c>
      <c r="C103" s="5" t="s">
        <v>46</v>
      </c>
      <c r="D103" s="5" t="s">
        <v>43</v>
      </c>
      <c r="E103" s="5"/>
      <c r="F103" s="5"/>
      <c r="G103" s="5">
        <v>63</v>
      </c>
      <c r="H103" s="6">
        <v>128.80000000000001</v>
      </c>
      <c r="I103" s="5">
        <f t="shared" si="3"/>
        <v>4854.9999999999982</v>
      </c>
      <c r="J103" s="5">
        <v>1.05</v>
      </c>
      <c r="K103" s="8"/>
      <c r="L103" s="8"/>
    </row>
    <row r="104" spans="2:12">
      <c r="B104" s="6">
        <f t="shared" si="2"/>
        <v>101</v>
      </c>
      <c r="C104" s="5" t="s">
        <v>724</v>
      </c>
      <c r="D104" s="5" t="s">
        <v>42</v>
      </c>
      <c r="E104" s="5"/>
      <c r="F104" s="5"/>
      <c r="G104" s="5">
        <v>63</v>
      </c>
      <c r="H104" s="6">
        <f>160+6.3</f>
        <v>166.3</v>
      </c>
      <c r="I104" s="5">
        <f t="shared" si="3"/>
        <v>5021.2999999999984</v>
      </c>
      <c r="J104" s="5">
        <v>1.05</v>
      </c>
      <c r="K104" s="8"/>
      <c r="L104" s="8"/>
    </row>
    <row r="105" spans="2:12">
      <c r="B105" s="6">
        <f t="shared" si="2"/>
        <v>102</v>
      </c>
      <c r="C105" s="5" t="s">
        <v>1405</v>
      </c>
      <c r="D105" s="5" t="s">
        <v>42</v>
      </c>
      <c r="E105" s="5"/>
      <c r="F105" s="5"/>
      <c r="G105" s="5">
        <v>63</v>
      </c>
      <c r="H105" s="6">
        <f>156+5</f>
        <v>161</v>
      </c>
      <c r="I105" s="5">
        <f t="shared" si="3"/>
        <v>5182.2999999999984</v>
      </c>
      <c r="J105" s="10">
        <v>1.04</v>
      </c>
      <c r="K105" s="8"/>
      <c r="L105" s="8"/>
    </row>
    <row r="106" spans="2:12">
      <c r="B106" s="6">
        <f t="shared" si="2"/>
        <v>103</v>
      </c>
      <c r="C106" s="5" t="s">
        <v>113</v>
      </c>
      <c r="D106" s="5" t="s">
        <v>109</v>
      </c>
      <c r="E106" s="5"/>
      <c r="F106" s="5"/>
      <c r="G106" s="5">
        <v>63</v>
      </c>
      <c r="H106" s="6">
        <v>115.1</v>
      </c>
      <c r="I106" s="5">
        <f t="shared" si="3"/>
        <v>5297.3999999999987</v>
      </c>
      <c r="J106" s="10">
        <v>1.06</v>
      </c>
      <c r="K106" s="8"/>
      <c r="L106" s="8"/>
    </row>
    <row r="107" spans="2:12">
      <c r="B107" s="6">
        <f t="shared" si="2"/>
        <v>104</v>
      </c>
      <c r="C107" s="5" t="s">
        <v>113</v>
      </c>
      <c r="D107" s="5" t="s">
        <v>1447</v>
      </c>
      <c r="E107" s="5"/>
      <c r="F107" s="5"/>
      <c r="G107" s="5">
        <v>63</v>
      </c>
      <c r="H107" s="6">
        <v>169</v>
      </c>
      <c r="I107" s="5">
        <f t="shared" si="3"/>
        <v>5466.3999999999987</v>
      </c>
      <c r="J107" s="10">
        <v>1.03</v>
      </c>
      <c r="K107" s="8"/>
      <c r="L107" s="8"/>
    </row>
    <row r="108" spans="2:12">
      <c r="B108" s="6">
        <f t="shared" si="2"/>
        <v>105</v>
      </c>
      <c r="C108" s="5" t="s">
        <v>1447</v>
      </c>
      <c r="D108" s="5" t="s">
        <v>1448</v>
      </c>
      <c r="E108" s="5"/>
      <c r="F108" s="5"/>
      <c r="G108" s="5">
        <v>63</v>
      </c>
      <c r="H108" s="6">
        <v>27</v>
      </c>
      <c r="I108" s="5">
        <f t="shared" si="3"/>
        <v>5493.3999999999987</v>
      </c>
      <c r="J108" s="10">
        <v>1.03</v>
      </c>
      <c r="K108" s="8"/>
      <c r="L108" s="8"/>
    </row>
    <row r="109" spans="2:12">
      <c r="B109" s="6">
        <f t="shared" si="2"/>
        <v>106</v>
      </c>
      <c r="C109" s="5" t="s">
        <v>1447</v>
      </c>
      <c r="D109" s="5" t="s">
        <v>120</v>
      </c>
      <c r="E109" s="5"/>
      <c r="F109" s="5"/>
      <c r="G109" s="5">
        <v>63</v>
      </c>
      <c r="H109" s="6">
        <v>12.5</v>
      </c>
      <c r="I109" s="5">
        <f t="shared" si="3"/>
        <v>5505.8999999999987</v>
      </c>
      <c r="J109" s="18">
        <v>1.06</v>
      </c>
      <c r="K109" s="8"/>
      <c r="L109" s="8"/>
    </row>
    <row r="110" spans="2:12">
      <c r="B110" s="6">
        <f t="shared" si="2"/>
        <v>107</v>
      </c>
      <c r="C110" s="5" t="s">
        <v>120</v>
      </c>
      <c r="D110" s="5" t="s">
        <v>829</v>
      </c>
      <c r="E110" s="5"/>
      <c r="F110" s="5"/>
      <c r="G110" s="5">
        <v>63</v>
      </c>
      <c r="H110" s="6">
        <f>4.3+18</f>
        <v>22.3</v>
      </c>
      <c r="I110" s="5">
        <f t="shared" si="3"/>
        <v>5528.1999999999989</v>
      </c>
      <c r="J110" s="18">
        <v>1.04</v>
      </c>
      <c r="K110" s="8"/>
      <c r="L110" s="8"/>
    </row>
    <row r="111" spans="2:12">
      <c r="B111" s="6">
        <f t="shared" si="2"/>
        <v>108</v>
      </c>
      <c r="C111" s="5" t="s">
        <v>120</v>
      </c>
      <c r="D111" s="5" t="s">
        <v>829</v>
      </c>
      <c r="E111" s="5" t="s">
        <v>199</v>
      </c>
      <c r="F111" s="5">
        <v>0.36</v>
      </c>
      <c r="G111" s="5">
        <v>63</v>
      </c>
      <c r="H111" s="6">
        <f>16.2+4.4</f>
        <v>20.6</v>
      </c>
      <c r="I111" s="5">
        <f t="shared" si="3"/>
        <v>5548.7999999999993</v>
      </c>
      <c r="J111" s="18">
        <v>1.04</v>
      </c>
      <c r="K111" s="8"/>
      <c r="L111" s="8"/>
    </row>
    <row r="112" spans="2:12">
      <c r="B112" s="6">
        <f t="shared" si="2"/>
        <v>109</v>
      </c>
      <c r="C112" s="5" t="s">
        <v>120</v>
      </c>
      <c r="D112" s="5" t="s">
        <v>502</v>
      </c>
      <c r="E112" s="5"/>
      <c r="F112" s="5"/>
      <c r="G112" s="5">
        <v>63</v>
      </c>
      <c r="H112" s="6">
        <v>12</v>
      </c>
      <c r="I112" s="5">
        <f t="shared" si="3"/>
        <v>5560.7999999999993</v>
      </c>
      <c r="J112" s="18">
        <v>1.06</v>
      </c>
      <c r="K112" s="8"/>
      <c r="L112" s="8"/>
    </row>
    <row r="113" spans="2:12">
      <c r="B113" s="6">
        <f t="shared" si="2"/>
        <v>110</v>
      </c>
      <c r="C113" s="5" t="s">
        <v>120</v>
      </c>
      <c r="D113" s="5" t="s">
        <v>502</v>
      </c>
      <c r="E113" s="5" t="s">
        <v>764</v>
      </c>
      <c r="F113" s="5">
        <v>0.36</v>
      </c>
      <c r="G113" s="5">
        <v>63</v>
      </c>
      <c r="H113" s="6">
        <v>21</v>
      </c>
      <c r="I113" s="5">
        <f t="shared" si="3"/>
        <v>5581.7999999999993</v>
      </c>
      <c r="J113" s="18">
        <v>1.06</v>
      </c>
      <c r="K113" s="8"/>
      <c r="L113" s="8"/>
    </row>
    <row r="114" spans="2:12">
      <c r="B114" s="6">
        <f t="shared" si="2"/>
        <v>111</v>
      </c>
      <c r="C114" s="5" t="s">
        <v>120</v>
      </c>
      <c r="D114" s="5" t="s">
        <v>502</v>
      </c>
      <c r="E114" s="5" t="s">
        <v>199</v>
      </c>
      <c r="F114" s="5">
        <v>0.36</v>
      </c>
      <c r="G114" s="5">
        <v>63</v>
      </c>
      <c r="H114" s="6">
        <v>19.8</v>
      </c>
      <c r="I114" s="5">
        <f t="shared" si="3"/>
        <v>5601.5999999999995</v>
      </c>
      <c r="J114" s="18">
        <v>1.04</v>
      </c>
      <c r="K114" s="8"/>
      <c r="L114" s="8"/>
    </row>
    <row r="115" spans="2:12">
      <c r="B115" s="6">
        <f t="shared" si="2"/>
        <v>112</v>
      </c>
      <c r="C115" s="5" t="s">
        <v>120</v>
      </c>
      <c r="D115" s="5" t="s">
        <v>502</v>
      </c>
      <c r="E115" s="5"/>
      <c r="F115" s="5"/>
      <c r="G115" s="5">
        <v>63</v>
      </c>
      <c r="H115" s="6">
        <v>91</v>
      </c>
      <c r="I115" s="5">
        <f t="shared" si="3"/>
        <v>5692.5999999999995</v>
      </c>
      <c r="J115" s="18">
        <v>1.05</v>
      </c>
      <c r="K115" s="8"/>
      <c r="L115" s="8"/>
    </row>
    <row r="116" spans="2:12">
      <c r="B116" s="6">
        <f t="shared" si="2"/>
        <v>113</v>
      </c>
      <c r="C116" s="5" t="s">
        <v>836</v>
      </c>
      <c r="D116" s="5" t="s">
        <v>729</v>
      </c>
      <c r="E116" s="5"/>
      <c r="F116" s="5"/>
      <c r="G116" s="5">
        <v>63</v>
      </c>
      <c r="H116" s="6">
        <v>13.2</v>
      </c>
      <c r="I116" s="5">
        <f t="shared" si="3"/>
        <v>5705.7999999999993</v>
      </c>
      <c r="J116" s="18">
        <v>1.06</v>
      </c>
      <c r="K116" s="8"/>
      <c r="L116" s="8"/>
    </row>
    <row r="117" spans="2:12">
      <c r="B117" s="6">
        <f t="shared" si="2"/>
        <v>114</v>
      </c>
      <c r="C117" s="5" t="s">
        <v>836</v>
      </c>
      <c r="D117" s="5" t="s">
        <v>729</v>
      </c>
      <c r="E117" s="5" t="s">
        <v>199</v>
      </c>
      <c r="F117" s="5">
        <v>0.36</v>
      </c>
      <c r="G117" s="5">
        <v>63</v>
      </c>
      <c r="H117" s="6">
        <v>32.200000000000003</v>
      </c>
      <c r="I117" s="5">
        <f t="shared" si="3"/>
        <v>5737.9999999999991</v>
      </c>
      <c r="J117" s="18">
        <v>1.04</v>
      </c>
      <c r="K117" s="8"/>
      <c r="L117" s="8"/>
    </row>
    <row r="118" spans="2:12">
      <c r="B118" s="6">
        <f t="shared" si="2"/>
        <v>115</v>
      </c>
      <c r="C118" s="5" t="s">
        <v>729</v>
      </c>
      <c r="D118" s="5" t="s">
        <v>502</v>
      </c>
      <c r="E118" s="5" t="s">
        <v>199</v>
      </c>
      <c r="F118" s="5">
        <v>0.36</v>
      </c>
      <c r="G118" s="5">
        <v>63</v>
      </c>
      <c r="H118" s="6">
        <v>30.5</v>
      </c>
      <c r="I118" s="5">
        <f t="shared" si="3"/>
        <v>5768.4999999999991</v>
      </c>
      <c r="J118" s="18">
        <v>1.04</v>
      </c>
      <c r="K118" s="8"/>
      <c r="L118" s="8"/>
    </row>
    <row r="119" spans="2:12">
      <c r="B119" s="6">
        <f t="shared" si="2"/>
        <v>116</v>
      </c>
      <c r="C119" s="5" t="s">
        <v>729</v>
      </c>
      <c r="D119" s="5" t="s">
        <v>1449</v>
      </c>
      <c r="E119" s="5" t="s">
        <v>199</v>
      </c>
      <c r="F119" s="5">
        <v>0.36</v>
      </c>
      <c r="G119" s="5">
        <v>63</v>
      </c>
      <c r="H119" s="6">
        <v>11.6</v>
      </c>
      <c r="I119" s="5">
        <f t="shared" si="3"/>
        <v>5780.0999999999995</v>
      </c>
      <c r="J119" s="55">
        <v>1.06</v>
      </c>
      <c r="K119" s="8"/>
      <c r="L119" s="8"/>
    </row>
    <row r="120" spans="2:12">
      <c r="B120" s="6">
        <f t="shared" si="2"/>
        <v>117</v>
      </c>
      <c r="C120" s="5" t="s">
        <v>729</v>
      </c>
      <c r="D120" s="5" t="s">
        <v>1449</v>
      </c>
      <c r="E120" s="5"/>
      <c r="F120" s="5"/>
      <c r="G120" s="5">
        <v>63</v>
      </c>
      <c r="H120" s="6">
        <v>52.5</v>
      </c>
      <c r="I120" s="5">
        <f t="shared" si="3"/>
        <v>5832.5999999999995</v>
      </c>
      <c r="J120" s="10">
        <v>1.04</v>
      </c>
      <c r="K120" s="8"/>
      <c r="L120" s="8"/>
    </row>
    <row r="121" spans="2:12">
      <c r="B121" s="6">
        <f t="shared" si="2"/>
        <v>118</v>
      </c>
      <c r="C121" s="5" t="s">
        <v>1449</v>
      </c>
      <c r="D121" s="5" t="s">
        <v>1450</v>
      </c>
      <c r="E121" s="5"/>
      <c r="F121" s="5"/>
      <c r="G121" s="5">
        <v>63</v>
      </c>
      <c r="H121" s="6">
        <v>13.6</v>
      </c>
      <c r="I121" s="5">
        <f t="shared" si="3"/>
        <v>5846.2</v>
      </c>
      <c r="J121" s="55">
        <v>1.01</v>
      </c>
      <c r="K121" s="8"/>
      <c r="L121" s="8"/>
    </row>
    <row r="122" spans="2:12">
      <c r="B122" s="6">
        <f t="shared" si="2"/>
        <v>119</v>
      </c>
      <c r="C122" s="5" t="s">
        <v>1449</v>
      </c>
      <c r="D122" s="5" t="s">
        <v>153</v>
      </c>
      <c r="E122" s="5"/>
      <c r="F122" s="5"/>
      <c r="G122" s="5">
        <v>63</v>
      </c>
      <c r="H122" s="6">
        <v>46.2</v>
      </c>
      <c r="I122" s="5">
        <f t="shared" si="3"/>
        <v>5892.4</v>
      </c>
      <c r="J122" s="18">
        <v>1.03</v>
      </c>
      <c r="K122" s="8"/>
      <c r="L122" s="8"/>
    </row>
    <row r="123" spans="2:12">
      <c r="B123" s="6">
        <f t="shared" si="2"/>
        <v>120</v>
      </c>
      <c r="C123" s="5" t="s">
        <v>351</v>
      </c>
      <c r="D123" s="5" t="s">
        <v>269</v>
      </c>
      <c r="E123" s="5"/>
      <c r="F123" s="5"/>
      <c r="G123" s="5">
        <v>63</v>
      </c>
      <c r="H123" s="6">
        <v>29.5</v>
      </c>
      <c r="I123" s="5">
        <f t="shared" si="3"/>
        <v>5921.9</v>
      </c>
      <c r="J123" s="18">
        <v>1.06</v>
      </c>
      <c r="K123" s="8"/>
      <c r="L123" s="8"/>
    </row>
    <row r="124" spans="2:12">
      <c r="B124" s="6">
        <f t="shared" si="2"/>
        <v>121</v>
      </c>
      <c r="C124" s="5" t="s">
        <v>286</v>
      </c>
      <c r="D124" s="5" t="s">
        <v>261</v>
      </c>
      <c r="E124" s="5"/>
      <c r="F124" s="5"/>
      <c r="G124" s="5">
        <v>63</v>
      </c>
      <c r="H124" s="6">
        <v>35</v>
      </c>
      <c r="I124" s="5">
        <f t="shared" si="3"/>
        <v>5956.9</v>
      </c>
      <c r="J124" s="18">
        <v>1.06</v>
      </c>
      <c r="K124" s="8"/>
      <c r="L124" s="8"/>
    </row>
    <row r="125" spans="2:12">
      <c r="B125" s="6">
        <f t="shared" si="2"/>
        <v>122</v>
      </c>
      <c r="C125" s="5" t="s">
        <v>1451</v>
      </c>
      <c r="D125" s="5" t="s">
        <v>1452</v>
      </c>
      <c r="E125" s="5"/>
      <c r="F125" s="5"/>
      <c r="G125" s="5">
        <v>63</v>
      </c>
      <c r="H125" s="6">
        <v>63.8</v>
      </c>
      <c r="I125" s="5">
        <f t="shared" si="3"/>
        <v>6020.7</v>
      </c>
      <c r="J125" s="18">
        <v>1.06</v>
      </c>
      <c r="K125" s="8"/>
      <c r="L125" s="8"/>
    </row>
    <row r="126" spans="2:12">
      <c r="B126" s="6">
        <f t="shared" si="2"/>
        <v>123</v>
      </c>
      <c r="C126" s="5" t="s">
        <v>43</v>
      </c>
      <c r="D126" s="5" t="s">
        <v>724</v>
      </c>
      <c r="E126" s="8"/>
      <c r="F126" s="5"/>
      <c r="G126" s="5">
        <v>75</v>
      </c>
      <c r="H126" s="6">
        <f>128.3+3.8+5</f>
        <v>137.10000000000002</v>
      </c>
      <c r="I126" s="5">
        <f t="shared" si="3"/>
        <v>6157.8</v>
      </c>
      <c r="J126" s="18">
        <v>1.05</v>
      </c>
      <c r="K126" s="8"/>
      <c r="L126" s="8"/>
    </row>
    <row r="127" spans="2:12">
      <c r="B127" s="6">
        <f t="shared" si="2"/>
        <v>124</v>
      </c>
      <c r="C127" s="5" t="s">
        <v>43</v>
      </c>
      <c r="D127" s="5" t="s">
        <v>1405</v>
      </c>
      <c r="E127" s="8"/>
      <c r="F127" s="5"/>
      <c r="G127" s="5">
        <v>75</v>
      </c>
      <c r="H127" s="6">
        <f>220+6.5</f>
        <v>226.5</v>
      </c>
      <c r="I127" s="5">
        <f t="shared" si="3"/>
        <v>6384.3</v>
      </c>
      <c r="J127" s="18">
        <v>1.05</v>
      </c>
      <c r="K127" s="8"/>
      <c r="L127" s="8"/>
    </row>
    <row r="128" spans="2:12">
      <c r="B128" s="6">
        <f t="shared" si="2"/>
        <v>125</v>
      </c>
      <c r="C128" s="5" t="s">
        <v>1405</v>
      </c>
      <c r="D128" s="5" t="s">
        <v>34</v>
      </c>
      <c r="E128" s="8"/>
      <c r="F128" s="5"/>
      <c r="G128" s="5">
        <v>75</v>
      </c>
      <c r="H128" s="6">
        <v>162.30000000000001</v>
      </c>
      <c r="I128" s="5">
        <f t="shared" si="3"/>
        <v>6546.6</v>
      </c>
      <c r="J128" s="18">
        <v>1.05</v>
      </c>
      <c r="K128" s="8"/>
      <c r="L128" s="8"/>
    </row>
    <row r="129" spans="2:12">
      <c r="B129" s="6">
        <f t="shared" si="2"/>
        <v>126</v>
      </c>
      <c r="C129" s="5" t="s">
        <v>894</v>
      </c>
      <c r="D129" s="5" t="s">
        <v>724</v>
      </c>
      <c r="E129" s="8"/>
      <c r="F129" s="5"/>
      <c r="G129" s="5">
        <v>75</v>
      </c>
      <c r="H129" s="6">
        <v>3.6</v>
      </c>
      <c r="I129" s="5">
        <f t="shared" si="3"/>
        <v>6550.2000000000007</v>
      </c>
      <c r="J129" s="10"/>
      <c r="K129" s="5" t="s">
        <v>304</v>
      </c>
      <c r="L129" s="8"/>
    </row>
    <row r="130" spans="2:12">
      <c r="B130" s="6">
        <f t="shared" si="2"/>
        <v>127</v>
      </c>
      <c r="C130" s="5" t="s">
        <v>894</v>
      </c>
      <c r="D130" s="5" t="s">
        <v>724</v>
      </c>
      <c r="E130" s="8"/>
      <c r="F130" s="5"/>
      <c r="G130" s="5">
        <v>75</v>
      </c>
      <c r="H130" s="6">
        <f>122.5+3.4+3</f>
        <v>128.9</v>
      </c>
      <c r="I130" s="5">
        <f t="shared" si="3"/>
        <v>6679.1</v>
      </c>
      <c r="J130" s="10">
        <v>1.06</v>
      </c>
      <c r="K130" s="8"/>
      <c r="L130" s="8"/>
    </row>
    <row r="131" spans="2:12">
      <c r="B131" s="6">
        <f t="shared" si="2"/>
        <v>128</v>
      </c>
      <c r="C131" s="5" t="s">
        <v>894</v>
      </c>
      <c r="D131" s="5" t="s">
        <v>724</v>
      </c>
      <c r="E131" s="8"/>
      <c r="F131" s="5"/>
      <c r="G131" s="5">
        <v>75</v>
      </c>
      <c r="H131" s="6">
        <v>728</v>
      </c>
      <c r="I131" s="5">
        <f t="shared" si="3"/>
        <v>7407.1</v>
      </c>
      <c r="J131" s="10">
        <v>1.06</v>
      </c>
      <c r="K131" s="8"/>
      <c r="L131" s="8"/>
    </row>
    <row r="132" spans="2:12">
      <c r="B132" s="6">
        <f t="shared" si="2"/>
        <v>129</v>
      </c>
      <c r="C132" s="5" t="s">
        <v>34</v>
      </c>
      <c r="D132" s="5" t="s">
        <v>163</v>
      </c>
      <c r="E132" s="5" t="s">
        <v>193</v>
      </c>
      <c r="F132" s="5">
        <v>0.375</v>
      </c>
      <c r="G132" s="5">
        <v>75</v>
      </c>
      <c r="H132" s="6">
        <v>3.4</v>
      </c>
      <c r="I132" s="5">
        <f t="shared" si="3"/>
        <v>7410.5</v>
      </c>
      <c r="J132" s="10">
        <v>1.06</v>
      </c>
      <c r="K132" s="8"/>
      <c r="L132" s="8"/>
    </row>
    <row r="133" spans="2:12">
      <c r="B133" s="6">
        <f t="shared" si="2"/>
        <v>130</v>
      </c>
      <c r="C133" s="5" t="s">
        <v>34</v>
      </c>
      <c r="D133" s="5" t="s">
        <v>163</v>
      </c>
      <c r="E133" s="8"/>
      <c r="F133" s="5"/>
      <c r="G133" s="5">
        <v>75</v>
      </c>
      <c r="H133" s="6">
        <v>8.3000000000000007</v>
      </c>
      <c r="I133" s="5">
        <f t="shared" si="3"/>
        <v>7418.8</v>
      </c>
      <c r="J133" s="10"/>
      <c r="K133" s="5" t="s">
        <v>304</v>
      </c>
      <c r="L133" s="8"/>
    </row>
    <row r="134" spans="2:12">
      <c r="B134" s="6">
        <f t="shared" ref="B134" si="4">+B133+1</f>
        <v>131</v>
      </c>
      <c r="C134" s="5" t="s">
        <v>34</v>
      </c>
      <c r="D134" s="5" t="s">
        <v>163</v>
      </c>
      <c r="E134" s="8"/>
      <c r="F134" s="5"/>
      <c r="G134" s="5">
        <v>75</v>
      </c>
      <c r="H134" s="6">
        <v>265.60000000000002</v>
      </c>
      <c r="I134" s="5">
        <f t="shared" ref="I134:I153" si="5">+I133+H134</f>
        <v>7684.4000000000005</v>
      </c>
      <c r="J134" s="10">
        <v>1.06</v>
      </c>
      <c r="K134" s="8"/>
      <c r="L134" s="8"/>
    </row>
    <row r="135" spans="2:12">
      <c r="B135" s="6">
        <f t="shared" ref="B135:B153" si="6">+B134+1</f>
        <v>132</v>
      </c>
      <c r="C135" s="5" t="s">
        <v>163</v>
      </c>
      <c r="D135" s="5" t="s">
        <v>113</v>
      </c>
      <c r="E135" s="8"/>
      <c r="F135" s="5"/>
      <c r="G135" s="5">
        <v>75</v>
      </c>
      <c r="H135" s="6">
        <v>156.19999999999999</v>
      </c>
      <c r="I135" s="5">
        <f t="shared" si="5"/>
        <v>7840.6</v>
      </c>
      <c r="J135" s="5">
        <v>1.02</v>
      </c>
      <c r="K135" s="8"/>
      <c r="L135" s="8"/>
    </row>
    <row r="136" spans="2:12">
      <c r="B136" s="6">
        <f t="shared" si="6"/>
        <v>133</v>
      </c>
      <c r="C136" s="5" t="s">
        <v>153</v>
      </c>
      <c r="D136" s="5" t="s">
        <v>122</v>
      </c>
      <c r="E136" s="8"/>
      <c r="F136" s="5"/>
      <c r="G136" s="5">
        <v>75</v>
      </c>
      <c r="H136" s="6">
        <v>111</v>
      </c>
      <c r="I136" s="5">
        <f t="shared" si="5"/>
        <v>7951.6</v>
      </c>
      <c r="J136" s="5">
        <v>1.02</v>
      </c>
      <c r="K136" s="8"/>
      <c r="L136" s="8"/>
    </row>
    <row r="137" spans="2:12">
      <c r="B137" s="6">
        <f t="shared" si="6"/>
        <v>134</v>
      </c>
      <c r="C137" s="5" t="s">
        <v>153</v>
      </c>
      <c r="D137" s="5" t="s">
        <v>122</v>
      </c>
      <c r="E137" s="5" t="s">
        <v>193</v>
      </c>
      <c r="F137" s="5">
        <v>0.375</v>
      </c>
      <c r="G137" s="5">
        <v>75</v>
      </c>
      <c r="H137" s="6">
        <v>3.8</v>
      </c>
      <c r="I137" s="5">
        <f t="shared" si="5"/>
        <v>7955.4000000000005</v>
      </c>
      <c r="J137" s="5">
        <v>1.02</v>
      </c>
      <c r="K137" s="8"/>
      <c r="L137" s="8"/>
    </row>
    <row r="138" spans="2:12">
      <c r="B138" s="6">
        <f t="shared" si="6"/>
        <v>135</v>
      </c>
      <c r="C138" s="5" t="s">
        <v>122</v>
      </c>
      <c r="D138" s="5" t="s">
        <v>163</v>
      </c>
      <c r="E138" s="5"/>
      <c r="F138" s="5"/>
      <c r="G138" s="5">
        <v>75</v>
      </c>
      <c r="H138" s="6">
        <v>241.9</v>
      </c>
      <c r="I138" s="5">
        <f t="shared" si="5"/>
        <v>8197.3000000000011</v>
      </c>
      <c r="J138" s="5">
        <v>1.02</v>
      </c>
      <c r="K138" s="8"/>
      <c r="L138" s="8"/>
    </row>
    <row r="139" spans="2:12">
      <c r="B139" s="6">
        <f t="shared" si="6"/>
        <v>136</v>
      </c>
      <c r="C139" s="5" t="s">
        <v>122</v>
      </c>
      <c r="D139" s="5" t="s">
        <v>163</v>
      </c>
      <c r="E139" s="5" t="s">
        <v>193</v>
      </c>
      <c r="F139" s="5">
        <v>0.375</v>
      </c>
      <c r="G139" s="5">
        <v>75</v>
      </c>
      <c r="H139" s="6">
        <v>3</v>
      </c>
      <c r="I139" s="5">
        <f t="shared" si="5"/>
        <v>8200.3000000000011</v>
      </c>
      <c r="J139" s="5">
        <v>1.04</v>
      </c>
      <c r="K139" s="8"/>
      <c r="L139" s="8"/>
    </row>
    <row r="140" spans="2:12">
      <c r="B140" s="6">
        <f t="shared" si="6"/>
        <v>137</v>
      </c>
      <c r="C140" s="5" t="s">
        <v>122</v>
      </c>
      <c r="D140" s="5" t="s">
        <v>1453</v>
      </c>
      <c r="E140" s="8"/>
      <c r="F140" s="5"/>
      <c r="G140" s="6">
        <v>75</v>
      </c>
      <c r="H140" s="6">
        <v>55.5</v>
      </c>
      <c r="I140" s="5">
        <f t="shared" si="5"/>
        <v>8255.8000000000011</v>
      </c>
      <c r="J140" s="5">
        <v>1.06</v>
      </c>
      <c r="K140" s="8"/>
      <c r="L140" s="8"/>
    </row>
    <row r="141" spans="2:12">
      <c r="B141" s="6">
        <f t="shared" si="6"/>
        <v>138</v>
      </c>
      <c r="C141" s="5" t="s">
        <v>118</v>
      </c>
      <c r="D141" s="5" t="s">
        <v>1453</v>
      </c>
      <c r="E141" s="8"/>
      <c r="F141" s="5"/>
      <c r="G141" s="5">
        <v>75</v>
      </c>
      <c r="H141" s="6">
        <v>101.9</v>
      </c>
      <c r="I141" s="5">
        <f t="shared" si="5"/>
        <v>8357.7000000000007</v>
      </c>
      <c r="J141" s="5">
        <v>1.04</v>
      </c>
      <c r="K141" s="8"/>
      <c r="L141" s="8"/>
    </row>
    <row r="142" spans="2:12">
      <c r="B142" s="6">
        <f t="shared" si="6"/>
        <v>139</v>
      </c>
      <c r="C142" s="5" t="s">
        <v>1454</v>
      </c>
      <c r="D142" s="5" t="s">
        <v>1455</v>
      </c>
      <c r="E142" s="8"/>
      <c r="F142" s="5"/>
      <c r="G142" s="5">
        <v>75</v>
      </c>
      <c r="H142" s="6">
        <v>8.6999999999999993</v>
      </c>
      <c r="I142" s="5">
        <f t="shared" si="5"/>
        <v>8366.4000000000015</v>
      </c>
      <c r="J142" s="5">
        <v>1.04</v>
      </c>
      <c r="K142" s="8"/>
      <c r="L142" s="8"/>
    </row>
    <row r="143" spans="2:12">
      <c r="B143" s="6">
        <f t="shared" si="6"/>
        <v>140</v>
      </c>
      <c r="C143" s="5" t="s">
        <v>140</v>
      </c>
      <c r="D143" s="5" t="s">
        <v>1456</v>
      </c>
      <c r="E143" s="8"/>
      <c r="F143" s="5"/>
      <c r="G143" s="5">
        <v>75</v>
      </c>
      <c r="H143" s="6">
        <f>106.6+80.8</f>
        <v>187.39999999999998</v>
      </c>
      <c r="I143" s="5">
        <f t="shared" si="5"/>
        <v>8553.8000000000011</v>
      </c>
      <c r="J143" s="10">
        <v>1.04</v>
      </c>
      <c r="K143" s="8"/>
      <c r="L143" s="8"/>
    </row>
    <row r="144" spans="2:12">
      <c r="B144" s="6">
        <f t="shared" si="6"/>
        <v>141</v>
      </c>
      <c r="C144" s="5" t="s">
        <v>1457</v>
      </c>
      <c r="D144" s="5" t="s">
        <v>413</v>
      </c>
      <c r="E144" s="5" t="s">
        <v>199</v>
      </c>
      <c r="F144" s="5">
        <v>0.375</v>
      </c>
      <c r="G144" s="5">
        <v>75</v>
      </c>
      <c r="H144" s="6">
        <f>5.7-0.6</f>
        <v>5.1000000000000005</v>
      </c>
      <c r="I144" s="5">
        <f t="shared" si="5"/>
        <v>8558.9000000000015</v>
      </c>
      <c r="J144" s="10">
        <v>1.06</v>
      </c>
      <c r="K144" s="8"/>
      <c r="L144" s="8"/>
    </row>
    <row r="145" spans="2:12">
      <c r="B145" s="6">
        <f t="shared" si="6"/>
        <v>142</v>
      </c>
      <c r="C145" s="5" t="s">
        <v>1457</v>
      </c>
      <c r="D145" s="5" t="s">
        <v>413</v>
      </c>
      <c r="E145" s="8"/>
      <c r="F145" s="5"/>
      <c r="G145" s="5">
        <v>75</v>
      </c>
      <c r="H145" s="6">
        <v>300.60000000000002</v>
      </c>
      <c r="I145" s="5">
        <f t="shared" si="5"/>
        <v>8859.5000000000018</v>
      </c>
      <c r="J145" s="10">
        <v>1.06</v>
      </c>
      <c r="K145" s="8"/>
      <c r="L145" s="8"/>
    </row>
    <row r="146" spans="2:12">
      <c r="B146" s="6">
        <f t="shared" si="6"/>
        <v>143</v>
      </c>
      <c r="C146" s="5" t="s">
        <v>115</v>
      </c>
      <c r="D146" s="5" t="s">
        <v>141</v>
      </c>
      <c r="E146" s="8"/>
      <c r="F146" s="5"/>
      <c r="G146" s="5">
        <v>75</v>
      </c>
      <c r="H146" s="6">
        <v>34.799999999999997</v>
      </c>
      <c r="I146" s="5">
        <f t="shared" si="5"/>
        <v>8894.3000000000011</v>
      </c>
      <c r="J146" s="10">
        <v>1.06</v>
      </c>
      <c r="K146" s="8"/>
      <c r="L146" s="8"/>
    </row>
    <row r="147" spans="2:12">
      <c r="B147" s="6">
        <f t="shared" si="6"/>
        <v>144</v>
      </c>
      <c r="C147" s="5" t="s">
        <v>256</v>
      </c>
      <c r="D147" s="5" t="s">
        <v>413</v>
      </c>
      <c r="E147" s="8"/>
      <c r="F147" s="5"/>
      <c r="G147" s="5">
        <v>75</v>
      </c>
      <c r="H147" s="53">
        <v>3</v>
      </c>
      <c r="I147" s="5">
        <f t="shared" si="5"/>
        <v>8897.3000000000011</v>
      </c>
      <c r="J147" s="10">
        <v>1.06</v>
      </c>
      <c r="K147" s="8"/>
      <c r="L147" s="8"/>
    </row>
    <row r="148" spans="2:12">
      <c r="B148" s="6">
        <f t="shared" si="6"/>
        <v>145</v>
      </c>
      <c r="C148" s="5" t="s">
        <v>256</v>
      </c>
      <c r="D148" s="5" t="s">
        <v>413</v>
      </c>
      <c r="E148" s="5" t="s">
        <v>193</v>
      </c>
      <c r="F148" s="5">
        <v>0.375</v>
      </c>
      <c r="G148" s="5">
        <v>75</v>
      </c>
      <c r="H148" s="53">
        <v>3.6</v>
      </c>
      <c r="I148" s="5">
        <f t="shared" si="5"/>
        <v>8900.9000000000015</v>
      </c>
      <c r="J148" s="10">
        <v>1.06</v>
      </c>
      <c r="K148" s="8"/>
      <c r="L148" s="8"/>
    </row>
    <row r="149" spans="2:12">
      <c r="B149" s="6">
        <f t="shared" si="6"/>
        <v>146</v>
      </c>
      <c r="C149" s="5" t="s">
        <v>140</v>
      </c>
      <c r="D149" s="5" t="s">
        <v>1456</v>
      </c>
      <c r="E149" s="8"/>
      <c r="F149" s="5"/>
      <c r="G149" s="5">
        <v>75</v>
      </c>
      <c r="H149" s="6">
        <v>5.0999999999999996</v>
      </c>
      <c r="I149" s="5">
        <f t="shared" si="5"/>
        <v>8906.0000000000018</v>
      </c>
      <c r="J149" s="10"/>
      <c r="K149" s="5" t="s">
        <v>304</v>
      </c>
      <c r="L149" s="8"/>
    </row>
    <row r="150" spans="2:12">
      <c r="B150" s="6">
        <f t="shared" si="6"/>
        <v>147</v>
      </c>
      <c r="C150" s="5" t="s">
        <v>122</v>
      </c>
      <c r="D150" s="5" t="s">
        <v>115</v>
      </c>
      <c r="E150" s="5"/>
      <c r="F150" s="5"/>
      <c r="G150" s="5">
        <v>90</v>
      </c>
      <c r="H150" s="6">
        <v>13.1</v>
      </c>
      <c r="I150" s="5">
        <f t="shared" si="5"/>
        <v>8919.1000000000022</v>
      </c>
      <c r="J150" s="10">
        <v>1.04</v>
      </c>
      <c r="K150" s="8"/>
      <c r="L150" s="8"/>
    </row>
    <row r="151" spans="2:12">
      <c r="B151" s="6">
        <f t="shared" si="6"/>
        <v>148</v>
      </c>
      <c r="C151" s="5" t="s">
        <v>115</v>
      </c>
      <c r="D151" s="5" t="s">
        <v>843</v>
      </c>
      <c r="E151" s="5"/>
      <c r="F151" s="5"/>
      <c r="G151" s="5">
        <v>110</v>
      </c>
      <c r="H151" s="6">
        <v>15.6</v>
      </c>
      <c r="I151" s="5">
        <f t="shared" si="5"/>
        <v>8934.7000000000025</v>
      </c>
      <c r="J151" s="18">
        <v>1.06</v>
      </c>
      <c r="K151" s="8"/>
      <c r="L151" s="8"/>
    </row>
    <row r="152" spans="2:12">
      <c r="B152" s="6">
        <f t="shared" si="6"/>
        <v>149</v>
      </c>
      <c r="C152" s="5" t="s">
        <v>843</v>
      </c>
      <c r="D152" s="5" t="s">
        <v>140</v>
      </c>
      <c r="E152" s="5"/>
      <c r="F152" s="5"/>
      <c r="G152" s="5">
        <v>110</v>
      </c>
      <c r="H152" s="6">
        <v>68.900000000000006</v>
      </c>
      <c r="I152" s="5">
        <f t="shared" si="5"/>
        <v>9003.6000000000022</v>
      </c>
      <c r="J152" s="18">
        <v>1.06</v>
      </c>
      <c r="K152" s="8"/>
      <c r="L152" s="8"/>
    </row>
    <row r="153" spans="2:12">
      <c r="B153" s="6">
        <f t="shared" si="6"/>
        <v>150</v>
      </c>
      <c r="C153" s="5" t="s">
        <v>821</v>
      </c>
      <c r="D153" s="5" t="s">
        <v>140</v>
      </c>
      <c r="E153" s="5"/>
      <c r="F153" s="5"/>
      <c r="G153" s="5">
        <v>125</v>
      </c>
      <c r="H153" s="6">
        <v>29.6</v>
      </c>
      <c r="I153" s="5">
        <f t="shared" si="5"/>
        <v>9033.2000000000025</v>
      </c>
      <c r="J153" s="18">
        <v>1.04</v>
      </c>
      <c r="K153" s="8"/>
      <c r="L153" s="8"/>
    </row>
    <row r="154" spans="2:12">
      <c r="B154" s="8"/>
      <c r="C154" s="8"/>
      <c r="D154" s="8"/>
      <c r="E154" s="8"/>
      <c r="F154" s="8"/>
      <c r="G154" s="8"/>
      <c r="H154" s="8"/>
      <c r="I154" s="8"/>
      <c r="J154" s="8"/>
      <c r="K154" s="8"/>
      <c r="L154" s="8"/>
    </row>
    <row r="155" spans="2:12">
      <c r="B155" s="8"/>
      <c r="C155" s="8"/>
      <c r="D155" s="8"/>
      <c r="E155" s="8"/>
      <c r="F155" s="8"/>
      <c r="G155" s="8"/>
      <c r="H155" s="5"/>
      <c r="I155" s="8"/>
      <c r="J155" s="18"/>
      <c r="K155" s="8"/>
      <c r="L155" s="8"/>
    </row>
    <row r="156" spans="2:12">
      <c r="B156" s="8"/>
      <c r="C156" s="8"/>
      <c r="D156" s="5">
        <v>63</v>
      </c>
      <c r="E156" s="5">
        <v>75</v>
      </c>
      <c r="F156" s="5">
        <v>90</v>
      </c>
      <c r="G156" s="10">
        <v>110</v>
      </c>
      <c r="H156" s="5">
        <v>125</v>
      </c>
      <c r="I156" s="8"/>
      <c r="J156" s="18"/>
      <c r="K156" s="8"/>
      <c r="L156" s="8"/>
    </row>
    <row r="157" spans="2:12">
      <c r="B157" s="8"/>
      <c r="C157" s="8"/>
      <c r="D157" s="5">
        <f>+SUMIF($G$4:$G$152,D156,$H$4:$H$152)</f>
        <v>6020.7</v>
      </c>
      <c r="E157" s="5">
        <f>+SUMIF($G$4:$G$152,E156,$H$4:$H$152)</f>
        <v>2885.3</v>
      </c>
      <c r="F157" s="5">
        <f>+SUMIF($G$4:$G$152,F156,$H$4:$H$152)</f>
        <v>13.1</v>
      </c>
      <c r="G157" s="10">
        <f>+SUMIF($G$4:$G$152,G156,$H$4:$H$152)</f>
        <v>84.5</v>
      </c>
      <c r="H157" s="10">
        <f>+SUMIF($G$4:$G$153,H156,$H$4:$H$153)</f>
        <v>29.6</v>
      </c>
      <c r="I157" s="5">
        <f>+SUM(D157:H157)-(H149+H133+H129+H21)</f>
        <v>9013.1</v>
      </c>
      <c r="J157" s="5"/>
      <c r="K157" s="8"/>
      <c r="L157" s="8"/>
    </row>
    <row r="158" spans="2:12">
      <c r="B158" s="8"/>
      <c r="C158" s="8"/>
      <c r="D158" s="56">
        <v>7371</v>
      </c>
      <c r="E158" s="56">
        <v>2841</v>
      </c>
      <c r="F158" s="56">
        <v>21</v>
      </c>
      <c r="G158" s="57">
        <v>63</v>
      </c>
      <c r="H158" s="56">
        <v>42</v>
      </c>
      <c r="I158" s="5">
        <f>+SUM(D158:G158)</f>
        <v>10296</v>
      </c>
      <c r="J158" s="5"/>
      <c r="K158" s="8"/>
      <c r="L158" s="8"/>
    </row>
    <row r="159" spans="2:12" ht="15.75">
      <c r="B159" s="7" t="s">
        <v>365</v>
      </c>
      <c r="C159" s="8"/>
      <c r="D159" s="8"/>
      <c r="E159" s="8"/>
      <c r="F159" s="8" t="s">
        <v>366</v>
      </c>
      <c r="G159" s="8"/>
      <c r="H159" s="8"/>
      <c r="I159" s="8" t="s">
        <v>367</v>
      </c>
      <c r="J159" s="8"/>
      <c r="K159" s="8"/>
      <c r="L159" s="11"/>
    </row>
    <row r="160" spans="2:12" ht="15.75">
      <c r="B160" s="7" t="s">
        <v>368</v>
      </c>
      <c r="C160" s="8"/>
      <c r="D160" s="498"/>
      <c r="E160" s="498"/>
      <c r="F160" s="8" t="s">
        <v>368</v>
      </c>
      <c r="G160" s="498"/>
      <c r="H160" s="498"/>
      <c r="I160" s="8" t="s">
        <v>368</v>
      </c>
      <c r="J160" s="8"/>
      <c r="K160" s="8"/>
      <c r="L160" s="5"/>
    </row>
    <row r="161" spans="2:12" ht="15.75">
      <c r="B161" s="7" t="s">
        <v>369</v>
      </c>
      <c r="C161" s="498"/>
      <c r="D161" s="498"/>
      <c r="E161" s="498"/>
      <c r="F161" s="8" t="s">
        <v>369</v>
      </c>
      <c r="G161" s="498"/>
      <c r="H161" s="498"/>
      <c r="I161" s="8" t="s">
        <v>369</v>
      </c>
      <c r="J161" s="8"/>
      <c r="K161" s="8"/>
      <c r="L161" s="5"/>
    </row>
    <row r="162" spans="2:12" ht="15.75">
      <c r="B162" s="7" t="s">
        <v>370</v>
      </c>
      <c r="C162" s="8"/>
      <c r="D162" s="498"/>
      <c r="E162" s="498"/>
      <c r="F162" s="8" t="s">
        <v>370</v>
      </c>
      <c r="G162" s="498"/>
      <c r="H162" s="498"/>
      <c r="I162" s="8" t="s">
        <v>370</v>
      </c>
      <c r="J162" s="8"/>
      <c r="K162" s="8"/>
      <c r="L162" s="11"/>
    </row>
    <row r="163" spans="2:12">
      <c r="B163" s="58"/>
      <c r="C163" s="58"/>
      <c r="D163" s="58"/>
      <c r="E163" s="58"/>
      <c r="F163" s="58"/>
      <c r="G163" s="58"/>
      <c r="H163" s="16"/>
      <c r="I163" s="58"/>
      <c r="J163" s="58"/>
      <c r="K163" s="58"/>
    </row>
    <row r="164" spans="2:12">
      <c r="B164" s="58"/>
      <c r="C164" s="58"/>
      <c r="D164" s="58"/>
      <c r="E164" s="58"/>
      <c r="F164" s="58"/>
      <c r="G164" s="58"/>
      <c r="H164" s="16"/>
      <c r="I164" s="58"/>
      <c r="J164" s="58"/>
      <c r="K164" s="58"/>
    </row>
    <row r="165" spans="2:12">
      <c r="B165" s="58"/>
      <c r="C165" s="58"/>
      <c r="D165" s="58"/>
      <c r="E165" s="58"/>
      <c r="F165" s="58"/>
      <c r="G165" s="58"/>
      <c r="H165" s="16"/>
      <c r="I165" s="58"/>
      <c r="J165" s="58"/>
      <c r="K165" s="58"/>
    </row>
    <row r="166" spans="2:12">
      <c r="B166" s="58"/>
      <c r="C166" s="58"/>
      <c r="D166" s="58"/>
      <c r="E166" s="58"/>
      <c r="F166" s="58"/>
      <c r="G166" s="58">
        <v>9033.2000000000007</v>
      </c>
      <c r="H166" s="16"/>
      <c r="I166" s="58"/>
      <c r="J166" s="58"/>
      <c r="K166" s="58"/>
    </row>
    <row r="167" spans="2:12">
      <c r="B167" s="58"/>
      <c r="C167" s="58"/>
      <c r="D167" s="58"/>
      <c r="E167" s="58"/>
      <c r="F167" s="58"/>
      <c r="G167" s="58"/>
      <c r="H167" s="16"/>
      <c r="I167" s="58"/>
      <c r="J167" s="58"/>
      <c r="K167" s="58"/>
    </row>
    <row r="168" spans="2:12">
      <c r="B168" s="58"/>
      <c r="C168" s="58"/>
      <c r="D168" s="58"/>
      <c r="E168" s="58"/>
      <c r="F168" s="58"/>
      <c r="G168" s="58"/>
      <c r="H168" s="16"/>
      <c r="I168" s="58"/>
      <c r="J168" s="58"/>
      <c r="K168" s="58"/>
    </row>
    <row r="169" spans="2:12">
      <c r="B169" s="58"/>
      <c r="C169" s="58"/>
      <c r="D169" s="58"/>
      <c r="E169" s="58"/>
      <c r="F169" s="58"/>
      <c r="G169" s="58"/>
      <c r="H169" s="16"/>
      <c r="I169" s="58"/>
      <c r="J169" s="58"/>
      <c r="K169" s="58"/>
    </row>
    <row r="170" spans="2:12">
      <c r="B170" s="58"/>
      <c r="C170" s="58"/>
      <c r="D170" s="58"/>
      <c r="E170" s="58"/>
      <c r="F170" s="58"/>
      <c r="G170" s="58"/>
      <c r="H170" s="16">
        <f>3.6+262</f>
        <v>265.60000000000002</v>
      </c>
      <c r="I170" s="58"/>
      <c r="J170" s="58"/>
      <c r="K170" s="58"/>
    </row>
    <row r="171" spans="2:12">
      <c r="B171" s="58"/>
      <c r="C171" s="58"/>
      <c r="D171" s="58"/>
      <c r="E171" s="58"/>
      <c r="F171" s="58"/>
      <c r="G171" s="58"/>
      <c r="H171" s="16"/>
      <c r="I171" s="58"/>
      <c r="J171" s="58"/>
      <c r="K171" s="58"/>
    </row>
    <row r="172" spans="2:12">
      <c r="B172" s="58"/>
      <c r="C172" s="58"/>
      <c r="D172" s="58"/>
      <c r="E172" s="58"/>
      <c r="F172" s="58"/>
      <c r="G172" s="58"/>
      <c r="H172" s="16"/>
      <c r="I172" s="58"/>
      <c r="J172" s="58"/>
      <c r="K172" s="58"/>
    </row>
    <row r="173" spans="2:12">
      <c r="B173" s="58"/>
      <c r="C173" s="58"/>
      <c r="D173" s="58"/>
      <c r="E173" s="58"/>
      <c r="F173" s="58"/>
      <c r="G173" s="58"/>
      <c r="H173" s="16"/>
      <c r="I173" s="58"/>
      <c r="J173" s="58"/>
      <c r="K173" s="58"/>
    </row>
    <row r="174" spans="2:12">
      <c r="B174" s="58"/>
      <c r="C174" s="58"/>
      <c r="D174" s="58"/>
      <c r="E174" s="58"/>
      <c r="F174" s="58"/>
      <c r="G174" s="58"/>
      <c r="H174" s="16"/>
      <c r="I174" s="58"/>
      <c r="J174" s="58"/>
      <c r="K174" s="58"/>
    </row>
    <row r="175" spans="2:12">
      <c r="B175" s="58"/>
      <c r="C175" s="58"/>
      <c r="D175" s="58"/>
      <c r="E175" s="58"/>
      <c r="F175" s="58"/>
      <c r="G175" s="58"/>
      <c r="H175" s="16"/>
      <c r="I175" s="58"/>
      <c r="J175" s="58"/>
      <c r="K175" s="58"/>
    </row>
    <row r="176" spans="2:12">
      <c r="B176" s="58"/>
      <c r="C176" s="58"/>
      <c r="D176" s="58"/>
      <c r="E176" s="58"/>
      <c r="F176" s="58"/>
      <c r="G176" s="58"/>
      <c r="H176" s="16"/>
      <c r="I176" s="58"/>
      <c r="J176" s="58"/>
      <c r="K176" s="58"/>
    </row>
    <row r="177" spans="2:11">
      <c r="B177" s="58"/>
      <c r="C177" s="58"/>
      <c r="D177" s="58"/>
      <c r="E177" s="58"/>
      <c r="F177" s="58"/>
      <c r="G177" s="58"/>
      <c r="H177" s="16"/>
      <c r="I177" s="58"/>
      <c r="J177" s="58"/>
      <c r="K177" s="58"/>
    </row>
    <row r="178" spans="2:11">
      <c r="B178" s="58"/>
      <c r="C178" s="58"/>
      <c r="D178" s="58"/>
      <c r="E178" s="58"/>
      <c r="F178" s="58"/>
      <c r="G178" s="58"/>
      <c r="H178" s="16"/>
      <c r="I178" s="58"/>
      <c r="J178" s="58"/>
      <c r="K178" s="58"/>
    </row>
    <row r="179" spans="2:11">
      <c r="B179" s="58"/>
      <c r="C179" s="58"/>
      <c r="D179" s="58"/>
      <c r="E179" s="58"/>
      <c r="F179" s="58"/>
      <c r="G179" s="58"/>
      <c r="H179" s="16"/>
      <c r="I179" s="58"/>
      <c r="J179" s="58"/>
      <c r="K179" s="58"/>
    </row>
    <row r="180" spans="2:11">
      <c r="B180" s="58"/>
      <c r="C180" s="58"/>
      <c r="D180" s="58"/>
      <c r="E180" s="58"/>
      <c r="F180" s="58"/>
      <c r="G180" s="58"/>
      <c r="H180" s="16"/>
      <c r="I180" s="58"/>
      <c r="J180" s="58"/>
      <c r="K180" s="58"/>
    </row>
    <row r="181" spans="2:11">
      <c r="B181" s="58"/>
      <c r="C181" s="58"/>
      <c r="D181" s="58"/>
      <c r="E181" s="58"/>
      <c r="F181" s="58"/>
      <c r="G181" s="58"/>
      <c r="H181" s="16"/>
      <c r="I181" s="58"/>
      <c r="J181" s="58"/>
      <c r="K181" s="58"/>
    </row>
    <row r="182" spans="2:11">
      <c r="B182" s="58"/>
      <c r="C182" s="58"/>
      <c r="D182" s="58"/>
      <c r="E182" s="58"/>
      <c r="F182" s="58"/>
      <c r="G182" s="58"/>
      <c r="H182" s="16"/>
      <c r="I182" s="58"/>
      <c r="J182" s="58"/>
      <c r="K182" s="58"/>
    </row>
    <row r="183" spans="2:11">
      <c r="B183" s="58"/>
      <c r="C183" s="58"/>
      <c r="D183" s="58"/>
      <c r="E183" s="58"/>
      <c r="F183" s="58"/>
      <c r="G183" s="58"/>
      <c r="H183" s="16"/>
      <c r="I183" s="58"/>
      <c r="J183" s="58"/>
      <c r="K183" s="58"/>
    </row>
    <row r="184" spans="2:11">
      <c r="B184" s="58"/>
      <c r="C184" s="58"/>
      <c r="D184" s="58"/>
      <c r="E184" s="58"/>
      <c r="F184" s="58"/>
      <c r="G184" s="58"/>
      <c r="H184" s="16"/>
      <c r="I184" s="58"/>
      <c r="J184" s="58"/>
      <c r="K184" s="58"/>
    </row>
    <row r="185" spans="2:11">
      <c r="B185" s="58"/>
      <c r="C185" s="58"/>
      <c r="D185" s="58"/>
      <c r="E185" s="58"/>
      <c r="F185" s="58"/>
      <c r="G185" s="58"/>
      <c r="H185" s="16"/>
      <c r="I185" s="58"/>
      <c r="J185" s="58"/>
      <c r="K185" s="58"/>
    </row>
    <row r="186" spans="2:11">
      <c r="B186" s="58"/>
      <c r="C186" s="58"/>
      <c r="D186" s="58"/>
      <c r="E186" s="58"/>
      <c r="F186" s="58"/>
      <c r="G186" s="58"/>
      <c r="H186" s="16"/>
      <c r="I186" s="58"/>
      <c r="J186" s="58"/>
      <c r="K186" s="58"/>
    </row>
    <row r="187" spans="2:11">
      <c r="H187" s="59"/>
    </row>
    <row r="188" spans="2:11">
      <c r="H188" s="10"/>
    </row>
    <row r="189" spans="2:11">
      <c r="H189" s="10"/>
    </row>
    <row r="190" spans="2:11">
      <c r="H190" s="10"/>
    </row>
    <row r="191" spans="2:11">
      <c r="H191" s="10"/>
    </row>
    <row r="192" spans="2:11">
      <c r="H192" s="10"/>
    </row>
    <row r="193" spans="8:8">
      <c r="H193" s="10"/>
    </row>
    <row r="194" spans="8:8">
      <c r="H194" s="10"/>
    </row>
    <row r="195" spans="8:8">
      <c r="H195" s="10"/>
    </row>
    <row r="196" spans="8:8">
      <c r="H196" s="10"/>
    </row>
    <row r="197" spans="8:8">
      <c r="H197" s="10"/>
    </row>
    <row r="198" spans="8:8">
      <c r="H198" s="10"/>
    </row>
    <row r="199" spans="8:8">
      <c r="H199" s="10"/>
    </row>
    <row r="200" spans="8:8">
      <c r="H200" s="10"/>
    </row>
    <row r="201" spans="8:8">
      <c r="H201" s="10"/>
    </row>
    <row r="202" spans="8:8">
      <c r="H202" s="10"/>
    </row>
    <row r="203" spans="8:8">
      <c r="H203" s="10"/>
    </row>
    <row r="204" spans="8:8">
      <c r="H204" s="10"/>
    </row>
    <row r="205" spans="8:8">
      <c r="H205" s="10"/>
    </row>
    <row r="206" spans="8:8">
      <c r="H206" s="10"/>
    </row>
    <row r="207" spans="8:8">
      <c r="H207" s="10"/>
    </row>
    <row r="208" spans="8:8">
      <c r="H208" s="10"/>
    </row>
    <row r="209" spans="8:8">
      <c r="H209" s="10"/>
    </row>
    <row r="210" spans="8:8">
      <c r="H210" s="10"/>
    </row>
    <row r="211" spans="8:8">
      <c r="H211" s="10"/>
    </row>
    <row r="212" spans="8:8">
      <c r="H212" s="10"/>
    </row>
  </sheetData>
  <autoFilter ref="B3:L153"/>
  <mergeCells count="7">
    <mergeCell ref="D162:E162"/>
    <mergeCell ref="G162:H162"/>
    <mergeCell ref="B2:L2"/>
    <mergeCell ref="D160:E160"/>
    <mergeCell ref="G160:H160"/>
    <mergeCell ref="C161:E161"/>
    <mergeCell ref="G161:H16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11"/>
  <sheetViews>
    <sheetView topLeftCell="A7" workbookViewId="0">
      <selection activeCell="J29" sqref="J29"/>
    </sheetView>
  </sheetViews>
  <sheetFormatPr defaultRowHeight="15"/>
  <cols>
    <col min="4" max="4" width="16.7109375" customWidth="1"/>
    <col min="5" max="5" width="12.5703125" customWidth="1"/>
    <col min="6" max="6" width="14.42578125" hidden="1" customWidth="1"/>
    <col min="7" max="7" width="16" customWidth="1"/>
    <col min="11" max="11" width="17.7109375" customWidth="1"/>
    <col min="12" max="12" width="18.7109375" customWidth="1"/>
    <col min="19" max="19" width="17.28515625" customWidth="1"/>
  </cols>
  <sheetData>
    <row r="3" spans="2:19" ht="21">
      <c r="B3" s="510" t="s">
        <v>0</v>
      </c>
      <c r="C3" s="510"/>
      <c r="D3" s="510"/>
      <c r="E3" s="510"/>
      <c r="F3" s="510"/>
      <c r="G3" s="510"/>
      <c r="H3" s="510"/>
      <c r="I3" s="510"/>
      <c r="J3" s="510"/>
      <c r="K3" s="510"/>
      <c r="L3" s="510"/>
      <c r="M3" s="510"/>
      <c r="N3" s="510"/>
      <c r="O3" s="510"/>
      <c r="P3" s="510"/>
      <c r="Q3" s="510"/>
      <c r="R3" s="510"/>
      <c r="S3" s="510"/>
    </row>
    <row r="4" spans="2:19" ht="21">
      <c r="B4" s="510" t="s">
        <v>1</v>
      </c>
      <c r="C4" s="510"/>
      <c r="D4" s="510"/>
      <c r="E4" s="510"/>
      <c r="F4" s="510"/>
      <c r="G4" s="510"/>
      <c r="H4" s="510"/>
      <c r="I4" s="510"/>
      <c r="J4" s="510"/>
      <c r="K4" s="510"/>
      <c r="L4" s="510"/>
      <c r="M4" s="510"/>
      <c r="N4" s="510"/>
      <c r="O4" s="510"/>
      <c r="P4" s="510"/>
      <c r="Q4" s="510"/>
      <c r="R4" s="510"/>
      <c r="S4" s="510"/>
    </row>
    <row r="5" spans="2:19" ht="21">
      <c r="B5" s="510" t="s">
        <v>2</v>
      </c>
      <c r="C5" s="510"/>
      <c r="D5" s="510"/>
      <c r="E5" s="510"/>
      <c r="F5" s="510"/>
      <c r="G5" s="510"/>
      <c r="H5" s="510"/>
      <c r="I5" s="510"/>
      <c r="J5" s="510"/>
      <c r="K5" s="510"/>
      <c r="L5" s="510"/>
      <c r="M5" s="510"/>
      <c r="N5" s="510"/>
      <c r="O5" s="510"/>
      <c r="P5" s="510"/>
      <c r="Q5" s="510"/>
      <c r="R5" s="510"/>
      <c r="S5" s="510"/>
    </row>
    <row r="6" spans="2:19" ht="18.75">
      <c r="B6" s="511" t="s">
        <v>3</v>
      </c>
      <c r="C6" s="511"/>
      <c r="D6" s="511"/>
      <c r="E6" s="511"/>
      <c r="F6" s="511"/>
      <c r="G6" s="511"/>
      <c r="H6" s="511"/>
      <c r="I6" s="511"/>
      <c r="J6" s="511"/>
      <c r="K6" s="511"/>
      <c r="L6" s="511"/>
      <c r="M6" s="511"/>
      <c r="N6" s="511"/>
      <c r="O6" s="511"/>
      <c r="P6" s="511"/>
      <c r="Q6" s="511"/>
      <c r="R6" s="511"/>
      <c r="S6" s="511"/>
    </row>
    <row r="7" spans="2:19" ht="21">
      <c r="B7" s="496" t="s">
        <v>4</v>
      </c>
      <c r="C7" s="496"/>
      <c r="D7" s="496"/>
      <c r="E7" s="496"/>
      <c r="F7" s="496"/>
      <c r="G7" s="496"/>
      <c r="H7" s="496"/>
      <c r="I7" s="496"/>
      <c r="J7" s="496"/>
      <c r="K7" s="496"/>
      <c r="L7" s="496"/>
      <c r="M7" s="496"/>
      <c r="N7" s="496"/>
      <c r="O7" s="496"/>
      <c r="P7" s="496"/>
      <c r="Q7" s="409"/>
      <c r="R7" s="409"/>
      <c r="S7" s="409"/>
    </row>
    <row r="8" spans="2:19" ht="21">
      <c r="B8" s="514" t="s">
        <v>5</v>
      </c>
      <c r="C8" s="514"/>
      <c r="D8" s="512" t="s">
        <v>1814</v>
      </c>
      <c r="E8" s="512"/>
      <c r="F8" s="512"/>
      <c r="G8" s="512"/>
      <c r="H8" s="349"/>
      <c r="I8" s="349"/>
      <c r="J8" s="349"/>
      <c r="K8" s="349"/>
      <c r="L8" s="349"/>
      <c r="M8" s="349"/>
      <c r="N8" s="349"/>
      <c r="O8" s="349"/>
      <c r="P8" s="349"/>
      <c r="Q8" s="349"/>
      <c r="R8" s="349"/>
      <c r="S8" s="349"/>
    </row>
    <row r="9" spans="2:19" ht="21">
      <c r="B9" s="514" t="s">
        <v>6</v>
      </c>
      <c r="C9" s="514"/>
      <c r="D9" s="512" t="s">
        <v>1784</v>
      </c>
      <c r="E9" s="512"/>
      <c r="F9" s="512"/>
      <c r="G9" s="512"/>
      <c r="H9" s="349"/>
      <c r="I9" s="349"/>
      <c r="J9" s="349"/>
      <c r="K9" s="349"/>
      <c r="L9" s="349"/>
      <c r="M9" s="349"/>
      <c r="N9" s="349"/>
      <c r="O9" s="349"/>
      <c r="P9" s="349"/>
      <c r="Q9" s="349"/>
      <c r="R9" s="349"/>
      <c r="S9" s="349"/>
    </row>
    <row r="10" spans="2:19" ht="21">
      <c r="B10" s="514" t="s">
        <v>7</v>
      </c>
      <c r="C10" s="514"/>
      <c r="D10" s="512" t="s">
        <v>8</v>
      </c>
      <c r="E10" s="512"/>
      <c r="F10" s="512"/>
      <c r="G10" s="512"/>
      <c r="H10" s="349"/>
      <c r="I10" s="349"/>
      <c r="J10" s="349"/>
      <c r="K10" s="349"/>
      <c r="L10" s="349"/>
      <c r="M10" s="349"/>
      <c r="N10" s="349"/>
      <c r="O10" s="349"/>
      <c r="P10" s="349"/>
      <c r="Q10" s="349"/>
      <c r="R10" s="349"/>
      <c r="S10" s="349"/>
    </row>
    <row r="11" spans="2:19" ht="21">
      <c r="B11" s="514" t="s">
        <v>9</v>
      </c>
      <c r="C11" s="514"/>
      <c r="D11" s="512" t="s">
        <v>373</v>
      </c>
      <c r="E11" s="512"/>
      <c r="F11" s="512"/>
      <c r="G11" s="512"/>
      <c r="H11" s="349"/>
      <c r="I11" s="349"/>
      <c r="J11" s="349"/>
      <c r="K11" s="349"/>
      <c r="L11" s="349"/>
      <c r="M11" s="349"/>
      <c r="N11" s="349"/>
      <c r="O11" s="349"/>
      <c r="P11" s="349"/>
      <c r="Q11" s="349"/>
      <c r="R11" s="349"/>
      <c r="S11" s="349"/>
    </row>
    <row r="12" spans="2:19" ht="21">
      <c r="B12" s="514" t="s">
        <v>10</v>
      </c>
      <c r="C12" s="514"/>
      <c r="D12" s="512" t="s">
        <v>8</v>
      </c>
      <c r="E12" s="512"/>
      <c r="F12" s="512"/>
      <c r="G12" s="512"/>
      <c r="H12" s="349"/>
      <c r="I12" s="349"/>
      <c r="J12" s="349"/>
      <c r="K12" s="349"/>
      <c r="L12" s="349"/>
      <c r="M12" s="349"/>
      <c r="N12" s="349"/>
      <c r="O12" s="349"/>
      <c r="P12" s="349"/>
      <c r="Q12" s="349"/>
      <c r="R12" s="349"/>
      <c r="S12" s="349"/>
    </row>
    <row r="13" spans="2:19" ht="63">
      <c r="B13" s="350" t="s">
        <v>11</v>
      </c>
      <c r="C13" s="350" t="s">
        <v>12</v>
      </c>
      <c r="D13" s="350" t="s">
        <v>13</v>
      </c>
      <c r="E13" s="350" t="s">
        <v>14</v>
      </c>
      <c r="F13" s="350" t="s">
        <v>15</v>
      </c>
      <c r="G13" s="350" t="s">
        <v>16</v>
      </c>
      <c r="H13" s="350" t="s">
        <v>17</v>
      </c>
      <c r="I13" s="350" t="s">
        <v>18</v>
      </c>
      <c r="J13" s="350" t="s">
        <v>19</v>
      </c>
      <c r="K13" s="350" t="s">
        <v>20</v>
      </c>
      <c r="L13" s="350" t="s">
        <v>21</v>
      </c>
      <c r="M13" s="350" t="s">
        <v>22</v>
      </c>
      <c r="N13" s="350" t="s">
        <v>23</v>
      </c>
      <c r="O13" s="350" t="s">
        <v>24</v>
      </c>
      <c r="P13" s="350" t="s">
        <v>25</v>
      </c>
      <c r="Q13" s="350" t="s">
        <v>26</v>
      </c>
      <c r="R13" s="350" t="s">
        <v>27</v>
      </c>
      <c r="S13" s="355" t="s">
        <v>28</v>
      </c>
    </row>
    <row r="14" spans="2:19">
      <c r="B14" s="410">
        <v>1</v>
      </c>
      <c r="C14" s="410" t="s">
        <v>106</v>
      </c>
      <c r="D14" s="410" t="s">
        <v>1172</v>
      </c>
      <c r="E14" s="410">
        <v>140</v>
      </c>
      <c r="F14" s="410">
        <v>225</v>
      </c>
      <c r="G14" s="410">
        <v>231.3</v>
      </c>
      <c r="H14" s="410">
        <v>0.44</v>
      </c>
      <c r="I14" s="410">
        <v>1.1399999999999999</v>
      </c>
      <c r="J14" s="410"/>
      <c r="K14" s="410"/>
      <c r="L14" s="410"/>
      <c r="M14" s="410"/>
      <c r="N14" s="410"/>
      <c r="O14" s="410"/>
      <c r="P14" s="410"/>
      <c r="Q14" s="410"/>
      <c r="R14" s="410"/>
      <c r="S14" s="410"/>
    </row>
    <row r="15" spans="2:19">
      <c r="B15" s="410">
        <f>1+B14</f>
        <v>2</v>
      </c>
      <c r="C15" s="410" t="s">
        <v>1172</v>
      </c>
      <c r="D15" s="410" t="s">
        <v>1173</v>
      </c>
      <c r="E15" s="410">
        <v>140</v>
      </c>
      <c r="F15" s="410">
        <v>20</v>
      </c>
      <c r="G15" s="410">
        <v>10</v>
      </c>
      <c r="H15" s="413">
        <v>0.44</v>
      </c>
      <c r="I15" s="412">
        <v>1.1399999999999999</v>
      </c>
      <c r="J15" s="410"/>
      <c r="K15" s="410"/>
      <c r="L15" s="410"/>
      <c r="M15" s="410"/>
      <c r="N15" s="410"/>
      <c r="O15" s="410"/>
      <c r="P15" s="410"/>
      <c r="Q15" s="410"/>
      <c r="R15" s="410"/>
      <c r="S15" s="410"/>
    </row>
    <row r="16" spans="2:19">
      <c r="B16" s="410">
        <f t="shared" ref="B16:B80" si="0">1+B15</f>
        <v>3</v>
      </c>
      <c r="C16" s="410" t="s">
        <v>1173</v>
      </c>
      <c r="D16" s="410" t="s">
        <v>839</v>
      </c>
      <c r="E16" s="410">
        <v>140</v>
      </c>
      <c r="F16" s="410"/>
      <c r="G16" s="410">
        <v>338</v>
      </c>
      <c r="H16" s="413">
        <v>0.44</v>
      </c>
      <c r="I16" s="412">
        <v>1.1399999999999999</v>
      </c>
      <c r="J16" s="410"/>
      <c r="K16" s="410"/>
      <c r="L16" s="410"/>
      <c r="M16" s="410"/>
      <c r="N16" s="410"/>
      <c r="O16" s="410"/>
      <c r="P16" s="410"/>
      <c r="Q16" s="410"/>
      <c r="R16" s="410"/>
      <c r="S16" s="410"/>
    </row>
    <row r="17" spans="2:19">
      <c r="B17" s="410">
        <f t="shared" si="0"/>
        <v>4</v>
      </c>
      <c r="C17" s="410" t="s">
        <v>839</v>
      </c>
      <c r="D17" s="410" t="s">
        <v>168</v>
      </c>
      <c r="E17" s="410">
        <v>125</v>
      </c>
      <c r="F17" s="410"/>
      <c r="G17" s="410">
        <v>129.69999999999999</v>
      </c>
      <c r="H17" s="410">
        <v>0.42</v>
      </c>
      <c r="I17" s="410">
        <v>1.1200000000000001</v>
      </c>
      <c r="J17" s="410"/>
      <c r="K17" s="410"/>
      <c r="L17" s="410"/>
      <c r="M17" s="410"/>
      <c r="N17" s="410"/>
      <c r="O17" s="410"/>
      <c r="P17" s="410"/>
      <c r="Q17" s="410"/>
      <c r="R17" s="410"/>
      <c r="S17" s="410"/>
    </row>
    <row r="18" spans="2:19">
      <c r="B18" s="410">
        <f t="shared" si="0"/>
        <v>5</v>
      </c>
      <c r="C18" s="410" t="s">
        <v>168</v>
      </c>
      <c r="D18" s="410" t="s">
        <v>51</v>
      </c>
      <c r="E18" s="410">
        <v>125</v>
      </c>
      <c r="F18" s="410"/>
      <c r="G18" s="410">
        <v>111.8</v>
      </c>
      <c r="H18" s="413">
        <v>0.42</v>
      </c>
      <c r="I18" s="412">
        <v>1.1200000000000001</v>
      </c>
      <c r="J18" s="410"/>
      <c r="K18" s="410"/>
      <c r="L18" s="410"/>
      <c r="M18" s="410"/>
      <c r="N18" s="410"/>
      <c r="O18" s="410"/>
      <c r="P18" s="410"/>
      <c r="Q18" s="410"/>
      <c r="R18" s="410"/>
      <c r="S18" s="410"/>
    </row>
    <row r="19" spans="2:19">
      <c r="B19" s="410">
        <f t="shared" si="0"/>
        <v>6</v>
      </c>
      <c r="C19" s="410" t="s">
        <v>839</v>
      </c>
      <c r="D19" s="410" t="s">
        <v>144</v>
      </c>
      <c r="E19" s="410">
        <v>160</v>
      </c>
      <c r="F19" s="410"/>
      <c r="G19" s="410">
        <v>625</v>
      </c>
      <c r="H19" s="410">
        <v>0.46</v>
      </c>
      <c r="I19" s="410">
        <v>1.1599999999999999</v>
      </c>
      <c r="J19" s="410"/>
      <c r="K19" s="410"/>
      <c r="L19" s="410"/>
      <c r="M19" s="410"/>
      <c r="N19" s="410"/>
      <c r="O19" s="410"/>
      <c r="P19" s="410"/>
      <c r="Q19" s="410"/>
      <c r="R19" s="410"/>
      <c r="S19" s="410"/>
    </row>
    <row r="20" spans="2:19">
      <c r="B20" s="410">
        <f t="shared" si="0"/>
        <v>7</v>
      </c>
      <c r="C20" s="410" t="s">
        <v>144</v>
      </c>
      <c r="D20" s="410" t="s">
        <v>140</v>
      </c>
      <c r="E20" s="410">
        <v>200</v>
      </c>
      <c r="F20" s="410">
        <v>1418</v>
      </c>
      <c r="G20" s="410">
        <v>1502.2</v>
      </c>
      <c r="H20" s="410">
        <v>0.5</v>
      </c>
      <c r="I20" s="410">
        <v>1.2</v>
      </c>
      <c r="J20" s="410"/>
      <c r="K20" s="410"/>
      <c r="L20" s="410"/>
      <c r="M20" s="410"/>
      <c r="N20" s="410"/>
      <c r="O20" s="410"/>
      <c r="P20" s="410"/>
      <c r="Q20" s="410"/>
      <c r="R20" s="410"/>
      <c r="S20" s="410"/>
    </row>
    <row r="21" spans="2:19">
      <c r="B21" s="410">
        <f t="shared" si="0"/>
        <v>8</v>
      </c>
      <c r="C21" s="410" t="s">
        <v>144</v>
      </c>
      <c r="D21" s="410" t="s">
        <v>140</v>
      </c>
      <c r="E21" s="410">
        <v>200</v>
      </c>
      <c r="F21" s="410"/>
      <c r="G21" s="410">
        <v>7.8</v>
      </c>
      <c r="H21" s="410">
        <v>0.5</v>
      </c>
      <c r="I21" s="412">
        <v>1.2</v>
      </c>
      <c r="J21" s="410"/>
      <c r="K21" s="412" t="s">
        <v>1797</v>
      </c>
      <c r="L21" s="410">
        <f>+G21</f>
        <v>7.8</v>
      </c>
      <c r="M21" s="410">
        <f>+H21</f>
        <v>0.5</v>
      </c>
      <c r="N21" s="410">
        <f>+L21*M21</f>
        <v>3.9</v>
      </c>
      <c r="O21" s="410">
        <v>7.8</v>
      </c>
      <c r="P21" s="410">
        <v>0.5</v>
      </c>
      <c r="Q21" s="410">
        <v>3.9</v>
      </c>
      <c r="R21" s="410"/>
      <c r="S21" s="410"/>
    </row>
    <row r="22" spans="2:19">
      <c r="B22" s="410">
        <f t="shared" si="0"/>
        <v>9</v>
      </c>
      <c r="C22" s="410" t="s">
        <v>139</v>
      </c>
      <c r="D22" s="410" t="s">
        <v>76</v>
      </c>
      <c r="E22" s="410">
        <v>63</v>
      </c>
      <c r="F22" s="410"/>
      <c r="G22" s="410">
        <v>1113.3</v>
      </c>
      <c r="H22" s="410">
        <v>0.36</v>
      </c>
      <c r="I22" s="410">
        <v>1.06</v>
      </c>
      <c r="J22" s="410"/>
      <c r="K22" s="411"/>
      <c r="L22" s="410"/>
      <c r="M22" s="410"/>
      <c r="N22" s="410"/>
      <c r="O22" s="410"/>
      <c r="P22" s="410"/>
      <c r="Q22" s="410"/>
      <c r="R22" s="410"/>
      <c r="S22" s="410"/>
    </row>
    <row r="23" spans="2:19">
      <c r="B23" s="410">
        <f t="shared" si="0"/>
        <v>10</v>
      </c>
      <c r="C23" s="410" t="s">
        <v>76</v>
      </c>
      <c r="D23" s="410" t="s">
        <v>57</v>
      </c>
      <c r="E23" s="410">
        <v>63</v>
      </c>
      <c r="F23" s="410"/>
      <c r="G23" s="410">
        <v>489.6</v>
      </c>
      <c r="H23" s="413">
        <v>0.36</v>
      </c>
      <c r="I23" s="412">
        <v>1.06</v>
      </c>
      <c r="J23" s="410"/>
      <c r="K23" s="411"/>
      <c r="L23" s="410"/>
      <c r="M23" s="410"/>
      <c r="N23" s="410"/>
      <c r="O23" s="410"/>
      <c r="P23" s="410"/>
      <c r="Q23" s="410"/>
      <c r="R23" s="410"/>
      <c r="S23" s="410"/>
    </row>
    <row r="24" spans="2:19">
      <c r="B24" s="410">
        <f t="shared" si="0"/>
        <v>11</v>
      </c>
      <c r="C24" s="410" t="s">
        <v>57</v>
      </c>
      <c r="D24" s="410" t="s">
        <v>1238</v>
      </c>
      <c r="E24" s="410">
        <v>63</v>
      </c>
      <c r="F24" s="410"/>
      <c r="G24" s="410">
        <v>123.3</v>
      </c>
      <c r="H24" s="413">
        <v>0.36</v>
      </c>
      <c r="I24" s="412">
        <v>1.06</v>
      </c>
      <c r="J24" s="410"/>
      <c r="K24" s="411"/>
      <c r="L24" s="410"/>
      <c r="M24" s="410"/>
      <c r="N24" s="410"/>
      <c r="O24" s="410"/>
      <c r="P24" s="410"/>
      <c r="Q24" s="410"/>
      <c r="R24" s="410"/>
      <c r="S24" s="410"/>
    </row>
    <row r="25" spans="2:19">
      <c r="B25" s="410">
        <f t="shared" si="0"/>
        <v>12</v>
      </c>
      <c r="C25" s="410" t="s">
        <v>57</v>
      </c>
      <c r="D25" s="410" t="s">
        <v>376</v>
      </c>
      <c r="E25" s="410">
        <v>63</v>
      </c>
      <c r="F25" s="410"/>
      <c r="G25" s="410">
        <v>150.80000000000001</v>
      </c>
      <c r="H25" s="413">
        <v>0.36</v>
      </c>
      <c r="I25" s="412">
        <v>1.06</v>
      </c>
      <c r="J25" s="410"/>
      <c r="K25" s="411"/>
      <c r="L25" s="410"/>
      <c r="M25" s="410"/>
      <c r="N25" s="410"/>
      <c r="O25" s="410"/>
      <c r="P25" s="410"/>
      <c r="Q25" s="410"/>
      <c r="R25" s="410"/>
      <c r="S25" s="410"/>
    </row>
    <row r="26" spans="2:19">
      <c r="B26" s="410">
        <f t="shared" si="0"/>
        <v>13</v>
      </c>
      <c r="C26" s="410" t="s">
        <v>376</v>
      </c>
      <c r="D26" s="410" t="s">
        <v>1237</v>
      </c>
      <c r="E26" s="410">
        <v>63</v>
      </c>
      <c r="F26" s="410"/>
      <c r="G26" s="410">
        <v>130.69999999999999</v>
      </c>
      <c r="H26" s="413">
        <v>0.36</v>
      </c>
      <c r="I26" s="412">
        <v>1.06</v>
      </c>
      <c r="J26" s="410"/>
      <c r="K26" s="411"/>
      <c r="L26" s="410"/>
      <c r="M26" s="410"/>
      <c r="N26" s="410"/>
      <c r="O26" s="410"/>
      <c r="P26" s="410"/>
      <c r="Q26" s="410"/>
      <c r="R26" s="410"/>
      <c r="S26" s="410"/>
    </row>
    <row r="27" spans="2:19">
      <c r="B27" s="410">
        <f t="shared" si="0"/>
        <v>14</v>
      </c>
      <c r="C27" s="410" t="s">
        <v>376</v>
      </c>
      <c r="D27" s="410" t="s">
        <v>129</v>
      </c>
      <c r="E27" s="410">
        <v>63</v>
      </c>
      <c r="F27" s="410"/>
      <c r="G27" s="410">
        <v>37</v>
      </c>
      <c r="H27" s="413">
        <v>0.36</v>
      </c>
      <c r="I27" s="412">
        <v>1.06</v>
      </c>
      <c r="J27" s="410"/>
      <c r="K27" s="411"/>
      <c r="L27" s="410"/>
      <c r="M27" s="410"/>
      <c r="N27" s="410"/>
      <c r="O27" s="410"/>
      <c r="P27" s="410"/>
      <c r="Q27" s="410"/>
      <c r="R27" s="410"/>
      <c r="S27" s="410"/>
    </row>
    <row r="28" spans="2:19">
      <c r="B28" s="410">
        <f t="shared" si="0"/>
        <v>15</v>
      </c>
      <c r="C28" s="410" t="s">
        <v>129</v>
      </c>
      <c r="D28" s="410" t="s">
        <v>43</v>
      </c>
      <c r="E28" s="410">
        <v>63</v>
      </c>
      <c r="F28" s="410"/>
      <c r="G28" s="410">
        <v>35.299999999999997</v>
      </c>
      <c r="H28" s="413">
        <v>0.36</v>
      </c>
      <c r="I28" s="412">
        <v>1.06</v>
      </c>
      <c r="J28" s="410"/>
      <c r="K28" s="411"/>
      <c r="L28" s="410"/>
      <c r="M28" s="410"/>
      <c r="N28" s="410"/>
      <c r="O28" s="410"/>
      <c r="P28" s="410"/>
      <c r="Q28" s="410"/>
      <c r="R28" s="410"/>
      <c r="S28" s="410"/>
    </row>
    <row r="29" spans="2:19">
      <c r="B29" s="410">
        <f t="shared" si="0"/>
        <v>16</v>
      </c>
      <c r="C29" s="410" t="s">
        <v>126</v>
      </c>
      <c r="D29" s="410" t="s">
        <v>104</v>
      </c>
      <c r="E29" s="410">
        <v>63</v>
      </c>
      <c r="F29" s="410"/>
      <c r="G29" s="410">
        <v>10</v>
      </c>
      <c r="H29" s="413">
        <v>0.36</v>
      </c>
      <c r="I29" s="412">
        <v>1.06</v>
      </c>
      <c r="J29" s="410"/>
      <c r="K29" s="411"/>
      <c r="L29" s="410"/>
      <c r="M29" s="410"/>
      <c r="N29" s="410"/>
      <c r="O29" s="410"/>
      <c r="P29" s="410"/>
      <c r="Q29" s="410"/>
      <c r="R29" s="410"/>
      <c r="S29" s="410"/>
    </row>
    <row r="30" spans="2:19">
      <c r="B30" s="410">
        <f t="shared" si="0"/>
        <v>17</v>
      </c>
      <c r="C30" s="410" t="s">
        <v>104</v>
      </c>
      <c r="D30" s="410" t="s">
        <v>77</v>
      </c>
      <c r="E30" s="410">
        <v>63</v>
      </c>
      <c r="F30" s="410"/>
      <c r="G30" s="410">
        <v>68</v>
      </c>
      <c r="H30" s="413">
        <v>0.36</v>
      </c>
      <c r="I30" s="412">
        <v>1.06</v>
      </c>
      <c r="J30" s="410"/>
      <c r="K30" s="411"/>
      <c r="L30" s="410"/>
      <c r="M30" s="410"/>
      <c r="N30" s="410"/>
      <c r="O30" s="410"/>
      <c r="P30" s="410"/>
      <c r="Q30" s="410"/>
      <c r="R30" s="410"/>
      <c r="S30" s="410"/>
    </row>
    <row r="31" spans="2:19">
      <c r="B31" s="410">
        <f t="shared" si="0"/>
        <v>18</v>
      </c>
      <c r="C31" s="410" t="s">
        <v>51</v>
      </c>
      <c r="D31" s="410" t="s">
        <v>59</v>
      </c>
      <c r="E31" s="410">
        <v>63</v>
      </c>
      <c r="F31" s="410"/>
      <c r="G31" s="410">
        <v>215</v>
      </c>
      <c r="H31" s="413">
        <v>0.36</v>
      </c>
      <c r="I31" s="412">
        <v>1.06</v>
      </c>
      <c r="J31" s="410"/>
      <c r="K31" s="411"/>
      <c r="L31" s="410"/>
      <c r="M31" s="410"/>
      <c r="N31" s="410"/>
      <c r="O31" s="410"/>
      <c r="P31" s="410"/>
      <c r="Q31" s="410"/>
      <c r="R31" s="410"/>
      <c r="S31" s="410"/>
    </row>
    <row r="32" spans="2:19">
      <c r="B32" s="410">
        <f t="shared" si="0"/>
        <v>19</v>
      </c>
      <c r="C32" s="410" t="s">
        <v>126</v>
      </c>
      <c r="D32" s="410" t="s">
        <v>111</v>
      </c>
      <c r="E32" s="410">
        <v>63</v>
      </c>
      <c r="F32" s="410"/>
      <c r="G32" s="410">
        <v>5</v>
      </c>
      <c r="H32" s="410">
        <v>0.36</v>
      </c>
      <c r="I32" s="412">
        <v>1.06</v>
      </c>
      <c r="J32" s="410"/>
      <c r="K32" s="412" t="s">
        <v>1797</v>
      </c>
      <c r="L32" s="410">
        <f>+G32</f>
        <v>5</v>
      </c>
      <c r="M32" s="410">
        <f>+H32:H32</f>
        <v>0.36</v>
      </c>
      <c r="N32" s="412">
        <f>+L32*M32</f>
        <v>1.7999999999999998</v>
      </c>
      <c r="O32" s="410">
        <v>5</v>
      </c>
      <c r="P32" s="410">
        <v>0.36</v>
      </c>
      <c r="Q32" s="410">
        <v>1.7999999999999998</v>
      </c>
      <c r="R32" s="410"/>
      <c r="S32" s="410"/>
    </row>
    <row r="33" spans="2:19">
      <c r="B33" s="410">
        <f t="shared" si="0"/>
        <v>20</v>
      </c>
      <c r="C33" s="410" t="s">
        <v>376</v>
      </c>
      <c r="D33" s="410">
        <v>92</v>
      </c>
      <c r="E33" s="410">
        <v>63</v>
      </c>
      <c r="F33" s="410"/>
      <c r="G33" s="410">
        <v>7</v>
      </c>
      <c r="H33" s="410">
        <v>0.46</v>
      </c>
      <c r="I33" s="412">
        <v>1.06</v>
      </c>
      <c r="J33" s="410"/>
      <c r="K33" s="411" t="s">
        <v>149</v>
      </c>
      <c r="L33" s="412">
        <f t="shared" ref="L33:L34" si="1">+G33</f>
        <v>7</v>
      </c>
      <c r="M33" s="412">
        <f t="shared" ref="M33:M34" si="2">+H33:H33</f>
        <v>0.46</v>
      </c>
      <c r="N33" s="412">
        <f>+L33*M33</f>
        <v>3.22</v>
      </c>
      <c r="O33" s="410">
        <v>7</v>
      </c>
      <c r="P33" s="410">
        <v>0.46</v>
      </c>
      <c r="Q33" s="410">
        <v>3.22</v>
      </c>
      <c r="R33" s="410"/>
      <c r="S33" s="410"/>
    </row>
    <row r="34" spans="2:19">
      <c r="B34" s="410">
        <f t="shared" si="0"/>
        <v>21</v>
      </c>
      <c r="C34" s="410" t="s">
        <v>51</v>
      </c>
      <c r="D34" s="410" t="s">
        <v>1382</v>
      </c>
      <c r="E34" s="410">
        <v>63</v>
      </c>
      <c r="F34" s="410"/>
      <c r="G34" s="410">
        <v>83.3</v>
      </c>
      <c r="H34" s="410">
        <v>0.36</v>
      </c>
      <c r="I34" s="412">
        <v>1.06</v>
      </c>
      <c r="J34" s="410"/>
      <c r="K34" s="411" t="s">
        <v>45</v>
      </c>
      <c r="L34" s="412">
        <f t="shared" si="1"/>
        <v>83.3</v>
      </c>
      <c r="M34" s="412">
        <f t="shared" si="2"/>
        <v>0.36</v>
      </c>
      <c r="N34" s="412">
        <f>+L34*M34</f>
        <v>29.988</v>
      </c>
      <c r="O34" s="410">
        <v>83.3</v>
      </c>
      <c r="P34" s="410">
        <v>0.36</v>
      </c>
      <c r="Q34" s="410">
        <v>29.988</v>
      </c>
      <c r="R34" s="410"/>
      <c r="S34" s="410"/>
    </row>
    <row r="35" spans="2:19">
      <c r="B35" s="410">
        <f t="shared" si="0"/>
        <v>22</v>
      </c>
      <c r="C35" s="410" t="s">
        <v>1377</v>
      </c>
      <c r="D35" s="410" t="s">
        <v>127</v>
      </c>
      <c r="E35" s="410">
        <v>63</v>
      </c>
      <c r="F35" s="410"/>
      <c r="G35" s="410">
        <v>65</v>
      </c>
      <c r="H35" s="410">
        <v>0.36</v>
      </c>
      <c r="I35" s="412">
        <v>1.06</v>
      </c>
      <c r="J35" s="410"/>
      <c r="K35" s="411"/>
      <c r="L35" s="410"/>
      <c r="M35" s="410"/>
      <c r="N35" s="410"/>
      <c r="O35" s="410"/>
      <c r="P35" s="410"/>
      <c r="Q35" s="410"/>
      <c r="R35" s="410"/>
      <c r="S35" s="410"/>
    </row>
    <row r="36" spans="2:19">
      <c r="B36" s="410">
        <f t="shared" si="0"/>
        <v>23</v>
      </c>
      <c r="C36" s="410" t="s">
        <v>1377</v>
      </c>
      <c r="D36" s="410" t="s">
        <v>95</v>
      </c>
      <c r="E36" s="410">
        <v>63</v>
      </c>
      <c r="F36" s="410"/>
      <c r="G36" s="410">
        <v>26.8</v>
      </c>
      <c r="H36" s="413">
        <v>0.36</v>
      </c>
      <c r="I36" s="412">
        <v>1.06</v>
      </c>
      <c r="J36" s="410"/>
      <c r="K36" s="411"/>
      <c r="L36" s="410"/>
      <c r="M36" s="410"/>
      <c r="N36" s="410"/>
      <c r="O36" s="410"/>
      <c r="P36" s="410"/>
      <c r="Q36" s="410"/>
      <c r="R36" s="410"/>
      <c r="S36" s="410"/>
    </row>
    <row r="37" spans="2:19">
      <c r="B37" s="410">
        <f t="shared" si="0"/>
        <v>24</v>
      </c>
      <c r="C37" s="410" t="s">
        <v>1361</v>
      </c>
      <c r="D37" s="410" t="s">
        <v>95</v>
      </c>
      <c r="E37" s="410">
        <v>63</v>
      </c>
      <c r="F37" s="410">
        <v>39</v>
      </c>
      <c r="G37" s="410">
        <v>53</v>
      </c>
      <c r="H37" s="413">
        <v>0.36</v>
      </c>
      <c r="I37" s="412">
        <v>1.06</v>
      </c>
      <c r="J37" s="410"/>
      <c r="K37" s="411"/>
      <c r="L37" s="410"/>
      <c r="M37" s="410"/>
      <c r="N37" s="410"/>
      <c r="O37" s="410"/>
      <c r="P37" s="410"/>
      <c r="Q37" s="410"/>
      <c r="R37" s="410"/>
      <c r="S37" s="410"/>
    </row>
    <row r="38" spans="2:19">
      <c r="B38" s="410">
        <f t="shared" si="0"/>
        <v>25</v>
      </c>
      <c r="C38" s="410" t="s">
        <v>95</v>
      </c>
      <c r="D38" s="410" t="s">
        <v>134</v>
      </c>
      <c r="E38" s="410">
        <v>63</v>
      </c>
      <c r="F38" s="410"/>
      <c r="G38" s="410">
        <v>76.2</v>
      </c>
      <c r="H38" s="413">
        <v>0.36</v>
      </c>
      <c r="I38" s="412">
        <v>1.06</v>
      </c>
      <c r="J38" s="410"/>
      <c r="K38" s="411"/>
      <c r="L38" s="410"/>
      <c r="M38" s="410"/>
      <c r="N38" s="410"/>
      <c r="O38" s="410"/>
      <c r="P38" s="410"/>
      <c r="Q38" s="410"/>
      <c r="R38" s="410"/>
      <c r="S38" s="410"/>
    </row>
    <row r="39" spans="2:19">
      <c r="B39" s="410">
        <f t="shared" si="0"/>
        <v>26</v>
      </c>
      <c r="C39" s="410" t="s">
        <v>95</v>
      </c>
      <c r="D39" s="410" t="s">
        <v>134</v>
      </c>
      <c r="E39" s="410">
        <v>63</v>
      </c>
      <c r="F39" s="410"/>
      <c r="G39" s="410">
        <v>5</v>
      </c>
      <c r="H39" s="410">
        <v>0.36</v>
      </c>
      <c r="I39" s="412">
        <v>1.06</v>
      </c>
      <c r="J39" s="410"/>
      <c r="K39" s="412" t="s">
        <v>1797</v>
      </c>
      <c r="L39" s="410">
        <f>+G39</f>
        <v>5</v>
      </c>
      <c r="M39" s="410">
        <f>+H39</f>
        <v>0.36</v>
      </c>
      <c r="N39" s="412">
        <f>+L39*M39</f>
        <v>1.7999999999999998</v>
      </c>
      <c r="O39" s="410">
        <v>5</v>
      </c>
      <c r="P39" s="410">
        <v>0.36</v>
      </c>
      <c r="Q39" s="410">
        <v>1.7999999999999998</v>
      </c>
      <c r="R39" s="410"/>
      <c r="S39" s="410"/>
    </row>
    <row r="40" spans="2:19">
      <c r="B40" s="410">
        <f t="shared" si="0"/>
        <v>27</v>
      </c>
      <c r="C40" s="410" t="s">
        <v>376</v>
      </c>
      <c r="D40" s="410" t="s">
        <v>731</v>
      </c>
      <c r="E40" s="410">
        <v>63</v>
      </c>
      <c r="F40" s="410"/>
      <c r="G40" s="410">
        <v>5</v>
      </c>
      <c r="H40" s="412">
        <v>0.36</v>
      </c>
      <c r="I40" s="412">
        <v>1.06</v>
      </c>
      <c r="J40" s="410"/>
      <c r="K40" s="412" t="s">
        <v>1797</v>
      </c>
      <c r="L40" s="412">
        <f t="shared" ref="L40:L41" si="3">+G40</f>
        <v>5</v>
      </c>
      <c r="M40" s="412">
        <f t="shared" ref="M40:M41" si="4">+H40</f>
        <v>0.36</v>
      </c>
      <c r="N40" s="412">
        <f>+L40*M40</f>
        <v>1.7999999999999998</v>
      </c>
      <c r="O40" s="410">
        <v>5</v>
      </c>
      <c r="P40" s="410">
        <v>0.36</v>
      </c>
      <c r="Q40" s="410">
        <v>1.7999999999999998</v>
      </c>
      <c r="R40" s="410"/>
      <c r="S40" s="410"/>
    </row>
    <row r="41" spans="2:19">
      <c r="B41" s="410">
        <f t="shared" si="0"/>
        <v>28</v>
      </c>
      <c r="C41" s="410" t="s">
        <v>376</v>
      </c>
      <c r="D41" s="410" t="s">
        <v>134</v>
      </c>
      <c r="E41" s="410">
        <v>63</v>
      </c>
      <c r="F41" s="410"/>
      <c r="G41" s="410">
        <v>7</v>
      </c>
      <c r="H41" s="412">
        <v>0.36</v>
      </c>
      <c r="I41" s="412">
        <v>1.06</v>
      </c>
      <c r="J41" s="410"/>
      <c r="K41" s="412" t="s">
        <v>1797</v>
      </c>
      <c r="L41" s="412">
        <f t="shared" si="3"/>
        <v>7</v>
      </c>
      <c r="M41" s="412">
        <f t="shared" si="4"/>
        <v>0.36</v>
      </c>
      <c r="N41" s="412">
        <f>+L41*M41</f>
        <v>2.52</v>
      </c>
      <c r="O41" s="410">
        <v>7</v>
      </c>
      <c r="P41" s="410">
        <v>0.36</v>
      </c>
      <c r="Q41" s="410">
        <v>2.52</v>
      </c>
      <c r="R41" s="410"/>
      <c r="S41" s="410"/>
    </row>
    <row r="42" spans="2:19">
      <c r="B42" s="410">
        <f t="shared" si="0"/>
        <v>29</v>
      </c>
      <c r="C42" s="410" t="s">
        <v>168</v>
      </c>
      <c r="D42" s="410" t="s">
        <v>169</v>
      </c>
      <c r="E42" s="410">
        <v>63</v>
      </c>
      <c r="F42" s="410"/>
      <c r="G42" s="410">
        <v>208.3</v>
      </c>
      <c r="H42" s="413">
        <v>0.36</v>
      </c>
      <c r="I42" s="412">
        <v>1.06</v>
      </c>
      <c r="J42" s="410"/>
      <c r="K42" s="410"/>
      <c r="L42" s="410"/>
      <c r="M42" s="410"/>
      <c r="N42" s="410"/>
      <c r="O42" s="410"/>
      <c r="P42" s="410"/>
      <c r="Q42" s="410"/>
      <c r="R42" s="410"/>
      <c r="S42" s="410"/>
    </row>
    <row r="43" spans="2:19">
      <c r="B43" s="410">
        <f t="shared" si="0"/>
        <v>30</v>
      </c>
      <c r="C43" s="410" t="s">
        <v>138</v>
      </c>
      <c r="D43" s="410" t="s">
        <v>143</v>
      </c>
      <c r="E43" s="410">
        <v>63</v>
      </c>
      <c r="F43" s="410"/>
      <c r="G43" s="410">
        <v>94.6</v>
      </c>
      <c r="H43" s="413">
        <v>0.36</v>
      </c>
      <c r="I43" s="412">
        <v>1.06</v>
      </c>
      <c r="J43" s="410"/>
      <c r="K43" s="410"/>
      <c r="L43" s="410"/>
      <c r="M43" s="410"/>
      <c r="N43" s="410"/>
      <c r="O43" s="410"/>
      <c r="P43" s="410"/>
      <c r="Q43" s="410"/>
      <c r="R43" s="410"/>
      <c r="S43" s="410"/>
    </row>
    <row r="44" spans="2:19">
      <c r="B44" s="410">
        <f t="shared" si="0"/>
        <v>31</v>
      </c>
      <c r="C44" s="410" t="s">
        <v>727</v>
      </c>
      <c r="D44" s="410" t="s">
        <v>122</v>
      </c>
      <c r="E44" s="410">
        <v>63</v>
      </c>
      <c r="F44" s="410"/>
      <c r="G44" s="410">
        <v>6</v>
      </c>
      <c r="H44" s="410">
        <v>0.36</v>
      </c>
      <c r="I44" s="412">
        <v>1.06</v>
      </c>
      <c r="J44" s="410"/>
      <c r="K44" s="412" t="s">
        <v>1797</v>
      </c>
      <c r="L44" s="410">
        <f>+G44</f>
        <v>6</v>
      </c>
      <c r="M44" s="410">
        <f>+H44</f>
        <v>0.36</v>
      </c>
      <c r="N44" s="412">
        <f>+L44*M44</f>
        <v>2.16</v>
      </c>
      <c r="O44" s="410">
        <v>6</v>
      </c>
      <c r="P44" s="410">
        <v>0.36</v>
      </c>
      <c r="Q44" s="410">
        <v>2.16</v>
      </c>
      <c r="R44" s="410"/>
      <c r="S44" s="410"/>
    </row>
    <row r="45" spans="2:19">
      <c r="B45" s="410">
        <f t="shared" si="0"/>
        <v>32</v>
      </c>
      <c r="C45" s="410" t="s">
        <v>727</v>
      </c>
      <c r="D45" s="410" t="s">
        <v>122</v>
      </c>
      <c r="E45" s="410">
        <v>63</v>
      </c>
      <c r="F45" s="410"/>
      <c r="G45" s="410">
        <v>76</v>
      </c>
      <c r="H45" s="410">
        <v>0.36</v>
      </c>
      <c r="I45" s="412">
        <v>1.06</v>
      </c>
      <c r="J45" s="410"/>
      <c r="K45" s="410" t="s">
        <v>45</v>
      </c>
      <c r="L45" s="412">
        <f>+G45</f>
        <v>76</v>
      </c>
      <c r="M45" s="412">
        <f>+H45</f>
        <v>0.36</v>
      </c>
      <c r="N45" s="412">
        <f>+L45*M45</f>
        <v>27.36</v>
      </c>
      <c r="O45" s="410">
        <v>76</v>
      </c>
      <c r="P45" s="410">
        <v>0.36</v>
      </c>
      <c r="Q45" s="410">
        <v>27.36</v>
      </c>
      <c r="R45" s="410"/>
      <c r="S45" s="410"/>
    </row>
    <row r="46" spans="2:19">
      <c r="B46" s="410">
        <f t="shared" si="0"/>
        <v>33</v>
      </c>
      <c r="C46" s="410" t="s">
        <v>148</v>
      </c>
      <c r="D46" s="410" t="s">
        <v>144</v>
      </c>
      <c r="E46" s="410">
        <v>63</v>
      </c>
      <c r="F46" s="410"/>
      <c r="G46" s="410">
        <v>815.3</v>
      </c>
      <c r="H46" s="413">
        <v>0.36</v>
      </c>
      <c r="I46" s="412">
        <v>1.06</v>
      </c>
      <c r="J46" s="410"/>
      <c r="K46" s="410"/>
      <c r="L46" s="410"/>
      <c r="M46" s="410"/>
      <c r="N46" s="410"/>
      <c r="O46" s="410"/>
      <c r="P46" s="410"/>
      <c r="Q46" s="410"/>
      <c r="R46" s="410"/>
      <c r="S46" s="410"/>
    </row>
    <row r="47" spans="2:19">
      <c r="B47" s="410">
        <f t="shared" si="0"/>
        <v>34</v>
      </c>
      <c r="C47" s="410" t="s">
        <v>148</v>
      </c>
      <c r="D47" s="410" t="s">
        <v>159</v>
      </c>
      <c r="E47" s="410">
        <v>63</v>
      </c>
      <c r="F47" s="410"/>
      <c r="G47" s="410">
        <v>46.3</v>
      </c>
      <c r="H47" s="413">
        <v>0.36</v>
      </c>
      <c r="I47" s="412">
        <v>1.06</v>
      </c>
      <c r="J47" s="410"/>
      <c r="K47" s="410"/>
      <c r="L47" s="410"/>
      <c r="M47" s="410"/>
      <c r="N47" s="410"/>
      <c r="O47" s="410"/>
      <c r="P47" s="410"/>
      <c r="Q47" s="410"/>
      <c r="R47" s="410"/>
      <c r="S47" s="410"/>
    </row>
    <row r="48" spans="2:19">
      <c r="B48" s="410">
        <f t="shared" si="0"/>
        <v>35</v>
      </c>
      <c r="C48" s="410" t="s">
        <v>110</v>
      </c>
      <c r="D48" s="410" t="s">
        <v>1815</v>
      </c>
      <c r="E48" s="410">
        <v>63</v>
      </c>
      <c r="F48" s="410"/>
      <c r="G48" s="410">
        <v>112.3</v>
      </c>
      <c r="H48" s="413">
        <v>0.36</v>
      </c>
      <c r="I48" s="412">
        <v>1.06</v>
      </c>
      <c r="J48" s="410"/>
      <c r="K48" s="410"/>
      <c r="L48" s="410"/>
      <c r="M48" s="410"/>
      <c r="N48" s="410"/>
      <c r="O48" s="410"/>
      <c r="P48" s="410"/>
      <c r="Q48" s="410"/>
      <c r="R48" s="410"/>
      <c r="S48" s="410"/>
    </row>
    <row r="49" spans="2:19">
      <c r="B49" s="410">
        <f t="shared" si="0"/>
        <v>36</v>
      </c>
      <c r="C49" s="410" t="s">
        <v>828</v>
      </c>
      <c r="D49" s="410" t="s">
        <v>1815</v>
      </c>
      <c r="E49" s="410">
        <v>63</v>
      </c>
      <c r="F49" s="410"/>
      <c r="G49" s="410">
        <v>161</v>
      </c>
      <c r="H49" s="410">
        <v>0.36</v>
      </c>
      <c r="I49" s="412">
        <v>1.06</v>
      </c>
      <c r="J49" s="410"/>
      <c r="K49" s="410" t="s">
        <v>45</v>
      </c>
      <c r="L49" s="410">
        <f>+G49</f>
        <v>161</v>
      </c>
      <c r="M49" s="410">
        <f>+H49</f>
        <v>0.36</v>
      </c>
      <c r="N49" s="412">
        <f>+L49*M49</f>
        <v>57.96</v>
      </c>
      <c r="O49" s="410">
        <v>161</v>
      </c>
      <c r="P49" s="410">
        <v>0.36</v>
      </c>
      <c r="Q49" s="410">
        <v>57.96</v>
      </c>
      <c r="R49" s="410"/>
      <c r="S49" s="410"/>
    </row>
    <row r="50" spans="2:19">
      <c r="B50" s="410">
        <f t="shared" si="0"/>
        <v>37</v>
      </c>
      <c r="C50" s="410" t="s">
        <v>121</v>
      </c>
      <c r="D50" s="410" t="s">
        <v>171</v>
      </c>
      <c r="E50" s="410">
        <v>63</v>
      </c>
      <c r="F50" s="410"/>
      <c r="G50" s="410">
        <v>25</v>
      </c>
      <c r="H50" s="410">
        <v>0.46</v>
      </c>
      <c r="I50" s="412">
        <v>1.06</v>
      </c>
      <c r="J50" s="410"/>
      <c r="K50" s="411" t="s">
        <v>149</v>
      </c>
      <c r="L50" s="410">
        <f>+G50</f>
        <v>25</v>
      </c>
      <c r="M50" s="412">
        <f>+H50</f>
        <v>0.46</v>
      </c>
      <c r="N50" s="412">
        <f>+L50*M50</f>
        <v>11.5</v>
      </c>
      <c r="O50" s="410">
        <v>25</v>
      </c>
      <c r="P50" s="410">
        <v>0.46</v>
      </c>
      <c r="Q50" s="410">
        <v>11.5</v>
      </c>
      <c r="R50" s="410"/>
      <c r="S50" s="410"/>
    </row>
    <row r="51" spans="2:19">
      <c r="B51" s="410">
        <f t="shared" si="0"/>
        <v>38</v>
      </c>
      <c r="C51" s="410" t="s">
        <v>171</v>
      </c>
      <c r="D51" s="410" t="s">
        <v>723</v>
      </c>
      <c r="E51" s="410">
        <v>63</v>
      </c>
      <c r="F51" s="410"/>
      <c r="G51" s="410">
        <v>30</v>
      </c>
      <c r="H51" s="410">
        <v>0.36</v>
      </c>
      <c r="I51" s="412">
        <v>1.06</v>
      </c>
      <c r="J51" s="410"/>
      <c r="K51" s="410"/>
      <c r="L51" s="410"/>
      <c r="M51" s="410"/>
      <c r="N51" s="410"/>
      <c r="O51" s="410"/>
      <c r="P51" s="410"/>
      <c r="Q51" s="410"/>
      <c r="R51" s="410"/>
      <c r="S51" s="410"/>
    </row>
    <row r="52" spans="2:19">
      <c r="B52" s="410">
        <f t="shared" si="0"/>
        <v>39</v>
      </c>
      <c r="C52" s="410" t="s">
        <v>171</v>
      </c>
      <c r="D52" s="410" t="s">
        <v>88</v>
      </c>
      <c r="E52" s="410">
        <v>63</v>
      </c>
      <c r="F52" s="410"/>
      <c r="G52" s="410">
        <v>23.4</v>
      </c>
      <c r="H52" s="413">
        <v>0.36</v>
      </c>
      <c r="I52" s="412">
        <v>1.06</v>
      </c>
      <c r="J52" s="410"/>
      <c r="K52" s="410"/>
      <c r="L52" s="410"/>
      <c r="M52" s="410"/>
      <c r="N52" s="410"/>
      <c r="O52" s="410"/>
      <c r="P52" s="410"/>
      <c r="Q52" s="410"/>
      <c r="R52" s="410"/>
      <c r="S52" s="410"/>
    </row>
    <row r="53" spans="2:19">
      <c r="B53" s="410">
        <f t="shared" si="0"/>
        <v>40</v>
      </c>
      <c r="C53" s="410" t="s">
        <v>1317</v>
      </c>
      <c r="D53" s="410" t="s">
        <v>1745</v>
      </c>
      <c r="E53" s="410">
        <v>63</v>
      </c>
      <c r="F53" s="410"/>
      <c r="G53" s="410">
        <v>104.3</v>
      </c>
      <c r="H53" s="413">
        <v>0.36</v>
      </c>
      <c r="I53" s="412">
        <v>1.06</v>
      </c>
      <c r="J53" s="410"/>
      <c r="K53" s="410"/>
      <c r="L53" s="410"/>
      <c r="M53" s="410"/>
      <c r="N53" s="410"/>
      <c r="O53" s="410"/>
      <c r="P53" s="410"/>
      <c r="Q53" s="410"/>
      <c r="R53" s="410"/>
      <c r="S53" s="410"/>
    </row>
    <row r="54" spans="2:19">
      <c r="B54" s="410">
        <f t="shared" si="0"/>
        <v>41</v>
      </c>
      <c r="C54" s="410" t="s">
        <v>1745</v>
      </c>
      <c r="D54" s="410" t="s">
        <v>1298</v>
      </c>
      <c r="E54" s="410">
        <v>63</v>
      </c>
      <c r="F54" s="410"/>
      <c r="G54" s="410">
        <v>53.2</v>
      </c>
      <c r="H54" s="413">
        <v>0.36</v>
      </c>
      <c r="I54" s="412">
        <v>1.06</v>
      </c>
      <c r="J54" s="410"/>
      <c r="K54" s="410"/>
      <c r="L54" s="410"/>
      <c r="M54" s="410"/>
      <c r="N54" s="410"/>
      <c r="O54" s="410"/>
      <c r="P54" s="410"/>
      <c r="Q54" s="410"/>
      <c r="R54" s="410"/>
      <c r="S54" s="410"/>
    </row>
    <row r="55" spans="2:19">
      <c r="B55" s="410">
        <f t="shared" si="0"/>
        <v>42</v>
      </c>
      <c r="C55" s="410" t="s">
        <v>1745</v>
      </c>
      <c r="D55" s="410" t="s">
        <v>1771</v>
      </c>
      <c r="E55" s="410">
        <v>63</v>
      </c>
      <c r="F55" s="410"/>
      <c r="G55" s="410">
        <v>123.2</v>
      </c>
      <c r="H55" s="413">
        <v>0.36</v>
      </c>
      <c r="I55" s="412">
        <v>1.06</v>
      </c>
      <c r="J55" s="410"/>
      <c r="K55" s="410"/>
      <c r="L55" s="410"/>
      <c r="M55" s="410"/>
      <c r="N55" s="410"/>
      <c r="O55" s="410"/>
      <c r="P55" s="410"/>
      <c r="Q55" s="410"/>
      <c r="R55" s="410"/>
      <c r="S55" s="410"/>
    </row>
    <row r="56" spans="2:19">
      <c r="B56" s="410">
        <f t="shared" si="0"/>
        <v>43</v>
      </c>
      <c r="C56" s="410" t="s">
        <v>1771</v>
      </c>
      <c r="D56" s="410" t="s">
        <v>1816</v>
      </c>
      <c r="E56" s="410">
        <v>63</v>
      </c>
      <c r="F56" s="410"/>
      <c r="G56" s="410">
        <v>40</v>
      </c>
      <c r="H56" s="413">
        <v>0.36</v>
      </c>
      <c r="I56" s="412">
        <v>1.06</v>
      </c>
      <c r="J56" s="410"/>
      <c r="K56" s="410"/>
      <c r="L56" s="410"/>
      <c r="M56" s="410"/>
      <c r="N56" s="410"/>
      <c r="O56" s="410"/>
      <c r="P56" s="410"/>
      <c r="Q56" s="410"/>
      <c r="R56" s="410"/>
      <c r="S56" s="410"/>
    </row>
    <row r="57" spans="2:19">
      <c r="B57" s="410">
        <f t="shared" si="0"/>
        <v>44</v>
      </c>
      <c r="C57" s="410" t="s">
        <v>1771</v>
      </c>
      <c r="D57" s="410" t="s">
        <v>1816</v>
      </c>
      <c r="E57" s="410">
        <v>63</v>
      </c>
      <c r="F57" s="410"/>
      <c r="G57" s="410">
        <v>11.1</v>
      </c>
      <c r="H57" s="413">
        <v>0.36</v>
      </c>
      <c r="I57" s="412">
        <v>1.06</v>
      </c>
      <c r="J57" s="410"/>
      <c r="K57" s="410"/>
      <c r="L57" s="410"/>
      <c r="M57" s="410"/>
      <c r="N57" s="410"/>
      <c r="O57" s="410"/>
      <c r="P57" s="410"/>
      <c r="Q57" s="410"/>
      <c r="R57" s="410"/>
      <c r="S57" s="410"/>
    </row>
    <row r="58" spans="2:19">
      <c r="B58" s="410">
        <f t="shared" si="0"/>
        <v>45</v>
      </c>
      <c r="C58" s="410" t="s">
        <v>1771</v>
      </c>
      <c r="D58" s="410" t="s">
        <v>1817</v>
      </c>
      <c r="E58" s="410">
        <v>63</v>
      </c>
      <c r="F58" s="410"/>
      <c r="G58" s="410">
        <v>186.8</v>
      </c>
      <c r="H58" s="413">
        <v>0.36</v>
      </c>
      <c r="I58" s="412">
        <v>1.06</v>
      </c>
      <c r="J58" s="410"/>
      <c r="K58" s="410"/>
      <c r="L58" s="410"/>
      <c r="M58" s="410"/>
      <c r="N58" s="410"/>
      <c r="O58" s="410"/>
      <c r="P58" s="410"/>
      <c r="Q58" s="410"/>
      <c r="R58" s="410"/>
      <c r="S58" s="410"/>
    </row>
    <row r="59" spans="2:19">
      <c r="B59" s="410">
        <f t="shared" si="0"/>
        <v>46</v>
      </c>
      <c r="C59" s="410" t="s">
        <v>1173</v>
      </c>
      <c r="D59" s="410" t="s">
        <v>1744</v>
      </c>
      <c r="E59" s="410">
        <v>63</v>
      </c>
      <c r="F59" s="410"/>
      <c r="G59" s="410">
        <v>315.60000000000002</v>
      </c>
      <c r="H59" s="413">
        <v>0.36</v>
      </c>
      <c r="I59" s="412">
        <v>1.06</v>
      </c>
      <c r="J59" s="410"/>
      <c r="K59" s="410"/>
      <c r="L59" s="410"/>
      <c r="M59" s="410"/>
      <c r="N59" s="410"/>
      <c r="O59" s="410"/>
      <c r="P59" s="410"/>
      <c r="Q59" s="410"/>
      <c r="R59" s="410"/>
      <c r="S59" s="410"/>
    </row>
    <row r="60" spans="2:19">
      <c r="B60" s="410">
        <f t="shared" si="0"/>
        <v>47</v>
      </c>
      <c r="C60" s="410" t="s">
        <v>1817</v>
      </c>
      <c r="D60" s="410" t="s">
        <v>925</v>
      </c>
      <c r="E60" s="410">
        <v>63</v>
      </c>
      <c r="F60" s="410"/>
      <c r="G60" s="410">
        <v>753.3</v>
      </c>
      <c r="H60" s="413">
        <v>0.36</v>
      </c>
      <c r="I60" s="412">
        <v>1.06</v>
      </c>
      <c r="J60" s="410"/>
      <c r="K60" s="410"/>
      <c r="L60" s="410"/>
      <c r="M60" s="410"/>
      <c r="N60" s="410"/>
      <c r="O60" s="410"/>
      <c r="P60" s="410"/>
      <c r="Q60" s="410"/>
      <c r="R60" s="410"/>
      <c r="S60" s="410"/>
    </row>
    <row r="61" spans="2:19">
      <c r="B61" s="410">
        <f t="shared" si="0"/>
        <v>48</v>
      </c>
      <c r="C61" s="410" t="s">
        <v>925</v>
      </c>
      <c r="D61" s="410" t="s">
        <v>836</v>
      </c>
      <c r="E61" s="410">
        <v>90</v>
      </c>
      <c r="F61" s="410"/>
      <c r="G61" s="410">
        <v>60.3</v>
      </c>
      <c r="H61" s="410">
        <v>0.39</v>
      </c>
      <c r="I61" s="410">
        <v>1.0900000000000001</v>
      </c>
      <c r="J61" s="410"/>
      <c r="K61" s="410"/>
      <c r="L61" s="410"/>
      <c r="M61" s="410"/>
      <c r="N61" s="410"/>
      <c r="O61" s="410"/>
      <c r="P61" s="410"/>
      <c r="Q61" s="410"/>
      <c r="R61" s="410"/>
      <c r="S61" s="410"/>
    </row>
    <row r="62" spans="2:19">
      <c r="B62" s="410">
        <f t="shared" si="0"/>
        <v>49</v>
      </c>
      <c r="C62" s="410" t="s">
        <v>925</v>
      </c>
      <c r="D62" s="410" t="s">
        <v>167</v>
      </c>
      <c r="E62" s="410">
        <v>75</v>
      </c>
      <c r="F62" s="410"/>
      <c r="G62" s="410">
        <v>120</v>
      </c>
      <c r="H62" s="410">
        <v>0.46</v>
      </c>
      <c r="I62" s="410">
        <v>1.07</v>
      </c>
      <c r="J62" s="410"/>
      <c r="K62" s="410" t="s">
        <v>149</v>
      </c>
      <c r="L62" s="410">
        <f>+G62</f>
        <v>120</v>
      </c>
      <c r="M62" s="410">
        <f>+H62</f>
        <v>0.46</v>
      </c>
      <c r="N62" s="412">
        <f>+L62*M62</f>
        <v>55.2</v>
      </c>
      <c r="O62" s="410">
        <v>120</v>
      </c>
      <c r="P62" s="410">
        <v>0.46</v>
      </c>
      <c r="Q62" s="410">
        <v>55.2</v>
      </c>
      <c r="R62" s="410"/>
      <c r="S62" s="410"/>
    </row>
    <row r="63" spans="2:19">
      <c r="B63" s="410">
        <f t="shared" si="0"/>
        <v>50</v>
      </c>
      <c r="C63" s="410" t="s">
        <v>36</v>
      </c>
      <c r="D63" s="410" t="s">
        <v>29</v>
      </c>
      <c r="E63" s="410">
        <v>63</v>
      </c>
      <c r="F63" s="410"/>
      <c r="G63" s="410">
        <v>26</v>
      </c>
      <c r="H63" s="410">
        <v>0.36</v>
      </c>
      <c r="I63" s="410">
        <v>1.06</v>
      </c>
      <c r="J63" s="410"/>
      <c r="K63" s="410"/>
      <c r="L63" s="410"/>
      <c r="M63" s="410"/>
      <c r="N63" s="410"/>
      <c r="O63" s="410"/>
      <c r="P63" s="410"/>
      <c r="Q63" s="410"/>
      <c r="R63" s="410"/>
      <c r="S63" s="410"/>
    </row>
    <row r="64" spans="2:19">
      <c r="B64" s="410">
        <f t="shared" si="0"/>
        <v>51</v>
      </c>
      <c r="C64" s="410" t="s">
        <v>167</v>
      </c>
      <c r="D64" s="410" t="s">
        <v>36</v>
      </c>
      <c r="E64" s="410">
        <v>75</v>
      </c>
      <c r="F64" s="410"/>
      <c r="G64" s="410">
        <v>30</v>
      </c>
      <c r="H64" s="410">
        <v>0.37</v>
      </c>
      <c r="I64" s="410">
        <v>1.07</v>
      </c>
      <c r="J64" s="410"/>
      <c r="K64" s="410"/>
      <c r="L64" s="410"/>
      <c r="M64" s="410"/>
      <c r="N64" s="410"/>
      <c r="O64" s="410"/>
      <c r="P64" s="410"/>
      <c r="Q64" s="410"/>
      <c r="R64" s="410"/>
      <c r="S64" s="410"/>
    </row>
    <row r="65" spans="2:20">
      <c r="B65" s="410">
        <f t="shared" si="0"/>
        <v>52</v>
      </c>
      <c r="C65" s="410" t="s">
        <v>29</v>
      </c>
      <c r="D65" s="410" t="s">
        <v>1371</v>
      </c>
      <c r="E65" s="410">
        <v>63</v>
      </c>
      <c r="F65" s="410"/>
      <c r="G65" s="410">
        <v>21.1</v>
      </c>
      <c r="H65" s="410">
        <v>0.36</v>
      </c>
      <c r="I65" s="410">
        <v>1.06</v>
      </c>
      <c r="J65" s="410"/>
      <c r="K65" s="410"/>
      <c r="L65" s="410"/>
      <c r="M65" s="410"/>
      <c r="N65" s="410"/>
      <c r="O65" s="410"/>
      <c r="P65" s="410"/>
      <c r="Q65" s="410"/>
      <c r="R65" s="410"/>
      <c r="S65" s="410"/>
    </row>
    <row r="66" spans="2:20">
      <c r="B66" s="410">
        <f t="shared" si="0"/>
        <v>53</v>
      </c>
      <c r="C66" s="410" t="s">
        <v>42</v>
      </c>
      <c r="D66" s="410" t="s">
        <v>36</v>
      </c>
      <c r="E66" s="410">
        <v>63</v>
      </c>
      <c r="F66" s="410"/>
      <c r="G66" s="410">
        <v>30.2</v>
      </c>
      <c r="H66" s="410">
        <v>0.46</v>
      </c>
      <c r="I66" s="412">
        <v>1.06</v>
      </c>
      <c r="J66" s="410"/>
      <c r="K66" s="410" t="s">
        <v>149</v>
      </c>
      <c r="L66" s="410">
        <f>+G66</f>
        <v>30.2</v>
      </c>
      <c r="M66" s="410">
        <f>+H66</f>
        <v>0.46</v>
      </c>
      <c r="N66" s="412">
        <f>+L66*M66</f>
        <v>13.891999999999999</v>
      </c>
      <c r="O66" s="410">
        <v>30.2</v>
      </c>
      <c r="P66" s="410">
        <v>0.46</v>
      </c>
      <c r="Q66" s="410">
        <v>13.891999999999999</v>
      </c>
      <c r="R66" s="410"/>
      <c r="S66" s="410"/>
    </row>
    <row r="67" spans="2:20">
      <c r="B67" s="410">
        <f t="shared" si="0"/>
        <v>54</v>
      </c>
      <c r="C67" s="410" t="s">
        <v>1356</v>
      </c>
      <c r="D67" s="410" t="s">
        <v>42</v>
      </c>
      <c r="E67" s="410">
        <v>63</v>
      </c>
      <c r="F67" s="410"/>
      <c r="G67" s="410">
        <v>27.2</v>
      </c>
      <c r="H67" s="410">
        <v>0.36</v>
      </c>
      <c r="I67" s="412">
        <v>1.06</v>
      </c>
      <c r="J67" s="410"/>
      <c r="K67" s="410"/>
      <c r="L67" s="410"/>
      <c r="M67" s="410"/>
      <c r="N67" s="410"/>
      <c r="O67" s="410"/>
      <c r="P67" s="410"/>
      <c r="Q67" s="410"/>
      <c r="R67" s="410"/>
      <c r="S67" s="410"/>
    </row>
    <row r="68" spans="2:20">
      <c r="B68" s="410">
        <f t="shared" si="0"/>
        <v>55</v>
      </c>
      <c r="C68" s="103" t="s">
        <v>29</v>
      </c>
      <c r="D68" s="103" t="s">
        <v>30</v>
      </c>
      <c r="E68" s="410">
        <v>63</v>
      </c>
      <c r="F68" s="410"/>
      <c r="G68" s="410">
        <v>20.5</v>
      </c>
      <c r="H68" s="410">
        <v>0.46</v>
      </c>
      <c r="I68" s="412">
        <v>1.06</v>
      </c>
      <c r="J68" s="410"/>
      <c r="K68" s="410" t="s">
        <v>149</v>
      </c>
      <c r="L68" s="410">
        <f>+G68</f>
        <v>20.5</v>
      </c>
      <c r="M68" s="410">
        <f>+H68</f>
        <v>0.46</v>
      </c>
      <c r="N68" s="412">
        <f>+L68*M68</f>
        <v>9.43</v>
      </c>
      <c r="O68" s="410">
        <v>20.5</v>
      </c>
      <c r="P68" s="410">
        <v>0.46</v>
      </c>
      <c r="Q68" s="410">
        <v>9.43</v>
      </c>
      <c r="R68" s="410"/>
      <c r="S68" s="410"/>
    </row>
    <row r="69" spans="2:20">
      <c r="B69" s="410">
        <f t="shared" si="0"/>
        <v>56</v>
      </c>
      <c r="C69" s="410" t="s">
        <v>42</v>
      </c>
      <c r="D69" s="410" t="s">
        <v>65</v>
      </c>
      <c r="E69" s="410">
        <v>63</v>
      </c>
      <c r="F69" s="410"/>
      <c r="G69" s="410">
        <v>24.7</v>
      </c>
      <c r="H69" s="410">
        <v>0.46</v>
      </c>
      <c r="I69" s="412">
        <v>1.06</v>
      </c>
      <c r="J69" s="410"/>
      <c r="K69" s="410" t="s">
        <v>149</v>
      </c>
      <c r="L69" s="410">
        <f>+G69</f>
        <v>24.7</v>
      </c>
      <c r="M69" s="410">
        <f>+H69</f>
        <v>0.46</v>
      </c>
      <c r="N69" s="412">
        <f>+L69*M69</f>
        <v>11.362</v>
      </c>
      <c r="O69" s="410">
        <v>24.7</v>
      </c>
      <c r="P69" s="410">
        <v>0.46</v>
      </c>
      <c r="Q69" s="410">
        <v>11.362</v>
      </c>
      <c r="R69" s="410"/>
      <c r="S69" s="410"/>
    </row>
    <row r="70" spans="2:20">
      <c r="B70" s="410">
        <f t="shared" si="0"/>
        <v>57</v>
      </c>
      <c r="C70" s="410" t="s">
        <v>65</v>
      </c>
      <c r="D70" s="410" t="s">
        <v>72</v>
      </c>
      <c r="E70" s="410">
        <v>63</v>
      </c>
      <c r="F70" s="410"/>
      <c r="G70" s="410">
        <v>54.5</v>
      </c>
      <c r="H70" s="410">
        <v>0.36</v>
      </c>
      <c r="I70" s="412">
        <v>1.06</v>
      </c>
      <c r="J70" s="410"/>
      <c r="K70" s="410"/>
      <c r="L70" s="410"/>
      <c r="M70" s="410"/>
      <c r="N70" s="410"/>
      <c r="O70" s="410"/>
      <c r="P70" s="410"/>
      <c r="Q70" s="410"/>
      <c r="R70" s="410"/>
      <c r="S70" s="410"/>
    </row>
    <row r="71" spans="2:20">
      <c r="B71" s="410">
        <f t="shared" si="0"/>
        <v>58</v>
      </c>
      <c r="C71" s="410" t="s">
        <v>832</v>
      </c>
      <c r="D71" s="410" t="s">
        <v>72</v>
      </c>
      <c r="E71" s="410">
        <v>63</v>
      </c>
      <c r="F71" s="410"/>
      <c r="G71" s="410">
        <v>48.5</v>
      </c>
      <c r="H71" s="413">
        <v>0.36</v>
      </c>
      <c r="I71" s="412">
        <v>1.06</v>
      </c>
      <c r="J71" s="410"/>
      <c r="K71" s="410"/>
      <c r="L71" s="410"/>
      <c r="M71" s="410"/>
      <c r="N71" s="410"/>
      <c r="O71" s="410"/>
      <c r="P71" s="410"/>
      <c r="Q71" s="410"/>
      <c r="R71" s="410"/>
      <c r="S71" s="410"/>
    </row>
    <row r="72" spans="2:20">
      <c r="B72" s="410">
        <f t="shared" si="0"/>
        <v>59</v>
      </c>
      <c r="C72" s="410" t="s">
        <v>832</v>
      </c>
      <c r="D72" s="410" t="s">
        <v>164</v>
      </c>
      <c r="E72" s="410">
        <v>63</v>
      </c>
      <c r="F72" s="410"/>
      <c r="G72" s="410">
        <v>46.8</v>
      </c>
      <c r="H72" s="413">
        <v>0.36</v>
      </c>
      <c r="I72" s="412">
        <v>1.06</v>
      </c>
      <c r="J72" s="410"/>
      <c r="K72" s="410"/>
      <c r="L72" s="410"/>
      <c r="M72" s="410"/>
      <c r="N72" s="410"/>
      <c r="O72" s="410"/>
      <c r="P72" s="410"/>
      <c r="Q72" s="410"/>
      <c r="R72" s="410"/>
      <c r="S72" s="410"/>
    </row>
    <row r="73" spans="2:20">
      <c r="B73" s="410">
        <f t="shared" si="0"/>
        <v>60</v>
      </c>
      <c r="C73" s="410" t="s">
        <v>164</v>
      </c>
      <c r="D73" s="410" t="s">
        <v>39</v>
      </c>
      <c r="E73" s="410">
        <v>63</v>
      </c>
      <c r="F73" s="410"/>
      <c r="G73" s="410">
        <v>41.5</v>
      </c>
      <c r="H73" s="413">
        <v>0.36</v>
      </c>
      <c r="I73" s="412">
        <v>1.06</v>
      </c>
      <c r="J73" s="410"/>
      <c r="K73" s="410"/>
      <c r="L73" s="410"/>
      <c r="M73" s="410"/>
      <c r="N73" s="410"/>
      <c r="O73" s="410"/>
      <c r="P73" s="410"/>
      <c r="Q73" s="410"/>
      <c r="R73" s="410"/>
      <c r="S73" s="410"/>
    </row>
    <row r="74" spans="2:20">
      <c r="B74" s="410">
        <f t="shared" si="0"/>
        <v>61</v>
      </c>
      <c r="C74" s="410" t="s">
        <v>164</v>
      </c>
      <c r="D74" s="410" t="s">
        <v>89</v>
      </c>
      <c r="E74" s="410">
        <v>63</v>
      </c>
      <c r="F74" s="410"/>
      <c r="G74" s="410">
        <v>62.6</v>
      </c>
      <c r="H74" s="413">
        <v>0.36</v>
      </c>
      <c r="I74" s="412">
        <v>1.06</v>
      </c>
      <c r="J74" s="410"/>
      <c r="K74" s="410"/>
      <c r="L74" s="410"/>
      <c r="M74" s="410"/>
      <c r="N74" s="410"/>
      <c r="O74" s="410"/>
      <c r="P74" s="410"/>
      <c r="Q74" s="410"/>
      <c r="R74" s="410"/>
      <c r="S74" s="410"/>
    </row>
    <row r="75" spans="2:20">
      <c r="B75" s="410">
        <f t="shared" si="0"/>
        <v>62</v>
      </c>
      <c r="C75" s="410" t="s">
        <v>164</v>
      </c>
      <c r="D75" s="410" t="s">
        <v>89</v>
      </c>
      <c r="E75" s="410">
        <v>63</v>
      </c>
      <c r="F75" s="410"/>
      <c r="G75" s="410">
        <v>34</v>
      </c>
      <c r="H75" s="410">
        <v>0.36</v>
      </c>
      <c r="I75" s="412">
        <v>1.06</v>
      </c>
      <c r="J75" s="410"/>
      <c r="K75" s="410" t="s">
        <v>45</v>
      </c>
      <c r="L75" s="410">
        <f>+G75</f>
        <v>34</v>
      </c>
      <c r="M75" s="410">
        <f>+H75</f>
        <v>0.36</v>
      </c>
      <c r="N75" s="412">
        <f>+L75*M75</f>
        <v>12.24</v>
      </c>
      <c r="O75" s="410">
        <v>34</v>
      </c>
      <c r="P75" s="410">
        <v>0.36</v>
      </c>
      <c r="Q75" s="410">
        <v>12.24</v>
      </c>
      <c r="R75" s="410"/>
      <c r="S75" s="410"/>
    </row>
    <row r="76" spans="2:20">
      <c r="B76" s="410">
        <f t="shared" si="0"/>
        <v>63</v>
      </c>
      <c r="C76" s="410" t="s">
        <v>89</v>
      </c>
      <c r="D76" s="410" t="s">
        <v>1815</v>
      </c>
      <c r="E76" s="410">
        <v>63</v>
      </c>
      <c r="F76" s="410"/>
      <c r="G76" s="410">
        <v>26</v>
      </c>
      <c r="H76" s="410">
        <v>0.36</v>
      </c>
      <c r="I76" s="412">
        <v>1.06</v>
      </c>
      <c r="J76" s="410"/>
      <c r="K76" s="410"/>
      <c r="L76" s="412"/>
      <c r="M76" s="412"/>
      <c r="N76" s="410"/>
      <c r="O76" s="410"/>
      <c r="P76" s="410"/>
      <c r="Q76" s="410"/>
      <c r="R76" s="410"/>
      <c r="S76" s="410"/>
    </row>
    <row r="77" spans="2:20">
      <c r="B77" s="410">
        <f t="shared" si="0"/>
        <v>64</v>
      </c>
      <c r="C77" s="410" t="s">
        <v>1815</v>
      </c>
      <c r="D77" s="410" t="s">
        <v>164</v>
      </c>
      <c r="E77" s="410">
        <v>63</v>
      </c>
      <c r="F77" s="410"/>
      <c r="G77" s="410">
        <v>71.3</v>
      </c>
      <c r="H77" s="410">
        <v>0.36</v>
      </c>
      <c r="I77" s="412">
        <v>1.06</v>
      </c>
      <c r="J77" s="410"/>
      <c r="K77" s="410" t="s">
        <v>45</v>
      </c>
      <c r="L77" s="412">
        <f t="shared" ref="L77:L87" si="5">+G77</f>
        <v>71.3</v>
      </c>
      <c r="M77" s="412">
        <f t="shared" ref="M77:M87" si="6">+H77</f>
        <v>0.36</v>
      </c>
      <c r="N77" s="412">
        <f>+L77*M77</f>
        <v>25.667999999999999</v>
      </c>
      <c r="O77" s="410">
        <v>71.3</v>
      </c>
      <c r="P77" s="410">
        <v>0.36</v>
      </c>
      <c r="Q77" s="410">
        <v>25.667999999999999</v>
      </c>
      <c r="R77" s="410"/>
      <c r="S77" s="410"/>
      <c r="T77">
        <f>37+289+81</f>
        <v>407</v>
      </c>
    </row>
    <row r="78" spans="2:20">
      <c r="B78" s="410">
        <f t="shared" si="0"/>
        <v>65</v>
      </c>
      <c r="C78" s="410" t="s">
        <v>1815</v>
      </c>
      <c r="D78" s="410" t="s">
        <v>88</v>
      </c>
      <c r="E78" s="410">
        <v>63</v>
      </c>
      <c r="F78" s="410"/>
      <c r="G78" s="410">
        <v>19</v>
      </c>
      <c r="H78" s="410">
        <v>0.36</v>
      </c>
      <c r="I78" s="412">
        <v>1.06</v>
      </c>
      <c r="J78" s="410"/>
      <c r="K78" s="410" t="s">
        <v>45</v>
      </c>
      <c r="L78" s="412">
        <f t="shared" si="5"/>
        <v>19</v>
      </c>
      <c r="M78" s="412">
        <f t="shared" si="6"/>
        <v>0.36</v>
      </c>
      <c r="N78" s="412">
        <f>+L78*M78</f>
        <v>6.84</v>
      </c>
      <c r="O78" s="410">
        <v>19</v>
      </c>
      <c r="P78" s="410">
        <v>0.36</v>
      </c>
      <c r="Q78" s="410">
        <v>6.84</v>
      </c>
      <c r="R78" s="410"/>
      <c r="S78" s="410"/>
    </row>
    <row r="79" spans="2:20">
      <c r="B79" s="410">
        <f t="shared" si="0"/>
        <v>66</v>
      </c>
      <c r="C79" s="410" t="s">
        <v>88</v>
      </c>
      <c r="D79" s="410" t="s">
        <v>65</v>
      </c>
      <c r="E79" s="410">
        <v>63</v>
      </c>
      <c r="F79" s="410"/>
      <c r="G79" s="410">
        <v>80.2</v>
      </c>
      <c r="H79" s="410">
        <v>0.46</v>
      </c>
      <c r="I79" s="412">
        <v>1.06</v>
      </c>
      <c r="J79" s="410"/>
      <c r="K79" s="410" t="s">
        <v>149</v>
      </c>
      <c r="L79" s="412">
        <f t="shared" si="5"/>
        <v>80.2</v>
      </c>
      <c r="M79" s="412">
        <f t="shared" si="6"/>
        <v>0.46</v>
      </c>
      <c r="N79" s="412">
        <f>+L79*M79</f>
        <v>36.892000000000003</v>
      </c>
      <c r="O79" s="410">
        <v>80.2</v>
      </c>
      <c r="P79" s="410">
        <v>0.46</v>
      </c>
      <c r="Q79" s="410">
        <v>36.892000000000003</v>
      </c>
      <c r="R79" s="410"/>
      <c r="S79" s="410"/>
    </row>
    <row r="80" spans="2:20">
      <c r="B80" s="410">
        <f t="shared" si="0"/>
        <v>67</v>
      </c>
      <c r="C80" s="429" t="s">
        <v>1815</v>
      </c>
      <c r="D80" s="429" t="s">
        <v>1411</v>
      </c>
      <c r="E80" s="410">
        <v>63</v>
      </c>
      <c r="F80" s="410"/>
      <c r="G80" s="410">
        <v>198.3</v>
      </c>
      <c r="H80" s="410">
        <v>0.36</v>
      </c>
      <c r="I80" s="412">
        <v>1.06</v>
      </c>
      <c r="J80" s="410"/>
      <c r="K80" s="410" t="s">
        <v>45</v>
      </c>
      <c r="L80" s="412">
        <f t="shared" si="5"/>
        <v>198.3</v>
      </c>
      <c r="M80" s="412">
        <f t="shared" si="6"/>
        <v>0.36</v>
      </c>
      <c r="N80" s="412">
        <f>+L80*M80</f>
        <v>71.388000000000005</v>
      </c>
      <c r="O80" s="410">
        <v>198.3</v>
      </c>
      <c r="P80" s="410">
        <v>0.36</v>
      </c>
      <c r="Q80" s="410">
        <v>71.388000000000005</v>
      </c>
      <c r="R80" s="410"/>
      <c r="S80" s="410"/>
    </row>
    <row r="81" spans="2:19">
      <c r="B81" s="410">
        <f t="shared" ref="B81:B144" si="7">1+B80</f>
        <v>68</v>
      </c>
      <c r="C81" s="429" t="s">
        <v>1815</v>
      </c>
      <c r="D81" s="429" t="s">
        <v>1411</v>
      </c>
      <c r="E81" s="410">
        <v>63</v>
      </c>
      <c r="F81" s="410"/>
      <c r="G81" s="410">
        <v>38.700000000000003</v>
      </c>
      <c r="H81" s="410">
        <v>0.46</v>
      </c>
      <c r="I81" s="412">
        <v>1.06</v>
      </c>
      <c r="J81" s="410"/>
      <c r="K81" s="410" t="s">
        <v>149</v>
      </c>
      <c r="L81" s="412">
        <f t="shared" si="5"/>
        <v>38.700000000000003</v>
      </c>
      <c r="M81" s="412">
        <f t="shared" si="6"/>
        <v>0.46</v>
      </c>
      <c r="N81" s="412">
        <f>+L81*M81</f>
        <v>17.802000000000003</v>
      </c>
      <c r="O81" s="410">
        <v>38.700000000000003</v>
      </c>
      <c r="P81" s="410">
        <v>0.46</v>
      </c>
      <c r="Q81" s="410">
        <v>17.802000000000003</v>
      </c>
      <c r="R81" s="410"/>
      <c r="S81" s="410"/>
    </row>
    <row r="82" spans="2:19">
      <c r="B82" s="410">
        <f t="shared" si="7"/>
        <v>69</v>
      </c>
      <c r="C82" s="429" t="s">
        <v>1815</v>
      </c>
      <c r="D82" s="429" t="s">
        <v>1411</v>
      </c>
      <c r="E82" s="410">
        <v>63</v>
      </c>
      <c r="F82" s="410"/>
      <c r="G82" s="410">
        <v>51.5</v>
      </c>
      <c r="H82" s="410">
        <v>0.36</v>
      </c>
      <c r="I82" s="412">
        <v>1.06</v>
      </c>
      <c r="J82" s="410"/>
      <c r="K82" s="410"/>
      <c r="L82" s="412"/>
      <c r="M82" s="412"/>
      <c r="N82" s="410"/>
      <c r="O82" s="410"/>
      <c r="P82" s="410"/>
      <c r="Q82" s="410"/>
      <c r="R82" s="410"/>
      <c r="S82" s="410"/>
    </row>
    <row r="83" spans="2:19">
      <c r="B83" s="410">
        <f t="shared" si="7"/>
        <v>70</v>
      </c>
      <c r="C83" s="410" t="s">
        <v>1358</v>
      </c>
      <c r="D83" s="410" t="s">
        <v>54</v>
      </c>
      <c r="E83" s="410">
        <v>63</v>
      </c>
      <c r="F83" s="410"/>
      <c r="G83" s="410">
        <v>394.9</v>
      </c>
      <c r="H83" s="410">
        <v>0.36</v>
      </c>
      <c r="I83" s="412">
        <v>1.06</v>
      </c>
      <c r="J83" s="410"/>
      <c r="K83" s="410" t="s">
        <v>45</v>
      </c>
      <c r="L83" s="412">
        <f t="shared" si="5"/>
        <v>394.9</v>
      </c>
      <c r="M83" s="412">
        <f t="shared" si="6"/>
        <v>0.36</v>
      </c>
      <c r="N83" s="412">
        <f>+L83*M83</f>
        <v>142.16399999999999</v>
      </c>
      <c r="O83" s="410">
        <v>394.9</v>
      </c>
      <c r="P83" s="410">
        <v>0.36</v>
      </c>
      <c r="Q83" s="410">
        <v>142.16399999999999</v>
      </c>
      <c r="R83" s="410"/>
      <c r="S83" s="410"/>
    </row>
    <row r="84" spans="2:19">
      <c r="B84" s="410">
        <f t="shared" si="7"/>
        <v>71</v>
      </c>
      <c r="C84" s="410" t="s">
        <v>54</v>
      </c>
      <c r="D84" s="410" t="s">
        <v>30</v>
      </c>
      <c r="E84" s="410">
        <v>63</v>
      </c>
      <c r="F84" s="410"/>
      <c r="G84" s="410">
        <v>170</v>
      </c>
      <c r="H84" s="410">
        <v>0.36</v>
      </c>
      <c r="I84" s="412">
        <v>1.06</v>
      </c>
      <c r="J84" s="410"/>
      <c r="K84" s="410" t="s">
        <v>45</v>
      </c>
      <c r="L84" s="412">
        <f t="shared" si="5"/>
        <v>170</v>
      </c>
      <c r="M84" s="412">
        <f t="shared" si="6"/>
        <v>0.36</v>
      </c>
      <c r="N84" s="412">
        <f>+L84*M84</f>
        <v>61.199999999999996</v>
      </c>
      <c r="O84" s="410">
        <v>170</v>
      </c>
      <c r="P84" s="410">
        <v>0.36</v>
      </c>
      <c r="Q84" s="410">
        <v>61.199999999999996</v>
      </c>
      <c r="R84" s="410"/>
      <c r="S84" s="410"/>
    </row>
    <row r="85" spans="2:19">
      <c r="B85" s="410">
        <f t="shared" si="7"/>
        <v>72</v>
      </c>
      <c r="C85" s="410" t="s">
        <v>54</v>
      </c>
      <c r="D85" s="410" t="s">
        <v>130</v>
      </c>
      <c r="E85" s="410">
        <v>63</v>
      </c>
      <c r="F85" s="410"/>
      <c r="G85" s="410">
        <v>193</v>
      </c>
      <c r="H85" s="410">
        <v>0.36</v>
      </c>
      <c r="I85" s="412">
        <v>1.06</v>
      </c>
      <c r="J85" s="410"/>
      <c r="K85" s="410" t="s">
        <v>45</v>
      </c>
      <c r="L85" s="412">
        <f t="shared" si="5"/>
        <v>193</v>
      </c>
      <c r="M85" s="412">
        <f t="shared" si="6"/>
        <v>0.36</v>
      </c>
      <c r="N85" s="412">
        <f>+L85*M85</f>
        <v>69.48</v>
      </c>
      <c r="O85" s="410">
        <v>193</v>
      </c>
      <c r="P85" s="410">
        <v>0.36</v>
      </c>
      <c r="Q85" s="410">
        <v>69.48</v>
      </c>
      <c r="R85" s="410"/>
      <c r="S85" s="410"/>
    </row>
    <row r="86" spans="2:19">
      <c r="B86" s="410">
        <f t="shared" si="7"/>
        <v>73</v>
      </c>
      <c r="C86" s="17" t="s">
        <v>1150</v>
      </c>
      <c r="D86" s="410" t="s">
        <v>130</v>
      </c>
      <c r="E86" s="17">
        <v>63</v>
      </c>
      <c r="F86" s="410"/>
      <c r="G86" s="17">
        <v>648.29999999999995</v>
      </c>
      <c r="H86" s="410">
        <v>0.36</v>
      </c>
      <c r="I86" s="412">
        <v>1.06</v>
      </c>
      <c r="J86" s="410"/>
      <c r="K86" s="410"/>
      <c r="L86" s="412"/>
      <c r="M86" s="412"/>
      <c r="N86" s="410"/>
      <c r="O86" s="410"/>
      <c r="P86" s="410"/>
      <c r="Q86" s="410"/>
      <c r="R86" s="410"/>
      <c r="S86" s="410"/>
    </row>
    <row r="87" spans="2:19">
      <c r="B87" s="410">
        <f t="shared" si="7"/>
        <v>74</v>
      </c>
      <c r="C87" s="17" t="s">
        <v>130</v>
      </c>
      <c r="D87" s="410" t="s">
        <v>1164</v>
      </c>
      <c r="E87" s="17">
        <v>63</v>
      </c>
      <c r="F87" s="410"/>
      <c r="G87" s="17">
        <v>332.2</v>
      </c>
      <c r="H87" s="410">
        <v>0.36</v>
      </c>
      <c r="I87" s="412">
        <v>1.06</v>
      </c>
      <c r="J87" s="410"/>
      <c r="K87" s="410" t="s">
        <v>45</v>
      </c>
      <c r="L87" s="412">
        <f t="shared" si="5"/>
        <v>332.2</v>
      </c>
      <c r="M87" s="412">
        <f t="shared" si="6"/>
        <v>0.36</v>
      </c>
      <c r="N87" s="412">
        <f>+L87*M87</f>
        <v>119.59199999999998</v>
      </c>
      <c r="O87" s="410">
        <v>332.2</v>
      </c>
      <c r="P87" s="410">
        <v>0.36</v>
      </c>
      <c r="Q87" s="410">
        <v>119.59199999999998</v>
      </c>
      <c r="R87" s="410"/>
      <c r="S87" s="410"/>
    </row>
    <row r="88" spans="2:19">
      <c r="B88" s="410">
        <f t="shared" si="7"/>
        <v>75</v>
      </c>
      <c r="C88" s="17" t="s">
        <v>90</v>
      </c>
      <c r="D88" s="410" t="s">
        <v>1818</v>
      </c>
      <c r="E88" s="17">
        <v>63</v>
      </c>
      <c r="F88" s="410"/>
      <c r="G88" s="17">
        <v>61.3</v>
      </c>
      <c r="H88" s="413">
        <v>0.36</v>
      </c>
      <c r="I88" s="412">
        <v>1.06</v>
      </c>
      <c r="J88" s="410"/>
      <c r="K88" s="410"/>
      <c r="L88" s="410"/>
      <c r="M88" s="410"/>
      <c r="N88" s="410"/>
      <c r="O88" s="410"/>
      <c r="P88" s="410"/>
      <c r="Q88" s="410"/>
      <c r="R88" s="410"/>
      <c r="S88" s="410"/>
    </row>
    <row r="89" spans="2:19">
      <c r="B89" s="410">
        <f t="shared" si="7"/>
        <v>76</v>
      </c>
      <c r="C89" s="17" t="s">
        <v>1759</v>
      </c>
      <c r="D89" s="410" t="s">
        <v>1724</v>
      </c>
      <c r="E89" s="17">
        <v>63</v>
      </c>
      <c r="F89" s="410">
        <v>106</v>
      </c>
      <c r="G89" s="17">
        <v>78</v>
      </c>
      <c r="H89" s="413">
        <v>0.36</v>
      </c>
      <c r="I89" s="412">
        <v>1.06</v>
      </c>
      <c r="J89" s="410"/>
      <c r="K89" s="410"/>
      <c r="L89" s="410"/>
      <c r="M89" s="410"/>
      <c r="N89" s="410"/>
      <c r="O89" s="410"/>
      <c r="P89" s="410"/>
      <c r="Q89" s="410"/>
      <c r="R89" s="410"/>
      <c r="S89" s="410"/>
    </row>
    <row r="90" spans="2:19">
      <c r="B90" s="410">
        <f t="shared" si="7"/>
        <v>77</v>
      </c>
      <c r="C90" s="17" t="s">
        <v>1724</v>
      </c>
      <c r="D90" s="410" t="s">
        <v>1333</v>
      </c>
      <c r="E90" s="17">
        <v>63</v>
      </c>
      <c r="F90" s="410">
        <v>49</v>
      </c>
      <c r="G90" s="17">
        <v>65.5</v>
      </c>
      <c r="H90" s="413">
        <v>0.36</v>
      </c>
      <c r="I90" s="412">
        <v>1.06</v>
      </c>
      <c r="J90" s="410"/>
      <c r="K90" s="410"/>
      <c r="L90" s="410"/>
      <c r="M90" s="410"/>
      <c r="N90" s="410"/>
      <c r="O90" s="410"/>
      <c r="P90" s="410"/>
      <c r="Q90" s="410"/>
      <c r="R90" s="410"/>
      <c r="S90" s="410"/>
    </row>
    <row r="91" spans="2:19">
      <c r="B91" s="410">
        <f t="shared" si="7"/>
        <v>78</v>
      </c>
      <c r="C91" s="17" t="s">
        <v>1724</v>
      </c>
      <c r="D91" s="410" t="s">
        <v>1721</v>
      </c>
      <c r="E91" s="17">
        <v>63</v>
      </c>
      <c r="F91" s="410"/>
      <c r="G91" s="17">
        <v>7</v>
      </c>
      <c r="H91" s="410">
        <v>0.46</v>
      </c>
      <c r="I91" s="412">
        <v>1.06</v>
      </c>
      <c r="J91" s="410"/>
      <c r="K91" s="410" t="s">
        <v>149</v>
      </c>
      <c r="L91" s="410">
        <f>+G91</f>
        <v>7</v>
      </c>
      <c r="M91" s="410">
        <f>+H91</f>
        <v>0.46</v>
      </c>
      <c r="N91" s="412">
        <f>+L91*M91</f>
        <v>3.22</v>
      </c>
      <c r="O91" s="410">
        <v>7</v>
      </c>
      <c r="P91" s="410">
        <v>0.46</v>
      </c>
      <c r="Q91" s="410">
        <v>3.22</v>
      </c>
      <c r="R91" s="410"/>
      <c r="S91" s="410"/>
    </row>
    <row r="92" spans="2:19">
      <c r="B92" s="410">
        <f t="shared" si="7"/>
        <v>79</v>
      </c>
      <c r="C92" s="17" t="s">
        <v>1721</v>
      </c>
      <c r="D92" s="410" t="s">
        <v>1360</v>
      </c>
      <c r="E92" s="17">
        <v>63</v>
      </c>
      <c r="F92" s="410">
        <v>65</v>
      </c>
      <c r="G92" s="17">
        <v>55</v>
      </c>
      <c r="H92" s="410">
        <v>0.36</v>
      </c>
      <c r="I92" s="412">
        <v>1.06</v>
      </c>
      <c r="J92" s="410"/>
      <c r="K92" s="410"/>
      <c r="L92" s="410"/>
      <c r="M92" s="410"/>
      <c r="N92" s="410"/>
      <c r="O92" s="410"/>
      <c r="P92" s="410"/>
      <c r="Q92" s="410"/>
      <c r="R92" s="410"/>
      <c r="S92" s="410"/>
    </row>
    <row r="93" spans="2:19">
      <c r="B93" s="410">
        <f t="shared" si="7"/>
        <v>80</v>
      </c>
      <c r="C93" s="17" t="s">
        <v>1360</v>
      </c>
      <c r="D93" s="410" t="s">
        <v>833</v>
      </c>
      <c r="E93" s="17">
        <v>63</v>
      </c>
      <c r="F93" s="410">
        <v>45</v>
      </c>
      <c r="G93" s="17">
        <v>106</v>
      </c>
      <c r="H93" s="413">
        <v>0.36</v>
      </c>
      <c r="I93" s="412">
        <v>1.06</v>
      </c>
      <c r="J93" s="410"/>
      <c r="K93" s="410"/>
      <c r="L93" s="410"/>
      <c r="M93" s="410"/>
      <c r="N93" s="410"/>
      <c r="O93" s="410"/>
      <c r="P93" s="410"/>
      <c r="Q93" s="410"/>
      <c r="R93" s="410"/>
      <c r="S93" s="410"/>
    </row>
    <row r="94" spans="2:19">
      <c r="B94" s="410">
        <f t="shared" si="7"/>
        <v>81</v>
      </c>
      <c r="C94" s="17" t="s">
        <v>1360</v>
      </c>
      <c r="D94" s="410" t="s">
        <v>92</v>
      </c>
      <c r="E94" s="17">
        <v>63</v>
      </c>
      <c r="F94" s="410">
        <v>88</v>
      </c>
      <c r="G94" s="17">
        <v>85.1</v>
      </c>
      <c r="H94" s="413">
        <v>0.36</v>
      </c>
      <c r="I94" s="412">
        <v>1.06</v>
      </c>
      <c r="J94" s="410"/>
      <c r="K94" s="410"/>
      <c r="L94" s="410"/>
      <c r="M94" s="410"/>
      <c r="N94" s="410"/>
      <c r="O94" s="410"/>
      <c r="P94" s="410"/>
      <c r="Q94" s="410"/>
      <c r="R94" s="410"/>
      <c r="S94" s="410"/>
    </row>
    <row r="95" spans="2:19">
      <c r="B95" s="410">
        <f t="shared" si="7"/>
        <v>82</v>
      </c>
      <c r="C95" s="17" t="s">
        <v>92</v>
      </c>
      <c r="D95" s="410" t="s">
        <v>725</v>
      </c>
      <c r="E95" s="17">
        <v>63</v>
      </c>
      <c r="F95" s="410">
        <v>26</v>
      </c>
      <c r="G95" s="17">
        <v>50</v>
      </c>
      <c r="H95" s="413">
        <v>0.36</v>
      </c>
      <c r="I95" s="412">
        <v>1.06</v>
      </c>
      <c r="J95" s="410"/>
      <c r="K95" s="410"/>
      <c r="L95" s="410"/>
      <c r="M95" s="410"/>
      <c r="N95" s="410"/>
      <c r="O95" s="410"/>
      <c r="P95" s="410"/>
      <c r="Q95" s="410"/>
      <c r="R95" s="410"/>
      <c r="S95" s="410"/>
    </row>
    <row r="96" spans="2:19">
      <c r="B96" s="410">
        <f t="shared" si="7"/>
        <v>83</v>
      </c>
      <c r="C96" s="17" t="s">
        <v>92</v>
      </c>
      <c r="D96" s="410" t="s">
        <v>1819</v>
      </c>
      <c r="E96" s="17">
        <v>63</v>
      </c>
      <c r="F96" s="410">
        <v>38</v>
      </c>
      <c r="G96" s="17">
        <v>79</v>
      </c>
      <c r="H96" s="413">
        <v>0.36</v>
      </c>
      <c r="I96" s="412">
        <v>1.06</v>
      </c>
      <c r="J96" s="410"/>
      <c r="K96" s="410"/>
      <c r="L96" s="410"/>
      <c r="M96" s="410"/>
      <c r="N96" s="410"/>
      <c r="O96" s="410"/>
      <c r="P96" s="410"/>
      <c r="Q96" s="410"/>
      <c r="R96" s="410"/>
      <c r="S96" s="410"/>
    </row>
    <row r="97" spans="2:19">
      <c r="B97" s="410">
        <f t="shared" si="7"/>
        <v>84</v>
      </c>
      <c r="C97" s="17" t="s">
        <v>1820</v>
      </c>
      <c r="D97" s="410" t="s">
        <v>1732</v>
      </c>
      <c r="E97" s="17">
        <v>63</v>
      </c>
      <c r="F97" s="410"/>
      <c r="G97" s="17">
        <v>41</v>
      </c>
      <c r="H97" s="413">
        <v>0.36</v>
      </c>
      <c r="I97" s="412">
        <v>1.06</v>
      </c>
      <c r="J97" s="410"/>
      <c r="K97" s="410"/>
      <c r="L97" s="410"/>
      <c r="M97" s="410"/>
      <c r="N97" s="410"/>
      <c r="O97" s="410"/>
      <c r="P97" s="410"/>
      <c r="Q97" s="410"/>
      <c r="R97" s="410"/>
      <c r="S97" s="410"/>
    </row>
    <row r="98" spans="2:19">
      <c r="B98" s="410">
        <f t="shared" si="7"/>
        <v>85</v>
      </c>
      <c r="C98" s="17" t="s">
        <v>1581</v>
      </c>
      <c r="D98" s="410" t="s">
        <v>1821</v>
      </c>
      <c r="E98" s="17">
        <v>63</v>
      </c>
      <c r="F98" s="410"/>
      <c r="G98" s="17">
        <v>51</v>
      </c>
      <c r="H98" s="410">
        <v>0.46</v>
      </c>
      <c r="I98" s="412">
        <v>1.06</v>
      </c>
      <c r="J98" s="410"/>
      <c r="K98" s="410" t="s">
        <v>149</v>
      </c>
      <c r="L98" s="410">
        <f>+G98</f>
        <v>51</v>
      </c>
      <c r="M98" s="410">
        <f>+H98</f>
        <v>0.46</v>
      </c>
      <c r="N98" s="412">
        <f>+L98*M98</f>
        <v>23.46</v>
      </c>
      <c r="O98" s="410">
        <v>51</v>
      </c>
      <c r="P98" s="410">
        <v>0.46</v>
      </c>
      <c r="Q98" s="410">
        <v>23.46</v>
      </c>
      <c r="R98" s="410"/>
      <c r="S98" s="410"/>
    </row>
    <row r="99" spans="2:19">
      <c r="B99" s="410">
        <f t="shared" si="7"/>
        <v>86</v>
      </c>
      <c r="C99" s="17" t="s">
        <v>1722</v>
      </c>
      <c r="D99" s="410" t="s">
        <v>1581</v>
      </c>
      <c r="E99" s="17">
        <v>63</v>
      </c>
      <c r="F99" s="410"/>
      <c r="G99" s="17">
        <v>91.3</v>
      </c>
      <c r="H99" s="410">
        <v>0.36</v>
      </c>
      <c r="I99" s="412">
        <v>1.06</v>
      </c>
      <c r="J99" s="410"/>
      <c r="K99" s="410"/>
      <c r="L99" s="410"/>
      <c r="M99" s="410"/>
      <c r="N99" s="410"/>
      <c r="O99" s="410"/>
      <c r="P99" s="410"/>
      <c r="Q99" s="410"/>
      <c r="R99" s="410"/>
      <c r="S99" s="410"/>
    </row>
    <row r="100" spans="2:19">
      <c r="B100" s="410">
        <f t="shared" si="7"/>
        <v>87</v>
      </c>
      <c r="C100" s="17" t="s">
        <v>1822</v>
      </c>
      <c r="D100" s="410" t="s">
        <v>1742</v>
      </c>
      <c r="E100" s="17">
        <v>63</v>
      </c>
      <c r="F100" s="410"/>
      <c r="G100" s="17">
        <v>103</v>
      </c>
      <c r="H100" s="413">
        <v>0.36</v>
      </c>
      <c r="I100" s="412">
        <v>1.06</v>
      </c>
      <c r="J100" s="410"/>
      <c r="K100" s="410"/>
      <c r="L100" s="410"/>
      <c r="M100" s="410"/>
      <c r="N100" s="410"/>
      <c r="O100" s="410"/>
      <c r="P100" s="410"/>
      <c r="Q100" s="410"/>
      <c r="R100" s="410"/>
      <c r="S100" s="410"/>
    </row>
    <row r="101" spans="2:19">
      <c r="B101" s="410">
        <f t="shared" si="7"/>
        <v>88</v>
      </c>
      <c r="C101" s="17" t="s">
        <v>1721</v>
      </c>
      <c r="D101" s="410" t="s">
        <v>1379</v>
      </c>
      <c r="E101" s="17">
        <v>63</v>
      </c>
      <c r="F101" s="410">
        <v>112</v>
      </c>
      <c r="G101" s="17">
        <v>113.3</v>
      </c>
      <c r="H101" s="413">
        <v>0.36</v>
      </c>
      <c r="I101" s="412">
        <v>1.06</v>
      </c>
      <c r="J101" s="410"/>
      <c r="K101" s="410"/>
      <c r="L101" s="410"/>
      <c r="M101" s="410"/>
      <c r="N101" s="410"/>
      <c r="O101" s="410"/>
      <c r="P101" s="410"/>
      <c r="Q101" s="410"/>
      <c r="R101" s="410"/>
      <c r="S101" s="410"/>
    </row>
    <row r="102" spans="2:19">
      <c r="B102" s="410">
        <f t="shared" si="7"/>
        <v>89</v>
      </c>
      <c r="C102" s="17" t="s">
        <v>1379</v>
      </c>
      <c r="D102" s="410" t="s">
        <v>1823</v>
      </c>
      <c r="E102" s="17">
        <v>63</v>
      </c>
      <c r="F102" s="410">
        <v>104</v>
      </c>
      <c r="G102" s="17">
        <v>65.400000000000006</v>
      </c>
      <c r="H102" s="413">
        <v>0.36</v>
      </c>
      <c r="I102" s="412">
        <v>1.06</v>
      </c>
      <c r="J102" s="410"/>
      <c r="K102" s="410"/>
      <c r="L102" s="410"/>
      <c r="M102" s="410"/>
      <c r="N102" s="410"/>
      <c r="O102" s="410"/>
      <c r="P102" s="410"/>
      <c r="Q102" s="410"/>
      <c r="R102" s="410"/>
      <c r="S102" s="410"/>
    </row>
    <row r="103" spans="2:19">
      <c r="B103" s="410">
        <f t="shared" si="7"/>
        <v>90</v>
      </c>
      <c r="C103" s="17" t="s">
        <v>1379</v>
      </c>
      <c r="D103" s="410" t="s">
        <v>1824</v>
      </c>
      <c r="E103" s="17">
        <v>63</v>
      </c>
      <c r="F103" s="410"/>
      <c r="G103" s="17">
        <v>368.3</v>
      </c>
      <c r="H103" s="413">
        <v>0.36</v>
      </c>
      <c r="I103" s="412">
        <v>1.06</v>
      </c>
      <c r="J103" s="410"/>
      <c r="K103" s="410"/>
      <c r="L103" s="410"/>
      <c r="M103" s="410"/>
      <c r="N103" s="410"/>
      <c r="O103" s="410"/>
      <c r="P103" s="410"/>
      <c r="Q103" s="410"/>
      <c r="R103" s="410"/>
      <c r="S103" s="410"/>
    </row>
    <row r="104" spans="2:19">
      <c r="B104" s="410">
        <f t="shared" si="7"/>
        <v>91</v>
      </c>
      <c r="C104" s="17" t="s">
        <v>1379</v>
      </c>
      <c r="D104" s="410" t="s">
        <v>1824</v>
      </c>
      <c r="E104" s="17">
        <v>63</v>
      </c>
      <c r="F104" s="410"/>
      <c r="G104" s="17">
        <v>7</v>
      </c>
      <c r="H104" s="410">
        <v>0.36</v>
      </c>
      <c r="I104" s="412">
        <v>1.06</v>
      </c>
      <c r="J104" s="410"/>
      <c r="K104" s="410" t="s">
        <v>1797</v>
      </c>
      <c r="L104" s="410">
        <f>+G104</f>
        <v>7</v>
      </c>
      <c r="M104" s="410">
        <f>+H104</f>
        <v>0.36</v>
      </c>
      <c r="N104" s="412">
        <f>+L104*M104</f>
        <v>2.52</v>
      </c>
      <c r="O104" s="410">
        <v>7</v>
      </c>
      <c r="P104" s="410">
        <v>0.36</v>
      </c>
      <c r="Q104" s="410">
        <v>2.52</v>
      </c>
      <c r="R104" s="410"/>
      <c r="S104" s="410"/>
    </row>
    <row r="105" spans="2:19">
      <c r="B105" s="410">
        <f t="shared" si="7"/>
        <v>92</v>
      </c>
      <c r="C105" s="17" t="s">
        <v>1824</v>
      </c>
      <c r="D105" s="410" t="s">
        <v>61</v>
      </c>
      <c r="E105" s="17">
        <v>110</v>
      </c>
      <c r="F105" s="410">
        <v>356</v>
      </c>
      <c r="G105" s="17">
        <v>311.10000000000002</v>
      </c>
      <c r="H105" s="410">
        <v>0.41</v>
      </c>
      <c r="I105" s="410">
        <v>1.1000000000000001</v>
      </c>
      <c r="J105" s="410"/>
      <c r="K105" s="410"/>
      <c r="L105" s="410"/>
      <c r="M105" s="410"/>
      <c r="N105" s="410"/>
      <c r="O105" s="410"/>
      <c r="P105" s="410"/>
      <c r="Q105" s="410"/>
      <c r="R105" s="410"/>
      <c r="S105" s="410"/>
    </row>
    <row r="106" spans="2:19">
      <c r="B106" s="410">
        <f t="shared" si="7"/>
        <v>93</v>
      </c>
      <c r="C106" s="17" t="s">
        <v>1765</v>
      </c>
      <c r="D106" s="410" t="s">
        <v>61</v>
      </c>
      <c r="E106" s="17">
        <v>63</v>
      </c>
      <c r="F106" s="410"/>
      <c r="G106" s="17">
        <v>413.1</v>
      </c>
      <c r="H106" s="410">
        <v>0.36</v>
      </c>
      <c r="I106" s="410">
        <v>1.06</v>
      </c>
      <c r="J106" s="410"/>
      <c r="K106" s="410"/>
      <c r="L106" s="410"/>
      <c r="M106" s="410"/>
      <c r="N106" s="410"/>
      <c r="O106" s="410"/>
      <c r="P106" s="410"/>
      <c r="Q106" s="410"/>
      <c r="R106" s="410"/>
      <c r="S106" s="410"/>
    </row>
    <row r="107" spans="2:19">
      <c r="B107" s="410">
        <f t="shared" si="7"/>
        <v>94</v>
      </c>
      <c r="C107" s="17" t="s">
        <v>1765</v>
      </c>
      <c r="D107" s="410" t="s">
        <v>61</v>
      </c>
      <c r="E107" s="17">
        <v>63</v>
      </c>
      <c r="F107" s="410"/>
      <c r="G107" s="17">
        <v>10</v>
      </c>
      <c r="H107" s="413">
        <v>0.36</v>
      </c>
      <c r="I107" s="412">
        <v>1.06</v>
      </c>
      <c r="J107" s="410"/>
      <c r="K107" s="410" t="s">
        <v>38</v>
      </c>
      <c r="L107" s="410"/>
      <c r="M107" s="410"/>
      <c r="N107" s="410"/>
      <c r="O107" s="410"/>
      <c r="P107" s="410"/>
      <c r="Q107" s="410"/>
      <c r="R107" s="410"/>
      <c r="S107" s="410"/>
    </row>
    <row r="108" spans="2:19">
      <c r="B108" s="410">
        <f t="shared" si="7"/>
        <v>95</v>
      </c>
      <c r="C108" s="17" t="s">
        <v>893</v>
      </c>
      <c r="D108" s="410" t="s">
        <v>1823</v>
      </c>
      <c r="E108" s="17">
        <v>63</v>
      </c>
      <c r="F108" s="410"/>
      <c r="G108" s="17">
        <v>307.7</v>
      </c>
      <c r="H108" s="413">
        <v>0.36</v>
      </c>
      <c r="I108" s="412">
        <v>1.06</v>
      </c>
      <c r="J108" s="410"/>
      <c r="K108" s="410"/>
      <c r="L108" s="410"/>
      <c r="M108" s="410"/>
      <c r="N108" s="410"/>
      <c r="O108" s="410"/>
      <c r="P108" s="410"/>
      <c r="Q108" s="410"/>
      <c r="R108" s="410"/>
      <c r="S108" s="410"/>
    </row>
    <row r="109" spans="2:19">
      <c r="B109" s="410">
        <f t="shared" si="7"/>
        <v>96</v>
      </c>
      <c r="C109" s="17" t="s">
        <v>1824</v>
      </c>
      <c r="D109" s="410" t="s">
        <v>1173</v>
      </c>
      <c r="E109" s="17">
        <v>125</v>
      </c>
      <c r="F109" s="410"/>
      <c r="G109" s="17">
        <v>211</v>
      </c>
      <c r="H109" s="410">
        <v>0.42</v>
      </c>
      <c r="I109" s="410">
        <v>1.1200000000000001</v>
      </c>
      <c r="J109" s="410"/>
      <c r="K109" s="410"/>
      <c r="L109" s="410"/>
      <c r="M109" s="410"/>
      <c r="N109" s="410"/>
      <c r="O109" s="410"/>
      <c r="P109" s="410"/>
      <c r="Q109" s="410"/>
      <c r="R109" s="410"/>
      <c r="S109" s="410"/>
    </row>
    <row r="110" spans="2:19">
      <c r="B110" s="410">
        <f t="shared" si="7"/>
        <v>97</v>
      </c>
      <c r="C110" s="17" t="s">
        <v>1724</v>
      </c>
      <c r="D110" s="410" t="s">
        <v>1824</v>
      </c>
      <c r="E110" s="17">
        <v>63</v>
      </c>
      <c r="F110" s="410"/>
      <c r="G110" s="17">
        <v>803.2</v>
      </c>
      <c r="H110" s="410">
        <v>0.36</v>
      </c>
      <c r="I110" s="410">
        <v>1.06</v>
      </c>
      <c r="J110" s="410"/>
      <c r="K110" s="410"/>
      <c r="L110" s="410"/>
      <c r="M110" s="410"/>
      <c r="N110" s="410"/>
      <c r="O110" s="410"/>
      <c r="P110" s="410"/>
      <c r="Q110" s="410"/>
      <c r="R110" s="410"/>
      <c r="S110" s="410"/>
    </row>
    <row r="111" spans="2:19">
      <c r="B111" s="414">
        <f t="shared" si="7"/>
        <v>98</v>
      </c>
      <c r="C111" s="17" t="s">
        <v>1411</v>
      </c>
      <c r="D111" s="414" t="s">
        <v>1398</v>
      </c>
      <c r="E111" s="17">
        <v>63</v>
      </c>
      <c r="F111" s="414">
        <v>79</v>
      </c>
      <c r="G111" s="17">
        <v>72.3</v>
      </c>
      <c r="H111" s="416">
        <v>0.36</v>
      </c>
      <c r="I111" s="416">
        <v>1.06</v>
      </c>
      <c r="J111" s="414"/>
      <c r="K111" s="414"/>
      <c r="L111" s="414"/>
      <c r="M111" s="414"/>
      <c r="N111" s="414"/>
      <c r="O111" s="414"/>
      <c r="P111" s="414"/>
      <c r="Q111" s="414"/>
      <c r="R111" s="414"/>
      <c r="S111" s="414"/>
    </row>
    <row r="112" spans="2:19">
      <c r="B112" s="414">
        <f t="shared" si="7"/>
        <v>99</v>
      </c>
      <c r="C112" s="17" t="s">
        <v>1334</v>
      </c>
      <c r="D112" s="414" t="s">
        <v>1241</v>
      </c>
      <c r="E112" s="17">
        <v>63</v>
      </c>
      <c r="F112" s="414">
        <v>121</v>
      </c>
      <c r="G112" s="17">
        <v>133</v>
      </c>
      <c r="H112" s="416">
        <v>0.36</v>
      </c>
      <c r="I112" s="416">
        <v>1.06</v>
      </c>
      <c r="J112" s="414"/>
      <c r="K112" s="414" t="s">
        <v>45</v>
      </c>
      <c r="L112" s="414">
        <f>+G112</f>
        <v>133</v>
      </c>
      <c r="M112" s="416">
        <v>0.36</v>
      </c>
      <c r="N112" s="416">
        <f>+L112*M112</f>
        <v>47.879999999999995</v>
      </c>
      <c r="O112" s="414">
        <v>133</v>
      </c>
      <c r="P112" s="414">
        <v>0.36</v>
      </c>
      <c r="Q112" s="414">
        <v>47.879999999999995</v>
      </c>
      <c r="R112" s="414"/>
      <c r="S112" s="414"/>
    </row>
    <row r="113" spans="2:19">
      <c r="B113" s="414">
        <f t="shared" si="7"/>
        <v>100</v>
      </c>
      <c r="C113" s="17" t="s">
        <v>1241</v>
      </c>
      <c r="D113" s="414" t="s">
        <v>71</v>
      </c>
      <c r="E113" s="17">
        <v>63</v>
      </c>
      <c r="F113" s="414">
        <v>64</v>
      </c>
      <c r="G113" s="17">
        <v>102.3</v>
      </c>
      <c r="H113" s="416">
        <v>0.36</v>
      </c>
      <c r="I113" s="416">
        <v>1.06</v>
      </c>
      <c r="J113" s="414"/>
      <c r="K113" s="414"/>
      <c r="L113" s="414"/>
      <c r="M113" s="414"/>
      <c r="N113" s="414"/>
      <c r="O113" s="414"/>
      <c r="P113" s="414"/>
      <c r="Q113" s="414"/>
      <c r="R113" s="414"/>
      <c r="S113" s="414"/>
    </row>
    <row r="114" spans="2:19">
      <c r="B114" s="414">
        <f t="shared" si="7"/>
        <v>101</v>
      </c>
      <c r="C114" s="17" t="s">
        <v>71</v>
      </c>
      <c r="D114" s="414" t="s">
        <v>170</v>
      </c>
      <c r="E114" s="17">
        <v>63</v>
      </c>
      <c r="F114" s="414"/>
      <c r="G114" s="17">
        <v>23.2</v>
      </c>
      <c r="H114" s="416">
        <v>0.36</v>
      </c>
      <c r="I114" s="416">
        <v>1.06</v>
      </c>
      <c r="J114" s="414"/>
      <c r="K114" s="414"/>
      <c r="L114" s="414"/>
      <c r="M114" s="414"/>
      <c r="N114" s="414"/>
      <c r="O114" s="414"/>
      <c r="P114" s="414"/>
      <c r="Q114" s="414"/>
      <c r="R114" s="414"/>
      <c r="S114" s="414"/>
    </row>
    <row r="115" spans="2:19">
      <c r="B115" s="414">
        <f t="shared" si="7"/>
        <v>102</v>
      </c>
      <c r="C115" s="17" t="s">
        <v>1241</v>
      </c>
      <c r="D115" s="414" t="s">
        <v>1726</v>
      </c>
      <c r="E115" s="17">
        <v>63</v>
      </c>
      <c r="F115" s="414"/>
      <c r="G115" s="17">
        <v>76.5</v>
      </c>
      <c r="H115" s="416">
        <v>0.36</v>
      </c>
      <c r="I115" s="416">
        <v>1.06</v>
      </c>
      <c r="J115" s="414"/>
      <c r="K115" s="414"/>
      <c r="L115" s="414"/>
      <c r="M115" s="414"/>
      <c r="N115" s="414"/>
      <c r="O115" s="414"/>
      <c r="P115" s="414"/>
      <c r="Q115" s="414"/>
      <c r="R115" s="414"/>
      <c r="S115" s="414"/>
    </row>
    <row r="116" spans="2:19">
      <c r="B116" s="414">
        <f t="shared" si="7"/>
        <v>103</v>
      </c>
      <c r="C116" s="17" t="s">
        <v>1825</v>
      </c>
      <c r="D116" s="414" t="s">
        <v>84</v>
      </c>
      <c r="E116" s="17">
        <v>63</v>
      </c>
      <c r="F116" s="414"/>
      <c r="G116" s="17">
        <v>37.200000000000003</v>
      </c>
      <c r="H116" s="416">
        <v>0.36</v>
      </c>
      <c r="I116" s="416">
        <v>1.06</v>
      </c>
      <c r="J116" s="414"/>
      <c r="K116" s="414"/>
      <c r="L116" s="414"/>
      <c r="M116" s="414"/>
      <c r="N116" s="414"/>
      <c r="O116" s="414"/>
      <c r="P116" s="414"/>
      <c r="Q116" s="414"/>
      <c r="R116" s="414"/>
      <c r="S116" s="414"/>
    </row>
    <row r="117" spans="2:19">
      <c r="B117" s="414">
        <f t="shared" si="7"/>
        <v>104</v>
      </c>
      <c r="C117" s="17" t="s">
        <v>1826</v>
      </c>
      <c r="D117" s="414" t="s">
        <v>835</v>
      </c>
      <c r="E117" s="17">
        <v>63</v>
      </c>
      <c r="F117" s="414"/>
      <c r="G117" s="17">
        <v>157.19999999999999</v>
      </c>
      <c r="H117" s="416">
        <v>0.36</v>
      </c>
      <c r="I117" s="416">
        <v>1.06</v>
      </c>
      <c r="J117" s="414"/>
      <c r="K117" s="414"/>
      <c r="L117" s="414"/>
      <c r="M117" s="414"/>
      <c r="N117" s="414"/>
      <c r="O117" s="414"/>
      <c r="P117" s="414"/>
      <c r="Q117" s="414"/>
      <c r="R117" s="414"/>
      <c r="S117" s="414"/>
    </row>
    <row r="118" spans="2:19">
      <c r="B118" s="414">
        <f t="shared" si="7"/>
        <v>105</v>
      </c>
      <c r="C118" s="17" t="s">
        <v>41</v>
      </c>
      <c r="D118" s="414" t="s">
        <v>91</v>
      </c>
      <c r="E118" s="17">
        <v>63</v>
      </c>
      <c r="F118" s="414">
        <v>105</v>
      </c>
      <c r="G118" s="17">
        <v>98.2</v>
      </c>
      <c r="H118" s="416">
        <v>0.36</v>
      </c>
      <c r="I118" s="416">
        <v>1.06</v>
      </c>
      <c r="J118" s="414"/>
      <c r="K118" s="414"/>
      <c r="L118" s="414"/>
      <c r="M118" s="414"/>
      <c r="N118" s="414"/>
      <c r="O118" s="414"/>
      <c r="P118" s="414"/>
      <c r="Q118" s="414"/>
      <c r="R118" s="414"/>
      <c r="S118" s="414"/>
    </row>
    <row r="119" spans="2:19">
      <c r="B119" s="414">
        <f t="shared" si="7"/>
        <v>106</v>
      </c>
      <c r="C119" s="17" t="s">
        <v>91</v>
      </c>
      <c r="D119" s="414" t="s">
        <v>146</v>
      </c>
      <c r="E119" s="17">
        <v>63</v>
      </c>
      <c r="F119" s="414"/>
      <c r="G119" s="17">
        <v>82.3</v>
      </c>
      <c r="H119" s="416">
        <v>0.36</v>
      </c>
      <c r="I119" s="416">
        <v>1.06</v>
      </c>
      <c r="J119" s="414"/>
      <c r="K119" s="414"/>
      <c r="L119" s="414"/>
      <c r="M119" s="414"/>
      <c r="N119" s="414"/>
      <c r="O119" s="414"/>
      <c r="P119" s="414"/>
      <c r="Q119" s="414"/>
      <c r="R119" s="414"/>
      <c r="S119" s="414"/>
    </row>
    <row r="120" spans="2:19">
      <c r="B120" s="414">
        <f t="shared" si="7"/>
        <v>107</v>
      </c>
      <c r="C120" s="17" t="s">
        <v>146</v>
      </c>
      <c r="D120" s="414" t="s">
        <v>926</v>
      </c>
      <c r="E120" s="17">
        <v>63</v>
      </c>
      <c r="F120" s="414"/>
      <c r="G120" s="17">
        <v>78</v>
      </c>
      <c r="H120" s="416">
        <v>0.36</v>
      </c>
      <c r="I120" s="416">
        <v>1.06</v>
      </c>
      <c r="J120" s="414"/>
      <c r="K120" s="414"/>
      <c r="L120" s="414"/>
      <c r="M120" s="414"/>
      <c r="N120" s="414"/>
      <c r="O120" s="414"/>
      <c r="P120" s="414"/>
      <c r="Q120" s="414"/>
      <c r="R120" s="414"/>
      <c r="S120" s="414"/>
    </row>
    <row r="121" spans="2:19">
      <c r="B121" s="414">
        <f t="shared" si="7"/>
        <v>108</v>
      </c>
      <c r="C121" s="17" t="s">
        <v>146</v>
      </c>
      <c r="D121" s="414" t="s">
        <v>109</v>
      </c>
      <c r="E121" s="17">
        <v>63</v>
      </c>
      <c r="F121" s="414"/>
      <c r="G121" s="17">
        <v>73.2</v>
      </c>
      <c r="H121" s="416">
        <v>0.36</v>
      </c>
      <c r="I121" s="416">
        <v>1.06</v>
      </c>
      <c r="J121" s="414"/>
      <c r="K121" s="414"/>
      <c r="L121" s="414"/>
      <c r="M121" s="414"/>
      <c r="N121" s="414"/>
      <c r="O121" s="414"/>
      <c r="P121" s="414"/>
      <c r="Q121" s="414"/>
      <c r="R121" s="414"/>
      <c r="S121" s="414"/>
    </row>
    <row r="122" spans="2:19">
      <c r="B122" s="414">
        <f t="shared" si="7"/>
        <v>109</v>
      </c>
      <c r="C122" s="17" t="s">
        <v>91</v>
      </c>
      <c r="D122" s="414" t="s">
        <v>50</v>
      </c>
      <c r="E122" s="17">
        <v>63</v>
      </c>
      <c r="F122" s="414"/>
      <c r="G122" s="17">
        <v>45</v>
      </c>
      <c r="H122" s="416">
        <v>0.36</v>
      </c>
      <c r="I122" s="416">
        <v>1.06</v>
      </c>
      <c r="J122" s="414"/>
      <c r="K122" s="414"/>
      <c r="L122" s="414"/>
      <c r="M122" s="414"/>
      <c r="N122" s="414"/>
      <c r="O122" s="414"/>
      <c r="P122" s="414"/>
      <c r="Q122" s="414"/>
      <c r="R122" s="414"/>
      <c r="S122" s="414"/>
    </row>
    <row r="123" spans="2:19">
      <c r="B123" s="414">
        <f t="shared" si="7"/>
        <v>110</v>
      </c>
      <c r="C123" s="17" t="s">
        <v>911</v>
      </c>
      <c r="D123" s="414" t="s">
        <v>132</v>
      </c>
      <c r="E123" s="17">
        <v>63</v>
      </c>
      <c r="F123" s="414"/>
      <c r="G123" s="17">
        <v>69.3</v>
      </c>
      <c r="H123" s="416">
        <v>0.36</v>
      </c>
      <c r="I123" s="416">
        <v>1.06</v>
      </c>
      <c r="J123" s="414"/>
      <c r="K123" s="414"/>
      <c r="L123" s="414"/>
      <c r="M123" s="414"/>
      <c r="N123" s="414"/>
      <c r="O123" s="414"/>
      <c r="P123" s="414"/>
      <c r="Q123" s="414"/>
      <c r="R123" s="414"/>
      <c r="S123" s="414"/>
    </row>
    <row r="124" spans="2:19">
      <c r="B124" s="414">
        <f t="shared" si="7"/>
        <v>111</v>
      </c>
      <c r="C124" s="17" t="s">
        <v>1357</v>
      </c>
      <c r="D124" s="414" t="s">
        <v>895</v>
      </c>
      <c r="E124" s="17">
        <v>63</v>
      </c>
      <c r="F124" s="414">
        <v>126</v>
      </c>
      <c r="G124" s="17">
        <v>125.1</v>
      </c>
      <c r="H124" s="416">
        <v>0.36</v>
      </c>
      <c r="I124" s="416">
        <v>1.06</v>
      </c>
      <c r="J124" s="414"/>
      <c r="K124" s="414"/>
      <c r="L124" s="414"/>
      <c r="M124" s="414"/>
      <c r="N124" s="414"/>
      <c r="O124" s="414"/>
      <c r="P124" s="414"/>
      <c r="Q124" s="414"/>
      <c r="R124" s="414"/>
      <c r="S124" s="414"/>
    </row>
    <row r="125" spans="2:19">
      <c r="B125" s="414">
        <f t="shared" si="7"/>
        <v>112</v>
      </c>
      <c r="C125" s="17" t="s">
        <v>1357</v>
      </c>
      <c r="D125" s="414" t="s">
        <v>895</v>
      </c>
      <c r="E125" s="17">
        <v>63</v>
      </c>
      <c r="F125" s="414"/>
      <c r="G125" s="17">
        <v>5</v>
      </c>
      <c r="H125" s="416">
        <v>0.36</v>
      </c>
      <c r="I125" s="416">
        <v>1.06</v>
      </c>
      <c r="J125" s="414"/>
      <c r="K125" s="414" t="s">
        <v>1797</v>
      </c>
      <c r="L125" s="414">
        <f>+G125</f>
        <v>5</v>
      </c>
      <c r="M125" s="416">
        <v>0.36</v>
      </c>
      <c r="N125" s="416">
        <f>+L125*M125</f>
        <v>1.7999999999999998</v>
      </c>
      <c r="O125" s="414">
        <v>5</v>
      </c>
      <c r="P125" s="414">
        <v>0.36</v>
      </c>
      <c r="Q125" s="414">
        <v>1.7999999999999998</v>
      </c>
      <c r="R125" s="414"/>
      <c r="S125" s="414"/>
    </row>
    <row r="126" spans="2:19">
      <c r="B126" s="414">
        <f t="shared" si="7"/>
        <v>113</v>
      </c>
      <c r="C126" s="17" t="s">
        <v>895</v>
      </c>
      <c r="D126" s="414" t="s">
        <v>1827</v>
      </c>
      <c r="E126" s="17">
        <v>63</v>
      </c>
      <c r="F126" s="414">
        <v>167</v>
      </c>
      <c r="G126" s="17">
        <v>148.80000000000001</v>
      </c>
      <c r="H126" s="416">
        <v>0.36</v>
      </c>
      <c r="I126" s="416">
        <v>1.06</v>
      </c>
      <c r="J126" s="414"/>
      <c r="K126" s="414" t="s">
        <v>45</v>
      </c>
      <c r="L126" s="414">
        <f>+G126</f>
        <v>148.80000000000001</v>
      </c>
      <c r="M126" s="416">
        <v>0.36</v>
      </c>
      <c r="N126" s="416">
        <f>+L126*M126</f>
        <v>53.568000000000005</v>
      </c>
      <c r="O126" s="414">
        <v>148.80000000000001</v>
      </c>
      <c r="P126" s="414">
        <v>0.36</v>
      </c>
      <c r="Q126" s="414">
        <v>53.568000000000005</v>
      </c>
      <c r="R126" s="414"/>
      <c r="S126" s="414"/>
    </row>
    <row r="127" spans="2:19">
      <c r="B127" s="414">
        <f t="shared" si="7"/>
        <v>114</v>
      </c>
      <c r="C127" s="17" t="s">
        <v>895</v>
      </c>
      <c r="D127" s="414" t="s">
        <v>1828</v>
      </c>
      <c r="E127" s="17">
        <v>63</v>
      </c>
      <c r="F127" s="414"/>
      <c r="G127" s="17">
        <v>248.6</v>
      </c>
      <c r="H127" s="416">
        <v>0.36</v>
      </c>
      <c r="I127" s="416">
        <v>1.06</v>
      </c>
      <c r="J127" s="414"/>
      <c r="K127" s="414"/>
      <c r="L127" s="414"/>
      <c r="M127" s="414"/>
      <c r="N127" s="414"/>
      <c r="O127" s="414"/>
      <c r="P127" s="414"/>
      <c r="Q127" s="414"/>
      <c r="R127" s="414"/>
      <c r="S127" s="414"/>
    </row>
    <row r="128" spans="2:19">
      <c r="B128" s="414">
        <f t="shared" si="7"/>
        <v>115</v>
      </c>
      <c r="C128" s="17" t="s">
        <v>1828</v>
      </c>
      <c r="D128" s="414" t="s">
        <v>1716</v>
      </c>
      <c r="E128" s="17">
        <v>63</v>
      </c>
      <c r="F128" s="414"/>
      <c r="G128" s="17">
        <v>15</v>
      </c>
      <c r="H128" s="416">
        <v>0.36</v>
      </c>
      <c r="I128" s="416">
        <v>1.06</v>
      </c>
      <c r="J128" s="414"/>
      <c r="K128" s="414" t="s">
        <v>45</v>
      </c>
      <c r="L128" s="414">
        <f>+G128</f>
        <v>15</v>
      </c>
      <c r="M128" s="416">
        <v>0.36</v>
      </c>
      <c r="N128" s="416">
        <f>+L128*M128</f>
        <v>5.3999999999999995</v>
      </c>
      <c r="O128" s="414">
        <v>15</v>
      </c>
      <c r="P128" s="414">
        <v>0.36</v>
      </c>
      <c r="Q128" s="414">
        <v>5.3999999999999995</v>
      </c>
      <c r="R128" s="414"/>
      <c r="S128" s="414"/>
    </row>
    <row r="129" spans="2:19">
      <c r="B129" s="414">
        <f t="shared" si="7"/>
        <v>116</v>
      </c>
      <c r="C129" s="17" t="s">
        <v>1716</v>
      </c>
      <c r="D129" s="414" t="s">
        <v>1302</v>
      </c>
      <c r="E129" s="17">
        <v>63</v>
      </c>
      <c r="F129" s="414"/>
      <c r="G129" s="17">
        <v>162.30000000000001</v>
      </c>
      <c r="H129" s="416">
        <v>0.36</v>
      </c>
      <c r="I129" s="416">
        <v>1.06</v>
      </c>
      <c r="J129" s="414"/>
      <c r="K129" s="414"/>
      <c r="L129" s="414"/>
      <c r="M129" s="414"/>
      <c r="N129" s="414"/>
      <c r="O129" s="414"/>
      <c r="P129" s="414"/>
      <c r="Q129" s="414"/>
      <c r="R129" s="414"/>
      <c r="S129" s="414"/>
    </row>
    <row r="130" spans="2:19">
      <c r="B130" s="414">
        <f t="shared" si="7"/>
        <v>117</v>
      </c>
      <c r="C130" s="17" t="s">
        <v>914</v>
      </c>
      <c r="D130" s="414" t="s">
        <v>1829</v>
      </c>
      <c r="E130" s="17">
        <v>63</v>
      </c>
      <c r="F130" s="414"/>
      <c r="G130" s="17">
        <v>65</v>
      </c>
      <c r="H130" s="416">
        <v>0.36</v>
      </c>
      <c r="I130" s="416">
        <v>1.06</v>
      </c>
      <c r="J130" s="414"/>
      <c r="K130" s="414"/>
      <c r="L130" s="414"/>
      <c r="M130" s="414"/>
      <c r="N130" s="414"/>
      <c r="O130" s="414"/>
      <c r="P130" s="414"/>
      <c r="Q130" s="414"/>
      <c r="R130" s="414"/>
      <c r="S130" s="414"/>
    </row>
    <row r="131" spans="2:19">
      <c r="B131" s="414">
        <f t="shared" si="7"/>
        <v>118</v>
      </c>
      <c r="C131" s="17" t="s">
        <v>1830</v>
      </c>
      <c r="D131" s="414" t="s">
        <v>1831</v>
      </c>
      <c r="E131" s="17">
        <v>63</v>
      </c>
      <c r="F131" s="414"/>
      <c r="G131" s="17">
        <v>47.7</v>
      </c>
      <c r="H131" s="416">
        <v>0.36</v>
      </c>
      <c r="I131" s="416">
        <v>1.06</v>
      </c>
      <c r="J131" s="414"/>
      <c r="K131" s="414"/>
      <c r="L131" s="414"/>
      <c r="M131" s="414"/>
      <c r="N131" s="414"/>
      <c r="O131" s="414"/>
      <c r="P131" s="414"/>
      <c r="Q131" s="414"/>
      <c r="R131" s="414"/>
      <c r="S131" s="414"/>
    </row>
    <row r="132" spans="2:19">
      <c r="B132" s="414">
        <f t="shared" si="7"/>
        <v>119</v>
      </c>
      <c r="C132" s="17" t="s">
        <v>1832</v>
      </c>
      <c r="D132" s="414" t="s">
        <v>1833</v>
      </c>
      <c r="E132" s="17">
        <v>63</v>
      </c>
      <c r="F132" s="414"/>
      <c r="G132" s="17">
        <v>30.3</v>
      </c>
      <c r="H132" s="416">
        <v>0.36</v>
      </c>
      <c r="I132" s="416">
        <v>1.06</v>
      </c>
      <c r="J132" s="414"/>
      <c r="K132" s="414"/>
      <c r="L132" s="414"/>
      <c r="M132" s="414"/>
      <c r="N132" s="414"/>
      <c r="O132" s="414"/>
      <c r="P132" s="414"/>
      <c r="Q132" s="414"/>
      <c r="R132" s="414"/>
      <c r="S132" s="414"/>
    </row>
    <row r="133" spans="2:19">
      <c r="B133" s="414">
        <f t="shared" si="7"/>
        <v>120</v>
      </c>
      <c r="C133" s="17" t="s">
        <v>1832</v>
      </c>
      <c r="D133" s="414" t="s">
        <v>1833</v>
      </c>
      <c r="E133" s="17">
        <v>63</v>
      </c>
      <c r="F133" s="414"/>
      <c r="G133" s="17">
        <v>46.4</v>
      </c>
      <c r="H133" s="416">
        <v>0.36</v>
      </c>
      <c r="I133" s="416">
        <v>1.06</v>
      </c>
      <c r="J133" s="414"/>
      <c r="K133" s="414"/>
      <c r="L133" s="414"/>
      <c r="M133" s="414"/>
      <c r="N133" s="414"/>
      <c r="O133" s="414"/>
      <c r="P133" s="414"/>
      <c r="Q133" s="414"/>
      <c r="R133" s="414"/>
      <c r="S133" s="414"/>
    </row>
    <row r="134" spans="2:19">
      <c r="B134" s="414">
        <f t="shared" si="7"/>
        <v>121</v>
      </c>
      <c r="C134" s="17" t="s">
        <v>1828</v>
      </c>
      <c r="D134" s="414" t="s">
        <v>1832</v>
      </c>
      <c r="E134" s="17">
        <v>63</v>
      </c>
      <c r="F134" s="414"/>
      <c r="G134" s="17">
        <v>51</v>
      </c>
      <c r="H134" s="416">
        <v>0.36</v>
      </c>
      <c r="I134" s="416">
        <v>1.06</v>
      </c>
      <c r="J134" s="414"/>
      <c r="K134" s="414" t="s">
        <v>45</v>
      </c>
      <c r="L134" s="414">
        <f>+G134</f>
        <v>51</v>
      </c>
      <c r="M134" s="416">
        <v>0.36</v>
      </c>
      <c r="N134" s="416">
        <f>+L134*M134</f>
        <v>18.36</v>
      </c>
      <c r="O134" s="414">
        <v>51</v>
      </c>
      <c r="P134" s="414">
        <v>0.36</v>
      </c>
      <c r="Q134" s="414">
        <v>18.36</v>
      </c>
      <c r="R134" s="414"/>
      <c r="S134" s="414"/>
    </row>
    <row r="135" spans="2:19">
      <c r="B135" s="414">
        <f t="shared" si="7"/>
        <v>122</v>
      </c>
      <c r="C135" s="17" t="s">
        <v>1832</v>
      </c>
      <c r="D135" s="414" t="s">
        <v>1834</v>
      </c>
      <c r="E135" s="17">
        <v>63</v>
      </c>
      <c r="F135" s="414"/>
      <c r="G135" s="17">
        <v>33.299999999999997</v>
      </c>
      <c r="H135" s="416">
        <v>0.36</v>
      </c>
      <c r="I135" s="416">
        <v>1.06</v>
      </c>
      <c r="J135" s="414"/>
      <c r="K135" s="414" t="s">
        <v>45</v>
      </c>
      <c r="L135" s="414">
        <f>+G135</f>
        <v>33.299999999999997</v>
      </c>
      <c r="M135" s="416">
        <v>0.36</v>
      </c>
      <c r="N135" s="416">
        <f>+L135*M135</f>
        <v>11.987999999999998</v>
      </c>
      <c r="O135" s="414">
        <v>33.299999999999997</v>
      </c>
      <c r="P135" s="414">
        <v>0.36</v>
      </c>
      <c r="Q135" s="414">
        <v>11.987999999999998</v>
      </c>
      <c r="R135" s="414"/>
      <c r="S135" s="414"/>
    </row>
    <row r="136" spans="2:19">
      <c r="B136" s="414">
        <f t="shared" si="7"/>
        <v>123</v>
      </c>
      <c r="C136" s="17" t="s">
        <v>1835</v>
      </c>
      <c r="D136" s="414" t="s">
        <v>1836</v>
      </c>
      <c r="E136" s="17">
        <v>63</v>
      </c>
      <c r="F136" s="414"/>
      <c r="G136" s="17">
        <v>35</v>
      </c>
      <c r="H136" s="416">
        <v>0.36</v>
      </c>
      <c r="I136" s="416">
        <v>1.06</v>
      </c>
      <c r="J136" s="414"/>
      <c r="K136" s="414"/>
      <c r="L136" s="414"/>
      <c r="M136" s="414"/>
      <c r="N136" s="414"/>
      <c r="O136" s="414"/>
      <c r="P136" s="414"/>
      <c r="Q136" s="414"/>
      <c r="R136" s="414"/>
      <c r="S136" s="414"/>
    </row>
    <row r="137" spans="2:19">
      <c r="B137" s="414">
        <f t="shared" si="7"/>
        <v>124</v>
      </c>
      <c r="C137" s="17" t="s">
        <v>1834</v>
      </c>
      <c r="D137" s="414" t="s">
        <v>1301</v>
      </c>
      <c r="E137" s="17">
        <v>63</v>
      </c>
      <c r="F137" s="414"/>
      <c r="G137" s="17">
        <v>29</v>
      </c>
      <c r="H137" s="416">
        <v>0.36</v>
      </c>
      <c r="I137" s="416">
        <v>1.06</v>
      </c>
      <c r="J137" s="414"/>
      <c r="K137" s="414" t="s">
        <v>45</v>
      </c>
      <c r="L137" s="414">
        <f>+G137</f>
        <v>29</v>
      </c>
      <c r="M137" s="416">
        <v>0.36</v>
      </c>
      <c r="N137" s="416">
        <f>+L137*M137</f>
        <v>10.44</v>
      </c>
      <c r="O137" s="414">
        <v>29</v>
      </c>
      <c r="P137" s="414">
        <v>0.36</v>
      </c>
      <c r="Q137" s="414">
        <v>10.44</v>
      </c>
      <c r="R137" s="414"/>
      <c r="S137" s="414"/>
    </row>
    <row r="138" spans="2:19">
      <c r="B138" s="414">
        <f t="shared" si="7"/>
        <v>125</v>
      </c>
      <c r="C138" s="17" t="s">
        <v>1301</v>
      </c>
      <c r="D138" s="414" t="s">
        <v>1327</v>
      </c>
      <c r="E138" s="17">
        <v>63</v>
      </c>
      <c r="F138" s="414"/>
      <c r="G138" s="17">
        <v>16</v>
      </c>
      <c r="H138" s="416">
        <v>0.36</v>
      </c>
      <c r="I138" s="416">
        <v>1.06</v>
      </c>
      <c r="J138" s="414"/>
      <c r="K138" s="414"/>
      <c r="L138" s="414"/>
      <c r="M138" s="414"/>
      <c r="N138" s="414"/>
      <c r="O138" s="414"/>
      <c r="P138" s="414"/>
      <c r="Q138" s="414"/>
      <c r="R138" s="414"/>
      <c r="S138" s="414"/>
    </row>
    <row r="139" spans="2:19">
      <c r="B139" s="414">
        <f t="shared" si="7"/>
        <v>126</v>
      </c>
      <c r="C139" s="17" t="s">
        <v>1301</v>
      </c>
      <c r="D139" s="414" t="s">
        <v>1749</v>
      </c>
      <c r="E139" s="17">
        <v>63</v>
      </c>
      <c r="F139" s="414"/>
      <c r="G139" s="17">
        <v>21.3</v>
      </c>
      <c r="H139" s="416">
        <v>0.36</v>
      </c>
      <c r="I139" s="416">
        <v>1.06</v>
      </c>
      <c r="J139" s="414"/>
      <c r="K139" s="414" t="s">
        <v>45</v>
      </c>
      <c r="L139" s="414">
        <f>+G139</f>
        <v>21.3</v>
      </c>
      <c r="M139" s="416">
        <v>0.36</v>
      </c>
      <c r="N139" s="416">
        <f>+L139*M139</f>
        <v>7.6680000000000001</v>
      </c>
      <c r="O139" s="414">
        <v>21.3</v>
      </c>
      <c r="P139" s="414">
        <v>0.36</v>
      </c>
      <c r="Q139" s="414">
        <v>7.6680000000000001</v>
      </c>
      <c r="R139" s="414"/>
      <c r="S139" s="414"/>
    </row>
    <row r="140" spans="2:19">
      <c r="B140" s="414">
        <f t="shared" si="7"/>
        <v>127</v>
      </c>
      <c r="C140" s="17" t="s">
        <v>1301</v>
      </c>
      <c r="D140" s="414" t="s">
        <v>1180</v>
      </c>
      <c r="E140" s="17">
        <v>63</v>
      </c>
      <c r="F140" s="414"/>
      <c r="G140" s="17">
        <v>46.6</v>
      </c>
      <c r="H140" s="416">
        <v>0.36</v>
      </c>
      <c r="I140" s="416">
        <v>1.06</v>
      </c>
      <c r="J140" s="414"/>
      <c r="K140" s="414" t="s">
        <v>45</v>
      </c>
      <c r="L140" s="416">
        <f t="shared" ref="L140:L141" si="8">+G140</f>
        <v>46.6</v>
      </c>
      <c r="M140" s="416">
        <v>0.36</v>
      </c>
      <c r="N140" s="416">
        <f>+L140*M140</f>
        <v>16.776</v>
      </c>
      <c r="O140" s="414">
        <v>46.6</v>
      </c>
      <c r="P140" s="414">
        <v>0.36</v>
      </c>
      <c r="Q140" s="414">
        <v>16.776</v>
      </c>
      <c r="R140" s="414"/>
      <c r="S140" s="414"/>
    </row>
    <row r="141" spans="2:19">
      <c r="B141" s="414">
        <f t="shared" si="7"/>
        <v>128</v>
      </c>
      <c r="C141" s="17" t="s">
        <v>1392</v>
      </c>
      <c r="D141" s="414" t="s">
        <v>1834</v>
      </c>
      <c r="E141" s="17">
        <v>63</v>
      </c>
      <c r="F141" s="414"/>
      <c r="G141" s="17">
        <v>56.3</v>
      </c>
      <c r="H141" s="416">
        <v>0.36</v>
      </c>
      <c r="I141" s="416">
        <v>1.06</v>
      </c>
      <c r="J141" s="414"/>
      <c r="K141" s="414" t="s">
        <v>45</v>
      </c>
      <c r="L141" s="416">
        <f t="shared" si="8"/>
        <v>56.3</v>
      </c>
      <c r="M141" s="416">
        <v>0.36</v>
      </c>
      <c r="N141" s="416">
        <f>+L141*M141</f>
        <v>20.267999999999997</v>
      </c>
      <c r="O141" s="414">
        <v>56.3</v>
      </c>
      <c r="P141" s="414">
        <v>0.36</v>
      </c>
      <c r="Q141" s="414">
        <v>20.267999999999997</v>
      </c>
      <c r="R141" s="414"/>
      <c r="S141" s="414"/>
    </row>
    <row r="142" spans="2:19">
      <c r="B142" s="414">
        <f t="shared" si="7"/>
        <v>129</v>
      </c>
      <c r="C142" s="17" t="s">
        <v>1156</v>
      </c>
      <c r="D142" s="414" t="s">
        <v>1757</v>
      </c>
      <c r="E142" s="17">
        <v>63</v>
      </c>
      <c r="F142" s="414"/>
      <c r="G142" s="17">
        <v>30.1</v>
      </c>
      <c r="H142" s="416">
        <v>0.36</v>
      </c>
      <c r="I142" s="416">
        <v>1.06</v>
      </c>
      <c r="J142" s="414"/>
      <c r="K142" s="414"/>
      <c r="L142" s="414"/>
      <c r="M142" s="414"/>
      <c r="N142" s="414"/>
      <c r="O142" s="414"/>
      <c r="P142" s="414"/>
      <c r="Q142" s="414"/>
      <c r="R142" s="414"/>
      <c r="S142" s="414"/>
    </row>
    <row r="143" spans="2:19">
      <c r="B143" s="414">
        <f t="shared" si="7"/>
        <v>130</v>
      </c>
      <c r="C143" s="17" t="s">
        <v>1392</v>
      </c>
      <c r="D143" s="414" t="s">
        <v>1366</v>
      </c>
      <c r="E143" s="17">
        <v>63</v>
      </c>
      <c r="F143" s="414"/>
      <c r="G143" s="17">
        <v>41</v>
      </c>
      <c r="H143" s="416">
        <v>0.36</v>
      </c>
      <c r="I143" s="416">
        <v>1.06</v>
      </c>
      <c r="J143" s="414"/>
      <c r="K143" s="414"/>
      <c r="L143" s="414"/>
      <c r="M143" s="414"/>
      <c r="N143" s="414"/>
      <c r="O143" s="414"/>
      <c r="P143" s="414"/>
      <c r="Q143" s="414"/>
      <c r="R143" s="414"/>
      <c r="S143" s="414"/>
    </row>
    <row r="144" spans="2:19">
      <c r="B144" s="414">
        <f t="shared" si="7"/>
        <v>131</v>
      </c>
      <c r="C144" s="17" t="s">
        <v>1366</v>
      </c>
      <c r="D144" s="414" t="s">
        <v>1357</v>
      </c>
      <c r="E144" s="17">
        <v>63</v>
      </c>
      <c r="F144" s="414"/>
      <c r="G144" s="17">
        <v>118.3</v>
      </c>
      <c r="H144" s="416">
        <v>0.36</v>
      </c>
      <c r="I144" s="416">
        <v>1.06</v>
      </c>
      <c r="J144" s="414"/>
      <c r="K144" s="414"/>
      <c r="L144" s="414"/>
      <c r="M144" s="414"/>
      <c r="N144" s="414"/>
      <c r="O144" s="414"/>
      <c r="P144" s="414"/>
      <c r="Q144" s="414"/>
      <c r="R144" s="414"/>
      <c r="S144" s="414"/>
    </row>
    <row r="145" spans="2:19">
      <c r="B145" s="414">
        <f t="shared" ref="B145:B190" si="9">1+B144</f>
        <v>132</v>
      </c>
      <c r="C145" s="17" t="s">
        <v>1366</v>
      </c>
      <c r="D145" s="414" t="s">
        <v>1357</v>
      </c>
      <c r="E145" s="17">
        <v>63</v>
      </c>
      <c r="F145" s="414"/>
      <c r="G145" s="17">
        <v>5</v>
      </c>
      <c r="H145" s="416">
        <v>0.36</v>
      </c>
      <c r="I145" s="416">
        <v>1.06</v>
      </c>
      <c r="J145" s="414"/>
      <c r="K145" s="414" t="s">
        <v>1797</v>
      </c>
      <c r="L145" s="414">
        <f>+G145</f>
        <v>5</v>
      </c>
      <c r="M145" s="416">
        <v>0.36</v>
      </c>
      <c r="N145" s="416">
        <f>+L145*M145</f>
        <v>1.7999999999999998</v>
      </c>
      <c r="O145" s="414">
        <v>5</v>
      </c>
      <c r="P145" s="414">
        <v>0.36</v>
      </c>
      <c r="Q145" s="414">
        <v>1.7999999999999998</v>
      </c>
      <c r="R145" s="414"/>
      <c r="S145" s="414"/>
    </row>
    <row r="146" spans="2:19">
      <c r="B146" s="414">
        <f t="shared" si="9"/>
        <v>133</v>
      </c>
      <c r="C146" s="17" t="s">
        <v>825</v>
      </c>
      <c r="D146" s="414" t="s">
        <v>66</v>
      </c>
      <c r="E146" s="17">
        <v>63</v>
      </c>
      <c r="F146" s="414"/>
      <c r="G146" s="17">
        <v>75</v>
      </c>
      <c r="H146" s="416">
        <v>0.36</v>
      </c>
      <c r="I146" s="416">
        <v>1.06</v>
      </c>
      <c r="J146" s="414"/>
      <c r="K146" s="414"/>
      <c r="L146" s="414"/>
      <c r="M146" s="414"/>
      <c r="N146" s="414"/>
      <c r="O146" s="414"/>
      <c r="P146" s="414"/>
      <c r="Q146" s="414"/>
      <c r="R146" s="414"/>
      <c r="S146" s="414"/>
    </row>
    <row r="147" spans="2:19">
      <c r="B147" s="414">
        <f t="shared" si="9"/>
        <v>134</v>
      </c>
      <c r="C147" s="17" t="s">
        <v>1760</v>
      </c>
      <c r="D147" s="414" t="s">
        <v>1837</v>
      </c>
      <c r="E147" s="17">
        <v>63</v>
      </c>
      <c r="F147" s="414"/>
      <c r="G147" s="17">
        <v>30.1</v>
      </c>
      <c r="H147" s="416">
        <v>0.36</v>
      </c>
      <c r="I147" s="416">
        <v>1.06</v>
      </c>
      <c r="J147" s="414"/>
      <c r="K147" s="414"/>
      <c r="L147" s="414"/>
      <c r="M147" s="414"/>
      <c r="N147" s="414"/>
      <c r="O147" s="414"/>
      <c r="P147" s="414"/>
      <c r="Q147" s="414"/>
      <c r="R147" s="414"/>
      <c r="S147" s="414"/>
    </row>
    <row r="148" spans="2:19">
      <c r="B148" s="414">
        <f t="shared" si="9"/>
        <v>135</v>
      </c>
      <c r="C148" s="17" t="s">
        <v>1837</v>
      </c>
      <c r="D148" s="414" t="s">
        <v>1352</v>
      </c>
      <c r="E148" s="17">
        <v>63</v>
      </c>
      <c r="F148" s="414"/>
      <c r="G148" s="17">
        <v>65</v>
      </c>
      <c r="H148" s="416">
        <v>0.36</v>
      </c>
      <c r="I148" s="416">
        <v>1.06</v>
      </c>
      <c r="J148" s="414"/>
      <c r="K148" s="414" t="s">
        <v>45</v>
      </c>
      <c r="L148" s="414">
        <f>+G148</f>
        <v>65</v>
      </c>
      <c r="M148" s="416">
        <v>0.36</v>
      </c>
      <c r="N148" s="416">
        <f t="shared" ref="N148:N154" si="10">+L148*M148</f>
        <v>23.4</v>
      </c>
      <c r="O148" s="414">
        <v>65</v>
      </c>
      <c r="P148" s="414">
        <v>0.36</v>
      </c>
      <c r="Q148" s="414">
        <v>23.4</v>
      </c>
      <c r="R148" s="414"/>
      <c r="S148" s="414"/>
    </row>
    <row r="149" spans="2:19">
      <c r="B149" s="414">
        <f t="shared" si="9"/>
        <v>136</v>
      </c>
      <c r="C149" s="17" t="s">
        <v>1837</v>
      </c>
      <c r="D149" s="414" t="s">
        <v>1099</v>
      </c>
      <c r="E149" s="17">
        <v>63</v>
      </c>
      <c r="F149" s="414"/>
      <c r="G149" s="17">
        <v>44.2</v>
      </c>
      <c r="H149" s="416">
        <v>0.36</v>
      </c>
      <c r="I149" s="416">
        <v>1.06</v>
      </c>
      <c r="J149" s="414"/>
      <c r="K149" s="414" t="s">
        <v>45</v>
      </c>
      <c r="L149" s="416">
        <f t="shared" ref="L149:L154" si="11">+G149</f>
        <v>44.2</v>
      </c>
      <c r="M149" s="416">
        <v>0.36</v>
      </c>
      <c r="N149" s="416">
        <f t="shared" si="10"/>
        <v>15.912000000000001</v>
      </c>
      <c r="O149" s="414">
        <v>44.2</v>
      </c>
      <c r="P149" s="414">
        <v>0.36</v>
      </c>
      <c r="Q149" s="414">
        <v>15.912000000000001</v>
      </c>
      <c r="R149" s="414"/>
      <c r="S149" s="414"/>
    </row>
    <row r="150" spans="2:19">
      <c r="B150" s="414">
        <f t="shared" si="9"/>
        <v>137</v>
      </c>
      <c r="C150" s="17" t="s">
        <v>1725</v>
      </c>
      <c r="D150" s="414" t="s">
        <v>1335</v>
      </c>
      <c r="E150" s="17">
        <v>63</v>
      </c>
      <c r="F150" s="414"/>
      <c r="G150" s="17">
        <v>15</v>
      </c>
      <c r="H150" s="416">
        <v>0.36</v>
      </c>
      <c r="I150" s="416">
        <v>1.06</v>
      </c>
      <c r="J150" s="414"/>
      <c r="K150" s="414" t="s">
        <v>45</v>
      </c>
      <c r="L150" s="416">
        <f t="shared" si="11"/>
        <v>15</v>
      </c>
      <c r="M150" s="416">
        <v>0.36</v>
      </c>
      <c r="N150" s="416">
        <f t="shared" si="10"/>
        <v>5.3999999999999995</v>
      </c>
      <c r="O150" s="414">
        <v>15</v>
      </c>
      <c r="P150" s="414">
        <v>0.36</v>
      </c>
      <c r="Q150" s="414">
        <v>5.3999999999999995</v>
      </c>
      <c r="R150" s="414"/>
      <c r="S150" s="414"/>
    </row>
    <row r="151" spans="2:19">
      <c r="B151" s="414">
        <f t="shared" si="9"/>
        <v>138</v>
      </c>
      <c r="C151" s="17" t="s">
        <v>1838</v>
      </c>
      <c r="D151" s="414" t="s">
        <v>1839</v>
      </c>
      <c r="E151" s="17">
        <v>63</v>
      </c>
      <c r="F151" s="414"/>
      <c r="G151" s="17">
        <v>34.299999999999997</v>
      </c>
      <c r="H151" s="416">
        <v>0.36</v>
      </c>
      <c r="I151" s="416">
        <v>1.06</v>
      </c>
      <c r="J151" s="414"/>
      <c r="K151" s="414" t="s">
        <v>45</v>
      </c>
      <c r="L151" s="416">
        <f t="shared" si="11"/>
        <v>34.299999999999997</v>
      </c>
      <c r="M151" s="416">
        <v>0.36</v>
      </c>
      <c r="N151" s="416">
        <f t="shared" si="10"/>
        <v>12.347999999999999</v>
      </c>
      <c r="O151" s="414">
        <v>34.299999999999997</v>
      </c>
      <c r="P151" s="414">
        <v>0.36</v>
      </c>
      <c r="Q151" s="414">
        <v>12.347999999999999</v>
      </c>
      <c r="R151" s="414"/>
      <c r="S151" s="414"/>
    </row>
    <row r="152" spans="2:19">
      <c r="B152" s="414">
        <f t="shared" si="9"/>
        <v>139</v>
      </c>
      <c r="C152" s="17" t="s">
        <v>1764</v>
      </c>
      <c r="D152" s="414" t="s">
        <v>1838</v>
      </c>
      <c r="E152" s="17">
        <v>63</v>
      </c>
      <c r="F152" s="414"/>
      <c r="G152" s="17">
        <v>30.1</v>
      </c>
      <c r="H152" s="416">
        <v>0.36</v>
      </c>
      <c r="I152" s="416">
        <v>1.06</v>
      </c>
      <c r="J152" s="414"/>
      <c r="K152" s="414" t="s">
        <v>45</v>
      </c>
      <c r="L152" s="416">
        <f t="shared" si="11"/>
        <v>30.1</v>
      </c>
      <c r="M152" s="416">
        <v>0.36</v>
      </c>
      <c r="N152" s="416">
        <f t="shared" si="10"/>
        <v>10.836</v>
      </c>
      <c r="O152" s="414">
        <v>30.1</v>
      </c>
      <c r="P152" s="414">
        <v>0.36</v>
      </c>
      <c r="Q152" s="414">
        <v>10.836</v>
      </c>
      <c r="R152" s="414"/>
      <c r="S152" s="414"/>
    </row>
    <row r="153" spans="2:19">
      <c r="B153" s="414">
        <f t="shared" si="9"/>
        <v>140</v>
      </c>
      <c r="C153" s="17" t="s">
        <v>1840</v>
      </c>
      <c r="D153" s="414" t="s">
        <v>1841</v>
      </c>
      <c r="E153" s="17">
        <v>63</v>
      </c>
      <c r="F153" s="414"/>
      <c r="G153" s="17">
        <v>30.3</v>
      </c>
      <c r="H153" s="416">
        <v>0.36</v>
      </c>
      <c r="I153" s="416">
        <v>1.06</v>
      </c>
      <c r="J153" s="414"/>
      <c r="K153" s="414" t="s">
        <v>45</v>
      </c>
      <c r="L153" s="416">
        <f t="shared" si="11"/>
        <v>30.3</v>
      </c>
      <c r="M153" s="416">
        <v>0.36</v>
      </c>
      <c r="N153" s="416">
        <f t="shared" si="10"/>
        <v>10.907999999999999</v>
      </c>
      <c r="O153" s="414">
        <v>30.3</v>
      </c>
      <c r="P153" s="414">
        <v>0.36</v>
      </c>
      <c r="Q153" s="414">
        <v>10.907999999999999</v>
      </c>
      <c r="R153" s="414"/>
      <c r="S153" s="414"/>
    </row>
    <row r="154" spans="2:19">
      <c r="B154" s="414">
        <f t="shared" si="9"/>
        <v>141</v>
      </c>
      <c r="C154" s="17" t="s">
        <v>1841</v>
      </c>
      <c r="D154" s="414" t="s">
        <v>1239</v>
      </c>
      <c r="E154" s="17">
        <v>63</v>
      </c>
      <c r="F154" s="414"/>
      <c r="G154" s="17">
        <v>15.2</v>
      </c>
      <c r="H154" s="416">
        <v>0.36</v>
      </c>
      <c r="I154" s="416">
        <v>1.06</v>
      </c>
      <c r="J154" s="414"/>
      <c r="K154" s="414" t="s">
        <v>45</v>
      </c>
      <c r="L154" s="416">
        <f t="shared" si="11"/>
        <v>15.2</v>
      </c>
      <c r="M154" s="416">
        <v>0.36</v>
      </c>
      <c r="N154" s="416">
        <f t="shared" si="10"/>
        <v>5.4719999999999995</v>
      </c>
      <c r="O154" s="414">
        <v>15.2</v>
      </c>
      <c r="P154" s="414">
        <v>0.36</v>
      </c>
      <c r="Q154" s="414">
        <v>5.4719999999999995</v>
      </c>
      <c r="R154" s="414"/>
      <c r="S154" s="414"/>
    </row>
    <row r="155" spans="2:19">
      <c r="B155" s="414">
        <f t="shared" si="9"/>
        <v>142</v>
      </c>
      <c r="C155" s="17" t="s">
        <v>1841</v>
      </c>
      <c r="D155" s="414" t="s">
        <v>1239</v>
      </c>
      <c r="E155" s="17">
        <v>63</v>
      </c>
      <c r="F155" s="414"/>
      <c r="G155" s="17">
        <v>45.5</v>
      </c>
      <c r="H155" s="416">
        <v>0.36</v>
      </c>
      <c r="I155" s="416">
        <v>1.06</v>
      </c>
      <c r="J155" s="414"/>
      <c r="K155" s="414"/>
      <c r="L155" s="414"/>
      <c r="M155" s="414"/>
      <c r="N155" s="414"/>
      <c r="O155" s="414"/>
      <c r="P155" s="414"/>
      <c r="Q155" s="414"/>
      <c r="R155" s="414"/>
      <c r="S155" s="414"/>
    </row>
    <row r="156" spans="2:19">
      <c r="B156" s="414">
        <f t="shared" si="9"/>
        <v>143</v>
      </c>
      <c r="C156" s="17" t="s">
        <v>716</v>
      </c>
      <c r="D156" s="414" t="s">
        <v>86</v>
      </c>
      <c r="E156" s="17">
        <v>63</v>
      </c>
      <c r="F156" s="414"/>
      <c r="G156" s="17">
        <v>31.1</v>
      </c>
      <c r="H156" s="416">
        <v>0.36</v>
      </c>
      <c r="I156" s="416">
        <v>1.06</v>
      </c>
      <c r="J156" s="414"/>
      <c r="K156" s="414"/>
      <c r="L156" s="414"/>
      <c r="M156" s="414"/>
      <c r="N156" s="414"/>
      <c r="O156" s="414"/>
      <c r="P156" s="414"/>
      <c r="Q156" s="414"/>
      <c r="R156" s="414"/>
      <c r="S156" s="414"/>
    </row>
    <row r="157" spans="2:19">
      <c r="B157" s="414">
        <f t="shared" si="9"/>
        <v>144</v>
      </c>
      <c r="C157" s="17" t="s">
        <v>1841</v>
      </c>
      <c r="D157" s="414" t="s">
        <v>1764</v>
      </c>
      <c r="E157" s="17">
        <v>63</v>
      </c>
      <c r="F157" s="414"/>
      <c r="G157" s="17">
        <v>41</v>
      </c>
      <c r="H157" s="416">
        <v>0.36</v>
      </c>
      <c r="I157" s="416">
        <v>1.06</v>
      </c>
      <c r="J157" s="414"/>
      <c r="K157" s="414"/>
      <c r="L157" s="414"/>
      <c r="M157" s="414"/>
      <c r="N157" s="414"/>
      <c r="O157" s="414"/>
      <c r="P157" s="414"/>
      <c r="Q157" s="414"/>
      <c r="R157" s="414"/>
      <c r="S157" s="414"/>
    </row>
    <row r="158" spans="2:19">
      <c r="B158" s="414">
        <f t="shared" si="9"/>
        <v>145</v>
      </c>
      <c r="C158" s="17" t="s">
        <v>1838</v>
      </c>
      <c r="D158" s="414" t="s">
        <v>74</v>
      </c>
      <c r="E158" s="17">
        <v>63</v>
      </c>
      <c r="F158" s="414"/>
      <c r="G158" s="17">
        <v>31.1</v>
      </c>
      <c r="H158" s="416">
        <v>0.36</v>
      </c>
      <c r="I158" s="416">
        <v>1.06</v>
      </c>
      <c r="J158" s="414"/>
      <c r="K158" s="414" t="s">
        <v>45</v>
      </c>
      <c r="L158" s="414">
        <f>+G158</f>
        <v>31.1</v>
      </c>
      <c r="M158" s="416">
        <v>0.36</v>
      </c>
      <c r="N158" s="416">
        <f>+L158*M158</f>
        <v>11.196</v>
      </c>
      <c r="O158" s="414">
        <v>31.1</v>
      </c>
      <c r="P158" s="414">
        <v>0.36</v>
      </c>
      <c r="Q158" s="414">
        <v>11.196</v>
      </c>
      <c r="R158" s="414"/>
      <c r="S158" s="414"/>
    </row>
    <row r="159" spans="2:19">
      <c r="B159" s="414">
        <f t="shared" si="9"/>
        <v>146</v>
      </c>
      <c r="C159" s="17" t="s">
        <v>1838</v>
      </c>
      <c r="D159" s="414" t="s">
        <v>74</v>
      </c>
      <c r="E159" s="17">
        <v>63</v>
      </c>
      <c r="F159" s="414"/>
      <c r="G159" s="17">
        <v>18</v>
      </c>
      <c r="H159" s="416">
        <v>0.36</v>
      </c>
      <c r="I159" s="416">
        <v>1.06</v>
      </c>
      <c r="J159" s="414"/>
      <c r="K159" s="414" t="s">
        <v>45</v>
      </c>
      <c r="L159" s="414">
        <f>+G159</f>
        <v>18</v>
      </c>
      <c r="M159" s="416">
        <v>0.36</v>
      </c>
      <c r="N159" s="416">
        <f>+L159*M159</f>
        <v>6.4799999999999995</v>
      </c>
      <c r="O159" s="414">
        <v>18</v>
      </c>
      <c r="P159" s="414">
        <v>0.36</v>
      </c>
      <c r="Q159" s="414">
        <v>6.4799999999999995</v>
      </c>
      <c r="R159" s="414"/>
      <c r="S159" s="414"/>
    </row>
    <row r="160" spans="2:19">
      <c r="B160" s="414">
        <f t="shared" si="9"/>
        <v>147</v>
      </c>
      <c r="C160" s="17" t="s">
        <v>50</v>
      </c>
      <c r="D160" s="414" t="s">
        <v>1313</v>
      </c>
      <c r="E160" s="17">
        <v>63</v>
      </c>
      <c r="F160" s="414"/>
      <c r="G160" s="17">
        <v>50</v>
      </c>
      <c r="H160" s="416">
        <v>0.36</v>
      </c>
      <c r="I160" s="416">
        <v>1.06</v>
      </c>
      <c r="J160" s="414"/>
      <c r="K160" s="414"/>
      <c r="L160" s="414"/>
      <c r="M160" s="414"/>
      <c r="N160" s="414"/>
      <c r="O160" s="414"/>
      <c r="P160" s="414"/>
      <c r="Q160" s="414"/>
      <c r="R160" s="414"/>
      <c r="S160" s="414"/>
    </row>
    <row r="161" spans="2:19">
      <c r="B161" s="414">
        <f t="shared" si="9"/>
        <v>148</v>
      </c>
      <c r="C161" s="17" t="s">
        <v>1313</v>
      </c>
      <c r="D161" s="414" t="s">
        <v>112</v>
      </c>
      <c r="E161" s="17">
        <v>63</v>
      </c>
      <c r="F161" s="414"/>
      <c r="G161" s="17">
        <v>54.3</v>
      </c>
      <c r="H161" s="416">
        <v>0.36</v>
      </c>
      <c r="I161" s="416">
        <v>1.06</v>
      </c>
      <c r="J161" s="414"/>
      <c r="K161" s="414"/>
      <c r="L161" s="414"/>
      <c r="M161" s="414"/>
      <c r="N161" s="414"/>
      <c r="O161" s="414"/>
      <c r="P161" s="414"/>
      <c r="Q161" s="414"/>
      <c r="R161" s="414"/>
      <c r="S161" s="414"/>
    </row>
    <row r="162" spans="2:19">
      <c r="B162" s="414">
        <f t="shared" si="9"/>
        <v>149</v>
      </c>
      <c r="C162" s="17" t="s">
        <v>838</v>
      </c>
      <c r="D162" s="414" t="s">
        <v>1313</v>
      </c>
      <c r="E162" s="17">
        <v>63</v>
      </c>
      <c r="F162" s="414"/>
      <c r="G162" s="17">
        <v>51</v>
      </c>
      <c r="H162" s="416">
        <v>0.36</v>
      </c>
      <c r="I162" s="416">
        <v>1.06</v>
      </c>
      <c r="J162" s="414"/>
      <c r="K162" s="414" t="s">
        <v>45</v>
      </c>
      <c r="L162" s="414">
        <f>+G162</f>
        <v>51</v>
      </c>
      <c r="M162" s="416">
        <v>0.36</v>
      </c>
      <c r="N162" s="416">
        <f>+L162*M162</f>
        <v>18.36</v>
      </c>
      <c r="O162" s="414">
        <v>51</v>
      </c>
      <c r="P162" s="414">
        <v>0.36</v>
      </c>
      <c r="Q162" s="414">
        <v>18.36</v>
      </c>
      <c r="R162" s="414"/>
      <c r="S162" s="414"/>
    </row>
    <row r="163" spans="2:19">
      <c r="B163" s="414">
        <f t="shared" si="9"/>
        <v>150</v>
      </c>
      <c r="C163" s="17" t="s">
        <v>1313</v>
      </c>
      <c r="D163" s="414" t="s">
        <v>1842</v>
      </c>
      <c r="E163" s="17">
        <v>63</v>
      </c>
      <c r="F163" s="414"/>
      <c r="G163" s="17">
        <v>23.5</v>
      </c>
      <c r="H163" s="416">
        <v>0.36</v>
      </c>
      <c r="I163" s="416">
        <v>1.06</v>
      </c>
      <c r="J163" s="414"/>
      <c r="K163" s="414"/>
      <c r="L163" s="414">
        <f>+G163</f>
        <v>23.5</v>
      </c>
      <c r="M163" s="416">
        <v>0.36</v>
      </c>
      <c r="N163" s="416">
        <f>+L163*M163</f>
        <v>8.4599999999999991</v>
      </c>
      <c r="O163" s="414">
        <v>23.5</v>
      </c>
      <c r="P163" s="414">
        <v>0.36</v>
      </c>
      <c r="Q163" s="414">
        <v>8.4599999999999991</v>
      </c>
      <c r="R163" s="414"/>
      <c r="S163" s="414"/>
    </row>
    <row r="164" spans="2:19">
      <c r="B164" s="414">
        <f t="shared" si="9"/>
        <v>151</v>
      </c>
      <c r="C164" s="17" t="s">
        <v>1408</v>
      </c>
      <c r="D164" s="414" t="s">
        <v>1843</v>
      </c>
      <c r="E164" s="17">
        <v>63</v>
      </c>
      <c r="F164" s="414"/>
      <c r="G164" s="17">
        <v>65.3</v>
      </c>
      <c r="H164" s="416">
        <v>0.36</v>
      </c>
      <c r="I164" s="416">
        <v>1.06</v>
      </c>
      <c r="J164" s="414"/>
      <c r="K164" s="414"/>
      <c r="L164" s="414"/>
      <c r="M164" s="414"/>
      <c r="N164" s="414"/>
      <c r="O164" s="414"/>
      <c r="P164" s="414"/>
      <c r="Q164" s="414"/>
      <c r="R164" s="414"/>
      <c r="S164" s="414"/>
    </row>
    <row r="165" spans="2:19">
      <c r="B165" s="414">
        <f t="shared" si="9"/>
        <v>152</v>
      </c>
      <c r="C165" s="17" t="s">
        <v>1362</v>
      </c>
      <c r="D165" s="414" t="s">
        <v>1330</v>
      </c>
      <c r="E165" s="17">
        <v>63</v>
      </c>
      <c r="F165" s="414"/>
      <c r="G165" s="17">
        <v>278.3</v>
      </c>
      <c r="H165" s="416">
        <v>0.36</v>
      </c>
      <c r="I165" s="416">
        <v>1.06</v>
      </c>
      <c r="J165" s="414"/>
      <c r="K165" s="414"/>
      <c r="L165" s="414"/>
      <c r="M165" s="414"/>
      <c r="N165" s="414"/>
      <c r="O165" s="414"/>
      <c r="P165" s="414"/>
      <c r="Q165" s="414"/>
      <c r="R165" s="414"/>
      <c r="S165" s="414"/>
    </row>
    <row r="166" spans="2:19">
      <c r="B166" s="414">
        <f t="shared" si="9"/>
        <v>153</v>
      </c>
      <c r="C166" s="17" t="s">
        <v>1330</v>
      </c>
      <c r="D166" s="414" t="s">
        <v>1403</v>
      </c>
      <c r="E166" s="17">
        <v>63</v>
      </c>
      <c r="F166" s="414"/>
      <c r="G166" s="17">
        <v>51.3</v>
      </c>
      <c r="H166" s="416">
        <v>0.36</v>
      </c>
      <c r="I166" s="416">
        <v>1.06</v>
      </c>
      <c r="J166" s="414"/>
      <c r="K166" s="414"/>
      <c r="L166" s="414"/>
      <c r="M166" s="414"/>
      <c r="N166" s="414"/>
      <c r="O166" s="414"/>
      <c r="P166" s="414"/>
      <c r="Q166" s="414"/>
      <c r="R166" s="414"/>
      <c r="S166" s="414"/>
    </row>
    <row r="167" spans="2:19">
      <c r="B167" s="414">
        <f t="shared" si="9"/>
        <v>154</v>
      </c>
      <c r="C167" s="17" t="s">
        <v>1330</v>
      </c>
      <c r="D167" s="414" t="s">
        <v>1366</v>
      </c>
      <c r="E167" s="17">
        <v>63</v>
      </c>
      <c r="F167" s="414"/>
      <c r="G167" s="17">
        <v>48.1</v>
      </c>
      <c r="H167" s="416">
        <v>0.36</v>
      </c>
      <c r="I167" s="416">
        <v>1.06</v>
      </c>
      <c r="J167" s="414"/>
      <c r="K167" s="414"/>
      <c r="L167" s="414"/>
      <c r="M167" s="414"/>
      <c r="N167" s="414"/>
      <c r="O167" s="414"/>
      <c r="P167" s="414"/>
      <c r="Q167" s="414"/>
      <c r="R167" s="414"/>
      <c r="S167" s="414"/>
    </row>
    <row r="168" spans="2:19">
      <c r="B168" s="414">
        <f t="shared" si="9"/>
        <v>155</v>
      </c>
      <c r="C168" s="17" t="s">
        <v>1362</v>
      </c>
      <c r="D168" s="414" t="s">
        <v>1330</v>
      </c>
      <c r="E168" s="17">
        <v>63</v>
      </c>
      <c r="F168" s="414"/>
      <c r="G168" s="17">
        <v>7</v>
      </c>
      <c r="H168" s="416">
        <v>0.36</v>
      </c>
      <c r="I168" s="416">
        <v>1.06</v>
      </c>
      <c r="J168" s="414"/>
      <c r="K168" s="414" t="s">
        <v>1797</v>
      </c>
      <c r="L168" s="414">
        <f>+G168</f>
        <v>7</v>
      </c>
      <c r="M168" s="416">
        <v>0.36</v>
      </c>
      <c r="N168" s="416">
        <f>+L168*M168</f>
        <v>2.52</v>
      </c>
      <c r="O168" s="414">
        <v>7</v>
      </c>
      <c r="P168" s="414">
        <v>0.36</v>
      </c>
      <c r="Q168" s="414">
        <v>2.52</v>
      </c>
      <c r="R168" s="414"/>
      <c r="S168" s="414"/>
    </row>
    <row r="169" spans="2:19">
      <c r="B169" s="414">
        <f t="shared" si="9"/>
        <v>156</v>
      </c>
      <c r="C169" s="17" t="s">
        <v>1330</v>
      </c>
      <c r="D169" s="414" t="s">
        <v>1403</v>
      </c>
      <c r="E169" s="17">
        <v>63</v>
      </c>
      <c r="F169" s="414"/>
      <c r="G169" s="17">
        <v>5</v>
      </c>
      <c r="H169" s="416">
        <v>0.36</v>
      </c>
      <c r="I169" s="416">
        <v>1.06</v>
      </c>
      <c r="J169" s="414"/>
      <c r="K169" s="414" t="s">
        <v>1797</v>
      </c>
      <c r="L169" s="414">
        <f>+G169</f>
        <v>5</v>
      </c>
      <c r="M169" s="416">
        <v>0.36</v>
      </c>
      <c r="N169" s="416">
        <f>+L169*M169</f>
        <v>1.7999999999999998</v>
      </c>
      <c r="O169" s="414">
        <v>5</v>
      </c>
      <c r="P169" s="414">
        <v>0.36</v>
      </c>
      <c r="Q169" s="414">
        <v>1.7999999999999998</v>
      </c>
      <c r="R169" s="414"/>
      <c r="S169" s="414"/>
    </row>
    <row r="170" spans="2:19">
      <c r="B170" s="423">
        <f t="shared" si="9"/>
        <v>157</v>
      </c>
      <c r="C170" s="17" t="s">
        <v>1827</v>
      </c>
      <c r="D170" s="423" t="s">
        <v>1120</v>
      </c>
      <c r="E170" s="17">
        <v>63</v>
      </c>
      <c r="F170" s="423"/>
      <c r="G170" s="17">
        <v>48</v>
      </c>
      <c r="H170" s="423">
        <v>0.36</v>
      </c>
      <c r="I170" s="423">
        <v>1.06</v>
      </c>
      <c r="J170" s="423"/>
      <c r="K170" s="423"/>
      <c r="L170" s="423"/>
      <c r="M170" s="423"/>
      <c r="N170" s="423"/>
      <c r="O170" s="423"/>
      <c r="P170" s="423"/>
      <c r="Q170" s="423"/>
      <c r="R170" s="423"/>
      <c r="S170" s="423"/>
    </row>
    <row r="171" spans="2:19">
      <c r="B171" s="423">
        <f t="shared" si="9"/>
        <v>158</v>
      </c>
      <c r="C171" s="17" t="s">
        <v>1827</v>
      </c>
      <c r="D171" s="423" t="s">
        <v>1218</v>
      </c>
      <c r="E171" s="17">
        <v>63</v>
      </c>
      <c r="F171" s="423"/>
      <c r="G171" s="17">
        <v>52</v>
      </c>
      <c r="H171" s="423">
        <v>0.36</v>
      </c>
      <c r="I171" s="423">
        <v>1.06</v>
      </c>
      <c r="J171" s="423"/>
      <c r="K171" s="423"/>
      <c r="L171" s="423"/>
      <c r="M171" s="423"/>
      <c r="N171" s="423"/>
      <c r="O171" s="423"/>
      <c r="P171" s="423"/>
      <c r="Q171" s="423"/>
      <c r="R171" s="423"/>
      <c r="S171" s="423"/>
    </row>
    <row r="172" spans="2:19">
      <c r="B172" s="423">
        <f t="shared" si="9"/>
        <v>159</v>
      </c>
      <c r="C172" s="17" t="s">
        <v>1218</v>
      </c>
      <c r="D172" s="423" t="s">
        <v>1741</v>
      </c>
      <c r="E172" s="17">
        <v>63</v>
      </c>
      <c r="F172" s="423"/>
      <c r="G172" s="17">
        <v>29</v>
      </c>
      <c r="H172" s="423">
        <v>0.36</v>
      </c>
      <c r="I172" s="423">
        <v>1.06</v>
      </c>
      <c r="J172" s="423"/>
      <c r="K172" s="423"/>
      <c r="L172" s="423"/>
      <c r="M172" s="423"/>
      <c r="N172" s="423"/>
      <c r="O172" s="423"/>
      <c r="P172" s="423"/>
      <c r="Q172" s="423"/>
      <c r="R172" s="423"/>
      <c r="S172" s="423"/>
    </row>
    <row r="173" spans="2:19">
      <c r="B173" s="423">
        <f t="shared" si="9"/>
        <v>160</v>
      </c>
      <c r="C173" s="17" t="s">
        <v>1741</v>
      </c>
      <c r="D173" s="423" t="s">
        <v>1877</v>
      </c>
      <c r="E173" s="17">
        <v>63</v>
      </c>
      <c r="F173" s="423"/>
      <c r="G173" s="17">
        <v>50</v>
      </c>
      <c r="H173" s="423">
        <v>0.36</v>
      </c>
      <c r="I173" s="423">
        <v>1.06</v>
      </c>
      <c r="J173" s="423"/>
      <c r="K173" s="423"/>
      <c r="L173" s="423"/>
      <c r="M173" s="423"/>
      <c r="N173" s="423"/>
      <c r="O173" s="423"/>
      <c r="P173" s="423"/>
      <c r="Q173" s="423"/>
      <c r="R173" s="423"/>
      <c r="S173" s="423"/>
    </row>
    <row r="174" spans="2:19">
      <c r="B174" s="423">
        <f t="shared" si="9"/>
        <v>161</v>
      </c>
      <c r="C174" s="17" t="s">
        <v>94</v>
      </c>
      <c r="D174" s="423" t="s">
        <v>76</v>
      </c>
      <c r="E174" s="17">
        <v>63</v>
      </c>
      <c r="F174" s="423"/>
      <c r="G174" s="17">
        <v>69</v>
      </c>
      <c r="H174" s="423">
        <v>0.36</v>
      </c>
      <c r="I174" s="423">
        <v>1.06</v>
      </c>
      <c r="J174" s="423"/>
      <c r="K174" s="423"/>
      <c r="L174" s="423"/>
      <c r="M174" s="423"/>
      <c r="N174" s="423"/>
      <c r="O174" s="423"/>
      <c r="P174" s="423"/>
      <c r="Q174" s="423"/>
      <c r="R174" s="423"/>
      <c r="S174" s="423"/>
    </row>
    <row r="175" spans="2:19">
      <c r="B175" s="423">
        <f t="shared" si="9"/>
        <v>162</v>
      </c>
      <c r="C175" s="17" t="s">
        <v>76</v>
      </c>
      <c r="D175" s="423" t="s">
        <v>80</v>
      </c>
      <c r="E175" s="17">
        <v>63</v>
      </c>
      <c r="F175" s="423"/>
      <c r="G175" s="17">
        <v>89</v>
      </c>
      <c r="H175" s="423">
        <v>0.36</v>
      </c>
      <c r="I175" s="423">
        <v>1.06</v>
      </c>
      <c r="J175" s="423"/>
      <c r="K175" s="423"/>
      <c r="L175" s="423"/>
      <c r="M175" s="423"/>
      <c r="N175" s="423"/>
      <c r="O175" s="423"/>
      <c r="P175" s="423"/>
      <c r="Q175" s="423"/>
      <c r="R175" s="423"/>
      <c r="S175" s="423"/>
    </row>
    <row r="176" spans="2:19">
      <c r="B176" s="423">
        <f t="shared" si="9"/>
        <v>163</v>
      </c>
      <c r="C176" s="17" t="s">
        <v>106</v>
      </c>
      <c r="D176" s="423" t="s">
        <v>77</v>
      </c>
      <c r="E176" s="17">
        <v>63</v>
      </c>
      <c r="F176" s="423"/>
      <c r="G176" s="17">
        <v>43</v>
      </c>
      <c r="H176" s="423">
        <v>0.36</v>
      </c>
      <c r="I176" s="423">
        <v>1.06</v>
      </c>
      <c r="J176" s="423"/>
      <c r="K176" s="423" t="s">
        <v>1367</v>
      </c>
      <c r="L176" s="423">
        <f>+G176</f>
        <v>43</v>
      </c>
      <c r="M176" s="423">
        <v>0.36</v>
      </c>
      <c r="N176" s="423">
        <f>+L176*M176</f>
        <v>15.479999999999999</v>
      </c>
      <c r="O176" s="423">
        <v>43</v>
      </c>
      <c r="P176" s="423">
        <v>0.36</v>
      </c>
      <c r="Q176" s="423">
        <v>15.479999999999999</v>
      </c>
      <c r="R176" s="423"/>
      <c r="S176" s="423"/>
    </row>
    <row r="177" spans="2:19">
      <c r="B177" s="423">
        <f t="shared" si="9"/>
        <v>164</v>
      </c>
      <c r="C177" s="17" t="s">
        <v>1817</v>
      </c>
      <c r="D177" s="423" t="s">
        <v>1878</v>
      </c>
      <c r="E177" s="17">
        <v>63</v>
      </c>
      <c r="F177" s="423"/>
      <c r="G177" s="17">
        <v>200</v>
      </c>
      <c r="H177" s="423">
        <v>0.36</v>
      </c>
      <c r="I177" s="423">
        <v>1.06</v>
      </c>
      <c r="J177" s="423"/>
      <c r="K177" s="423"/>
      <c r="L177" s="423"/>
      <c r="M177" s="423"/>
      <c r="N177" s="423"/>
      <c r="O177" s="423"/>
      <c r="P177" s="423"/>
      <c r="Q177" s="423"/>
      <c r="R177" s="423"/>
      <c r="S177" s="423"/>
    </row>
    <row r="178" spans="2:19">
      <c r="B178" s="423">
        <f t="shared" si="9"/>
        <v>165</v>
      </c>
      <c r="C178" s="17" t="s">
        <v>1771</v>
      </c>
      <c r="D178" s="423" t="s">
        <v>1879</v>
      </c>
      <c r="E178" s="17">
        <v>63</v>
      </c>
      <c r="F178" s="423"/>
      <c r="G178" s="17">
        <v>50</v>
      </c>
      <c r="H178" s="423">
        <v>0.36</v>
      </c>
      <c r="I178" s="423">
        <v>1.06</v>
      </c>
      <c r="J178" s="423"/>
      <c r="K178" s="423"/>
      <c r="L178" s="423"/>
      <c r="M178" s="423"/>
      <c r="N178" s="423"/>
      <c r="O178" s="423"/>
      <c r="P178" s="423"/>
      <c r="Q178" s="423"/>
      <c r="R178" s="423"/>
      <c r="S178" s="423"/>
    </row>
    <row r="179" spans="2:19">
      <c r="B179" s="423">
        <f t="shared" si="9"/>
        <v>166</v>
      </c>
      <c r="C179" s="17" t="s">
        <v>130</v>
      </c>
      <c r="D179" s="423" t="s">
        <v>1880</v>
      </c>
      <c r="E179" s="17">
        <v>63</v>
      </c>
      <c r="F179" s="423"/>
      <c r="G179" s="17">
        <v>50</v>
      </c>
      <c r="H179" s="423">
        <v>0.36</v>
      </c>
      <c r="I179" s="423">
        <v>1.06</v>
      </c>
      <c r="J179" s="423"/>
      <c r="K179" s="423"/>
      <c r="L179" s="423"/>
      <c r="M179" s="423"/>
      <c r="N179" s="423"/>
      <c r="O179" s="423"/>
      <c r="P179" s="423"/>
      <c r="Q179" s="423"/>
      <c r="R179" s="423"/>
      <c r="S179" s="423"/>
    </row>
    <row r="180" spans="2:19">
      <c r="B180" s="423">
        <f t="shared" si="9"/>
        <v>167</v>
      </c>
      <c r="C180" s="17" t="s">
        <v>731</v>
      </c>
      <c r="D180" s="423" t="s">
        <v>930</v>
      </c>
      <c r="E180" s="17">
        <v>63</v>
      </c>
      <c r="F180" s="423"/>
      <c r="G180" s="17">
        <v>37</v>
      </c>
      <c r="H180" s="423">
        <v>0.36</v>
      </c>
      <c r="I180" s="423">
        <v>1.06</v>
      </c>
      <c r="J180" s="423"/>
      <c r="K180" s="423" t="s">
        <v>45</v>
      </c>
      <c r="L180" s="423">
        <f>+G180</f>
        <v>37</v>
      </c>
      <c r="M180" s="423">
        <v>0.36</v>
      </c>
      <c r="N180" s="423">
        <f>+L180*M180</f>
        <v>13.32</v>
      </c>
      <c r="O180" s="423">
        <v>37</v>
      </c>
      <c r="P180" s="423">
        <v>0.36</v>
      </c>
      <c r="Q180" s="423">
        <v>13.32</v>
      </c>
      <c r="R180" s="423"/>
      <c r="S180" s="423"/>
    </row>
    <row r="181" spans="2:19">
      <c r="B181" s="423">
        <f t="shared" si="9"/>
        <v>168</v>
      </c>
      <c r="C181" s="17" t="s">
        <v>731</v>
      </c>
      <c r="D181" s="423" t="s">
        <v>1167</v>
      </c>
      <c r="E181" s="17">
        <v>63</v>
      </c>
      <c r="F181" s="423"/>
      <c r="G181" s="17">
        <v>20</v>
      </c>
      <c r="H181" s="423">
        <v>0.36</v>
      </c>
      <c r="I181" s="423">
        <v>1.06</v>
      </c>
      <c r="J181" s="423"/>
      <c r="K181" s="423"/>
      <c r="L181" s="423"/>
      <c r="M181" s="423"/>
      <c r="N181" s="423"/>
      <c r="O181" s="423"/>
      <c r="P181" s="423"/>
      <c r="Q181" s="423"/>
      <c r="R181" s="423"/>
      <c r="S181" s="423"/>
    </row>
    <row r="182" spans="2:19">
      <c r="B182" s="423">
        <f t="shared" si="9"/>
        <v>169</v>
      </c>
      <c r="C182" s="17" t="s">
        <v>1167</v>
      </c>
      <c r="D182" s="423" t="s">
        <v>85</v>
      </c>
      <c r="E182" s="17">
        <v>63</v>
      </c>
      <c r="F182" s="423"/>
      <c r="G182" s="17">
        <v>28</v>
      </c>
      <c r="H182" s="423">
        <v>0.36</v>
      </c>
      <c r="I182" s="423">
        <v>1.06</v>
      </c>
      <c r="J182" s="423"/>
      <c r="K182" s="423"/>
      <c r="L182" s="423"/>
      <c r="M182" s="423"/>
      <c r="N182" s="423"/>
      <c r="O182" s="423"/>
      <c r="P182" s="423"/>
      <c r="Q182" s="423"/>
      <c r="R182" s="423"/>
      <c r="S182" s="423"/>
    </row>
    <row r="183" spans="2:19">
      <c r="B183" s="423">
        <f t="shared" si="9"/>
        <v>170</v>
      </c>
      <c r="C183" s="17" t="s">
        <v>67</v>
      </c>
      <c r="D183" s="423" t="s">
        <v>1418</v>
      </c>
      <c r="E183" s="17">
        <v>63</v>
      </c>
      <c r="F183" s="423"/>
      <c r="G183" s="17">
        <v>30</v>
      </c>
      <c r="H183" s="423">
        <v>0.36</v>
      </c>
      <c r="I183" s="423">
        <v>1.06</v>
      </c>
      <c r="J183" s="423"/>
      <c r="K183" s="423"/>
      <c r="L183" s="423"/>
      <c r="M183" s="423"/>
      <c r="N183" s="423"/>
      <c r="O183" s="423"/>
      <c r="P183" s="423"/>
      <c r="Q183" s="423"/>
      <c r="R183" s="423"/>
      <c r="S183" s="423"/>
    </row>
    <row r="184" spans="2:19">
      <c r="B184" s="423">
        <f t="shared" si="9"/>
        <v>171</v>
      </c>
      <c r="C184" s="17" t="s">
        <v>1172</v>
      </c>
      <c r="D184" s="423" t="s">
        <v>1384</v>
      </c>
      <c r="E184" s="17">
        <v>125</v>
      </c>
      <c r="F184" s="423"/>
      <c r="G184" s="17">
        <v>48</v>
      </c>
      <c r="H184" s="423">
        <v>0.42</v>
      </c>
      <c r="I184" s="423">
        <v>1.1200000000000001</v>
      </c>
      <c r="J184" s="423"/>
      <c r="K184" s="423"/>
      <c r="L184" s="423"/>
      <c r="M184" s="423"/>
      <c r="N184" s="423"/>
      <c r="O184" s="423"/>
      <c r="P184" s="423"/>
      <c r="Q184" s="423"/>
      <c r="R184" s="423"/>
      <c r="S184" s="423"/>
    </row>
    <row r="185" spans="2:19">
      <c r="B185" s="423">
        <f t="shared" si="9"/>
        <v>172</v>
      </c>
      <c r="C185" s="17" t="s">
        <v>1120</v>
      </c>
      <c r="D185" s="423" t="s">
        <v>1882</v>
      </c>
      <c r="E185" s="17">
        <v>63</v>
      </c>
      <c r="F185" s="423"/>
      <c r="G185" s="17">
        <v>29</v>
      </c>
      <c r="H185" s="423">
        <v>0.36</v>
      </c>
      <c r="I185" s="423">
        <v>1.06</v>
      </c>
      <c r="J185" s="423"/>
      <c r="K185" s="423"/>
      <c r="L185" s="423"/>
      <c r="M185" s="423"/>
      <c r="N185" s="423"/>
      <c r="O185" s="423"/>
      <c r="P185" s="423"/>
      <c r="Q185" s="423"/>
      <c r="R185" s="423"/>
      <c r="S185" s="423"/>
    </row>
    <row r="186" spans="2:19">
      <c r="B186" s="423">
        <f t="shared" si="9"/>
        <v>173</v>
      </c>
      <c r="C186" s="17" t="s">
        <v>1882</v>
      </c>
      <c r="D186" s="423" t="s">
        <v>1723</v>
      </c>
      <c r="E186" s="17">
        <v>63</v>
      </c>
      <c r="F186" s="423"/>
      <c r="G186" s="17">
        <v>22</v>
      </c>
      <c r="H186" s="423">
        <v>0.36</v>
      </c>
      <c r="I186" s="423">
        <v>1.06</v>
      </c>
      <c r="J186" s="423"/>
      <c r="K186" s="423"/>
      <c r="L186" s="423"/>
      <c r="M186" s="423"/>
      <c r="N186" s="423"/>
      <c r="O186" s="423"/>
      <c r="P186" s="423"/>
      <c r="Q186" s="423"/>
      <c r="R186" s="423"/>
      <c r="S186" s="423"/>
    </row>
    <row r="187" spans="2:19">
      <c r="B187" s="423">
        <f t="shared" si="9"/>
        <v>174</v>
      </c>
      <c r="C187" s="17" t="s">
        <v>1882</v>
      </c>
      <c r="D187" s="423" t="s">
        <v>107</v>
      </c>
      <c r="E187" s="17">
        <v>63</v>
      </c>
      <c r="F187" s="423"/>
      <c r="G187" s="17">
        <v>22</v>
      </c>
      <c r="H187" s="423">
        <v>0.36</v>
      </c>
      <c r="I187" s="423">
        <v>1.06</v>
      </c>
      <c r="J187" s="423"/>
      <c r="K187" s="423"/>
      <c r="L187" s="423"/>
      <c r="M187" s="423"/>
      <c r="N187" s="423"/>
      <c r="O187" s="423"/>
      <c r="P187" s="423"/>
      <c r="Q187" s="423"/>
      <c r="R187" s="423"/>
      <c r="S187" s="423"/>
    </row>
    <row r="188" spans="2:19">
      <c r="B188" s="423">
        <f t="shared" si="9"/>
        <v>175</v>
      </c>
      <c r="C188" s="17" t="s">
        <v>1881</v>
      </c>
      <c r="D188" s="423" t="s">
        <v>93</v>
      </c>
      <c r="E188" s="17">
        <v>63</v>
      </c>
      <c r="F188" s="423"/>
      <c r="G188" s="17">
        <v>119</v>
      </c>
      <c r="H188" s="423">
        <v>0.36</v>
      </c>
      <c r="I188" s="423">
        <v>1.06</v>
      </c>
      <c r="J188" s="423"/>
      <c r="K188" s="423"/>
      <c r="L188" s="423"/>
      <c r="M188" s="423"/>
      <c r="N188" s="423"/>
      <c r="O188" s="423"/>
      <c r="P188" s="423"/>
      <c r="Q188" s="423"/>
      <c r="R188" s="423"/>
      <c r="S188" s="423"/>
    </row>
    <row r="189" spans="2:19">
      <c r="B189" s="423">
        <f t="shared" si="9"/>
        <v>176</v>
      </c>
      <c r="C189" s="17" t="s">
        <v>93</v>
      </c>
      <c r="D189" s="423" t="s">
        <v>716</v>
      </c>
      <c r="E189" s="17">
        <v>63</v>
      </c>
      <c r="F189" s="423"/>
      <c r="G189" s="17">
        <v>72</v>
      </c>
      <c r="H189" s="423">
        <v>0.36</v>
      </c>
      <c r="I189" s="423">
        <v>1.06</v>
      </c>
      <c r="J189" s="423"/>
      <c r="K189" s="423"/>
      <c r="L189" s="423"/>
      <c r="M189" s="423"/>
      <c r="N189" s="423"/>
      <c r="O189" s="423"/>
      <c r="P189" s="423"/>
      <c r="Q189" s="423"/>
      <c r="R189" s="423"/>
      <c r="S189" s="423"/>
    </row>
    <row r="190" spans="2:19">
      <c r="B190" s="423">
        <f t="shared" si="9"/>
        <v>177</v>
      </c>
      <c r="C190" s="17" t="s">
        <v>93</v>
      </c>
      <c r="D190" s="423" t="s">
        <v>1883</v>
      </c>
      <c r="E190" s="17">
        <v>63</v>
      </c>
      <c r="F190" s="423"/>
      <c r="G190" s="17">
        <v>198</v>
      </c>
      <c r="H190" s="423">
        <v>0.36</v>
      </c>
      <c r="I190" s="423">
        <v>1.06</v>
      </c>
      <c r="J190" s="423"/>
      <c r="K190" s="423"/>
      <c r="L190" s="423"/>
      <c r="M190" s="423"/>
      <c r="N190" s="423"/>
      <c r="O190" s="423"/>
      <c r="P190" s="423"/>
      <c r="Q190" s="423"/>
      <c r="R190" s="423"/>
      <c r="S190" s="423"/>
    </row>
    <row r="191" spans="2:19">
      <c r="B191" s="424"/>
      <c r="C191" s="418"/>
      <c r="D191" s="424"/>
      <c r="E191" s="418"/>
      <c r="F191" s="424"/>
      <c r="G191" s="418">
        <f>SUM(G14:G190)</f>
        <v>20071.899999999987</v>
      </c>
      <c r="H191" s="424"/>
      <c r="I191" s="424"/>
      <c r="J191" s="424"/>
      <c r="K191" s="424"/>
      <c r="L191" s="424"/>
      <c r="M191" s="424"/>
      <c r="N191" s="424"/>
      <c r="O191" s="424"/>
      <c r="P191" s="424"/>
      <c r="Q191" s="424">
        <f>SUM(Q14:Q190)</f>
        <v>1184.1979999999996</v>
      </c>
      <c r="R191" s="424"/>
      <c r="S191" s="424"/>
    </row>
    <row r="192" spans="2:19" ht="63">
      <c r="B192" s="425"/>
      <c r="C192" s="426"/>
      <c r="D192" s="422" t="s">
        <v>175</v>
      </c>
      <c r="E192" s="427"/>
      <c r="F192" s="422"/>
      <c r="G192" s="422"/>
      <c r="H192" s="422"/>
      <c r="I192" s="513" t="s">
        <v>176</v>
      </c>
      <c r="J192" s="513"/>
      <c r="K192" s="513"/>
      <c r="L192" s="513"/>
      <c r="M192" s="513"/>
      <c r="N192" s="513" t="s">
        <v>177</v>
      </c>
      <c r="O192" s="513"/>
      <c r="P192" s="513"/>
      <c r="Q192" s="513"/>
      <c r="R192" s="513"/>
      <c r="S192" s="428"/>
    </row>
    <row r="193" spans="2:19">
      <c r="B193" s="424"/>
      <c r="C193" s="418"/>
      <c r="D193" s="424"/>
      <c r="E193" s="418"/>
      <c r="F193" s="424"/>
      <c r="G193" s="418"/>
      <c r="H193" s="424"/>
      <c r="I193" s="424"/>
      <c r="J193" s="424"/>
      <c r="K193" s="424"/>
      <c r="L193" s="424"/>
      <c r="M193" s="424"/>
      <c r="N193" s="424"/>
      <c r="O193" s="424"/>
      <c r="P193" s="424"/>
      <c r="Q193" s="424"/>
      <c r="R193" s="424"/>
      <c r="S193" s="424"/>
    </row>
    <row r="194" spans="2:19">
      <c r="B194" s="424"/>
      <c r="C194" s="418"/>
      <c r="D194" s="424"/>
      <c r="E194" s="418"/>
      <c r="F194" s="424"/>
      <c r="G194" s="418"/>
      <c r="H194" s="424"/>
      <c r="I194" s="424"/>
      <c r="J194" s="424"/>
      <c r="K194" s="424"/>
      <c r="L194" s="424"/>
      <c r="M194" s="424"/>
      <c r="N194" s="424"/>
      <c r="O194" s="424"/>
      <c r="P194" s="424"/>
      <c r="Q194" s="424"/>
      <c r="R194" s="424"/>
      <c r="S194" s="424"/>
    </row>
    <row r="195" spans="2:19">
      <c r="B195" s="424"/>
      <c r="C195" s="418"/>
      <c r="D195" s="424"/>
      <c r="E195" s="418"/>
      <c r="F195" s="424"/>
      <c r="G195" s="418"/>
      <c r="H195" s="424"/>
      <c r="I195" s="424"/>
      <c r="J195" s="424"/>
      <c r="K195" s="424"/>
      <c r="L195" s="424"/>
      <c r="M195" s="424"/>
      <c r="N195" s="424"/>
      <c r="O195" s="424"/>
      <c r="P195" s="424"/>
      <c r="Q195" s="424"/>
      <c r="R195" s="424"/>
      <c r="S195" s="424"/>
    </row>
    <row r="196" spans="2:19">
      <c r="B196" s="424"/>
      <c r="C196" s="418"/>
      <c r="D196" s="424"/>
      <c r="E196" s="418"/>
      <c r="F196" s="424"/>
      <c r="G196" s="418"/>
      <c r="H196" s="424"/>
      <c r="I196" s="424"/>
      <c r="J196" s="424"/>
      <c r="K196" s="424"/>
      <c r="L196" s="424"/>
      <c r="M196" s="424"/>
      <c r="N196" s="424"/>
      <c r="O196" s="424"/>
      <c r="P196" s="424"/>
      <c r="Q196" s="424"/>
      <c r="R196" s="424"/>
      <c r="S196" s="424"/>
    </row>
    <row r="197" spans="2:19">
      <c r="B197" s="424"/>
      <c r="C197" s="418"/>
      <c r="D197" s="424"/>
      <c r="E197" s="418"/>
      <c r="F197" s="424"/>
      <c r="G197" s="418"/>
      <c r="H197" s="424"/>
      <c r="I197" s="424"/>
      <c r="J197" s="424"/>
      <c r="K197" s="424"/>
      <c r="L197" s="424"/>
      <c r="M197" s="424"/>
      <c r="N197" s="424"/>
      <c r="O197" s="424"/>
      <c r="P197" s="424"/>
      <c r="Q197" s="424"/>
      <c r="R197" s="424"/>
      <c r="S197" s="424"/>
    </row>
    <row r="198" spans="2:19">
      <c r="B198" s="424"/>
      <c r="C198" s="418"/>
      <c r="D198" s="424"/>
      <c r="E198" s="418"/>
      <c r="F198" s="424"/>
      <c r="G198" s="418"/>
      <c r="H198" s="424"/>
      <c r="I198" s="424"/>
      <c r="J198" s="424"/>
      <c r="K198" s="424"/>
      <c r="L198" s="424"/>
      <c r="M198" s="424"/>
      <c r="N198" s="424"/>
      <c r="O198" s="424"/>
      <c r="P198" s="424"/>
      <c r="Q198" s="424"/>
      <c r="R198" s="424"/>
      <c r="S198" s="424"/>
    </row>
    <row r="199" spans="2:19">
      <c r="B199" s="424"/>
      <c r="C199" s="418"/>
      <c r="D199" s="424"/>
      <c r="E199" s="418"/>
      <c r="F199" s="424"/>
      <c r="G199" s="418"/>
      <c r="H199" s="424"/>
      <c r="I199" s="424"/>
      <c r="J199" s="424"/>
      <c r="K199" s="424"/>
      <c r="L199" s="424"/>
      <c r="M199" s="424"/>
      <c r="N199" s="424"/>
      <c r="O199" s="424"/>
      <c r="P199" s="424"/>
      <c r="Q199" s="424"/>
      <c r="R199" s="424"/>
      <c r="S199" s="424"/>
    </row>
    <row r="200" spans="2:19">
      <c r="B200" s="424"/>
      <c r="C200" s="418"/>
      <c r="D200" s="424"/>
      <c r="E200" s="418"/>
      <c r="F200" s="424"/>
      <c r="G200" s="418"/>
      <c r="H200" s="424"/>
      <c r="I200" s="424"/>
      <c r="J200" s="424"/>
      <c r="K200" s="424"/>
      <c r="L200" s="424"/>
      <c r="M200" s="424"/>
      <c r="N200" s="424"/>
      <c r="O200" s="424"/>
      <c r="P200" s="424"/>
      <c r="Q200" s="424"/>
      <c r="R200" s="424"/>
      <c r="S200" s="424"/>
    </row>
    <row r="201" spans="2:19">
      <c r="B201" s="424"/>
      <c r="C201" s="418"/>
      <c r="D201" s="424"/>
      <c r="E201" s="418"/>
      <c r="F201" s="424"/>
      <c r="G201" s="418"/>
      <c r="H201" s="424"/>
      <c r="I201" s="424"/>
      <c r="J201" s="424"/>
      <c r="K201" s="424"/>
      <c r="L201" s="424"/>
      <c r="M201" s="424"/>
      <c r="N201" s="424"/>
      <c r="O201" s="424"/>
      <c r="P201" s="424"/>
      <c r="Q201" s="424"/>
      <c r="R201" s="424"/>
      <c r="S201" s="424"/>
    </row>
    <row r="202" spans="2:19">
      <c r="B202" s="424"/>
      <c r="C202" s="418"/>
      <c r="D202" s="424"/>
      <c r="E202" s="418"/>
      <c r="F202" s="424"/>
      <c r="G202" s="418"/>
      <c r="H202" s="424"/>
      <c r="I202" s="424"/>
      <c r="J202" s="424"/>
      <c r="K202" s="424"/>
      <c r="L202" s="424"/>
      <c r="M202" s="424"/>
      <c r="N202" s="424"/>
      <c r="O202" s="424"/>
      <c r="P202" s="424"/>
      <c r="Q202" s="424"/>
      <c r="R202" s="424"/>
      <c r="S202" s="424"/>
    </row>
    <row r="203" spans="2:19">
      <c r="B203" s="415"/>
      <c r="C203" s="418"/>
      <c r="D203" s="415"/>
      <c r="E203" s="418"/>
      <c r="F203" s="415"/>
      <c r="R203" s="415"/>
      <c r="S203" s="415"/>
    </row>
    <row r="204" spans="2:19">
      <c r="B204" s="415"/>
      <c r="C204" s="418"/>
      <c r="D204" s="415"/>
      <c r="E204" s="418"/>
      <c r="F204" s="415"/>
      <c r="G204" s="418"/>
      <c r="H204" s="415"/>
      <c r="I204" s="415"/>
      <c r="J204" s="415"/>
      <c r="K204" s="415"/>
      <c r="L204" s="415"/>
      <c r="M204" s="415"/>
      <c r="N204" s="415"/>
      <c r="O204" s="415"/>
      <c r="P204" s="415"/>
      <c r="Q204" s="415"/>
      <c r="R204" s="415"/>
      <c r="S204" s="415"/>
    </row>
    <row r="205" spans="2:19">
      <c r="B205" s="415"/>
      <c r="C205" s="418"/>
      <c r="D205" s="415"/>
      <c r="E205" s="418"/>
      <c r="F205" s="415"/>
      <c r="G205" s="418"/>
      <c r="H205" s="415"/>
      <c r="I205" s="415"/>
      <c r="J205" s="415"/>
      <c r="K205" s="415"/>
      <c r="L205" s="415"/>
      <c r="M205" s="415"/>
      <c r="N205" s="415"/>
      <c r="O205" s="415"/>
      <c r="P205" s="415"/>
      <c r="Q205" s="415"/>
      <c r="R205" s="415"/>
      <c r="S205" s="415"/>
    </row>
    <row r="206" spans="2:19">
      <c r="B206" s="415"/>
      <c r="C206" s="418"/>
      <c r="D206" s="415"/>
      <c r="E206" s="418"/>
      <c r="F206" s="415"/>
      <c r="G206" s="418"/>
      <c r="H206" s="415"/>
      <c r="I206" s="415"/>
      <c r="J206" s="415"/>
      <c r="K206" s="415"/>
      <c r="L206" s="415"/>
      <c r="M206" s="415"/>
      <c r="N206" s="415"/>
      <c r="O206" s="415"/>
      <c r="P206" s="415"/>
      <c r="Q206" s="415"/>
      <c r="R206" s="415"/>
      <c r="S206" s="415"/>
    </row>
    <row r="207" spans="2:19">
      <c r="B207" s="415"/>
      <c r="C207" s="418"/>
      <c r="D207" s="415"/>
      <c r="E207" s="418"/>
      <c r="F207" s="415"/>
      <c r="G207" s="418">
        <v>63</v>
      </c>
      <c r="H207" s="415">
        <v>75</v>
      </c>
      <c r="I207" s="415">
        <v>90</v>
      </c>
      <c r="J207" s="415">
        <v>110</v>
      </c>
      <c r="K207" s="415">
        <v>125</v>
      </c>
      <c r="L207" s="415">
        <v>140</v>
      </c>
      <c r="M207" s="415">
        <v>160</v>
      </c>
      <c r="N207" s="415">
        <v>200</v>
      </c>
      <c r="O207" s="415"/>
      <c r="P207" s="415"/>
      <c r="Q207" s="415"/>
      <c r="R207" s="415"/>
      <c r="S207" s="415"/>
    </row>
    <row r="208" spans="2:19">
      <c r="B208" s="415"/>
      <c r="C208" s="418"/>
      <c r="D208" s="415"/>
      <c r="E208" s="418"/>
      <c r="F208" s="415"/>
      <c r="G208">
        <f>+SUMIF($E$14:$E$190,G207,$G$14:$G$190)</f>
        <v>16335.699999999997</v>
      </c>
      <c r="H208">
        <f t="shared" ref="H208:N208" si="12">+SUMIF($E$14:$E$190,H207,$G$14:$G$190)</f>
        <v>150</v>
      </c>
      <c r="I208">
        <f t="shared" si="12"/>
        <v>60.3</v>
      </c>
      <c r="J208">
        <f t="shared" si="12"/>
        <v>311.10000000000002</v>
      </c>
      <c r="K208">
        <f t="shared" si="12"/>
        <v>500.5</v>
      </c>
      <c r="L208">
        <f t="shared" si="12"/>
        <v>579.29999999999995</v>
      </c>
      <c r="M208">
        <f t="shared" si="12"/>
        <v>625</v>
      </c>
      <c r="N208">
        <f t="shared" si="12"/>
        <v>1510</v>
      </c>
      <c r="O208" s="415">
        <f>+SUM('[153]lAYING ABS '!G18:N18)</f>
        <v>20071.899999999994</v>
      </c>
      <c r="P208" s="415"/>
      <c r="Q208" s="415"/>
      <c r="R208" s="415"/>
      <c r="S208" s="415"/>
    </row>
    <row r="209" spans="2:19">
      <c r="B209" s="415"/>
      <c r="C209" s="418"/>
      <c r="D209" s="415"/>
      <c r="E209" s="418"/>
      <c r="F209" s="415"/>
      <c r="G209" s="418"/>
      <c r="H209" s="415"/>
      <c r="I209" s="415"/>
      <c r="J209" s="415"/>
      <c r="K209" s="415"/>
      <c r="L209" s="415"/>
      <c r="M209" s="415"/>
      <c r="N209" s="415"/>
      <c r="O209" s="415"/>
      <c r="P209" s="415"/>
      <c r="Q209" s="415"/>
      <c r="R209" s="415"/>
      <c r="S209" s="415"/>
    </row>
    <row r="210" spans="2:19">
      <c r="B210" s="415"/>
      <c r="C210" s="418"/>
      <c r="D210" s="415"/>
      <c r="E210" s="418"/>
      <c r="F210" s="415"/>
      <c r="G210" s="418"/>
      <c r="H210" s="415"/>
      <c r="I210" s="415"/>
      <c r="J210" s="415"/>
      <c r="K210" s="415"/>
      <c r="L210" s="415"/>
      <c r="M210" s="415"/>
      <c r="N210" s="415"/>
      <c r="O210" s="417"/>
      <c r="P210" s="415"/>
      <c r="Q210" s="415"/>
      <c r="R210" s="415"/>
      <c r="S210" s="415"/>
    </row>
    <row r="211" spans="2:19">
      <c r="B211" s="415"/>
      <c r="C211" s="418"/>
      <c r="D211" s="415"/>
      <c r="E211" s="418"/>
      <c r="F211" s="415"/>
      <c r="G211" s="418"/>
      <c r="H211" s="418"/>
      <c r="I211" s="418"/>
      <c r="J211" s="418"/>
      <c r="K211" s="418"/>
      <c r="L211" s="418"/>
      <c r="M211" s="418"/>
      <c r="N211" s="418"/>
      <c r="O211" s="415"/>
      <c r="P211" s="415"/>
      <c r="Q211" s="415"/>
      <c r="R211" s="415"/>
      <c r="S211" s="415"/>
    </row>
  </sheetData>
  <autoFilter ref="B13:S192"/>
  <mergeCells count="17">
    <mergeCell ref="D11:G11"/>
    <mergeCell ref="I192:M192"/>
    <mergeCell ref="N192:R192"/>
    <mergeCell ref="B8:C8"/>
    <mergeCell ref="D8:G8"/>
    <mergeCell ref="B12:C12"/>
    <mergeCell ref="D12:G12"/>
    <mergeCell ref="B9:C9"/>
    <mergeCell ref="D9:G9"/>
    <mergeCell ref="B10:C10"/>
    <mergeCell ref="D10:G10"/>
    <mergeCell ref="B11:C11"/>
    <mergeCell ref="B3:S3"/>
    <mergeCell ref="B4:S4"/>
    <mergeCell ref="B5:S5"/>
    <mergeCell ref="B6:S6"/>
    <mergeCell ref="B7:P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122"/>
  <sheetViews>
    <sheetView workbookViewId="0">
      <selection activeCell="A4" sqref="A4:XFD4"/>
    </sheetView>
  </sheetViews>
  <sheetFormatPr defaultColWidth="9" defaultRowHeight="15"/>
  <cols>
    <col min="3" max="3" width="13.7109375" customWidth="1"/>
    <col min="4" max="4" width="12.140625" customWidth="1"/>
    <col min="5" max="5" width="16" customWidth="1"/>
    <col min="6" max="6" width="15.5703125" customWidth="1"/>
    <col min="7" max="7" width="18.7109375" customWidth="1"/>
    <col min="8" max="8" width="19.5703125" customWidth="1"/>
    <col min="9" max="9" width="12.7109375" customWidth="1"/>
    <col min="10" max="10" width="10.85546875" customWidth="1"/>
  </cols>
  <sheetData>
    <row r="3" spans="2:12" ht="18.75">
      <c r="B3" s="502" t="s">
        <v>1512</v>
      </c>
      <c r="C3" s="502"/>
      <c r="D3" s="502"/>
      <c r="E3" s="502"/>
      <c r="F3" s="502"/>
      <c r="G3" s="502"/>
      <c r="H3" s="502"/>
      <c r="I3" s="502"/>
      <c r="J3" s="502"/>
      <c r="K3" s="502"/>
      <c r="L3" s="502"/>
    </row>
    <row r="4" spans="2:12" ht="37.5">
      <c r="B4" s="25" t="s">
        <v>448</v>
      </c>
      <c r="C4" s="25" t="s">
        <v>180</v>
      </c>
      <c r="D4" s="25" t="s">
        <v>13</v>
      </c>
      <c r="E4" s="25" t="s">
        <v>181</v>
      </c>
      <c r="F4" s="27" t="s">
        <v>449</v>
      </c>
      <c r="G4" s="25" t="s">
        <v>183</v>
      </c>
      <c r="H4" s="33" t="s">
        <v>184</v>
      </c>
      <c r="I4" s="26" t="s">
        <v>185</v>
      </c>
      <c r="J4" s="26" t="s">
        <v>186</v>
      </c>
      <c r="K4" s="26" t="s">
        <v>187</v>
      </c>
      <c r="L4" s="48"/>
    </row>
    <row r="5" spans="2:12">
      <c r="B5" s="5">
        <v>1</v>
      </c>
      <c r="C5" s="5" t="s">
        <v>726</v>
      </c>
      <c r="D5" s="5" t="s">
        <v>129</v>
      </c>
      <c r="E5" s="47" t="s">
        <v>1513</v>
      </c>
      <c r="F5" s="5"/>
      <c r="G5" s="5">
        <v>63</v>
      </c>
      <c r="H5" s="5">
        <v>83.6</v>
      </c>
      <c r="I5" s="5">
        <f>+H5</f>
        <v>83.6</v>
      </c>
      <c r="J5" s="5">
        <v>1.04</v>
      </c>
      <c r="K5" s="5"/>
      <c r="L5" s="5"/>
    </row>
    <row r="6" spans="2:12">
      <c r="B6" s="5">
        <f>+B5+1</f>
        <v>2</v>
      </c>
      <c r="C6" s="5" t="s">
        <v>129</v>
      </c>
      <c r="D6" s="5" t="s">
        <v>128</v>
      </c>
      <c r="E6" s="47" t="s">
        <v>1513</v>
      </c>
      <c r="F6" s="5"/>
      <c r="G6" s="5">
        <v>63</v>
      </c>
      <c r="H6" s="5">
        <v>122.8</v>
      </c>
      <c r="I6" s="5">
        <f>+I5+H6</f>
        <v>206.39999999999998</v>
      </c>
      <c r="J6" s="5">
        <v>1.03</v>
      </c>
      <c r="K6" s="5"/>
      <c r="L6" s="5"/>
    </row>
    <row r="7" spans="2:12">
      <c r="B7" s="5">
        <f t="shared" ref="B7:B104" si="0">+B6+1</f>
        <v>3</v>
      </c>
      <c r="C7" s="5" t="s">
        <v>128</v>
      </c>
      <c r="D7" s="5" t="s">
        <v>124</v>
      </c>
      <c r="E7" s="47" t="s">
        <v>1513</v>
      </c>
      <c r="F7" s="5"/>
      <c r="G7" s="5">
        <v>63</v>
      </c>
      <c r="H7" s="5">
        <v>17.100000000000001</v>
      </c>
      <c r="I7" s="5">
        <f t="shared" ref="I7:I70" si="1">+I6+H7</f>
        <v>223.49999999999997</v>
      </c>
      <c r="J7" s="5">
        <v>1.03</v>
      </c>
      <c r="K7" s="5"/>
      <c r="L7" s="5"/>
    </row>
    <row r="8" spans="2:12">
      <c r="B8" s="5">
        <f t="shared" si="0"/>
        <v>4</v>
      </c>
      <c r="C8" s="5" t="s">
        <v>124</v>
      </c>
      <c r="D8" s="5" t="s">
        <v>74</v>
      </c>
      <c r="E8" s="47" t="s">
        <v>1513</v>
      </c>
      <c r="F8" s="5"/>
      <c r="G8" s="5">
        <v>63</v>
      </c>
      <c r="H8" s="5">
        <v>345.3</v>
      </c>
      <c r="I8" s="5">
        <f t="shared" si="1"/>
        <v>568.79999999999995</v>
      </c>
      <c r="J8" s="5">
        <v>1.03</v>
      </c>
      <c r="K8" s="5"/>
      <c r="L8" s="5"/>
    </row>
    <row r="9" spans="2:12">
      <c r="B9" s="5">
        <f t="shared" si="0"/>
        <v>5</v>
      </c>
      <c r="C9" s="5" t="s">
        <v>124</v>
      </c>
      <c r="D9" s="5" t="s">
        <v>825</v>
      </c>
      <c r="E9" s="47" t="s">
        <v>1513</v>
      </c>
      <c r="F9" s="5"/>
      <c r="G9" s="5">
        <v>63</v>
      </c>
      <c r="H9" s="5">
        <v>105.2</v>
      </c>
      <c r="I9" s="5">
        <f t="shared" si="1"/>
        <v>674</v>
      </c>
      <c r="J9" s="5">
        <v>1.03</v>
      </c>
      <c r="K9" s="5"/>
      <c r="L9" s="5"/>
    </row>
    <row r="10" spans="2:12">
      <c r="B10" s="5">
        <f t="shared" si="0"/>
        <v>6</v>
      </c>
      <c r="C10" s="5" t="s">
        <v>825</v>
      </c>
      <c r="D10" s="5" t="s">
        <v>838</v>
      </c>
      <c r="E10" s="47" t="s">
        <v>1513</v>
      </c>
      <c r="F10" s="5"/>
      <c r="G10" s="5">
        <v>63</v>
      </c>
      <c r="H10" s="5">
        <v>33.5</v>
      </c>
      <c r="I10" s="5">
        <f t="shared" si="1"/>
        <v>707.5</v>
      </c>
      <c r="J10" s="5">
        <v>1.03</v>
      </c>
      <c r="K10" s="5"/>
      <c r="L10" s="5"/>
    </row>
    <row r="11" spans="2:12">
      <c r="B11" s="5">
        <f t="shared" si="0"/>
        <v>7</v>
      </c>
      <c r="C11" s="5" t="s">
        <v>50</v>
      </c>
      <c r="D11" s="5" t="s">
        <v>732</v>
      </c>
      <c r="E11" s="47" t="s">
        <v>1513</v>
      </c>
      <c r="F11" s="5"/>
      <c r="G11" s="5">
        <v>63</v>
      </c>
      <c r="H11" s="5">
        <v>66.2</v>
      </c>
      <c r="I11" s="5">
        <f t="shared" si="1"/>
        <v>773.7</v>
      </c>
      <c r="J11" s="5">
        <v>1.03</v>
      </c>
      <c r="K11" s="5"/>
      <c r="L11" s="5"/>
    </row>
    <row r="12" spans="2:12">
      <c r="B12" s="5">
        <f t="shared" si="0"/>
        <v>8</v>
      </c>
      <c r="C12" s="5" t="s">
        <v>732</v>
      </c>
      <c r="D12" s="5" t="s">
        <v>59</v>
      </c>
      <c r="E12" s="47" t="s">
        <v>1513</v>
      </c>
      <c r="F12" s="5"/>
      <c r="G12" s="5">
        <v>63</v>
      </c>
      <c r="H12" s="5">
        <v>24</v>
      </c>
      <c r="I12" s="5">
        <f t="shared" si="1"/>
        <v>797.7</v>
      </c>
      <c r="J12" s="5">
        <v>1.03</v>
      </c>
      <c r="K12" s="5"/>
      <c r="L12" s="5"/>
    </row>
    <row r="13" spans="2:12">
      <c r="B13" s="5">
        <f t="shared" si="0"/>
        <v>9</v>
      </c>
      <c r="C13" s="5" t="s">
        <v>69</v>
      </c>
      <c r="D13" s="5" t="s">
        <v>131</v>
      </c>
      <c r="E13" s="47" t="s">
        <v>1513</v>
      </c>
      <c r="F13" s="5"/>
      <c r="G13" s="5">
        <v>63</v>
      </c>
      <c r="H13" s="5">
        <v>11.4</v>
      </c>
      <c r="I13" s="5">
        <f t="shared" si="1"/>
        <v>809.1</v>
      </c>
      <c r="J13" s="5">
        <v>1.03</v>
      </c>
      <c r="K13" s="5"/>
      <c r="L13" s="5"/>
    </row>
    <row r="14" spans="2:12">
      <c r="B14" s="5">
        <f t="shared" si="0"/>
        <v>10</v>
      </c>
      <c r="C14" s="5" t="s">
        <v>131</v>
      </c>
      <c r="D14" s="5" t="s">
        <v>1407</v>
      </c>
      <c r="E14" s="47" t="s">
        <v>1513</v>
      </c>
      <c r="F14" s="5"/>
      <c r="G14" s="5">
        <v>63</v>
      </c>
      <c r="H14" s="5">
        <v>53.2</v>
      </c>
      <c r="I14" s="5">
        <f t="shared" si="1"/>
        <v>862.30000000000007</v>
      </c>
      <c r="J14" s="5">
        <v>1.05</v>
      </c>
      <c r="K14" s="5"/>
      <c r="L14" s="5"/>
    </row>
    <row r="15" spans="2:12">
      <c r="B15" s="5">
        <f t="shared" si="0"/>
        <v>11</v>
      </c>
      <c r="C15" s="5" t="s">
        <v>1407</v>
      </c>
      <c r="D15" s="5" t="s">
        <v>75</v>
      </c>
      <c r="E15" s="47" t="s">
        <v>1513</v>
      </c>
      <c r="F15" s="5"/>
      <c r="G15" s="5">
        <v>63</v>
      </c>
      <c r="H15" s="5">
        <v>56.3</v>
      </c>
      <c r="I15" s="5">
        <f t="shared" si="1"/>
        <v>918.6</v>
      </c>
      <c r="J15" s="5">
        <v>1.03</v>
      </c>
      <c r="K15" s="5"/>
      <c r="L15" s="5"/>
    </row>
    <row r="16" spans="2:12">
      <c r="B16" s="5">
        <f t="shared" si="0"/>
        <v>12</v>
      </c>
      <c r="C16" s="5" t="s">
        <v>1407</v>
      </c>
      <c r="D16" s="5" t="s">
        <v>89</v>
      </c>
      <c r="E16" s="47" t="s">
        <v>1513</v>
      </c>
      <c r="F16" s="5"/>
      <c r="G16" s="5">
        <v>63</v>
      </c>
      <c r="H16" s="5">
        <v>84.3</v>
      </c>
      <c r="I16" s="5">
        <f t="shared" si="1"/>
        <v>1002.9</v>
      </c>
      <c r="J16" s="5">
        <v>1.03</v>
      </c>
      <c r="K16" s="5"/>
      <c r="L16" s="5"/>
    </row>
    <row r="17" spans="2:12">
      <c r="B17" s="5">
        <f t="shared" si="0"/>
        <v>13</v>
      </c>
      <c r="C17" s="5" t="s">
        <v>75</v>
      </c>
      <c r="D17" s="5" t="s">
        <v>133</v>
      </c>
      <c r="E17" s="47" t="s">
        <v>1513</v>
      </c>
      <c r="F17" s="5"/>
      <c r="G17" s="5">
        <v>63</v>
      </c>
      <c r="H17" s="5">
        <v>18.100000000000001</v>
      </c>
      <c r="I17" s="5">
        <f t="shared" si="1"/>
        <v>1021</v>
      </c>
      <c r="J17" s="5">
        <v>1.05</v>
      </c>
      <c r="K17" s="5"/>
      <c r="L17" s="5"/>
    </row>
    <row r="18" spans="2:12">
      <c r="B18" s="5">
        <f t="shared" si="0"/>
        <v>14</v>
      </c>
      <c r="C18" s="5" t="s">
        <v>133</v>
      </c>
      <c r="D18" s="5" t="s">
        <v>1352</v>
      </c>
      <c r="E18" s="47" t="s">
        <v>1513</v>
      </c>
      <c r="F18" s="5"/>
      <c r="G18" s="5">
        <v>63</v>
      </c>
      <c r="H18" s="5">
        <v>70.3</v>
      </c>
      <c r="I18" s="5">
        <f t="shared" si="1"/>
        <v>1091.3</v>
      </c>
      <c r="J18" s="5">
        <v>1.03</v>
      </c>
      <c r="K18" s="5"/>
      <c r="L18" s="5"/>
    </row>
    <row r="19" spans="2:12">
      <c r="B19" s="5">
        <f t="shared" si="0"/>
        <v>15</v>
      </c>
      <c r="C19" s="5" t="s">
        <v>133</v>
      </c>
      <c r="D19" s="5" t="s">
        <v>105</v>
      </c>
      <c r="E19" s="47" t="s">
        <v>1513</v>
      </c>
      <c r="F19" s="5"/>
      <c r="G19" s="5">
        <v>63</v>
      </c>
      <c r="H19" s="5">
        <v>19.100000000000001</v>
      </c>
      <c r="I19" s="5">
        <f t="shared" si="1"/>
        <v>1110.3999999999999</v>
      </c>
      <c r="J19" s="5">
        <v>1.03</v>
      </c>
      <c r="K19" s="5"/>
      <c r="L19" s="5"/>
    </row>
    <row r="20" spans="2:12">
      <c r="B20" s="5">
        <f t="shared" si="0"/>
        <v>16</v>
      </c>
      <c r="C20" s="5" t="s">
        <v>105</v>
      </c>
      <c r="D20" s="5" t="s">
        <v>80</v>
      </c>
      <c r="E20" s="47" t="s">
        <v>1513</v>
      </c>
      <c r="F20" s="5"/>
      <c r="G20" s="5">
        <v>63</v>
      </c>
      <c r="H20" s="509">
        <v>89.4</v>
      </c>
      <c r="I20" s="5">
        <f t="shared" si="1"/>
        <v>1199.8</v>
      </c>
      <c r="J20" s="5">
        <v>1.06</v>
      </c>
      <c r="K20" s="5"/>
      <c r="L20" s="5"/>
    </row>
    <row r="21" spans="2:12">
      <c r="B21" s="5">
        <f t="shared" si="0"/>
        <v>17</v>
      </c>
      <c r="C21" s="5" t="s">
        <v>80</v>
      </c>
      <c r="D21" s="5" t="s">
        <v>1312</v>
      </c>
      <c r="E21" s="47" t="s">
        <v>1513</v>
      </c>
      <c r="F21" s="5"/>
      <c r="G21" s="5">
        <v>63</v>
      </c>
      <c r="H21" s="509"/>
      <c r="I21" s="5">
        <f t="shared" si="1"/>
        <v>1199.8</v>
      </c>
      <c r="J21" s="5">
        <v>1.05</v>
      </c>
      <c r="K21" s="5"/>
      <c r="L21" s="5"/>
    </row>
    <row r="22" spans="2:12">
      <c r="B22" s="5">
        <f t="shared" si="0"/>
        <v>18</v>
      </c>
      <c r="C22" s="5" t="s">
        <v>105</v>
      </c>
      <c r="D22" s="5" t="s">
        <v>1312</v>
      </c>
      <c r="E22" s="47" t="s">
        <v>1513</v>
      </c>
      <c r="F22" s="5"/>
      <c r="G22" s="5">
        <v>63</v>
      </c>
      <c r="H22" s="5">
        <v>52.6</v>
      </c>
      <c r="I22" s="5">
        <f t="shared" si="1"/>
        <v>1252.3999999999999</v>
      </c>
      <c r="J22" s="5">
        <v>1.03</v>
      </c>
      <c r="K22" s="5"/>
      <c r="L22" s="5"/>
    </row>
    <row r="23" spans="2:12">
      <c r="B23" s="5">
        <f t="shared" si="0"/>
        <v>19</v>
      </c>
      <c r="C23" s="5" t="s">
        <v>1312</v>
      </c>
      <c r="D23" s="5" t="s">
        <v>95</v>
      </c>
      <c r="E23" s="47" t="s">
        <v>1513</v>
      </c>
      <c r="F23" s="5"/>
      <c r="G23" s="5">
        <v>63</v>
      </c>
      <c r="H23" s="5">
        <v>77.900000000000006</v>
      </c>
      <c r="I23" s="5">
        <f t="shared" si="1"/>
        <v>1330.3</v>
      </c>
      <c r="J23" s="5">
        <v>1.06</v>
      </c>
      <c r="K23" s="5"/>
      <c r="L23" s="5"/>
    </row>
    <row r="24" spans="2:12">
      <c r="B24" s="5">
        <f t="shared" si="0"/>
        <v>20</v>
      </c>
      <c r="C24" s="5" t="s">
        <v>95</v>
      </c>
      <c r="D24" s="5" t="s">
        <v>1514</v>
      </c>
      <c r="E24" s="47" t="s">
        <v>1513</v>
      </c>
      <c r="F24" s="5"/>
      <c r="G24" s="5">
        <v>63</v>
      </c>
      <c r="H24" s="5">
        <v>70.2</v>
      </c>
      <c r="I24" s="5">
        <f t="shared" si="1"/>
        <v>1400.5</v>
      </c>
      <c r="J24" s="10">
        <v>1.06</v>
      </c>
      <c r="K24" s="5"/>
      <c r="L24" s="5"/>
    </row>
    <row r="25" spans="2:12">
      <c r="B25" s="5">
        <f t="shared" si="0"/>
        <v>21</v>
      </c>
      <c r="C25" s="5" t="s">
        <v>1514</v>
      </c>
      <c r="D25" s="5" t="s">
        <v>93</v>
      </c>
      <c r="E25" s="47" t="s">
        <v>1513</v>
      </c>
      <c r="F25" s="5"/>
      <c r="G25" s="5">
        <v>63</v>
      </c>
      <c r="H25" s="5">
        <v>28.2</v>
      </c>
      <c r="I25" s="5">
        <f t="shared" si="1"/>
        <v>1428.7</v>
      </c>
      <c r="J25" s="5">
        <v>1.06</v>
      </c>
      <c r="K25" s="5"/>
      <c r="L25" s="5"/>
    </row>
    <row r="26" spans="2:12">
      <c r="B26" s="5">
        <f t="shared" si="0"/>
        <v>22</v>
      </c>
      <c r="C26" s="5" t="s">
        <v>164</v>
      </c>
      <c r="D26" s="5" t="s">
        <v>166</v>
      </c>
      <c r="E26" s="47" t="s">
        <v>1513</v>
      </c>
      <c r="F26" s="5"/>
      <c r="G26" s="5">
        <v>63</v>
      </c>
      <c r="H26" s="5">
        <v>68.7</v>
      </c>
      <c r="I26" s="5">
        <f t="shared" si="1"/>
        <v>1497.4</v>
      </c>
      <c r="J26" s="10">
        <v>0.95</v>
      </c>
      <c r="K26" s="5"/>
      <c r="L26" s="5"/>
    </row>
    <row r="27" spans="2:12">
      <c r="B27" s="5">
        <f t="shared" si="0"/>
        <v>23</v>
      </c>
      <c r="C27" s="5" t="s">
        <v>722</v>
      </c>
      <c r="D27" s="5" t="s">
        <v>1356</v>
      </c>
      <c r="E27" s="47" t="s">
        <v>1513</v>
      </c>
      <c r="F27" s="5"/>
      <c r="G27" s="5">
        <v>63</v>
      </c>
      <c r="H27" s="5">
        <v>46.2</v>
      </c>
      <c r="I27" s="5">
        <f t="shared" si="1"/>
        <v>1543.6000000000001</v>
      </c>
      <c r="J27" s="5">
        <v>0.96</v>
      </c>
      <c r="K27" s="5"/>
      <c r="L27" s="5"/>
    </row>
    <row r="28" spans="2:12">
      <c r="B28" s="5">
        <f t="shared" si="0"/>
        <v>24</v>
      </c>
      <c r="C28" s="5" t="s">
        <v>112</v>
      </c>
      <c r="D28" s="5" t="s">
        <v>170</v>
      </c>
      <c r="E28" s="47" t="s">
        <v>1513</v>
      </c>
      <c r="F28" s="5"/>
      <c r="G28" s="5">
        <v>63</v>
      </c>
      <c r="H28" s="5">
        <v>12.1</v>
      </c>
      <c r="I28" s="5">
        <f t="shared" si="1"/>
        <v>1555.7</v>
      </c>
      <c r="J28" s="5">
        <v>0.96</v>
      </c>
      <c r="K28" s="5"/>
      <c r="L28" s="5"/>
    </row>
    <row r="29" spans="2:12">
      <c r="B29" s="5">
        <f t="shared" si="0"/>
        <v>25</v>
      </c>
      <c r="C29" s="5" t="s">
        <v>34</v>
      </c>
      <c r="D29" s="5" t="s">
        <v>893</v>
      </c>
      <c r="E29" s="47" t="s">
        <v>1513</v>
      </c>
      <c r="F29" s="5"/>
      <c r="G29" s="5">
        <v>63</v>
      </c>
      <c r="H29" s="5">
        <v>85.6</v>
      </c>
      <c r="I29" s="5">
        <f t="shared" si="1"/>
        <v>1641.3</v>
      </c>
      <c r="J29" s="10">
        <v>1.05</v>
      </c>
      <c r="K29" s="5"/>
      <c r="L29" s="5"/>
    </row>
    <row r="30" spans="2:12">
      <c r="B30" s="5">
        <f t="shared" si="0"/>
        <v>26</v>
      </c>
      <c r="C30" s="5" t="s">
        <v>34</v>
      </c>
      <c r="D30" s="5" t="s">
        <v>150</v>
      </c>
      <c r="E30" s="47" t="s">
        <v>1513</v>
      </c>
      <c r="F30" s="5"/>
      <c r="G30" s="5">
        <v>63</v>
      </c>
      <c r="H30" s="5">
        <v>63.7</v>
      </c>
      <c r="I30" s="5">
        <f t="shared" si="1"/>
        <v>1705</v>
      </c>
      <c r="J30" s="10">
        <v>1.06</v>
      </c>
      <c r="K30" s="5"/>
      <c r="L30" s="5"/>
    </row>
    <row r="31" spans="2:12">
      <c r="B31" s="5">
        <f t="shared" si="0"/>
        <v>27</v>
      </c>
      <c r="C31" s="5" t="s">
        <v>150</v>
      </c>
      <c r="D31" s="5" t="s">
        <v>40</v>
      </c>
      <c r="E31" s="47" t="s">
        <v>1513</v>
      </c>
      <c r="F31" s="5"/>
      <c r="G31" s="5">
        <v>63</v>
      </c>
      <c r="H31" s="5">
        <v>118.1</v>
      </c>
      <c r="I31" s="5">
        <f t="shared" si="1"/>
        <v>1823.1</v>
      </c>
      <c r="J31" s="10">
        <v>1.06</v>
      </c>
      <c r="K31" s="5"/>
      <c r="L31" s="5"/>
    </row>
    <row r="32" spans="2:12">
      <c r="B32" s="5">
        <f t="shared" si="0"/>
        <v>28</v>
      </c>
      <c r="C32" s="5" t="s">
        <v>150</v>
      </c>
      <c r="D32" s="5" t="s">
        <v>1369</v>
      </c>
      <c r="E32" s="47" t="s">
        <v>1513</v>
      </c>
      <c r="F32" s="5"/>
      <c r="G32" s="5">
        <v>63</v>
      </c>
      <c r="H32" s="5">
        <v>40.1</v>
      </c>
      <c r="I32" s="5">
        <f t="shared" si="1"/>
        <v>1863.1999999999998</v>
      </c>
      <c r="J32" s="10">
        <v>1.06</v>
      </c>
      <c r="K32" s="5"/>
      <c r="L32" s="5"/>
    </row>
    <row r="33" spans="2:12">
      <c r="B33" s="5">
        <f t="shared" si="0"/>
        <v>29</v>
      </c>
      <c r="C33" s="5" t="s">
        <v>1369</v>
      </c>
      <c r="D33" s="5" t="s">
        <v>41</v>
      </c>
      <c r="E33" s="47" t="s">
        <v>1513</v>
      </c>
      <c r="F33" s="5"/>
      <c r="G33" s="5">
        <v>63</v>
      </c>
      <c r="H33" s="5">
        <v>57.2</v>
      </c>
      <c r="I33" s="5">
        <f t="shared" si="1"/>
        <v>1920.3999999999999</v>
      </c>
      <c r="J33" s="10">
        <v>1.06</v>
      </c>
      <c r="K33" s="5"/>
      <c r="L33" s="5"/>
    </row>
    <row r="34" spans="2:12">
      <c r="B34" s="5">
        <f t="shared" si="0"/>
        <v>30</v>
      </c>
      <c r="C34" s="5" t="s">
        <v>41</v>
      </c>
      <c r="D34" s="5" t="s">
        <v>1405</v>
      </c>
      <c r="E34" s="47" t="s">
        <v>1513</v>
      </c>
      <c r="F34" s="5"/>
      <c r="G34" s="5">
        <v>63</v>
      </c>
      <c r="H34" s="5">
        <v>123.1</v>
      </c>
      <c r="I34" s="5">
        <f t="shared" si="1"/>
        <v>2043.4999999999998</v>
      </c>
      <c r="J34" s="5">
        <v>1.02</v>
      </c>
      <c r="K34" s="5"/>
      <c r="L34" s="5"/>
    </row>
    <row r="35" spans="2:12">
      <c r="B35" s="5">
        <f t="shared" si="0"/>
        <v>31</v>
      </c>
      <c r="C35" s="5" t="s">
        <v>728</v>
      </c>
      <c r="D35" s="5" t="s">
        <v>376</v>
      </c>
      <c r="E35" s="47" t="s">
        <v>1513</v>
      </c>
      <c r="F35" s="5"/>
      <c r="G35" s="5">
        <v>63</v>
      </c>
      <c r="H35" s="5">
        <v>59.2</v>
      </c>
      <c r="I35" s="5">
        <f t="shared" si="1"/>
        <v>2102.6999999999998</v>
      </c>
      <c r="J35" s="5">
        <v>1.02</v>
      </c>
      <c r="K35" s="5"/>
      <c r="L35" s="5"/>
    </row>
    <row r="36" spans="2:12">
      <c r="B36" s="5">
        <f t="shared" si="0"/>
        <v>32</v>
      </c>
      <c r="C36" s="5" t="s">
        <v>893</v>
      </c>
      <c r="D36" s="5" t="s">
        <v>35</v>
      </c>
      <c r="E36" s="47" t="s">
        <v>1513</v>
      </c>
      <c r="F36" s="5"/>
      <c r="G36" s="5">
        <v>63</v>
      </c>
      <c r="H36" s="5">
        <v>130.19999999999999</v>
      </c>
      <c r="I36" s="5">
        <f t="shared" si="1"/>
        <v>2232.8999999999996</v>
      </c>
      <c r="J36" s="5">
        <v>1.02</v>
      </c>
      <c r="K36" s="5"/>
      <c r="L36" s="5"/>
    </row>
    <row r="37" spans="2:12">
      <c r="B37" s="5">
        <f t="shared" si="0"/>
        <v>33</v>
      </c>
      <c r="C37" s="5" t="s">
        <v>35</v>
      </c>
      <c r="D37" s="5" t="s">
        <v>1363</v>
      </c>
      <c r="E37" s="47" t="s">
        <v>1513</v>
      </c>
      <c r="F37" s="5"/>
      <c r="G37" s="5">
        <v>63</v>
      </c>
      <c r="H37" s="5">
        <v>70.5</v>
      </c>
      <c r="I37" s="5">
        <f t="shared" si="1"/>
        <v>2303.3999999999996</v>
      </c>
      <c r="J37" s="5">
        <v>1.02</v>
      </c>
      <c r="K37" s="5"/>
      <c r="L37" s="5"/>
    </row>
    <row r="38" spans="2:12">
      <c r="B38" s="5">
        <f t="shared" si="0"/>
        <v>34</v>
      </c>
      <c r="C38" s="5" t="s">
        <v>1168</v>
      </c>
      <c r="D38" s="5" t="s">
        <v>1241</v>
      </c>
      <c r="E38" s="47" t="s">
        <v>1513</v>
      </c>
      <c r="F38" s="5"/>
      <c r="G38" s="5">
        <v>63</v>
      </c>
      <c r="H38" s="5">
        <v>293.10000000000002</v>
      </c>
      <c r="I38" s="5">
        <f t="shared" si="1"/>
        <v>2596.4999999999995</v>
      </c>
      <c r="J38" s="5">
        <v>1.04</v>
      </c>
      <c r="K38" s="5"/>
      <c r="L38" s="5"/>
    </row>
    <row r="39" spans="2:12">
      <c r="B39" s="5">
        <f t="shared" si="0"/>
        <v>35</v>
      </c>
      <c r="C39" s="5" t="s">
        <v>893</v>
      </c>
      <c r="D39" s="5" t="s">
        <v>48</v>
      </c>
      <c r="E39" s="47" t="s">
        <v>1513</v>
      </c>
      <c r="F39" s="5"/>
      <c r="G39" s="5">
        <v>63</v>
      </c>
      <c r="H39" s="5">
        <v>355.1</v>
      </c>
      <c r="I39" s="5">
        <f t="shared" si="1"/>
        <v>2951.5999999999995</v>
      </c>
      <c r="J39" s="5">
        <v>1.06</v>
      </c>
      <c r="K39" s="5"/>
      <c r="L39" s="5"/>
    </row>
    <row r="40" spans="2:12">
      <c r="B40" s="5">
        <f t="shared" si="0"/>
        <v>36</v>
      </c>
      <c r="C40" s="5" t="s">
        <v>48</v>
      </c>
      <c r="D40" s="5" t="s">
        <v>55</v>
      </c>
      <c r="E40" s="47" t="s">
        <v>1513</v>
      </c>
      <c r="F40" s="5"/>
      <c r="G40" s="5">
        <v>63</v>
      </c>
      <c r="H40" s="5">
        <v>367.2</v>
      </c>
      <c r="I40" s="5">
        <f t="shared" si="1"/>
        <v>3318.7999999999993</v>
      </c>
      <c r="J40" s="5">
        <v>1.04</v>
      </c>
      <c r="K40" s="5"/>
      <c r="L40" s="5"/>
    </row>
    <row r="41" spans="2:12">
      <c r="B41" s="5">
        <f t="shared" si="0"/>
        <v>37</v>
      </c>
      <c r="C41" s="5" t="s">
        <v>55</v>
      </c>
      <c r="D41" s="5" t="s">
        <v>54</v>
      </c>
      <c r="E41" s="47" t="s">
        <v>1513</v>
      </c>
      <c r="F41" s="5"/>
      <c r="G41" s="5">
        <v>63</v>
      </c>
      <c r="H41" s="5">
        <v>39.299999999999997</v>
      </c>
      <c r="I41" s="5">
        <f t="shared" si="1"/>
        <v>3358.0999999999995</v>
      </c>
      <c r="J41" s="5">
        <v>1.04</v>
      </c>
      <c r="K41" s="5"/>
      <c r="L41" s="5"/>
    </row>
    <row r="42" spans="2:12">
      <c r="B42" s="5">
        <f t="shared" si="0"/>
        <v>38</v>
      </c>
      <c r="C42" s="5" t="s">
        <v>54</v>
      </c>
      <c r="D42" s="5" t="s">
        <v>125</v>
      </c>
      <c r="E42" s="47" t="s">
        <v>1513</v>
      </c>
      <c r="F42" s="5"/>
      <c r="G42" s="5">
        <v>63</v>
      </c>
      <c r="H42" s="5">
        <v>105.4</v>
      </c>
      <c r="I42" s="5">
        <f t="shared" si="1"/>
        <v>3463.4999999999995</v>
      </c>
      <c r="J42" s="10">
        <v>1.04</v>
      </c>
      <c r="K42" s="5"/>
      <c r="L42" s="5"/>
    </row>
    <row r="43" spans="2:12">
      <c r="B43" s="5">
        <f t="shared" si="0"/>
        <v>39</v>
      </c>
      <c r="C43" s="5" t="s">
        <v>125</v>
      </c>
      <c r="D43" s="5" t="s">
        <v>127</v>
      </c>
      <c r="E43" s="47" t="s">
        <v>1513</v>
      </c>
      <c r="F43" s="5"/>
      <c r="G43" s="5">
        <v>63</v>
      </c>
      <c r="H43" s="5">
        <v>108.8</v>
      </c>
      <c r="I43" s="5">
        <f t="shared" si="1"/>
        <v>3572.2999999999997</v>
      </c>
      <c r="J43" s="10">
        <v>1.06</v>
      </c>
      <c r="K43" s="5"/>
      <c r="L43" s="5"/>
    </row>
    <row r="44" spans="2:12">
      <c r="B44" s="5">
        <f t="shared" si="0"/>
        <v>40</v>
      </c>
      <c r="C44" s="5" t="s">
        <v>88</v>
      </c>
      <c r="D44" s="5" t="s">
        <v>96</v>
      </c>
      <c r="E44" s="47" t="s">
        <v>1513</v>
      </c>
      <c r="F44" s="5"/>
      <c r="G44" s="5">
        <v>63</v>
      </c>
      <c r="H44" s="5">
        <v>270.89999999999998</v>
      </c>
      <c r="I44" s="5">
        <f t="shared" si="1"/>
        <v>3843.2</v>
      </c>
      <c r="J44" s="10">
        <v>1.06</v>
      </c>
      <c r="K44" s="5"/>
      <c r="L44" s="5"/>
    </row>
    <row r="45" spans="2:12">
      <c r="B45" s="5">
        <f t="shared" si="0"/>
        <v>41</v>
      </c>
      <c r="C45" s="5" t="s">
        <v>96</v>
      </c>
      <c r="D45" s="5" t="s">
        <v>107</v>
      </c>
      <c r="E45" s="47" t="s">
        <v>1513</v>
      </c>
      <c r="F45" s="5"/>
      <c r="G45" s="5">
        <v>63</v>
      </c>
      <c r="H45" s="5">
        <v>122.5</v>
      </c>
      <c r="I45" s="5">
        <f t="shared" si="1"/>
        <v>3965.7</v>
      </c>
      <c r="J45" s="10">
        <v>1.06</v>
      </c>
      <c r="K45" s="5"/>
      <c r="L45" s="5"/>
    </row>
    <row r="46" spans="2:12">
      <c r="B46" s="5">
        <f t="shared" si="0"/>
        <v>42</v>
      </c>
      <c r="C46" s="5" t="s">
        <v>107</v>
      </c>
      <c r="D46" s="5" t="s">
        <v>137</v>
      </c>
      <c r="E46" s="47" t="s">
        <v>1513</v>
      </c>
      <c r="F46" s="5"/>
      <c r="G46" s="5">
        <v>63</v>
      </c>
      <c r="H46" s="5">
        <v>216.7</v>
      </c>
      <c r="I46" s="5">
        <f t="shared" si="1"/>
        <v>4182.3999999999996</v>
      </c>
      <c r="J46" s="10">
        <v>1.06</v>
      </c>
      <c r="K46" s="5"/>
      <c r="L46" s="5"/>
    </row>
    <row r="47" spans="2:12">
      <c r="B47" s="5">
        <f t="shared" si="0"/>
        <v>43</v>
      </c>
      <c r="C47" s="5" t="s">
        <v>107</v>
      </c>
      <c r="D47" s="5" t="s">
        <v>77</v>
      </c>
      <c r="E47" s="47" t="s">
        <v>1513</v>
      </c>
      <c r="F47" s="5"/>
      <c r="G47" s="5">
        <v>63</v>
      </c>
      <c r="H47" s="5">
        <v>4.0999999999999996</v>
      </c>
      <c r="I47" s="5">
        <f t="shared" si="1"/>
        <v>4186.5</v>
      </c>
      <c r="J47" s="10">
        <v>1.06</v>
      </c>
      <c r="K47" s="5"/>
      <c r="L47" s="5"/>
    </row>
    <row r="48" spans="2:12">
      <c r="B48" s="5">
        <f t="shared" si="0"/>
        <v>44</v>
      </c>
      <c r="C48" s="5" t="s">
        <v>77</v>
      </c>
      <c r="D48" s="5" t="s">
        <v>726</v>
      </c>
      <c r="E48" s="47" t="s">
        <v>1513</v>
      </c>
      <c r="F48" s="5"/>
      <c r="G48" s="5">
        <v>63</v>
      </c>
      <c r="H48" s="5">
        <v>68.3</v>
      </c>
      <c r="I48" s="5">
        <f t="shared" si="1"/>
        <v>4254.8</v>
      </c>
      <c r="J48" s="10">
        <v>1.04</v>
      </c>
      <c r="K48" s="5"/>
      <c r="L48" s="5"/>
    </row>
    <row r="49" spans="2:12">
      <c r="B49" s="5">
        <f t="shared" si="0"/>
        <v>45</v>
      </c>
      <c r="C49" s="5" t="s">
        <v>726</v>
      </c>
      <c r="D49" s="5" t="s">
        <v>87</v>
      </c>
      <c r="E49" s="47" t="s">
        <v>1513</v>
      </c>
      <c r="F49" s="5"/>
      <c r="G49" s="5">
        <v>63</v>
      </c>
      <c r="H49" s="5">
        <v>68.400000000000006</v>
      </c>
      <c r="I49" s="5">
        <f t="shared" si="1"/>
        <v>4323.2</v>
      </c>
      <c r="J49" s="10">
        <v>1.04</v>
      </c>
      <c r="K49" s="5"/>
      <c r="L49" s="5"/>
    </row>
    <row r="50" spans="2:12">
      <c r="B50" s="5">
        <f t="shared" si="0"/>
        <v>46</v>
      </c>
      <c r="C50" s="5" t="s">
        <v>122</v>
      </c>
      <c r="D50" s="5" t="s">
        <v>727</v>
      </c>
      <c r="E50" s="47" t="s">
        <v>1513</v>
      </c>
      <c r="F50" s="5"/>
      <c r="G50" s="5">
        <v>63</v>
      </c>
      <c r="H50" s="5">
        <v>317.8</v>
      </c>
      <c r="I50" s="5">
        <f t="shared" si="1"/>
        <v>4641</v>
      </c>
      <c r="J50" s="10">
        <v>1.06</v>
      </c>
      <c r="K50" s="5"/>
      <c r="L50" s="5"/>
    </row>
    <row r="51" spans="2:12">
      <c r="B51" s="5">
        <f t="shared" si="0"/>
        <v>47</v>
      </c>
      <c r="C51" s="5" t="s">
        <v>727</v>
      </c>
      <c r="D51" s="5" t="s">
        <v>143</v>
      </c>
      <c r="E51" s="47" t="s">
        <v>1513</v>
      </c>
      <c r="F51" s="5"/>
      <c r="G51" s="5">
        <v>63</v>
      </c>
      <c r="H51" s="5">
        <v>112.2</v>
      </c>
      <c r="I51" s="5">
        <f t="shared" si="1"/>
        <v>4753.2</v>
      </c>
      <c r="J51" s="10">
        <v>1.04</v>
      </c>
      <c r="K51" s="5"/>
      <c r="L51" s="5"/>
    </row>
    <row r="52" spans="2:12">
      <c r="B52" s="5">
        <f t="shared" si="0"/>
        <v>48</v>
      </c>
      <c r="C52" s="5" t="s">
        <v>143</v>
      </c>
      <c r="D52" s="5" t="s">
        <v>138</v>
      </c>
      <c r="E52" s="47" t="s">
        <v>1513</v>
      </c>
      <c r="F52" s="5"/>
      <c r="G52" s="5">
        <v>63</v>
      </c>
      <c r="H52" s="5">
        <v>114.6</v>
      </c>
      <c r="I52" s="5">
        <f t="shared" si="1"/>
        <v>4867.8</v>
      </c>
      <c r="J52" s="10">
        <v>1.06</v>
      </c>
      <c r="K52" s="5"/>
      <c r="L52" s="5"/>
    </row>
    <row r="53" spans="2:12">
      <c r="B53" s="5">
        <f t="shared" si="0"/>
        <v>49</v>
      </c>
      <c r="C53" s="5" t="s">
        <v>143</v>
      </c>
      <c r="D53" s="5" t="s">
        <v>140</v>
      </c>
      <c r="E53" s="47" t="s">
        <v>1513</v>
      </c>
      <c r="F53" s="5"/>
      <c r="G53" s="5">
        <v>63</v>
      </c>
      <c r="H53" s="5">
        <v>184.8</v>
      </c>
      <c r="I53" s="5">
        <f t="shared" si="1"/>
        <v>5052.6000000000004</v>
      </c>
      <c r="J53" s="10">
        <v>1.06</v>
      </c>
      <c r="K53" s="5"/>
      <c r="L53" s="5"/>
    </row>
    <row r="54" spans="2:12">
      <c r="B54" s="5">
        <f t="shared" si="0"/>
        <v>50</v>
      </c>
      <c r="C54" s="5" t="s">
        <v>727</v>
      </c>
      <c r="D54" s="5" t="s">
        <v>123</v>
      </c>
      <c r="E54" s="47" t="s">
        <v>1513</v>
      </c>
      <c r="F54" s="5"/>
      <c r="G54" s="5">
        <v>63</v>
      </c>
      <c r="H54" s="5">
        <v>40.299999999999997</v>
      </c>
      <c r="I54" s="5">
        <f t="shared" si="1"/>
        <v>5092.9000000000005</v>
      </c>
      <c r="J54" s="10">
        <v>1.06</v>
      </c>
      <c r="K54" s="5"/>
      <c r="L54" s="5"/>
    </row>
    <row r="55" spans="2:12">
      <c r="B55" s="5">
        <f t="shared" si="0"/>
        <v>51</v>
      </c>
      <c r="C55" s="5" t="s">
        <v>50</v>
      </c>
      <c r="D55" s="5" t="s">
        <v>116</v>
      </c>
      <c r="E55" s="47" t="s">
        <v>1513</v>
      </c>
      <c r="F55" s="5"/>
      <c r="G55" s="5">
        <v>63</v>
      </c>
      <c r="H55" s="5">
        <v>165.2</v>
      </c>
      <c r="I55" s="5">
        <f t="shared" si="1"/>
        <v>5258.1</v>
      </c>
      <c r="J55" s="5">
        <v>1.04</v>
      </c>
      <c r="K55" s="5"/>
      <c r="L55" s="5"/>
    </row>
    <row r="56" spans="2:12">
      <c r="B56" s="5">
        <f t="shared" si="0"/>
        <v>52</v>
      </c>
      <c r="C56" s="5" t="s">
        <v>155</v>
      </c>
      <c r="D56" s="5" t="s">
        <v>829</v>
      </c>
      <c r="E56" s="47" t="s">
        <v>1513</v>
      </c>
      <c r="F56" s="5"/>
      <c r="G56" s="5">
        <v>63</v>
      </c>
      <c r="H56" s="5">
        <v>222.5</v>
      </c>
      <c r="I56" s="5">
        <f t="shared" si="1"/>
        <v>5480.6</v>
      </c>
      <c r="J56" s="5">
        <v>1.03</v>
      </c>
      <c r="K56" s="5"/>
      <c r="L56" s="5"/>
    </row>
    <row r="57" spans="2:12">
      <c r="B57" s="5">
        <f t="shared" si="0"/>
        <v>53</v>
      </c>
      <c r="C57" s="5" t="s">
        <v>829</v>
      </c>
      <c r="D57" s="5" t="s">
        <v>503</v>
      </c>
      <c r="E57" s="47" t="s">
        <v>1513</v>
      </c>
      <c r="F57" s="5"/>
      <c r="G57" s="5">
        <v>63</v>
      </c>
      <c r="H57" s="5">
        <v>115.5</v>
      </c>
      <c r="I57" s="5">
        <f t="shared" si="1"/>
        <v>5596.1</v>
      </c>
      <c r="J57" s="5">
        <v>1.03</v>
      </c>
      <c r="K57" s="5"/>
      <c r="L57" s="5"/>
    </row>
    <row r="58" spans="2:12">
      <c r="B58" s="5">
        <f t="shared" si="0"/>
        <v>54</v>
      </c>
      <c r="C58" s="5" t="s">
        <v>503</v>
      </c>
      <c r="D58" s="5" t="s">
        <v>121</v>
      </c>
      <c r="E58" s="47" t="s">
        <v>1513</v>
      </c>
      <c r="F58" s="5"/>
      <c r="G58" s="5">
        <v>63</v>
      </c>
      <c r="H58" s="5">
        <v>20.5</v>
      </c>
      <c r="I58" s="5">
        <f t="shared" si="1"/>
        <v>5616.6</v>
      </c>
      <c r="J58" s="5">
        <v>1.03</v>
      </c>
      <c r="K58" s="5"/>
      <c r="L58" s="5"/>
    </row>
    <row r="59" spans="2:12">
      <c r="B59" s="5">
        <f t="shared" si="0"/>
        <v>55</v>
      </c>
      <c r="C59" s="5" t="s">
        <v>121</v>
      </c>
      <c r="D59" s="5" t="s">
        <v>160</v>
      </c>
      <c r="E59" s="47" t="s">
        <v>1513</v>
      </c>
      <c r="F59" s="5"/>
      <c r="G59" s="5">
        <v>63</v>
      </c>
      <c r="H59" s="5">
        <v>36.299999999999997</v>
      </c>
      <c r="I59" s="5">
        <f t="shared" si="1"/>
        <v>5652.9000000000005</v>
      </c>
      <c r="J59" s="5">
        <v>1.03</v>
      </c>
      <c r="K59" s="5"/>
      <c r="L59" s="5"/>
    </row>
    <row r="60" spans="2:12">
      <c r="B60" s="5">
        <f t="shared" si="0"/>
        <v>56</v>
      </c>
      <c r="C60" s="5" t="s">
        <v>160</v>
      </c>
      <c r="D60" s="5" t="s">
        <v>161</v>
      </c>
      <c r="E60" s="47" t="s">
        <v>1513</v>
      </c>
      <c r="F60" s="5"/>
      <c r="G60" s="5">
        <v>63</v>
      </c>
      <c r="H60" s="5">
        <v>24.5</v>
      </c>
      <c r="I60" s="5">
        <f t="shared" si="1"/>
        <v>5677.4000000000005</v>
      </c>
      <c r="J60" s="5">
        <v>1.03</v>
      </c>
      <c r="K60" s="5"/>
      <c r="L60" s="5"/>
    </row>
    <row r="61" spans="2:12">
      <c r="B61" s="5">
        <f t="shared" si="0"/>
        <v>57</v>
      </c>
      <c r="C61" s="5" t="s">
        <v>826</v>
      </c>
      <c r="D61" s="5" t="s">
        <v>836</v>
      </c>
      <c r="E61" s="47" t="s">
        <v>1513</v>
      </c>
      <c r="F61" s="5"/>
      <c r="G61" s="5">
        <v>63</v>
      </c>
      <c r="H61" s="5">
        <v>70.099999999999994</v>
      </c>
      <c r="I61" s="5">
        <f t="shared" si="1"/>
        <v>5747.5000000000009</v>
      </c>
      <c r="J61" s="5">
        <v>1.03</v>
      </c>
      <c r="K61" s="5"/>
      <c r="L61" s="5"/>
    </row>
    <row r="62" spans="2:12">
      <c r="B62" s="5">
        <f t="shared" si="0"/>
        <v>58</v>
      </c>
      <c r="C62" s="5" t="s">
        <v>836</v>
      </c>
      <c r="D62" s="5" t="s">
        <v>119</v>
      </c>
      <c r="E62" s="47" t="s">
        <v>1513</v>
      </c>
      <c r="F62" s="5"/>
      <c r="G62" s="5">
        <v>63</v>
      </c>
      <c r="H62" s="5">
        <v>62.3</v>
      </c>
      <c r="I62" s="5">
        <f t="shared" si="1"/>
        <v>5809.8000000000011</v>
      </c>
      <c r="J62" s="5">
        <v>1.03</v>
      </c>
      <c r="K62" s="5"/>
      <c r="L62" s="5"/>
    </row>
    <row r="63" spans="2:12">
      <c r="B63" s="5">
        <f t="shared" si="0"/>
        <v>59</v>
      </c>
      <c r="C63" s="5" t="s">
        <v>168</v>
      </c>
      <c r="D63" s="5" t="s">
        <v>166</v>
      </c>
      <c r="E63" s="47" t="s">
        <v>1513</v>
      </c>
      <c r="F63" s="5"/>
      <c r="G63" s="5">
        <v>63</v>
      </c>
      <c r="H63" s="5">
        <v>122.5</v>
      </c>
      <c r="I63" s="5">
        <f t="shared" si="1"/>
        <v>5932.3000000000011</v>
      </c>
      <c r="J63" s="5">
        <v>1.03</v>
      </c>
      <c r="K63" s="5"/>
      <c r="L63" s="5"/>
    </row>
    <row r="64" spans="2:12">
      <c r="B64" s="5">
        <f t="shared" si="0"/>
        <v>60</v>
      </c>
      <c r="C64" s="5" t="s">
        <v>62</v>
      </c>
      <c r="D64" s="5" t="s">
        <v>66</v>
      </c>
      <c r="E64" s="47" t="s">
        <v>1513</v>
      </c>
      <c r="F64" s="5"/>
      <c r="G64" s="5">
        <v>63</v>
      </c>
      <c r="H64" s="5">
        <v>117.3</v>
      </c>
      <c r="I64" s="5">
        <f t="shared" si="1"/>
        <v>6049.6000000000013</v>
      </c>
      <c r="J64" s="5">
        <v>1.05</v>
      </c>
      <c r="K64" s="5"/>
      <c r="L64" s="5"/>
    </row>
    <row r="65" spans="2:12">
      <c r="B65" s="5">
        <f t="shared" si="0"/>
        <v>61</v>
      </c>
      <c r="C65" s="5" t="s">
        <v>66</v>
      </c>
      <c r="D65" s="5" t="s">
        <v>37</v>
      </c>
      <c r="E65" s="47" t="s">
        <v>1513</v>
      </c>
      <c r="F65" s="5"/>
      <c r="G65" s="5">
        <v>63</v>
      </c>
      <c r="H65" s="5">
        <v>128.1</v>
      </c>
      <c r="I65" s="5">
        <f t="shared" si="1"/>
        <v>6177.7000000000016</v>
      </c>
      <c r="J65" s="5">
        <v>1.03</v>
      </c>
      <c r="K65" s="5"/>
      <c r="L65" s="5"/>
    </row>
    <row r="66" spans="2:12">
      <c r="B66" s="5">
        <f t="shared" si="0"/>
        <v>62</v>
      </c>
      <c r="C66" s="5" t="s">
        <v>93</v>
      </c>
      <c r="D66" s="5" t="s">
        <v>94</v>
      </c>
      <c r="E66" s="47" t="s">
        <v>1513</v>
      </c>
      <c r="F66" s="5"/>
      <c r="G66" s="5">
        <v>63</v>
      </c>
      <c r="H66" s="5">
        <v>70</v>
      </c>
      <c r="I66" s="5">
        <f t="shared" si="1"/>
        <v>6247.7000000000016</v>
      </c>
      <c r="J66" s="5">
        <v>1.03</v>
      </c>
      <c r="K66" s="5"/>
      <c r="L66" s="5"/>
    </row>
    <row r="67" spans="2:12">
      <c r="B67" s="5">
        <f t="shared" si="0"/>
        <v>63</v>
      </c>
      <c r="C67" s="5" t="s">
        <v>93</v>
      </c>
      <c r="D67" s="5" t="s">
        <v>96</v>
      </c>
      <c r="E67" s="47" t="s">
        <v>1513</v>
      </c>
      <c r="F67" s="5"/>
      <c r="G67" s="5">
        <v>63</v>
      </c>
      <c r="H67" s="5">
        <v>70.3</v>
      </c>
      <c r="I67" s="5">
        <f t="shared" si="1"/>
        <v>6318.0000000000018</v>
      </c>
      <c r="J67" s="5">
        <v>1.05</v>
      </c>
      <c r="K67" s="5"/>
      <c r="L67" s="5"/>
    </row>
    <row r="68" spans="2:12">
      <c r="B68" s="5">
        <f t="shared" si="0"/>
        <v>64</v>
      </c>
      <c r="C68" s="5" t="s">
        <v>1514</v>
      </c>
      <c r="D68" s="5" t="s">
        <v>1515</v>
      </c>
      <c r="E68" s="47" t="s">
        <v>1513</v>
      </c>
      <c r="F68" s="5"/>
      <c r="G68" s="5">
        <v>63</v>
      </c>
      <c r="H68" s="5">
        <v>55.1</v>
      </c>
      <c r="I68" s="5">
        <f t="shared" si="1"/>
        <v>6373.1000000000022</v>
      </c>
      <c r="J68" s="5">
        <v>1.03</v>
      </c>
      <c r="K68" s="5"/>
      <c r="L68" s="5"/>
    </row>
    <row r="69" spans="2:12">
      <c r="B69" s="5">
        <f t="shared" si="0"/>
        <v>65</v>
      </c>
      <c r="C69" s="5" t="s">
        <v>1515</v>
      </c>
      <c r="D69" s="5" t="s">
        <v>79</v>
      </c>
      <c r="E69" s="47" t="s">
        <v>1513</v>
      </c>
      <c r="F69" s="5"/>
      <c r="G69" s="5">
        <v>63</v>
      </c>
      <c r="H69" s="5">
        <v>26.1</v>
      </c>
      <c r="I69" s="5">
        <f t="shared" si="1"/>
        <v>6399.2000000000025</v>
      </c>
      <c r="J69" s="5">
        <v>1.03</v>
      </c>
      <c r="K69" s="5"/>
      <c r="L69" s="5"/>
    </row>
    <row r="70" spans="2:12">
      <c r="B70" s="5">
        <f t="shared" si="0"/>
        <v>66</v>
      </c>
      <c r="C70" s="5" t="s">
        <v>1515</v>
      </c>
      <c r="D70" s="5" t="s">
        <v>1300</v>
      </c>
      <c r="E70" s="47" t="s">
        <v>1513</v>
      </c>
      <c r="F70" s="5"/>
      <c r="G70" s="5">
        <v>63</v>
      </c>
      <c r="H70" s="5">
        <v>52.3</v>
      </c>
      <c r="I70" s="5">
        <f t="shared" si="1"/>
        <v>6451.5000000000027</v>
      </c>
      <c r="J70" s="5">
        <v>1.06</v>
      </c>
      <c r="K70" s="5"/>
      <c r="L70" s="5"/>
    </row>
    <row r="71" spans="2:12">
      <c r="B71" s="5">
        <f t="shared" si="0"/>
        <v>67</v>
      </c>
      <c r="C71" s="5" t="s">
        <v>1300</v>
      </c>
      <c r="D71" s="5" t="s">
        <v>107</v>
      </c>
      <c r="E71" s="47" t="s">
        <v>1513</v>
      </c>
      <c r="F71" s="5"/>
      <c r="G71" s="5">
        <v>63</v>
      </c>
      <c r="H71" s="5">
        <v>28.5</v>
      </c>
      <c r="I71" s="5">
        <f t="shared" ref="I71:I114" si="2">+I70+H71</f>
        <v>6480.0000000000027</v>
      </c>
      <c r="J71" s="5">
        <v>1.05</v>
      </c>
      <c r="K71" s="5"/>
      <c r="L71" s="5"/>
    </row>
    <row r="72" spans="2:12">
      <c r="B72" s="5">
        <f t="shared" si="0"/>
        <v>68</v>
      </c>
      <c r="C72" s="5" t="s">
        <v>906</v>
      </c>
      <c r="D72" s="5" t="s">
        <v>1300</v>
      </c>
      <c r="E72" s="47" t="s">
        <v>1513</v>
      </c>
      <c r="F72" s="5"/>
      <c r="G72" s="5">
        <v>63</v>
      </c>
      <c r="H72" s="5">
        <v>35.200000000000003</v>
      </c>
      <c r="I72" s="5">
        <f t="shared" si="2"/>
        <v>6515.2000000000025</v>
      </c>
      <c r="J72" s="5">
        <v>1.03</v>
      </c>
      <c r="K72" s="5"/>
      <c r="L72" s="5"/>
    </row>
    <row r="73" spans="2:12">
      <c r="B73" s="5">
        <f t="shared" si="0"/>
        <v>69</v>
      </c>
      <c r="C73" s="5" t="s">
        <v>906</v>
      </c>
      <c r="D73" s="5" t="s">
        <v>106</v>
      </c>
      <c r="E73" s="47" t="s">
        <v>1513</v>
      </c>
      <c r="F73" s="5"/>
      <c r="G73" s="5">
        <v>63</v>
      </c>
      <c r="H73" s="5">
        <v>61.1</v>
      </c>
      <c r="I73" s="5">
        <f t="shared" si="2"/>
        <v>6576.3000000000029</v>
      </c>
      <c r="J73" s="5">
        <v>1.06</v>
      </c>
      <c r="K73" s="5"/>
      <c r="L73" s="5"/>
    </row>
    <row r="74" spans="2:12">
      <c r="B74" s="5">
        <f t="shared" si="0"/>
        <v>70</v>
      </c>
      <c r="C74" s="5" t="s">
        <v>79</v>
      </c>
      <c r="D74" s="5" t="s">
        <v>81</v>
      </c>
      <c r="E74" s="47" t="s">
        <v>1513</v>
      </c>
      <c r="F74" s="5"/>
      <c r="G74" s="5">
        <v>63</v>
      </c>
      <c r="H74" s="5">
        <v>23.4</v>
      </c>
      <c r="I74" s="5">
        <f t="shared" si="2"/>
        <v>6599.7000000000025</v>
      </c>
      <c r="J74" s="10">
        <v>1.06</v>
      </c>
      <c r="K74" s="5"/>
      <c r="L74" s="5"/>
    </row>
    <row r="75" spans="2:12">
      <c r="B75" s="5">
        <f t="shared" si="0"/>
        <v>71</v>
      </c>
      <c r="C75" s="5" t="s">
        <v>1516</v>
      </c>
      <c r="D75" s="5" t="s">
        <v>832</v>
      </c>
      <c r="E75" s="47" t="s">
        <v>1513</v>
      </c>
      <c r="F75" s="5"/>
      <c r="G75" s="5">
        <v>63</v>
      </c>
      <c r="H75" s="5">
        <v>137.19999999999999</v>
      </c>
      <c r="I75" s="5">
        <f t="shared" si="2"/>
        <v>6736.9000000000024</v>
      </c>
      <c r="J75" s="5">
        <v>1.04</v>
      </c>
      <c r="K75" s="5"/>
      <c r="L75" s="5"/>
    </row>
    <row r="76" spans="2:12">
      <c r="B76" s="5">
        <f t="shared" si="0"/>
        <v>72</v>
      </c>
      <c r="C76" s="5" t="s">
        <v>832</v>
      </c>
      <c r="D76" s="5" t="s">
        <v>156</v>
      </c>
      <c r="E76" s="47" t="s">
        <v>1513</v>
      </c>
      <c r="F76" s="5"/>
      <c r="G76" s="5">
        <v>63</v>
      </c>
      <c r="H76" s="5">
        <v>13.1</v>
      </c>
      <c r="I76" s="5">
        <f t="shared" si="2"/>
        <v>6750.0000000000027</v>
      </c>
      <c r="J76" s="5">
        <v>1.03</v>
      </c>
      <c r="K76" s="5"/>
      <c r="L76" s="5"/>
    </row>
    <row r="77" spans="2:12">
      <c r="B77" s="5">
        <f t="shared" si="0"/>
        <v>73</v>
      </c>
      <c r="C77" s="5" t="s">
        <v>81</v>
      </c>
      <c r="D77" s="5" t="s">
        <v>83</v>
      </c>
      <c r="E77" s="47" t="s">
        <v>1513</v>
      </c>
      <c r="F77" s="5"/>
      <c r="G77" s="5">
        <v>63</v>
      </c>
      <c r="H77" s="5">
        <v>45.1</v>
      </c>
      <c r="I77" s="5">
        <f t="shared" si="2"/>
        <v>6795.1000000000031</v>
      </c>
      <c r="J77" s="5">
        <v>1.03</v>
      </c>
      <c r="K77" s="5"/>
      <c r="L77" s="5"/>
    </row>
    <row r="78" spans="2:12">
      <c r="B78" s="5">
        <f t="shared" si="0"/>
        <v>74</v>
      </c>
      <c r="C78" s="5" t="s">
        <v>83</v>
      </c>
      <c r="D78" s="5" t="s">
        <v>95</v>
      </c>
      <c r="E78" s="47" t="s">
        <v>1513</v>
      </c>
      <c r="F78" s="5"/>
      <c r="G78" s="5">
        <v>63</v>
      </c>
      <c r="H78" s="5">
        <v>20.100000000000001</v>
      </c>
      <c r="I78" s="5">
        <f t="shared" si="2"/>
        <v>6815.2000000000035</v>
      </c>
      <c r="J78" s="5">
        <v>1.03</v>
      </c>
      <c r="K78" s="5"/>
      <c r="L78" s="5"/>
    </row>
    <row r="79" spans="2:12">
      <c r="B79" s="5">
        <f t="shared" si="0"/>
        <v>75</v>
      </c>
      <c r="C79" s="5" t="s">
        <v>89</v>
      </c>
      <c r="D79" s="5" t="s">
        <v>106</v>
      </c>
      <c r="E79" s="47" t="s">
        <v>1513</v>
      </c>
      <c r="F79" s="5"/>
      <c r="G79" s="5">
        <v>63</v>
      </c>
      <c r="H79" s="5">
        <v>56.9</v>
      </c>
      <c r="I79" s="5">
        <f t="shared" si="2"/>
        <v>6872.1000000000031</v>
      </c>
      <c r="J79" s="5">
        <v>1.03</v>
      </c>
      <c r="K79" s="5"/>
      <c r="L79" s="5"/>
    </row>
    <row r="80" spans="2:12">
      <c r="B80" s="5">
        <f t="shared" si="0"/>
        <v>76</v>
      </c>
      <c r="C80" s="5" t="s">
        <v>76</v>
      </c>
      <c r="D80" s="5" t="s">
        <v>91</v>
      </c>
      <c r="E80" s="47" t="s">
        <v>1513</v>
      </c>
      <c r="F80" s="5"/>
      <c r="G80" s="5">
        <v>63</v>
      </c>
      <c r="H80" s="5">
        <v>8.4</v>
      </c>
      <c r="I80" s="5">
        <f t="shared" si="2"/>
        <v>6880.5000000000027</v>
      </c>
      <c r="J80" s="5">
        <v>1.03</v>
      </c>
      <c r="K80" s="5"/>
      <c r="L80" s="5"/>
    </row>
    <row r="81" spans="2:15">
      <c r="B81" s="5">
        <f t="shared" si="0"/>
        <v>77</v>
      </c>
      <c r="C81" s="5" t="s">
        <v>91</v>
      </c>
      <c r="D81" s="5" t="s">
        <v>134</v>
      </c>
      <c r="E81" s="47" t="s">
        <v>1513</v>
      </c>
      <c r="F81" s="5"/>
      <c r="G81" s="5">
        <v>63</v>
      </c>
      <c r="H81" s="5">
        <v>96.3</v>
      </c>
      <c r="I81" s="5">
        <f t="shared" si="2"/>
        <v>6976.8000000000029</v>
      </c>
      <c r="J81" s="5">
        <v>1.03</v>
      </c>
      <c r="K81" s="5"/>
      <c r="L81" s="5"/>
    </row>
    <row r="82" spans="2:15">
      <c r="B82" s="5">
        <f t="shared" si="0"/>
        <v>78</v>
      </c>
      <c r="C82" s="5" t="s">
        <v>134</v>
      </c>
      <c r="D82" s="5" t="s">
        <v>103</v>
      </c>
      <c r="E82" s="47" t="s">
        <v>1513</v>
      </c>
      <c r="F82" s="5"/>
      <c r="G82" s="5">
        <v>63</v>
      </c>
      <c r="H82" s="5">
        <v>29.1</v>
      </c>
      <c r="I82" s="5">
        <f t="shared" si="2"/>
        <v>7005.9000000000033</v>
      </c>
      <c r="J82" s="5">
        <v>1.03</v>
      </c>
      <c r="K82" s="5"/>
      <c r="L82" s="5"/>
    </row>
    <row r="83" spans="2:15">
      <c r="B83" s="5">
        <f t="shared" si="0"/>
        <v>79</v>
      </c>
      <c r="C83" s="5" t="s">
        <v>103</v>
      </c>
      <c r="D83" s="5" t="s">
        <v>77</v>
      </c>
      <c r="E83" s="47" t="s">
        <v>1513</v>
      </c>
      <c r="F83" s="5"/>
      <c r="G83" s="5">
        <v>63</v>
      </c>
      <c r="H83" s="5">
        <v>35.200000000000003</v>
      </c>
      <c r="I83" s="5">
        <f t="shared" si="2"/>
        <v>7041.1000000000031</v>
      </c>
      <c r="J83" s="5">
        <v>1.03</v>
      </c>
      <c r="K83" s="5"/>
      <c r="L83" s="5"/>
    </row>
    <row r="84" spans="2:15">
      <c r="B84" s="5">
        <f t="shared" si="0"/>
        <v>80</v>
      </c>
      <c r="C84" s="5" t="s">
        <v>103</v>
      </c>
      <c r="D84" s="5" t="s">
        <v>1300</v>
      </c>
      <c r="E84" s="47" t="s">
        <v>1513</v>
      </c>
      <c r="F84" s="5"/>
      <c r="G84" s="5">
        <v>63</v>
      </c>
      <c r="H84" s="5">
        <v>38.5</v>
      </c>
      <c r="I84" s="5">
        <f t="shared" si="2"/>
        <v>7079.6000000000031</v>
      </c>
      <c r="J84" s="5">
        <v>1.05</v>
      </c>
      <c r="K84" s="5"/>
      <c r="L84" s="5"/>
    </row>
    <row r="85" spans="2:15">
      <c r="B85" s="5">
        <f t="shared" si="0"/>
        <v>81</v>
      </c>
      <c r="C85" s="5" t="s">
        <v>121</v>
      </c>
      <c r="D85" s="5" t="s">
        <v>120</v>
      </c>
      <c r="E85" s="47" t="s">
        <v>1513</v>
      </c>
      <c r="F85" s="5"/>
      <c r="G85" s="5">
        <v>63</v>
      </c>
      <c r="H85" s="5">
        <v>42</v>
      </c>
      <c r="I85" s="5">
        <f t="shared" si="2"/>
        <v>7121.6000000000031</v>
      </c>
      <c r="J85" s="5">
        <v>1.03</v>
      </c>
      <c r="K85" s="5"/>
      <c r="L85" s="5"/>
    </row>
    <row r="86" spans="2:15">
      <c r="B86" s="5">
        <f t="shared" si="0"/>
        <v>82</v>
      </c>
      <c r="C86" s="5" t="s">
        <v>120</v>
      </c>
      <c r="D86" s="5" t="s">
        <v>151</v>
      </c>
      <c r="E86" s="47" t="s">
        <v>1513</v>
      </c>
      <c r="F86" s="5"/>
      <c r="G86" s="5">
        <v>63</v>
      </c>
      <c r="H86" s="5">
        <v>40</v>
      </c>
      <c r="I86" s="5">
        <f t="shared" si="2"/>
        <v>7161.6000000000031</v>
      </c>
      <c r="J86" s="5">
        <v>1.03</v>
      </c>
      <c r="K86" s="5"/>
      <c r="L86" s="5"/>
    </row>
    <row r="87" spans="2:15">
      <c r="B87" s="5">
        <f t="shared" si="0"/>
        <v>83</v>
      </c>
      <c r="C87" s="5" t="s">
        <v>120</v>
      </c>
      <c r="D87" s="5" t="s">
        <v>159</v>
      </c>
      <c r="E87" s="47" t="s">
        <v>1513</v>
      </c>
      <c r="F87" s="5"/>
      <c r="G87" s="5">
        <v>63</v>
      </c>
      <c r="H87" s="5">
        <v>102</v>
      </c>
      <c r="I87" s="5">
        <f t="shared" si="2"/>
        <v>7263.6000000000031</v>
      </c>
      <c r="J87" s="5">
        <v>1.05</v>
      </c>
      <c r="K87" s="5"/>
      <c r="L87" s="5"/>
    </row>
    <row r="88" spans="2:15">
      <c r="B88" s="5">
        <f t="shared" si="0"/>
        <v>84</v>
      </c>
      <c r="C88" s="5" t="s">
        <v>62</v>
      </c>
      <c r="D88" s="5" t="s">
        <v>112</v>
      </c>
      <c r="E88" s="47" t="s">
        <v>1513</v>
      </c>
      <c r="F88" s="5"/>
      <c r="G88" s="5">
        <v>90</v>
      </c>
      <c r="H88" s="5">
        <v>105.3</v>
      </c>
      <c r="I88" s="5">
        <f t="shared" si="2"/>
        <v>7368.9000000000033</v>
      </c>
      <c r="J88" s="5">
        <v>1.03</v>
      </c>
      <c r="K88" s="5"/>
      <c r="L88" s="5"/>
    </row>
    <row r="89" spans="2:15">
      <c r="B89" s="5">
        <f t="shared" si="0"/>
        <v>85</v>
      </c>
      <c r="C89" s="5" t="s">
        <v>112</v>
      </c>
      <c r="D89" s="5" t="s">
        <v>722</v>
      </c>
      <c r="E89" s="47" t="s">
        <v>1513</v>
      </c>
      <c r="F89" s="5"/>
      <c r="G89" s="5">
        <v>90</v>
      </c>
      <c r="H89" s="5">
        <v>79.2</v>
      </c>
      <c r="I89" s="5">
        <f t="shared" si="2"/>
        <v>7448.1000000000031</v>
      </c>
      <c r="J89" s="5">
        <v>1.03</v>
      </c>
      <c r="K89" s="5"/>
      <c r="L89" s="5"/>
      <c r="O89">
        <f>184+150</f>
        <v>334</v>
      </c>
    </row>
    <row r="90" spans="2:15">
      <c r="B90" s="5">
        <f t="shared" si="0"/>
        <v>86</v>
      </c>
      <c r="C90" s="5" t="s">
        <v>722</v>
      </c>
      <c r="D90" s="5" t="s">
        <v>723</v>
      </c>
      <c r="E90" s="47" t="s">
        <v>1513</v>
      </c>
      <c r="F90" s="5"/>
      <c r="G90" s="5">
        <v>90</v>
      </c>
      <c r="H90" s="5">
        <v>396.8</v>
      </c>
      <c r="I90" s="5">
        <f t="shared" si="2"/>
        <v>7844.9000000000033</v>
      </c>
      <c r="J90" s="5">
        <v>1.06</v>
      </c>
      <c r="K90" s="5"/>
      <c r="L90" s="5"/>
    </row>
    <row r="91" spans="2:15">
      <c r="B91" s="5">
        <f t="shared" si="0"/>
        <v>87</v>
      </c>
      <c r="C91" s="5" t="s">
        <v>723</v>
      </c>
      <c r="D91" s="5" t="s">
        <v>164</v>
      </c>
      <c r="E91" s="47" t="s">
        <v>1513</v>
      </c>
      <c r="F91" s="5"/>
      <c r="G91" s="5">
        <v>90</v>
      </c>
      <c r="H91" s="5">
        <v>340.5</v>
      </c>
      <c r="I91" s="5">
        <f t="shared" si="2"/>
        <v>8185.4000000000033</v>
      </c>
      <c r="J91" s="5">
        <v>1.05</v>
      </c>
      <c r="K91" s="5"/>
      <c r="L91" s="5"/>
    </row>
    <row r="92" spans="2:15">
      <c r="B92" s="5">
        <f t="shared" si="0"/>
        <v>88</v>
      </c>
      <c r="C92" s="5" t="s">
        <v>62</v>
      </c>
      <c r="D92" s="5" t="s">
        <v>34</v>
      </c>
      <c r="E92" s="47" t="s">
        <v>1513</v>
      </c>
      <c r="F92" s="5"/>
      <c r="G92" s="5">
        <v>90</v>
      </c>
      <c r="H92" s="5">
        <v>85.6</v>
      </c>
      <c r="I92" s="5">
        <f t="shared" si="2"/>
        <v>8271.0000000000036</v>
      </c>
      <c r="J92" s="5">
        <v>1.03</v>
      </c>
      <c r="K92" s="5"/>
      <c r="L92" s="5"/>
    </row>
    <row r="93" spans="2:15">
      <c r="B93" s="5">
        <f t="shared" si="0"/>
        <v>89</v>
      </c>
      <c r="C93" s="5" t="s">
        <v>825</v>
      </c>
      <c r="D93" s="5" t="s">
        <v>930</v>
      </c>
      <c r="E93" s="47" t="s">
        <v>1513</v>
      </c>
      <c r="F93" s="5"/>
      <c r="G93" s="5">
        <v>90</v>
      </c>
      <c r="H93" s="5">
        <v>38.200000000000003</v>
      </c>
      <c r="I93" s="5">
        <f t="shared" si="2"/>
        <v>8309.2000000000044</v>
      </c>
      <c r="J93" s="5">
        <v>1.06</v>
      </c>
      <c r="K93" s="5"/>
      <c r="L93" s="5"/>
    </row>
    <row r="94" spans="2:15">
      <c r="B94" s="5">
        <f t="shared" si="0"/>
        <v>90</v>
      </c>
      <c r="C94" s="5" t="s">
        <v>930</v>
      </c>
      <c r="D94" s="5" t="s">
        <v>56</v>
      </c>
      <c r="E94" s="47" t="s">
        <v>1513</v>
      </c>
      <c r="F94" s="5"/>
      <c r="G94" s="5">
        <v>90</v>
      </c>
      <c r="H94" s="5">
        <v>36.1</v>
      </c>
      <c r="I94" s="5">
        <f t="shared" si="2"/>
        <v>8345.3000000000047</v>
      </c>
      <c r="J94" s="10">
        <v>1.06</v>
      </c>
      <c r="K94" s="5"/>
      <c r="L94" s="5"/>
    </row>
    <row r="95" spans="2:15">
      <c r="B95" s="5">
        <f t="shared" si="0"/>
        <v>91</v>
      </c>
      <c r="C95" s="5" t="s">
        <v>56</v>
      </c>
      <c r="D95" s="5" t="s">
        <v>50</v>
      </c>
      <c r="E95" s="47" t="s">
        <v>1513</v>
      </c>
      <c r="F95" s="5"/>
      <c r="G95" s="5">
        <v>90</v>
      </c>
      <c r="H95" s="5">
        <v>16.899999999999999</v>
      </c>
      <c r="I95" s="5">
        <f t="shared" si="2"/>
        <v>8362.2000000000044</v>
      </c>
      <c r="J95" s="5">
        <v>1.03</v>
      </c>
      <c r="K95" s="5"/>
      <c r="L95" s="5"/>
    </row>
    <row r="96" spans="2:15">
      <c r="B96" s="5">
        <f t="shared" si="0"/>
        <v>92</v>
      </c>
      <c r="C96" s="5" t="s">
        <v>49</v>
      </c>
      <c r="D96" s="5" t="s">
        <v>1168</v>
      </c>
      <c r="E96" s="47" t="s">
        <v>1513</v>
      </c>
      <c r="F96" s="5"/>
      <c r="G96" s="5">
        <v>90</v>
      </c>
      <c r="H96" s="5">
        <v>98.3</v>
      </c>
      <c r="I96" s="5">
        <f t="shared" si="2"/>
        <v>8460.5000000000036</v>
      </c>
      <c r="J96" s="5">
        <v>1.03</v>
      </c>
      <c r="K96" s="5"/>
      <c r="L96" s="5"/>
    </row>
    <row r="97" spans="2:16">
      <c r="B97" s="5">
        <f t="shared" si="0"/>
        <v>93</v>
      </c>
      <c r="C97" s="5" t="s">
        <v>49</v>
      </c>
      <c r="D97" s="5" t="s">
        <v>58</v>
      </c>
      <c r="E97" s="47" t="s">
        <v>1513</v>
      </c>
      <c r="F97" s="5"/>
      <c r="G97" s="5">
        <v>90</v>
      </c>
      <c r="H97" s="5">
        <v>29.8</v>
      </c>
      <c r="I97" s="5">
        <f t="shared" si="2"/>
        <v>8490.3000000000029</v>
      </c>
      <c r="J97" s="5">
        <v>1.03</v>
      </c>
      <c r="K97" s="5"/>
      <c r="L97" s="5"/>
    </row>
    <row r="98" spans="2:16">
      <c r="B98" s="5">
        <f t="shared" si="0"/>
        <v>94</v>
      </c>
      <c r="C98" s="5" t="s">
        <v>58</v>
      </c>
      <c r="D98" s="5" t="s">
        <v>67</v>
      </c>
      <c r="E98" s="47" t="s">
        <v>1513</v>
      </c>
      <c r="F98" s="5"/>
      <c r="G98" s="5">
        <v>90</v>
      </c>
      <c r="H98" s="5">
        <v>76.2</v>
      </c>
      <c r="I98" s="5">
        <f t="shared" si="2"/>
        <v>8566.5000000000036</v>
      </c>
      <c r="J98" s="5">
        <v>1.03</v>
      </c>
      <c r="K98" s="5"/>
      <c r="L98" s="5"/>
    </row>
    <row r="99" spans="2:16">
      <c r="B99" s="5">
        <f t="shared" si="0"/>
        <v>95</v>
      </c>
      <c r="C99" s="5" t="s">
        <v>67</v>
      </c>
      <c r="D99" s="5" t="s">
        <v>1418</v>
      </c>
      <c r="E99" s="47" t="s">
        <v>1513</v>
      </c>
      <c r="F99" s="5"/>
      <c r="G99" s="5">
        <v>90</v>
      </c>
      <c r="H99" s="5">
        <v>10.3</v>
      </c>
      <c r="I99" s="5">
        <f t="shared" si="2"/>
        <v>8576.8000000000029</v>
      </c>
      <c r="J99" s="5">
        <v>1.03</v>
      </c>
      <c r="K99" s="5"/>
      <c r="L99" s="5"/>
    </row>
    <row r="100" spans="2:16">
      <c r="B100" s="5">
        <f t="shared" si="0"/>
        <v>96</v>
      </c>
      <c r="C100" s="5" t="s">
        <v>1418</v>
      </c>
      <c r="D100" s="5" t="s">
        <v>69</v>
      </c>
      <c r="E100" s="47" t="s">
        <v>1513</v>
      </c>
      <c r="F100" s="5"/>
      <c r="G100" s="5">
        <v>90</v>
      </c>
      <c r="H100" s="5">
        <v>59.3</v>
      </c>
      <c r="I100" s="5">
        <f t="shared" si="2"/>
        <v>8636.1000000000022</v>
      </c>
      <c r="J100" s="5">
        <v>1.03</v>
      </c>
      <c r="K100" s="5"/>
      <c r="L100" s="5"/>
    </row>
    <row r="101" spans="2:16">
      <c r="B101" s="5">
        <f t="shared" si="0"/>
        <v>97</v>
      </c>
      <c r="C101" s="5" t="s">
        <v>1368</v>
      </c>
      <c r="D101" s="5" t="s">
        <v>62</v>
      </c>
      <c r="E101" s="47" t="s">
        <v>1513</v>
      </c>
      <c r="F101" s="5"/>
      <c r="G101" s="5">
        <v>90</v>
      </c>
      <c r="H101" s="5">
        <v>234.1</v>
      </c>
      <c r="I101" s="5">
        <f t="shared" si="2"/>
        <v>8870.2000000000025</v>
      </c>
      <c r="J101" s="5">
        <v>1.03</v>
      </c>
      <c r="K101" s="5"/>
      <c r="L101" s="5"/>
    </row>
    <row r="102" spans="2:16">
      <c r="B102" s="5">
        <f t="shared" si="0"/>
        <v>98</v>
      </c>
      <c r="C102" s="5" t="s">
        <v>169</v>
      </c>
      <c r="D102" s="5" t="s">
        <v>29</v>
      </c>
      <c r="E102" s="47" t="s">
        <v>1513</v>
      </c>
      <c r="F102" s="5"/>
      <c r="G102" s="5">
        <v>110</v>
      </c>
      <c r="H102" s="5">
        <v>102.3</v>
      </c>
      <c r="I102" s="5">
        <f t="shared" si="2"/>
        <v>8972.5000000000018</v>
      </c>
      <c r="J102" s="5">
        <v>1.03</v>
      </c>
      <c r="K102" s="5"/>
      <c r="L102" s="5"/>
    </row>
    <row r="103" spans="2:16">
      <c r="B103" s="5">
        <f t="shared" si="0"/>
        <v>99</v>
      </c>
      <c r="C103" s="5" t="s">
        <v>29</v>
      </c>
      <c r="D103" s="5" t="s">
        <v>1368</v>
      </c>
      <c r="E103" s="47" t="s">
        <v>1513</v>
      </c>
      <c r="F103" s="5"/>
      <c r="G103" s="5">
        <v>110</v>
      </c>
      <c r="H103" s="5">
        <v>286.3</v>
      </c>
      <c r="I103" s="5">
        <f t="shared" si="2"/>
        <v>9258.8000000000011</v>
      </c>
      <c r="J103" s="5">
        <v>1.05</v>
      </c>
      <c r="K103" s="5"/>
      <c r="L103" s="5"/>
    </row>
    <row r="104" spans="2:16">
      <c r="B104" s="5">
        <f t="shared" si="0"/>
        <v>100</v>
      </c>
      <c r="C104" s="5" t="s">
        <v>1363</v>
      </c>
      <c r="D104" s="5" t="s">
        <v>1368</v>
      </c>
      <c r="E104" s="47" t="s">
        <v>1513</v>
      </c>
      <c r="F104" s="5"/>
      <c r="G104" s="5">
        <v>110</v>
      </c>
      <c r="H104" s="5">
        <v>163.19999999999999</v>
      </c>
      <c r="I104" s="5">
        <f t="shared" si="2"/>
        <v>9422.0000000000018</v>
      </c>
      <c r="J104" s="5">
        <v>1.03</v>
      </c>
      <c r="K104" s="5"/>
      <c r="L104" s="5"/>
    </row>
    <row r="105" spans="2:16">
      <c r="B105" s="5">
        <f t="shared" ref="B105:B114" si="3">+B104+1</f>
        <v>101</v>
      </c>
      <c r="C105" s="5" t="s">
        <v>1363</v>
      </c>
      <c r="D105" s="5" t="s">
        <v>1168</v>
      </c>
      <c r="E105" s="47" t="s">
        <v>1513</v>
      </c>
      <c r="F105" s="5"/>
      <c r="G105" s="5">
        <v>110</v>
      </c>
      <c r="H105" s="5">
        <v>630.20000000000005</v>
      </c>
      <c r="I105" s="5">
        <f t="shared" si="2"/>
        <v>10052.200000000003</v>
      </c>
      <c r="J105" s="5">
        <v>1.03</v>
      </c>
      <c r="K105" s="5"/>
      <c r="L105" s="5"/>
      <c r="P105">
        <f>334*72</f>
        <v>24048</v>
      </c>
    </row>
    <row r="106" spans="2:16">
      <c r="B106" s="5">
        <f t="shared" si="3"/>
        <v>102</v>
      </c>
      <c r="C106" s="5" t="s">
        <v>839</v>
      </c>
      <c r="D106" s="5" t="s">
        <v>146</v>
      </c>
      <c r="E106" s="47" t="s">
        <v>1513</v>
      </c>
      <c r="F106" s="5"/>
      <c r="G106" s="5">
        <v>125</v>
      </c>
      <c r="H106" s="5">
        <v>31.1</v>
      </c>
      <c r="I106" s="5">
        <f t="shared" si="2"/>
        <v>10083.300000000003</v>
      </c>
      <c r="J106" s="5">
        <v>1.05</v>
      </c>
      <c r="K106" s="5"/>
      <c r="L106" s="5"/>
    </row>
    <row r="107" spans="2:16">
      <c r="B107" s="5">
        <f t="shared" si="3"/>
        <v>103</v>
      </c>
      <c r="C107" s="5" t="s">
        <v>165</v>
      </c>
      <c r="D107" s="5" t="s">
        <v>110</v>
      </c>
      <c r="E107" s="47" t="s">
        <v>1513</v>
      </c>
      <c r="F107" s="5"/>
      <c r="G107" s="5">
        <v>125</v>
      </c>
      <c r="H107" s="5">
        <v>91.6</v>
      </c>
      <c r="I107" s="5">
        <f t="shared" si="2"/>
        <v>10174.900000000003</v>
      </c>
      <c r="J107" s="5">
        <v>1.04</v>
      </c>
      <c r="K107" s="5"/>
      <c r="L107" s="5"/>
    </row>
    <row r="108" spans="2:16">
      <c r="B108" s="5">
        <f t="shared" si="3"/>
        <v>104</v>
      </c>
      <c r="C108" s="5" t="s">
        <v>110</v>
      </c>
      <c r="D108" s="5" t="s">
        <v>168</v>
      </c>
      <c r="E108" s="47" t="s">
        <v>1513</v>
      </c>
      <c r="F108" s="5"/>
      <c r="G108" s="5">
        <v>125</v>
      </c>
      <c r="H108" s="5">
        <v>204.3</v>
      </c>
      <c r="I108" s="5">
        <f t="shared" si="2"/>
        <v>10379.200000000003</v>
      </c>
      <c r="J108" s="5">
        <v>1.03</v>
      </c>
      <c r="K108" s="5"/>
      <c r="L108" s="5"/>
    </row>
    <row r="109" spans="2:16">
      <c r="B109" s="5">
        <f t="shared" si="3"/>
        <v>105</v>
      </c>
      <c r="C109" s="5" t="s">
        <v>168</v>
      </c>
      <c r="D109" s="5" t="s">
        <v>169</v>
      </c>
      <c r="E109" s="47" t="s">
        <v>1513</v>
      </c>
      <c r="F109" s="5"/>
      <c r="G109" s="5">
        <v>125</v>
      </c>
      <c r="H109" s="5">
        <v>145.4</v>
      </c>
      <c r="I109" s="5">
        <f t="shared" si="2"/>
        <v>10524.600000000002</v>
      </c>
      <c r="J109" s="5">
        <v>1.03</v>
      </c>
      <c r="K109" s="5"/>
      <c r="L109" s="5"/>
    </row>
    <row r="110" spans="2:16">
      <c r="B110" s="5">
        <f t="shared" si="3"/>
        <v>106</v>
      </c>
      <c r="C110" s="5" t="s">
        <v>119</v>
      </c>
      <c r="D110" s="5" t="s">
        <v>144</v>
      </c>
      <c r="E110" s="47" t="s">
        <v>1513</v>
      </c>
      <c r="F110" s="5"/>
      <c r="G110" s="5">
        <v>140</v>
      </c>
      <c r="H110" s="5">
        <v>39.299999999999997</v>
      </c>
      <c r="I110" s="5">
        <f t="shared" si="2"/>
        <v>10563.900000000001</v>
      </c>
      <c r="J110" s="5">
        <v>1.03</v>
      </c>
      <c r="K110" s="5"/>
      <c r="L110" s="5"/>
    </row>
    <row r="111" spans="2:16">
      <c r="B111" s="5">
        <f t="shared" si="3"/>
        <v>107</v>
      </c>
      <c r="C111" s="5" t="s">
        <v>144</v>
      </c>
      <c r="D111" s="5" t="s">
        <v>139</v>
      </c>
      <c r="E111" s="47" t="s">
        <v>1513</v>
      </c>
      <c r="F111" s="5"/>
      <c r="G111" s="5">
        <v>140</v>
      </c>
      <c r="H111" s="5">
        <v>48.5</v>
      </c>
      <c r="I111" s="5">
        <f t="shared" si="2"/>
        <v>10612.400000000001</v>
      </c>
      <c r="J111" s="5">
        <v>1.03</v>
      </c>
      <c r="K111" s="5"/>
      <c r="L111" s="5"/>
    </row>
    <row r="112" spans="2:16">
      <c r="B112" s="5">
        <f t="shared" si="3"/>
        <v>108</v>
      </c>
      <c r="C112" s="5" t="s">
        <v>139</v>
      </c>
      <c r="D112" s="5" t="s">
        <v>115</v>
      </c>
      <c r="E112" s="47" t="s">
        <v>1513</v>
      </c>
      <c r="F112" s="5"/>
      <c r="G112" s="5">
        <v>140</v>
      </c>
      <c r="H112" s="5">
        <v>17.5</v>
      </c>
      <c r="I112" s="5">
        <f t="shared" si="2"/>
        <v>10629.900000000001</v>
      </c>
      <c r="J112" s="5">
        <v>1.03</v>
      </c>
      <c r="K112" s="5"/>
      <c r="L112" s="5"/>
    </row>
    <row r="113" spans="2:17">
      <c r="B113" s="5">
        <f t="shared" si="3"/>
        <v>109</v>
      </c>
      <c r="C113" s="5" t="s">
        <v>115</v>
      </c>
      <c r="D113" s="5" t="s">
        <v>140</v>
      </c>
      <c r="E113" s="47" t="s">
        <v>1513</v>
      </c>
      <c r="F113" s="5"/>
      <c r="G113" s="5">
        <v>140</v>
      </c>
      <c r="H113" s="5">
        <v>130.80000000000001</v>
      </c>
      <c r="I113" s="5">
        <f t="shared" si="2"/>
        <v>10760.7</v>
      </c>
      <c r="J113" s="5">
        <v>1.03</v>
      </c>
      <c r="K113" s="5"/>
      <c r="L113" s="5"/>
    </row>
    <row r="114" spans="2:17">
      <c r="B114" s="5">
        <f t="shared" si="3"/>
        <v>110</v>
      </c>
      <c r="C114" s="5" t="s">
        <v>119</v>
      </c>
      <c r="D114" s="5" t="s">
        <v>839</v>
      </c>
      <c r="E114" s="47" t="s">
        <v>1513</v>
      </c>
      <c r="F114" s="8"/>
      <c r="G114" s="5">
        <v>140</v>
      </c>
      <c r="H114" s="5">
        <v>219.9</v>
      </c>
      <c r="I114" s="5">
        <f t="shared" si="2"/>
        <v>10980.6</v>
      </c>
      <c r="J114" s="5">
        <v>1.03</v>
      </c>
      <c r="K114" s="8"/>
      <c r="L114" s="8"/>
    </row>
    <row r="115" spans="2:17">
      <c r="B115" s="8"/>
      <c r="C115" s="8"/>
      <c r="D115" s="8"/>
      <c r="E115" s="8"/>
      <c r="F115" s="8"/>
      <c r="G115" s="8"/>
      <c r="H115" s="8"/>
      <c r="I115" s="8"/>
      <c r="J115" s="5"/>
      <c r="K115" s="8"/>
      <c r="L115" s="8"/>
      <c r="N115" s="499" t="s">
        <v>1789</v>
      </c>
      <c r="O115" s="500"/>
      <c r="P115" s="500"/>
      <c r="Q115" s="501"/>
    </row>
    <row r="116" spans="2:17">
      <c r="B116" s="8"/>
      <c r="C116" s="8"/>
      <c r="D116" s="5">
        <v>63</v>
      </c>
      <c r="E116" s="5">
        <v>90</v>
      </c>
      <c r="F116" s="5">
        <v>110</v>
      </c>
      <c r="G116" s="5">
        <v>125</v>
      </c>
      <c r="H116" s="5">
        <v>140</v>
      </c>
      <c r="I116" s="5"/>
      <c r="J116" s="5"/>
      <c r="K116" s="8"/>
      <c r="L116" s="8"/>
      <c r="N116" s="399" t="s">
        <v>1785</v>
      </c>
      <c r="O116" s="399" t="s">
        <v>1786</v>
      </c>
      <c r="P116" s="399" t="s">
        <v>1787</v>
      </c>
      <c r="Q116" s="163" t="s">
        <v>1788</v>
      </c>
    </row>
    <row r="117" spans="2:17">
      <c r="B117" s="8"/>
      <c r="C117" s="8"/>
      <c r="D117" s="5">
        <f>+SUMIF($G$5:$G$114,D116,$H$5:$H$114)</f>
        <v>7263.6000000000031</v>
      </c>
      <c r="E117" s="5">
        <f>+SUMIF($G$5:$G$114,E116,$H$5:$H$114)</f>
        <v>1606.5999999999997</v>
      </c>
      <c r="F117" s="5">
        <f>+SUMIF($G$5:$G$114,F116,$H$5:$H$114)</f>
        <v>1182</v>
      </c>
      <c r="G117" s="5">
        <f>+SUMIF($G$5:$G$114,G116,$H$5:$H$114)</f>
        <v>472.4</v>
      </c>
      <c r="H117" s="5">
        <f>+SUMIF($G$5:$G$114,H116,$H$5:$H$114)</f>
        <v>456</v>
      </c>
      <c r="I117" s="5">
        <f>+SUM(D117:H117)</f>
        <v>10980.600000000002</v>
      </c>
      <c r="J117" s="5"/>
      <c r="K117" s="8"/>
      <c r="L117" s="8"/>
      <c r="N117" s="398">
        <v>63</v>
      </c>
      <c r="O117" s="398">
        <v>12324</v>
      </c>
      <c r="P117" s="398">
        <f>+D117</f>
        <v>7263.6000000000031</v>
      </c>
      <c r="Q117" s="398">
        <f>+O117-P117</f>
        <v>5060.3999999999969</v>
      </c>
    </row>
    <row r="118" spans="2:17">
      <c r="B118" s="8"/>
      <c r="C118" s="8"/>
      <c r="D118" s="8"/>
      <c r="E118" s="8"/>
      <c r="F118" s="8"/>
      <c r="G118" s="8"/>
      <c r="H118" s="8"/>
      <c r="I118" s="8"/>
      <c r="J118" s="5"/>
      <c r="K118" s="8"/>
      <c r="L118" s="8"/>
      <c r="N118" s="398">
        <v>90</v>
      </c>
      <c r="O118" s="398">
        <v>1649</v>
      </c>
      <c r="P118" s="398">
        <f>+E117</f>
        <v>1606.5999999999997</v>
      </c>
      <c r="Q118" s="398">
        <f t="shared" ref="Q118:Q121" si="4">+O118-P118</f>
        <v>42.400000000000318</v>
      </c>
    </row>
    <row r="119" spans="2:17" ht="15.75">
      <c r="B119" s="550" t="s">
        <v>365</v>
      </c>
      <c r="C119" s="551"/>
      <c r="D119" s="551"/>
      <c r="E119" s="552"/>
      <c r="F119" s="499" t="s">
        <v>366</v>
      </c>
      <c r="G119" s="500"/>
      <c r="H119" s="501"/>
      <c r="I119" s="499" t="s">
        <v>367</v>
      </c>
      <c r="J119" s="500"/>
      <c r="K119" s="500"/>
      <c r="L119" s="501"/>
      <c r="N119" s="398">
        <v>110</v>
      </c>
      <c r="O119" s="398">
        <v>1167</v>
      </c>
      <c r="P119" s="398">
        <f>+F117</f>
        <v>1182</v>
      </c>
      <c r="Q119" s="398">
        <f t="shared" si="4"/>
        <v>-15</v>
      </c>
    </row>
    <row r="120" spans="2:17" ht="15.75">
      <c r="B120" s="7" t="s">
        <v>368</v>
      </c>
      <c r="C120" s="8"/>
      <c r="D120" s="498"/>
      <c r="E120" s="498"/>
      <c r="F120" s="8" t="s">
        <v>368</v>
      </c>
      <c r="G120" s="498"/>
      <c r="H120" s="498"/>
      <c r="I120" s="8" t="s">
        <v>368</v>
      </c>
      <c r="J120" s="8"/>
      <c r="K120" s="499"/>
      <c r="L120" s="501"/>
      <c r="N120" s="398">
        <v>125</v>
      </c>
      <c r="O120" s="398">
        <v>590</v>
      </c>
      <c r="P120" s="398">
        <f>+G117</f>
        <v>472.4</v>
      </c>
      <c r="Q120" s="398">
        <f t="shared" si="4"/>
        <v>117.60000000000002</v>
      </c>
    </row>
    <row r="121" spans="2:17" ht="15.75">
      <c r="B121" s="7" t="s">
        <v>369</v>
      </c>
      <c r="C121" s="498"/>
      <c r="D121" s="498"/>
      <c r="E121" s="498"/>
      <c r="F121" s="8" t="s">
        <v>369</v>
      </c>
      <c r="G121" s="498"/>
      <c r="H121" s="498"/>
      <c r="I121" s="8" t="s">
        <v>369</v>
      </c>
      <c r="J121" s="499"/>
      <c r="K121" s="500"/>
      <c r="L121" s="501"/>
      <c r="N121" s="398">
        <v>140</v>
      </c>
      <c r="O121" s="398">
        <v>459</v>
      </c>
      <c r="P121" s="398">
        <f>+H117</f>
        <v>456</v>
      </c>
      <c r="Q121" s="398">
        <f t="shared" si="4"/>
        <v>3</v>
      </c>
    </row>
    <row r="122" spans="2:17" ht="15.75">
      <c r="B122" s="7" t="s">
        <v>370</v>
      </c>
      <c r="C122" s="8"/>
      <c r="D122" s="498"/>
      <c r="E122" s="498"/>
      <c r="F122" s="8" t="s">
        <v>370</v>
      </c>
      <c r="G122" s="498"/>
      <c r="H122" s="498"/>
      <c r="I122" s="8" t="s">
        <v>370</v>
      </c>
      <c r="J122" s="8"/>
      <c r="K122" s="499"/>
      <c r="L122" s="501"/>
      <c r="N122" s="398"/>
      <c r="O122" s="398">
        <f>SUM(O117:O121)</f>
        <v>16189</v>
      </c>
      <c r="P122" s="398">
        <f>SUM(P117:P121)</f>
        <v>10980.600000000002</v>
      </c>
      <c r="Q122" s="398">
        <f>SUM(Q117:Q121)</f>
        <v>5208.3999999999978</v>
      </c>
    </row>
  </sheetData>
  <autoFilter ref="B4:Q4"/>
  <mergeCells count="15">
    <mergeCell ref="B3:L3"/>
    <mergeCell ref="B119:E119"/>
    <mergeCell ref="F119:H119"/>
    <mergeCell ref="I119:L119"/>
    <mergeCell ref="D120:E120"/>
    <mergeCell ref="G120:H120"/>
    <mergeCell ref="K120:L120"/>
    <mergeCell ref="H20:H21"/>
    <mergeCell ref="N115:Q115"/>
    <mergeCell ref="C121:E121"/>
    <mergeCell ref="G121:H121"/>
    <mergeCell ref="J121:L121"/>
    <mergeCell ref="D122:E122"/>
    <mergeCell ref="G122:H122"/>
    <mergeCell ref="K122:L12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3:M153"/>
  <sheetViews>
    <sheetView zoomScale="85" zoomScaleNormal="85" zoomScaleSheetLayoutView="85" workbookViewId="0">
      <selection activeCell="I18" sqref="I18:I60"/>
    </sheetView>
  </sheetViews>
  <sheetFormatPr defaultColWidth="9" defaultRowHeight="15"/>
  <cols>
    <col min="1" max="2" width="9" style="35"/>
    <col min="3" max="3" width="7.140625" style="35" customWidth="1"/>
    <col min="4" max="4" width="12.28515625" style="35" customWidth="1"/>
    <col min="5" max="5" width="11.28515625" style="35" customWidth="1"/>
    <col min="6" max="6" width="14.7109375" style="35" customWidth="1"/>
    <col min="7" max="7" width="15" style="35" customWidth="1"/>
    <col min="8" max="8" width="20.28515625" style="35" customWidth="1"/>
    <col min="9" max="9" width="18.5703125" style="35" customWidth="1"/>
    <col min="10" max="10" width="13.7109375" style="35" customWidth="1"/>
    <col min="11" max="11" width="8.5703125" style="35" customWidth="1"/>
    <col min="12" max="12" width="11.7109375" style="35" customWidth="1"/>
    <col min="13" max="16384" width="9" style="35"/>
  </cols>
  <sheetData>
    <row r="3" spans="3:13" ht="18.75">
      <c r="C3" s="581" t="s">
        <v>1517</v>
      </c>
      <c r="D3" s="581"/>
      <c r="E3" s="581"/>
      <c r="F3" s="581"/>
      <c r="G3" s="581"/>
      <c r="H3" s="581"/>
      <c r="I3" s="581"/>
      <c r="J3" s="581"/>
      <c r="K3" s="581"/>
      <c r="L3" s="581"/>
      <c r="M3" s="581"/>
    </row>
    <row r="4" spans="3:13" ht="37.5">
      <c r="C4" s="1" t="s">
        <v>448</v>
      </c>
      <c r="D4" s="1" t="s">
        <v>180</v>
      </c>
      <c r="E4" s="1" t="s">
        <v>13</v>
      </c>
      <c r="F4" s="1" t="s">
        <v>181</v>
      </c>
      <c r="G4" s="2" t="s">
        <v>449</v>
      </c>
      <c r="H4" s="1" t="s">
        <v>183</v>
      </c>
      <c r="I4" s="9" t="s">
        <v>184</v>
      </c>
      <c r="J4" s="3" t="s">
        <v>185</v>
      </c>
      <c r="K4" s="3" t="s">
        <v>186</v>
      </c>
      <c r="L4" s="582" t="s">
        <v>187</v>
      </c>
      <c r="M4" s="583"/>
    </row>
    <row r="5" spans="3:13">
      <c r="C5" s="36">
        <v>1</v>
      </c>
      <c r="D5" s="36" t="s">
        <v>362</v>
      </c>
      <c r="E5" s="36" t="s">
        <v>355</v>
      </c>
      <c r="F5" s="36"/>
      <c r="G5" s="36"/>
      <c r="H5" s="36">
        <v>110</v>
      </c>
      <c r="I5" s="36">
        <v>384.4</v>
      </c>
      <c r="J5" s="36">
        <v>384.4</v>
      </c>
      <c r="K5" s="36">
        <v>1.1100000000000001</v>
      </c>
      <c r="L5" s="36"/>
      <c r="M5" s="38"/>
    </row>
    <row r="6" spans="3:13">
      <c r="C6" s="36">
        <f>1+C5</f>
        <v>2</v>
      </c>
      <c r="D6" s="36" t="s">
        <v>355</v>
      </c>
      <c r="E6" s="36" t="s">
        <v>314</v>
      </c>
      <c r="F6" s="36"/>
      <c r="G6" s="36"/>
      <c r="H6" s="36">
        <v>63</v>
      </c>
      <c r="I6" s="36">
        <v>97.9</v>
      </c>
      <c r="J6" s="36">
        <f>+$J5+I6</f>
        <v>482.29999999999995</v>
      </c>
      <c r="K6" s="36">
        <v>1.06</v>
      </c>
      <c r="L6" s="38"/>
      <c r="M6" s="38"/>
    </row>
    <row r="7" spans="3:13">
      <c r="C7" s="36">
        <f t="shared" ref="C7:C65" si="0">1+C6</f>
        <v>3</v>
      </c>
      <c r="D7" s="36" t="s">
        <v>314</v>
      </c>
      <c r="E7" s="36" t="s">
        <v>250</v>
      </c>
      <c r="F7" s="36" t="s">
        <v>383</v>
      </c>
      <c r="G7" s="36">
        <v>0.36</v>
      </c>
      <c r="H7" s="36">
        <v>63</v>
      </c>
      <c r="I7" s="36">
        <v>3.1</v>
      </c>
      <c r="J7" s="36">
        <f t="shared" ref="J7:J65" si="1">+$J6+I7</f>
        <v>485.4</v>
      </c>
      <c r="K7" s="36">
        <v>1.06</v>
      </c>
      <c r="L7" s="570" t="s">
        <v>1518</v>
      </c>
      <c r="M7" s="573"/>
    </row>
    <row r="8" spans="3:13">
      <c r="C8" s="36">
        <f t="shared" si="0"/>
        <v>4</v>
      </c>
      <c r="D8" s="36" t="s">
        <v>314</v>
      </c>
      <c r="E8" s="36" t="s">
        <v>250</v>
      </c>
      <c r="F8" s="36"/>
      <c r="G8" s="36"/>
      <c r="H8" s="36">
        <v>63</v>
      </c>
      <c r="I8" s="36">
        <v>26.2</v>
      </c>
      <c r="J8" s="36">
        <f t="shared" si="1"/>
        <v>511.59999999999997</v>
      </c>
      <c r="K8" s="36">
        <v>1.06</v>
      </c>
      <c r="L8" s="38"/>
      <c r="M8" s="38"/>
    </row>
    <row r="9" spans="3:13">
      <c r="C9" s="36">
        <f t="shared" si="0"/>
        <v>5</v>
      </c>
      <c r="D9" s="36" t="s">
        <v>382</v>
      </c>
      <c r="E9" s="36" t="s">
        <v>375</v>
      </c>
      <c r="F9" s="36"/>
      <c r="G9" s="36"/>
      <c r="H9" s="36">
        <v>63</v>
      </c>
      <c r="I9" s="36">
        <v>113.4</v>
      </c>
      <c r="J9" s="36">
        <f t="shared" si="1"/>
        <v>625</v>
      </c>
      <c r="K9" s="36">
        <v>1.06</v>
      </c>
      <c r="L9" s="38"/>
      <c r="M9" s="38"/>
    </row>
    <row r="10" spans="3:13">
      <c r="C10" s="36">
        <f t="shared" si="0"/>
        <v>6</v>
      </c>
      <c r="D10" s="36" t="s">
        <v>375</v>
      </c>
      <c r="E10" s="36" t="s">
        <v>355</v>
      </c>
      <c r="F10" s="36"/>
      <c r="G10" s="36"/>
      <c r="H10" s="36">
        <v>63</v>
      </c>
      <c r="I10" s="36">
        <v>6.6</v>
      </c>
      <c r="J10" s="36">
        <f t="shared" si="1"/>
        <v>631.6</v>
      </c>
      <c r="K10" s="36">
        <v>1.06</v>
      </c>
      <c r="L10" s="38"/>
      <c r="M10" s="38"/>
    </row>
    <row r="11" spans="3:13">
      <c r="C11" s="36">
        <f t="shared" si="0"/>
        <v>7</v>
      </c>
      <c r="D11" s="36" t="s">
        <v>375</v>
      </c>
      <c r="E11" s="36" t="s">
        <v>355</v>
      </c>
      <c r="F11" s="36"/>
      <c r="G11" s="36"/>
      <c r="H11" s="36">
        <v>63</v>
      </c>
      <c r="I11" s="36">
        <v>8.6</v>
      </c>
      <c r="J11" s="36">
        <f t="shared" si="1"/>
        <v>640.20000000000005</v>
      </c>
      <c r="K11" s="36">
        <v>1.06</v>
      </c>
      <c r="L11" s="570" t="s">
        <v>304</v>
      </c>
      <c r="M11" s="573"/>
    </row>
    <row r="12" spans="3:13">
      <c r="C12" s="36">
        <f t="shared" si="0"/>
        <v>8</v>
      </c>
      <c r="D12" s="36" t="s">
        <v>375</v>
      </c>
      <c r="E12" s="36" t="s">
        <v>355</v>
      </c>
      <c r="F12" s="36"/>
      <c r="G12" s="36"/>
      <c r="H12" s="36">
        <v>63</v>
      </c>
      <c r="I12" s="36">
        <v>110.9</v>
      </c>
      <c r="J12" s="36">
        <f t="shared" si="1"/>
        <v>751.1</v>
      </c>
      <c r="K12" s="36">
        <v>1.06</v>
      </c>
      <c r="L12" s="38"/>
      <c r="M12" s="38"/>
    </row>
    <row r="13" spans="3:13">
      <c r="C13" s="36">
        <f t="shared" si="0"/>
        <v>9</v>
      </c>
      <c r="D13" s="36" t="s">
        <v>375</v>
      </c>
      <c r="E13" s="36" t="s">
        <v>357</v>
      </c>
      <c r="F13" s="36"/>
      <c r="G13" s="36"/>
      <c r="H13" s="36">
        <v>63</v>
      </c>
      <c r="I13" s="36">
        <v>206.4</v>
      </c>
      <c r="J13" s="36">
        <f t="shared" si="1"/>
        <v>957.5</v>
      </c>
      <c r="K13" s="36">
        <v>1.06</v>
      </c>
      <c r="L13" s="38"/>
      <c r="M13" s="38"/>
    </row>
    <row r="14" spans="3:13">
      <c r="C14" s="36">
        <f t="shared" si="0"/>
        <v>10</v>
      </c>
      <c r="D14" s="36" t="s">
        <v>375</v>
      </c>
      <c r="E14" s="36" t="s">
        <v>349</v>
      </c>
      <c r="F14" s="36"/>
      <c r="G14" s="36"/>
      <c r="H14" s="36">
        <v>63</v>
      </c>
      <c r="I14" s="36">
        <v>442.4</v>
      </c>
      <c r="J14" s="36">
        <f t="shared" si="1"/>
        <v>1399.9</v>
      </c>
      <c r="K14" s="36">
        <v>1.06</v>
      </c>
      <c r="L14" s="38"/>
      <c r="M14" s="38"/>
    </row>
    <row r="15" spans="3:13">
      <c r="C15" s="36">
        <f t="shared" si="0"/>
        <v>11</v>
      </c>
      <c r="D15" s="36" t="s">
        <v>349</v>
      </c>
      <c r="E15" s="36" t="s">
        <v>540</v>
      </c>
      <c r="F15" s="36"/>
      <c r="G15" s="36"/>
      <c r="H15" s="36">
        <v>63</v>
      </c>
      <c r="I15" s="36">
        <v>43</v>
      </c>
      <c r="J15" s="36">
        <f t="shared" si="1"/>
        <v>1442.9</v>
      </c>
      <c r="K15" s="36">
        <v>1.06</v>
      </c>
      <c r="L15" s="38"/>
      <c r="M15" s="38"/>
    </row>
    <row r="16" spans="3:13">
      <c r="C16" s="36">
        <f t="shared" si="0"/>
        <v>12</v>
      </c>
      <c r="D16" s="36" t="s">
        <v>349</v>
      </c>
      <c r="E16" s="36" t="s">
        <v>628</v>
      </c>
      <c r="F16" s="36"/>
      <c r="G16" s="36"/>
      <c r="H16" s="36">
        <v>63</v>
      </c>
      <c r="I16" s="36">
        <v>76.5</v>
      </c>
      <c r="J16" s="36">
        <f t="shared" si="1"/>
        <v>1519.4</v>
      </c>
      <c r="K16" s="36">
        <v>1.06</v>
      </c>
      <c r="L16" s="38"/>
      <c r="M16" s="38"/>
    </row>
    <row r="17" spans="3:13">
      <c r="C17" s="36">
        <f t="shared" si="0"/>
        <v>13</v>
      </c>
      <c r="D17" s="36" t="s">
        <v>349</v>
      </c>
      <c r="E17" s="36" t="s">
        <v>628</v>
      </c>
      <c r="F17" s="36" t="s">
        <v>383</v>
      </c>
      <c r="G17" s="36">
        <v>0.36</v>
      </c>
      <c r="H17" s="36">
        <v>63</v>
      </c>
      <c r="I17" s="36">
        <v>3.8</v>
      </c>
      <c r="J17" s="36">
        <f t="shared" si="1"/>
        <v>1523.2</v>
      </c>
      <c r="K17" s="36">
        <v>1.06</v>
      </c>
      <c r="L17" s="570" t="s">
        <v>1518</v>
      </c>
      <c r="M17" s="573"/>
    </row>
    <row r="18" spans="3:13">
      <c r="C18" s="36">
        <f t="shared" si="0"/>
        <v>14</v>
      </c>
      <c r="D18" s="36" t="s">
        <v>628</v>
      </c>
      <c r="E18" s="36" t="s">
        <v>400</v>
      </c>
      <c r="F18" s="36" t="s">
        <v>837</v>
      </c>
      <c r="G18" s="36">
        <v>0.46</v>
      </c>
      <c r="H18" s="36">
        <v>63</v>
      </c>
      <c r="I18" s="36">
        <v>5.8</v>
      </c>
      <c r="J18" s="36">
        <f t="shared" si="1"/>
        <v>1529</v>
      </c>
      <c r="K18" s="36">
        <v>1.06</v>
      </c>
      <c r="L18" s="38"/>
      <c r="M18" s="38"/>
    </row>
    <row r="19" spans="3:13">
      <c r="C19" s="36">
        <f t="shared" si="0"/>
        <v>15</v>
      </c>
      <c r="D19" s="36" t="s">
        <v>628</v>
      </c>
      <c r="E19" s="36" t="s">
        <v>400</v>
      </c>
      <c r="F19" s="36"/>
      <c r="G19" s="36"/>
      <c r="H19" s="36">
        <v>63</v>
      </c>
      <c r="I19" s="36">
        <v>137.30000000000001</v>
      </c>
      <c r="J19" s="36">
        <f t="shared" si="1"/>
        <v>1666.3</v>
      </c>
      <c r="K19" s="36">
        <v>1.06</v>
      </c>
      <c r="L19" s="38"/>
      <c r="M19" s="38"/>
    </row>
    <row r="20" spans="3:13">
      <c r="C20" s="36">
        <f t="shared" si="0"/>
        <v>16</v>
      </c>
      <c r="D20" s="36" t="s">
        <v>628</v>
      </c>
      <c r="E20" s="36" t="s">
        <v>400</v>
      </c>
      <c r="F20" s="36" t="s">
        <v>837</v>
      </c>
      <c r="G20" s="36">
        <v>0.46</v>
      </c>
      <c r="H20" s="36">
        <v>63</v>
      </c>
      <c r="I20" s="36">
        <v>5.9</v>
      </c>
      <c r="J20" s="36">
        <f t="shared" si="1"/>
        <v>1672.2</v>
      </c>
      <c r="K20" s="36">
        <v>1.06</v>
      </c>
      <c r="L20" s="570" t="s">
        <v>1518</v>
      </c>
      <c r="M20" s="573"/>
    </row>
    <row r="21" spans="3:13">
      <c r="C21" s="36">
        <f t="shared" si="0"/>
        <v>17</v>
      </c>
      <c r="D21" s="36" t="s">
        <v>628</v>
      </c>
      <c r="E21" s="36" t="s">
        <v>400</v>
      </c>
      <c r="F21" s="36"/>
      <c r="G21" s="36"/>
      <c r="H21" s="36">
        <v>63</v>
      </c>
      <c r="I21" s="36">
        <v>34.799999999999997</v>
      </c>
      <c r="J21" s="36">
        <f t="shared" si="1"/>
        <v>1707</v>
      </c>
      <c r="K21" s="36">
        <v>1.06</v>
      </c>
      <c r="L21" s="38"/>
      <c r="M21" s="38"/>
    </row>
    <row r="22" spans="3:13">
      <c r="C22" s="36">
        <f t="shared" si="0"/>
        <v>18</v>
      </c>
      <c r="D22" s="36" t="s">
        <v>628</v>
      </c>
      <c r="E22" s="36" t="s">
        <v>278</v>
      </c>
      <c r="F22" s="36"/>
      <c r="G22" s="36"/>
      <c r="H22" s="36">
        <v>63</v>
      </c>
      <c r="I22" s="36">
        <v>255.3</v>
      </c>
      <c r="J22" s="36">
        <f t="shared" si="1"/>
        <v>1962.3</v>
      </c>
      <c r="K22" s="36">
        <v>1.06</v>
      </c>
      <c r="L22" s="38"/>
      <c r="M22" s="38"/>
    </row>
    <row r="23" spans="3:13">
      <c r="C23" s="36">
        <f t="shared" si="0"/>
        <v>19</v>
      </c>
      <c r="D23" s="36" t="s">
        <v>314</v>
      </c>
      <c r="E23" s="36" t="s">
        <v>282</v>
      </c>
      <c r="F23" s="36"/>
      <c r="G23" s="36"/>
      <c r="H23" s="36">
        <v>63</v>
      </c>
      <c r="I23" s="36">
        <v>287.10000000000002</v>
      </c>
      <c r="J23" s="36">
        <f t="shared" si="1"/>
        <v>2249.4</v>
      </c>
      <c r="K23" s="36">
        <v>1.06</v>
      </c>
      <c r="L23" s="38"/>
      <c r="M23" s="38"/>
    </row>
    <row r="24" spans="3:13">
      <c r="C24" s="36">
        <f t="shared" si="0"/>
        <v>20</v>
      </c>
      <c r="D24" s="36" t="s">
        <v>282</v>
      </c>
      <c r="E24" s="36" t="s">
        <v>523</v>
      </c>
      <c r="F24" s="36" t="s">
        <v>383</v>
      </c>
      <c r="G24" s="36">
        <v>0.36</v>
      </c>
      <c r="H24" s="36">
        <v>63</v>
      </c>
      <c r="I24" s="36">
        <v>3.2</v>
      </c>
      <c r="J24" s="36">
        <f t="shared" si="1"/>
        <v>2252.6</v>
      </c>
      <c r="K24" s="36">
        <v>1.06</v>
      </c>
      <c r="L24" s="570" t="s">
        <v>1518</v>
      </c>
      <c r="M24" s="573"/>
    </row>
    <row r="25" spans="3:13">
      <c r="C25" s="36">
        <f t="shared" si="0"/>
        <v>21</v>
      </c>
      <c r="D25" s="36" t="s">
        <v>282</v>
      </c>
      <c r="E25" s="36" t="s">
        <v>523</v>
      </c>
      <c r="F25" s="36"/>
      <c r="G25" s="36"/>
      <c r="H25" s="36">
        <v>63</v>
      </c>
      <c r="I25" s="36">
        <v>37.799999999999997</v>
      </c>
      <c r="J25" s="36">
        <f t="shared" si="1"/>
        <v>2290.4</v>
      </c>
      <c r="K25" s="36">
        <v>1.06</v>
      </c>
      <c r="L25" s="38"/>
      <c r="M25" s="38"/>
    </row>
    <row r="26" spans="3:13">
      <c r="C26" s="36">
        <f t="shared" si="0"/>
        <v>22</v>
      </c>
      <c r="D26" s="36" t="s">
        <v>282</v>
      </c>
      <c r="E26" s="36" t="s">
        <v>281</v>
      </c>
      <c r="F26" s="36"/>
      <c r="G26" s="36"/>
      <c r="H26" s="36">
        <v>63</v>
      </c>
      <c r="I26" s="36">
        <v>181.4</v>
      </c>
      <c r="J26" s="36">
        <f t="shared" si="1"/>
        <v>2471.8000000000002</v>
      </c>
      <c r="K26" s="36">
        <v>1.06</v>
      </c>
      <c r="L26" s="38"/>
      <c r="M26" s="38"/>
    </row>
    <row r="27" spans="3:13">
      <c r="C27" s="36">
        <f t="shared" si="0"/>
        <v>23</v>
      </c>
      <c r="D27" s="36" t="s">
        <v>282</v>
      </c>
      <c r="E27" s="36" t="s">
        <v>281</v>
      </c>
      <c r="F27" s="36" t="s">
        <v>1519</v>
      </c>
      <c r="G27" s="36">
        <v>0.46</v>
      </c>
      <c r="H27" s="36">
        <v>63</v>
      </c>
      <c r="I27" s="36">
        <v>4.5999999999999996</v>
      </c>
      <c r="J27" s="36">
        <f t="shared" si="1"/>
        <v>2476.4</v>
      </c>
      <c r="K27" s="36">
        <v>1.06</v>
      </c>
      <c r="L27" s="570" t="s">
        <v>1518</v>
      </c>
      <c r="M27" s="573"/>
    </row>
    <row r="28" spans="3:13">
      <c r="C28" s="36">
        <f t="shared" si="0"/>
        <v>24</v>
      </c>
      <c r="D28" s="36" t="s">
        <v>281</v>
      </c>
      <c r="E28" s="36" t="s">
        <v>350</v>
      </c>
      <c r="F28" s="36"/>
      <c r="G28" s="36"/>
      <c r="H28" s="36">
        <v>63</v>
      </c>
      <c r="I28" s="36">
        <v>53.1</v>
      </c>
      <c r="J28" s="36">
        <f t="shared" si="1"/>
        <v>2529.5</v>
      </c>
      <c r="K28" s="36">
        <v>1.06</v>
      </c>
      <c r="L28" s="38"/>
      <c r="M28" s="38"/>
    </row>
    <row r="29" spans="3:13">
      <c r="C29" s="36">
        <f t="shared" si="0"/>
        <v>25</v>
      </c>
      <c r="D29" s="36" t="s">
        <v>281</v>
      </c>
      <c r="E29" s="36" t="s">
        <v>266</v>
      </c>
      <c r="F29" s="36"/>
      <c r="G29" s="36"/>
      <c r="H29" s="36">
        <v>63</v>
      </c>
      <c r="I29" s="36">
        <v>45.2</v>
      </c>
      <c r="J29" s="36">
        <f t="shared" si="1"/>
        <v>2574.6999999999998</v>
      </c>
      <c r="K29" s="36">
        <v>1.06</v>
      </c>
      <c r="L29" s="38"/>
      <c r="M29" s="38"/>
    </row>
    <row r="30" spans="3:13">
      <c r="C30" s="36">
        <f t="shared" si="0"/>
        <v>26</v>
      </c>
      <c r="D30" s="36" t="s">
        <v>281</v>
      </c>
      <c r="E30" s="36" t="s">
        <v>266</v>
      </c>
      <c r="F30" s="36" t="s">
        <v>837</v>
      </c>
      <c r="G30" s="36">
        <v>0.46</v>
      </c>
      <c r="H30" s="36">
        <v>63</v>
      </c>
      <c r="I30" s="36">
        <v>21.9</v>
      </c>
      <c r="J30" s="36">
        <f t="shared" si="1"/>
        <v>2596.6</v>
      </c>
      <c r="K30" s="36">
        <v>1.06</v>
      </c>
      <c r="L30" s="38"/>
      <c r="M30" s="38"/>
    </row>
    <row r="31" spans="3:13">
      <c r="C31" s="36">
        <f t="shared" si="0"/>
        <v>27</v>
      </c>
      <c r="D31" s="36" t="s">
        <v>266</v>
      </c>
      <c r="E31" s="36" t="s">
        <v>403</v>
      </c>
      <c r="F31" s="36" t="s">
        <v>383</v>
      </c>
      <c r="G31" s="36">
        <v>0.36</v>
      </c>
      <c r="H31" s="36">
        <v>63</v>
      </c>
      <c r="I31" s="36">
        <v>4.9000000000000004</v>
      </c>
      <c r="J31" s="36">
        <f t="shared" si="1"/>
        <v>2601.5</v>
      </c>
      <c r="K31" s="36">
        <v>1.06</v>
      </c>
      <c r="L31" s="570" t="s">
        <v>1518</v>
      </c>
      <c r="M31" s="573"/>
    </row>
    <row r="32" spans="3:13">
      <c r="C32" s="36">
        <f t="shared" si="0"/>
        <v>28</v>
      </c>
      <c r="D32" s="36" t="s">
        <v>314</v>
      </c>
      <c r="E32" s="36" t="s">
        <v>595</v>
      </c>
      <c r="F32" s="36"/>
      <c r="G32" s="36"/>
      <c r="H32" s="36">
        <v>63</v>
      </c>
      <c r="I32" s="36">
        <v>84.9</v>
      </c>
      <c r="J32" s="36">
        <f t="shared" si="1"/>
        <v>2686.4</v>
      </c>
      <c r="K32" s="36">
        <v>1.06</v>
      </c>
      <c r="L32" s="38"/>
      <c r="M32" s="38"/>
    </row>
    <row r="33" spans="3:13">
      <c r="C33" s="36">
        <f t="shared" si="0"/>
        <v>29</v>
      </c>
      <c r="D33" s="36" t="s">
        <v>266</v>
      </c>
      <c r="E33" s="36" t="s">
        <v>403</v>
      </c>
      <c r="F33" s="36"/>
      <c r="G33" s="36"/>
      <c r="H33" s="36">
        <v>63</v>
      </c>
      <c r="I33" s="36">
        <v>52</v>
      </c>
      <c r="J33" s="36">
        <f t="shared" si="1"/>
        <v>2738.4</v>
      </c>
      <c r="K33" s="36">
        <v>1.06</v>
      </c>
      <c r="L33" s="38"/>
      <c r="M33" s="38"/>
    </row>
    <row r="34" spans="3:13">
      <c r="C34" s="36">
        <f t="shared" si="0"/>
        <v>30</v>
      </c>
      <c r="D34" s="36" t="s">
        <v>266</v>
      </c>
      <c r="E34" s="36" t="s">
        <v>248</v>
      </c>
      <c r="F34" s="36"/>
      <c r="G34" s="36"/>
      <c r="H34" s="36">
        <v>63</v>
      </c>
      <c r="I34" s="36">
        <v>48.9</v>
      </c>
      <c r="J34" s="36">
        <f t="shared" si="1"/>
        <v>2787.3</v>
      </c>
      <c r="K34" s="36">
        <v>1.06</v>
      </c>
      <c r="L34" s="38"/>
      <c r="M34" s="38"/>
    </row>
    <row r="35" spans="3:13">
      <c r="C35" s="36">
        <f t="shared" si="0"/>
        <v>31</v>
      </c>
      <c r="D35" s="36" t="s">
        <v>266</v>
      </c>
      <c r="E35" s="36" t="s">
        <v>248</v>
      </c>
      <c r="F35" s="36" t="s">
        <v>837</v>
      </c>
      <c r="G35" s="36">
        <v>0.46</v>
      </c>
      <c r="H35" s="36">
        <v>63</v>
      </c>
      <c r="I35" s="36">
        <v>15.8</v>
      </c>
      <c r="J35" s="36">
        <f t="shared" si="1"/>
        <v>2803.1000000000004</v>
      </c>
      <c r="K35" s="36">
        <v>1.06</v>
      </c>
      <c r="L35" s="38"/>
      <c r="M35" s="38"/>
    </row>
    <row r="36" spans="3:13">
      <c r="C36" s="36">
        <f t="shared" si="0"/>
        <v>32</v>
      </c>
      <c r="D36" s="36" t="s">
        <v>248</v>
      </c>
      <c r="E36" s="36" t="s">
        <v>507</v>
      </c>
      <c r="F36" s="36"/>
      <c r="G36" s="36"/>
      <c r="H36" s="36">
        <v>63</v>
      </c>
      <c r="I36" s="36">
        <v>98.7</v>
      </c>
      <c r="J36" s="36">
        <f t="shared" si="1"/>
        <v>2901.8</v>
      </c>
      <c r="K36" s="36">
        <v>1.06</v>
      </c>
      <c r="L36" s="38"/>
      <c r="M36" s="38"/>
    </row>
    <row r="37" spans="3:13">
      <c r="C37" s="36">
        <f t="shared" si="0"/>
        <v>33</v>
      </c>
      <c r="D37" s="36" t="s">
        <v>248</v>
      </c>
      <c r="E37" s="36" t="s">
        <v>318</v>
      </c>
      <c r="F37" s="36"/>
      <c r="G37" s="36"/>
      <c r="H37" s="36">
        <v>63</v>
      </c>
      <c r="I37" s="36">
        <v>12.9</v>
      </c>
      <c r="J37" s="36">
        <f t="shared" si="1"/>
        <v>2914.7000000000003</v>
      </c>
      <c r="K37" s="36">
        <v>1.06</v>
      </c>
      <c r="L37" s="38"/>
      <c r="M37" s="38"/>
    </row>
    <row r="38" spans="3:13">
      <c r="C38" s="36">
        <f t="shared" si="0"/>
        <v>34</v>
      </c>
      <c r="D38" s="36" t="s">
        <v>248</v>
      </c>
      <c r="E38" s="36" t="s">
        <v>318</v>
      </c>
      <c r="F38" s="36" t="s">
        <v>837</v>
      </c>
      <c r="G38" s="36">
        <v>0.46</v>
      </c>
      <c r="H38" s="36">
        <v>63</v>
      </c>
      <c r="I38" s="36">
        <v>17.399999999999999</v>
      </c>
      <c r="J38" s="36">
        <f t="shared" si="1"/>
        <v>2932.1000000000004</v>
      </c>
      <c r="K38" s="36">
        <v>1.06</v>
      </c>
      <c r="L38" s="38"/>
      <c r="M38" s="38"/>
    </row>
    <row r="39" spans="3:13">
      <c r="C39" s="36">
        <f t="shared" si="0"/>
        <v>35</v>
      </c>
      <c r="D39" s="36" t="s">
        <v>248</v>
      </c>
      <c r="E39" s="36" t="s">
        <v>318</v>
      </c>
      <c r="F39" s="36"/>
      <c r="G39" s="36"/>
      <c r="H39" s="36">
        <v>63</v>
      </c>
      <c r="I39" s="36">
        <v>8.6</v>
      </c>
      <c r="J39" s="36">
        <f t="shared" si="1"/>
        <v>2940.7000000000003</v>
      </c>
      <c r="K39" s="36">
        <v>1.06</v>
      </c>
      <c r="L39" s="38"/>
      <c r="M39" s="38"/>
    </row>
    <row r="40" spans="3:13">
      <c r="C40" s="36">
        <f t="shared" si="0"/>
        <v>36</v>
      </c>
      <c r="D40" s="36" t="s">
        <v>248</v>
      </c>
      <c r="E40" s="36" t="s">
        <v>318</v>
      </c>
      <c r="F40" s="36" t="s">
        <v>837</v>
      </c>
      <c r="G40" s="36">
        <v>0.46</v>
      </c>
      <c r="H40" s="36">
        <v>63</v>
      </c>
      <c r="I40" s="36">
        <v>4.9000000000000004</v>
      </c>
      <c r="J40" s="36">
        <f t="shared" si="1"/>
        <v>2945.6000000000004</v>
      </c>
      <c r="K40" s="36">
        <v>1.06</v>
      </c>
      <c r="L40" s="570" t="s">
        <v>1518</v>
      </c>
      <c r="M40" s="573"/>
    </row>
    <row r="41" spans="3:13">
      <c r="C41" s="36">
        <f t="shared" si="0"/>
        <v>37</v>
      </c>
      <c r="D41" s="36" t="s">
        <v>318</v>
      </c>
      <c r="E41" s="36" t="s">
        <v>319</v>
      </c>
      <c r="F41" s="36" t="s">
        <v>837</v>
      </c>
      <c r="G41" s="36">
        <v>0.46</v>
      </c>
      <c r="H41" s="36">
        <v>63</v>
      </c>
      <c r="I41" s="36">
        <v>44.3</v>
      </c>
      <c r="J41" s="36">
        <f t="shared" si="1"/>
        <v>2989.9000000000005</v>
      </c>
      <c r="K41" s="36">
        <v>1.06</v>
      </c>
      <c r="L41" s="38"/>
      <c r="M41" s="38"/>
    </row>
    <row r="42" spans="3:13">
      <c r="C42" s="36">
        <f t="shared" si="0"/>
        <v>38</v>
      </c>
      <c r="D42" s="36" t="s">
        <v>318</v>
      </c>
      <c r="E42" s="36" t="s">
        <v>622</v>
      </c>
      <c r="F42" s="36" t="s">
        <v>837</v>
      </c>
      <c r="G42" s="36">
        <v>0.46</v>
      </c>
      <c r="H42" s="36">
        <v>63</v>
      </c>
      <c r="I42" s="36">
        <v>15.2</v>
      </c>
      <c r="J42" s="36">
        <f t="shared" si="1"/>
        <v>3005.1000000000004</v>
      </c>
      <c r="K42" s="36">
        <v>1.06</v>
      </c>
      <c r="L42" s="38"/>
      <c r="M42" s="38"/>
    </row>
    <row r="43" spans="3:13">
      <c r="C43" s="36">
        <f t="shared" si="0"/>
        <v>39</v>
      </c>
      <c r="D43" s="36" t="s">
        <v>622</v>
      </c>
      <c r="E43" s="36" t="s">
        <v>623</v>
      </c>
      <c r="F43" s="36"/>
      <c r="G43" s="36"/>
      <c r="H43" s="36">
        <v>63</v>
      </c>
      <c r="I43" s="36">
        <v>61.6</v>
      </c>
      <c r="J43" s="36">
        <f t="shared" si="1"/>
        <v>3066.7000000000003</v>
      </c>
      <c r="K43" s="36">
        <v>1.06</v>
      </c>
      <c r="L43" s="38"/>
      <c r="M43" s="38"/>
    </row>
    <row r="44" spans="3:13">
      <c r="C44" s="36">
        <f t="shared" si="0"/>
        <v>40</v>
      </c>
      <c r="D44" s="36" t="s">
        <v>622</v>
      </c>
      <c r="E44" s="36" t="s">
        <v>257</v>
      </c>
      <c r="F44" s="36" t="s">
        <v>837</v>
      </c>
      <c r="G44" s="36">
        <v>0.46</v>
      </c>
      <c r="H44" s="36">
        <v>63</v>
      </c>
      <c r="I44" s="36">
        <v>22.9</v>
      </c>
      <c r="J44" s="36">
        <f t="shared" si="1"/>
        <v>3089.6000000000004</v>
      </c>
      <c r="K44" s="36">
        <v>1.06</v>
      </c>
      <c r="L44" s="38"/>
      <c r="M44" s="38"/>
    </row>
    <row r="45" spans="3:13">
      <c r="C45" s="36">
        <f t="shared" si="0"/>
        <v>41</v>
      </c>
      <c r="D45" s="36" t="s">
        <v>622</v>
      </c>
      <c r="E45" s="36" t="s">
        <v>257</v>
      </c>
      <c r="F45" s="36"/>
      <c r="G45" s="36"/>
      <c r="H45" s="36">
        <v>63</v>
      </c>
      <c r="I45" s="36">
        <v>73</v>
      </c>
      <c r="J45" s="36">
        <f t="shared" si="1"/>
        <v>3162.6000000000004</v>
      </c>
      <c r="K45" s="36">
        <v>1.06</v>
      </c>
      <c r="L45" s="38"/>
      <c r="M45" s="38"/>
    </row>
    <row r="46" spans="3:13">
      <c r="C46" s="36">
        <f t="shared" si="0"/>
        <v>42</v>
      </c>
      <c r="D46" s="36" t="s">
        <v>622</v>
      </c>
      <c r="E46" s="36" t="s">
        <v>257</v>
      </c>
      <c r="F46" s="36" t="s">
        <v>383</v>
      </c>
      <c r="G46" s="36">
        <v>0.36</v>
      </c>
      <c r="H46" s="36">
        <v>63</v>
      </c>
      <c r="I46" s="36">
        <v>3.7</v>
      </c>
      <c r="J46" s="36">
        <f t="shared" si="1"/>
        <v>3166.3</v>
      </c>
      <c r="K46" s="36">
        <v>1.06</v>
      </c>
      <c r="L46" s="570" t="s">
        <v>1518</v>
      </c>
      <c r="M46" s="573"/>
    </row>
    <row r="47" spans="3:13">
      <c r="C47" s="36">
        <f t="shared" si="0"/>
        <v>43</v>
      </c>
      <c r="D47" s="36" t="s">
        <v>257</v>
      </c>
      <c r="E47" s="36" t="s">
        <v>255</v>
      </c>
      <c r="F47" s="36"/>
      <c r="G47" s="36"/>
      <c r="H47" s="36">
        <v>63</v>
      </c>
      <c r="I47" s="36">
        <v>96.3</v>
      </c>
      <c r="J47" s="36">
        <f t="shared" si="1"/>
        <v>3262.6000000000004</v>
      </c>
      <c r="K47" s="36">
        <v>1.06</v>
      </c>
      <c r="L47" s="38"/>
      <c r="M47" s="38"/>
    </row>
    <row r="48" spans="3:13">
      <c r="C48" s="36">
        <f t="shared" si="0"/>
        <v>44</v>
      </c>
      <c r="D48" s="36" t="s">
        <v>257</v>
      </c>
      <c r="E48" s="36" t="s">
        <v>396</v>
      </c>
      <c r="F48" s="36"/>
      <c r="G48" s="36"/>
      <c r="H48" s="36">
        <v>63</v>
      </c>
      <c r="I48" s="36">
        <v>137</v>
      </c>
      <c r="J48" s="36">
        <f t="shared" si="1"/>
        <v>3399.6000000000004</v>
      </c>
      <c r="K48" s="36">
        <v>1.06</v>
      </c>
      <c r="L48" s="38"/>
      <c r="M48" s="38"/>
    </row>
    <row r="49" spans="3:13">
      <c r="C49" s="36">
        <f t="shared" si="0"/>
        <v>45</v>
      </c>
      <c r="D49" s="36" t="s">
        <v>396</v>
      </c>
      <c r="E49" s="36" t="s">
        <v>276</v>
      </c>
      <c r="F49" s="36"/>
      <c r="G49" s="36"/>
      <c r="H49" s="36">
        <v>63</v>
      </c>
      <c r="I49" s="36">
        <v>217.4</v>
      </c>
      <c r="J49" s="36">
        <f t="shared" si="1"/>
        <v>3617.0000000000005</v>
      </c>
      <c r="K49" s="36">
        <v>1.06</v>
      </c>
      <c r="L49" s="38"/>
      <c r="M49" s="38"/>
    </row>
    <row r="50" spans="3:13">
      <c r="C50" s="36">
        <f t="shared" si="0"/>
        <v>46</v>
      </c>
      <c r="D50" s="36" t="s">
        <v>307</v>
      </c>
      <c r="E50" s="36" t="s">
        <v>347</v>
      </c>
      <c r="F50" s="36"/>
      <c r="G50" s="36"/>
      <c r="H50" s="36">
        <v>63</v>
      </c>
      <c r="I50" s="36">
        <v>429.7</v>
      </c>
      <c r="J50" s="36">
        <f t="shared" si="1"/>
        <v>4046.7000000000003</v>
      </c>
      <c r="K50" s="36">
        <v>1.06</v>
      </c>
      <c r="L50" s="38"/>
      <c r="M50" s="38"/>
    </row>
    <row r="51" spans="3:13">
      <c r="C51" s="36">
        <f t="shared" si="0"/>
        <v>47</v>
      </c>
      <c r="D51" s="36" t="s">
        <v>307</v>
      </c>
      <c r="E51" s="36" t="s">
        <v>347</v>
      </c>
      <c r="F51" s="37" t="s">
        <v>837</v>
      </c>
      <c r="G51" s="36">
        <v>0.46</v>
      </c>
      <c r="H51" s="36">
        <v>63</v>
      </c>
      <c r="I51" s="37">
        <v>79.5</v>
      </c>
      <c r="J51" s="36">
        <f t="shared" si="1"/>
        <v>4126.2000000000007</v>
      </c>
      <c r="K51" s="36">
        <v>1.06</v>
      </c>
      <c r="L51" s="38"/>
      <c r="M51" s="38"/>
    </row>
    <row r="52" spans="3:13">
      <c r="C52" s="36">
        <f t="shared" si="0"/>
        <v>48</v>
      </c>
      <c r="D52" s="37" t="s">
        <v>347</v>
      </c>
      <c r="E52" s="37" t="s">
        <v>352</v>
      </c>
      <c r="F52" s="36" t="s">
        <v>837</v>
      </c>
      <c r="G52" s="36">
        <v>0.46</v>
      </c>
      <c r="H52" s="36">
        <v>63</v>
      </c>
      <c r="I52" s="36">
        <v>216.6</v>
      </c>
      <c r="J52" s="36">
        <f t="shared" si="1"/>
        <v>4342.8000000000011</v>
      </c>
      <c r="K52" s="36">
        <v>1.06</v>
      </c>
      <c r="L52" s="38"/>
      <c r="M52" s="38"/>
    </row>
    <row r="53" spans="3:13">
      <c r="C53" s="36">
        <f t="shared" si="0"/>
        <v>49</v>
      </c>
      <c r="D53" s="36" t="s">
        <v>352</v>
      </c>
      <c r="E53" s="36" t="s">
        <v>307</v>
      </c>
      <c r="F53" s="36"/>
      <c r="G53" s="36"/>
      <c r="H53" s="36">
        <v>63</v>
      </c>
      <c r="I53" s="36">
        <v>277.10000000000002</v>
      </c>
      <c r="J53" s="36">
        <f t="shared" si="1"/>
        <v>4619.9000000000015</v>
      </c>
      <c r="K53" s="36">
        <v>1.06</v>
      </c>
      <c r="L53" s="38"/>
      <c r="M53" s="38"/>
    </row>
    <row r="54" spans="3:13">
      <c r="C54" s="36">
        <f t="shared" si="0"/>
        <v>50</v>
      </c>
      <c r="D54" s="36" t="s">
        <v>396</v>
      </c>
      <c r="E54" s="36" t="s">
        <v>351</v>
      </c>
      <c r="F54" s="36"/>
      <c r="G54" s="36"/>
      <c r="H54" s="36">
        <v>63</v>
      </c>
      <c r="I54" s="36">
        <v>136.4</v>
      </c>
      <c r="J54" s="36">
        <f t="shared" si="1"/>
        <v>4756.3000000000011</v>
      </c>
      <c r="K54" s="36">
        <v>1.06</v>
      </c>
      <c r="L54" s="38"/>
      <c r="M54" s="38"/>
    </row>
    <row r="55" spans="3:13">
      <c r="C55" s="36">
        <f t="shared" si="0"/>
        <v>51</v>
      </c>
      <c r="D55" s="36" t="s">
        <v>351</v>
      </c>
      <c r="E55" s="36" t="s">
        <v>538</v>
      </c>
      <c r="F55" s="36"/>
      <c r="G55" s="36"/>
      <c r="H55" s="36">
        <v>63</v>
      </c>
      <c r="I55" s="36">
        <v>120.4</v>
      </c>
      <c r="J55" s="36">
        <f t="shared" si="1"/>
        <v>4876.7000000000007</v>
      </c>
      <c r="K55" s="36">
        <v>1.06</v>
      </c>
      <c r="L55" s="38"/>
      <c r="M55" s="38"/>
    </row>
    <row r="56" spans="3:13">
      <c r="C56" s="36">
        <f t="shared" si="0"/>
        <v>52</v>
      </c>
      <c r="D56" s="36" t="s">
        <v>516</v>
      </c>
      <c r="E56" s="36" t="s">
        <v>352</v>
      </c>
      <c r="F56" s="36" t="s">
        <v>837</v>
      </c>
      <c r="G56" s="36">
        <v>0.46</v>
      </c>
      <c r="H56" s="36">
        <v>63</v>
      </c>
      <c r="I56" s="36">
        <v>240</v>
      </c>
      <c r="J56" s="36">
        <f t="shared" si="1"/>
        <v>5116.7000000000007</v>
      </c>
      <c r="K56" s="36">
        <v>1.06</v>
      </c>
      <c r="L56" s="38"/>
      <c r="M56" s="38"/>
    </row>
    <row r="57" spans="3:13">
      <c r="C57" s="36">
        <f t="shared" si="0"/>
        <v>53</v>
      </c>
      <c r="D57" s="36" t="s">
        <v>347</v>
      </c>
      <c r="E57" s="36" t="s">
        <v>236</v>
      </c>
      <c r="F57" s="36" t="s">
        <v>837</v>
      </c>
      <c r="G57" s="36">
        <v>0.46</v>
      </c>
      <c r="H57" s="36">
        <v>63</v>
      </c>
      <c r="I57" s="36">
        <v>4.5</v>
      </c>
      <c r="J57" s="36">
        <f t="shared" si="1"/>
        <v>5121.2000000000007</v>
      </c>
      <c r="K57" s="36">
        <v>1.06</v>
      </c>
      <c r="L57" s="570" t="s">
        <v>1518</v>
      </c>
      <c r="M57" s="573"/>
    </row>
    <row r="58" spans="3:13">
      <c r="C58" s="36">
        <f t="shared" si="0"/>
        <v>54</v>
      </c>
      <c r="D58" s="36" t="s">
        <v>347</v>
      </c>
      <c r="E58" s="36" t="s">
        <v>236</v>
      </c>
      <c r="F58" s="36" t="s">
        <v>837</v>
      </c>
      <c r="G58" s="36">
        <v>0.46</v>
      </c>
      <c r="H58" s="36">
        <v>63</v>
      </c>
      <c r="I58" s="36">
        <v>212.6</v>
      </c>
      <c r="J58" s="36">
        <f t="shared" si="1"/>
        <v>5333.8000000000011</v>
      </c>
      <c r="K58" s="36">
        <v>1.06</v>
      </c>
      <c r="L58" s="38"/>
      <c r="M58" s="38"/>
    </row>
    <row r="59" spans="3:13">
      <c r="C59" s="36">
        <f t="shared" si="0"/>
        <v>55</v>
      </c>
      <c r="D59" s="36" t="s">
        <v>236</v>
      </c>
      <c r="E59" s="36" t="s">
        <v>339</v>
      </c>
      <c r="F59" s="36"/>
      <c r="G59" s="36"/>
      <c r="H59" s="36">
        <v>63</v>
      </c>
      <c r="I59" s="36">
        <v>81</v>
      </c>
      <c r="J59" s="36">
        <f t="shared" si="1"/>
        <v>5414.8000000000011</v>
      </c>
      <c r="K59" s="36">
        <v>1.06</v>
      </c>
      <c r="L59" s="38"/>
      <c r="M59" s="38"/>
    </row>
    <row r="60" spans="3:13">
      <c r="C60" s="36">
        <f t="shared" si="0"/>
        <v>56</v>
      </c>
      <c r="D60" s="36" t="s">
        <v>236</v>
      </c>
      <c r="E60" s="36" t="s">
        <v>324</v>
      </c>
      <c r="F60" s="36" t="s">
        <v>837</v>
      </c>
      <c r="G60" s="36">
        <v>0.46</v>
      </c>
      <c r="H60" s="36">
        <v>63</v>
      </c>
      <c r="I60" s="36">
        <v>219.5</v>
      </c>
      <c r="J60" s="36">
        <f t="shared" si="1"/>
        <v>5634.3000000000011</v>
      </c>
      <c r="K60" s="36">
        <v>1.06</v>
      </c>
      <c r="L60" s="38"/>
      <c r="M60" s="38"/>
    </row>
    <row r="61" spans="3:13">
      <c r="C61" s="36">
        <f t="shared" si="0"/>
        <v>57</v>
      </c>
      <c r="D61" s="36" t="s">
        <v>236</v>
      </c>
      <c r="E61" s="36" t="s">
        <v>324</v>
      </c>
      <c r="F61" s="36"/>
      <c r="G61" s="36"/>
      <c r="H61" s="36">
        <v>63</v>
      </c>
      <c r="I61" s="36">
        <v>147.9</v>
      </c>
      <c r="J61" s="36">
        <f t="shared" si="1"/>
        <v>5782.2000000000007</v>
      </c>
      <c r="K61" s="36">
        <v>1.06</v>
      </c>
      <c r="L61" s="38"/>
      <c r="M61" s="38"/>
    </row>
    <row r="62" spans="3:13">
      <c r="C62" s="36">
        <f t="shared" si="0"/>
        <v>58</v>
      </c>
      <c r="D62" s="36" t="s">
        <v>324</v>
      </c>
      <c r="E62" s="36" t="s">
        <v>309</v>
      </c>
      <c r="F62" s="36"/>
      <c r="G62" s="36"/>
      <c r="H62" s="36">
        <v>63</v>
      </c>
      <c r="I62" s="36">
        <v>136.19999999999999</v>
      </c>
      <c r="J62" s="36">
        <f t="shared" si="1"/>
        <v>5918.4000000000005</v>
      </c>
      <c r="K62" s="36">
        <v>1.06</v>
      </c>
      <c r="L62" s="38"/>
      <c r="M62" s="38"/>
    </row>
    <row r="63" spans="3:13">
      <c r="C63" s="36">
        <f t="shared" si="0"/>
        <v>59</v>
      </c>
      <c r="D63" s="36" t="s">
        <v>324</v>
      </c>
      <c r="E63" s="36" t="s">
        <v>342</v>
      </c>
      <c r="F63" s="36"/>
      <c r="G63" s="36"/>
      <c r="H63" s="36">
        <v>63</v>
      </c>
      <c r="I63" s="36">
        <v>345</v>
      </c>
      <c r="J63" s="36">
        <f t="shared" si="1"/>
        <v>6263.4000000000005</v>
      </c>
      <c r="K63" s="36">
        <v>1.06</v>
      </c>
      <c r="L63" s="38"/>
      <c r="M63" s="38"/>
    </row>
    <row r="64" spans="3:13">
      <c r="C64" s="36">
        <f t="shared" si="0"/>
        <v>60</v>
      </c>
      <c r="D64" s="36" t="s">
        <v>342</v>
      </c>
      <c r="E64" s="36" t="s">
        <v>237</v>
      </c>
      <c r="F64" s="36"/>
      <c r="G64" s="36"/>
      <c r="H64" s="36">
        <v>63</v>
      </c>
      <c r="I64" s="36">
        <v>73</v>
      </c>
      <c r="J64" s="36">
        <f t="shared" si="1"/>
        <v>6336.4000000000005</v>
      </c>
      <c r="K64" s="36">
        <v>1.06</v>
      </c>
      <c r="L64" s="38"/>
      <c r="M64" s="38"/>
    </row>
    <row r="65" spans="3:13">
      <c r="C65" s="36">
        <f t="shared" si="0"/>
        <v>61</v>
      </c>
      <c r="D65" s="37" t="s">
        <v>342</v>
      </c>
      <c r="E65" s="37" t="s">
        <v>322</v>
      </c>
      <c r="F65" s="36"/>
      <c r="G65" s="36"/>
      <c r="H65" s="36">
        <v>63</v>
      </c>
      <c r="I65" s="36">
        <v>151.6</v>
      </c>
      <c r="J65" s="36">
        <f t="shared" si="1"/>
        <v>6488.0000000000009</v>
      </c>
      <c r="K65" s="36">
        <v>1.06</v>
      </c>
      <c r="L65" s="38"/>
      <c r="M65" s="38"/>
    </row>
    <row r="66" spans="3:13">
      <c r="C66" s="36"/>
      <c r="D66" s="37"/>
      <c r="E66" s="37"/>
      <c r="F66" s="36"/>
      <c r="G66" s="36"/>
      <c r="H66" s="36"/>
      <c r="I66" s="36"/>
      <c r="J66" s="36"/>
      <c r="K66" s="36"/>
      <c r="L66" s="38"/>
      <c r="M66" s="38"/>
    </row>
    <row r="67" spans="3:13">
      <c r="C67" s="40">
        <v>63</v>
      </c>
      <c r="D67" s="40">
        <v>75</v>
      </c>
      <c r="E67" s="40">
        <v>90</v>
      </c>
      <c r="F67" s="40">
        <v>110</v>
      </c>
      <c r="G67" s="40">
        <v>125</v>
      </c>
      <c r="H67" s="40">
        <v>140</v>
      </c>
      <c r="I67" s="40">
        <v>160</v>
      </c>
      <c r="J67" s="40">
        <v>6488</v>
      </c>
      <c r="K67" s="36"/>
      <c r="L67" s="38"/>
      <c r="M67" s="38"/>
    </row>
    <row r="68" spans="3:13">
      <c r="C68" s="36">
        <v>6103.6</v>
      </c>
      <c r="D68" s="36">
        <v>0</v>
      </c>
      <c r="E68" s="36">
        <v>0</v>
      </c>
      <c r="F68" s="36">
        <v>384.4</v>
      </c>
      <c r="G68" s="36">
        <v>0</v>
      </c>
      <c r="H68" s="36">
        <v>0</v>
      </c>
      <c r="I68" s="36">
        <v>0</v>
      </c>
      <c r="J68" s="40">
        <v>15451</v>
      </c>
      <c r="K68" s="36"/>
      <c r="L68" s="38"/>
      <c r="M68" s="38"/>
    </row>
    <row r="69" spans="3:13">
      <c r="C69" s="36"/>
      <c r="D69" s="36"/>
      <c r="E69" s="36"/>
      <c r="F69" s="36"/>
      <c r="G69" s="36"/>
      <c r="H69" s="36"/>
      <c r="I69" s="36"/>
      <c r="J69" s="36"/>
      <c r="K69" s="36"/>
      <c r="L69" s="38"/>
      <c r="M69" s="38"/>
    </row>
    <row r="70" spans="3:13">
      <c r="C70" s="36"/>
      <c r="D70" s="36"/>
      <c r="E70" s="36"/>
      <c r="F70" s="36"/>
      <c r="G70" s="36"/>
      <c r="H70" s="36"/>
      <c r="I70" s="36"/>
      <c r="J70" s="36"/>
      <c r="K70" s="36"/>
      <c r="L70" s="38"/>
      <c r="M70" s="38"/>
    </row>
    <row r="71" spans="3:13" ht="15.75">
      <c r="C71" s="725" t="s">
        <v>365</v>
      </c>
      <c r="D71" s="726"/>
      <c r="E71" s="726"/>
      <c r="F71" s="727"/>
      <c r="G71" s="728" t="s">
        <v>366</v>
      </c>
      <c r="H71" s="729"/>
      <c r="I71" s="730"/>
      <c r="J71" s="728" t="s">
        <v>367</v>
      </c>
      <c r="K71" s="729"/>
      <c r="L71" s="729"/>
      <c r="M71" s="730"/>
    </row>
    <row r="72" spans="3:13" ht="15.75">
      <c r="C72" s="41" t="s">
        <v>368</v>
      </c>
      <c r="D72" s="42"/>
      <c r="E72" s="43"/>
      <c r="F72" s="44"/>
      <c r="G72" s="38" t="s">
        <v>368</v>
      </c>
      <c r="H72" s="570"/>
      <c r="I72" s="573"/>
      <c r="J72" s="38" t="s">
        <v>368</v>
      </c>
      <c r="K72" s="570"/>
      <c r="L72" s="572"/>
      <c r="M72" s="44"/>
    </row>
    <row r="73" spans="3:13" ht="15.75">
      <c r="C73" s="41" t="s">
        <v>369</v>
      </c>
      <c r="D73" s="569"/>
      <c r="E73" s="569"/>
      <c r="F73" s="569"/>
      <c r="G73" s="38" t="s">
        <v>369</v>
      </c>
      <c r="H73" s="569"/>
      <c r="I73" s="569"/>
      <c r="J73" s="38" t="s">
        <v>369</v>
      </c>
      <c r="K73" s="570"/>
      <c r="L73" s="572"/>
      <c r="M73" s="573"/>
    </row>
    <row r="74" spans="3:13" ht="15.75">
      <c r="C74" s="41" t="s">
        <v>370</v>
      </c>
      <c r="D74" s="42"/>
      <c r="E74" s="43"/>
      <c r="F74" s="44"/>
      <c r="G74" s="38" t="s">
        <v>370</v>
      </c>
      <c r="H74" s="570"/>
      <c r="I74" s="573"/>
      <c r="J74" s="38" t="s">
        <v>370</v>
      </c>
      <c r="K74" s="570"/>
      <c r="L74" s="572"/>
      <c r="M74" s="573"/>
    </row>
    <row r="75" spans="3:13">
      <c r="C75" s="45"/>
      <c r="D75" s="45"/>
      <c r="E75" s="45"/>
      <c r="F75" s="45"/>
      <c r="G75" s="45"/>
      <c r="H75" s="45"/>
      <c r="I75" s="45"/>
      <c r="J75" s="45"/>
      <c r="K75" s="45"/>
    </row>
    <row r="76" spans="3:13">
      <c r="C76" s="45"/>
      <c r="D76" s="45"/>
      <c r="E76" s="45"/>
      <c r="F76" s="45"/>
      <c r="G76" s="45"/>
      <c r="H76" s="45"/>
      <c r="I76" s="45"/>
      <c r="J76" s="45"/>
      <c r="K76" s="45"/>
    </row>
    <row r="77" spans="3:13">
      <c r="C77" s="45"/>
      <c r="D77" s="45"/>
      <c r="E77" s="45"/>
      <c r="F77" s="45"/>
      <c r="G77" s="45"/>
      <c r="H77" s="45"/>
      <c r="I77" s="45"/>
      <c r="J77" s="45"/>
      <c r="K77" s="45"/>
    </row>
    <row r="78" spans="3:13">
      <c r="C78" s="45"/>
      <c r="D78" s="45"/>
      <c r="E78" s="45"/>
      <c r="F78" s="45"/>
      <c r="G78" s="45"/>
      <c r="H78" s="45"/>
      <c r="I78" s="45"/>
      <c r="J78" s="45"/>
      <c r="K78" s="45"/>
    </row>
    <row r="79" spans="3:13">
      <c r="C79" s="45"/>
      <c r="D79" s="45"/>
      <c r="E79" s="45"/>
      <c r="F79" s="45"/>
      <c r="G79" s="45"/>
      <c r="H79" s="45"/>
      <c r="I79" s="45"/>
      <c r="J79" s="45"/>
      <c r="K79" s="45"/>
    </row>
    <row r="80" spans="3:13">
      <c r="C80" s="45"/>
      <c r="D80" s="45"/>
      <c r="E80" s="45"/>
      <c r="F80" s="45"/>
      <c r="G80" s="45"/>
      <c r="H80" s="45"/>
      <c r="I80" s="45"/>
      <c r="J80" s="45"/>
      <c r="K80" s="45"/>
    </row>
    <row r="81" spans="3:12">
      <c r="C81" s="45"/>
      <c r="D81" s="45"/>
      <c r="E81" s="45"/>
      <c r="F81" s="45"/>
      <c r="G81" s="45"/>
      <c r="H81" s="45"/>
      <c r="I81" s="45"/>
      <c r="J81" s="45"/>
      <c r="K81" s="45"/>
    </row>
    <row r="82" spans="3:12">
      <c r="C82" s="45"/>
      <c r="D82" s="45"/>
      <c r="E82" s="45"/>
      <c r="F82" s="45"/>
      <c r="G82" s="45"/>
      <c r="H82" s="45"/>
      <c r="I82" s="45"/>
      <c r="J82" s="45"/>
      <c r="K82" s="45"/>
    </row>
    <row r="83" spans="3:12">
      <c r="C83" s="45"/>
      <c r="D83" s="45"/>
      <c r="E83" s="45"/>
      <c r="F83" s="45"/>
      <c r="G83" s="45"/>
      <c r="H83" s="45"/>
      <c r="I83" s="45"/>
      <c r="J83" s="45"/>
      <c r="K83" s="45"/>
    </row>
    <row r="84" spans="3:12">
      <c r="C84" s="45"/>
      <c r="D84" s="45"/>
      <c r="E84" s="45"/>
      <c r="F84" s="45"/>
      <c r="G84" s="45"/>
      <c r="H84" s="45"/>
      <c r="I84" s="45"/>
      <c r="J84" s="45"/>
      <c r="K84" s="45"/>
    </row>
    <row r="85" spans="3:12">
      <c r="C85" s="45"/>
      <c r="D85" s="45"/>
      <c r="E85" s="45"/>
      <c r="F85" s="45"/>
      <c r="G85" s="45"/>
      <c r="H85" s="45"/>
      <c r="I85" s="45"/>
      <c r="J85" s="45"/>
      <c r="K85" s="45"/>
    </row>
    <row r="86" spans="3:12">
      <c r="C86" s="45"/>
      <c r="D86" s="45"/>
      <c r="E86" s="45"/>
      <c r="F86" s="45"/>
      <c r="G86" s="45"/>
      <c r="H86" s="45"/>
      <c r="I86" s="45"/>
      <c r="J86" s="45"/>
      <c r="K86" s="45"/>
    </row>
    <row r="87" spans="3:12">
      <c r="C87" s="45"/>
      <c r="D87" s="45"/>
      <c r="E87" s="45"/>
      <c r="F87" s="45"/>
      <c r="G87" s="45"/>
      <c r="H87" s="45"/>
      <c r="I87" s="45"/>
      <c r="J87" s="45"/>
      <c r="K87" s="45"/>
    </row>
    <row r="88" spans="3:12">
      <c r="C88" s="45"/>
      <c r="D88" s="45"/>
      <c r="E88" s="45"/>
      <c r="F88" s="45"/>
      <c r="G88" s="45"/>
      <c r="H88" s="45"/>
      <c r="I88" s="45"/>
      <c r="J88" s="45"/>
      <c r="K88" s="45"/>
    </row>
    <row r="89" spans="3:12">
      <c r="C89" s="45"/>
      <c r="D89" s="45"/>
      <c r="E89" s="45"/>
      <c r="F89" s="45"/>
      <c r="G89" s="45"/>
      <c r="H89" s="45"/>
      <c r="I89" s="45"/>
      <c r="J89" s="45"/>
      <c r="K89" s="45"/>
    </row>
    <row r="90" spans="3:12">
      <c r="C90" s="45"/>
      <c r="D90" s="45"/>
      <c r="E90" s="45"/>
      <c r="F90" s="45"/>
      <c r="G90" s="45"/>
      <c r="H90" s="45"/>
      <c r="I90" s="45"/>
      <c r="J90" s="45"/>
      <c r="K90" s="45"/>
    </row>
    <row r="91" spans="3:12">
      <c r="C91" s="45"/>
      <c r="D91" s="45"/>
      <c r="E91" s="45"/>
      <c r="F91" s="45"/>
      <c r="G91" s="45"/>
      <c r="H91" s="45"/>
      <c r="I91" s="45"/>
      <c r="J91" s="45"/>
      <c r="K91" s="45"/>
      <c r="L91" s="45"/>
    </row>
    <row r="92" spans="3:12">
      <c r="C92" s="45"/>
      <c r="D92" s="45"/>
      <c r="E92" s="45"/>
      <c r="F92" s="45"/>
      <c r="G92" s="45"/>
      <c r="H92" s="45"/>
      <c r="I92" s="45"/>
      <c r="J92" s="45"/>
      <c r="K92" s="45"/>
    </row>
    <row r="93" spans="3:12">
      <c r="C93" s="45"/>
      <c r="D93" s="45"/>
      <c r="E93" s="45"/>
      <c r="F93" s="45"/>
      <c r="G93" s="45"/>
      <c r="H93" s="45"/>
      <c r="I93" s="45"/>
      <c r="J93" s="45"/>
      <c r="K93" s="45"/>
    </row>
    <row r="94" spans="3:12">
      <c r="C94" s="45"/>
      <c r="D94" s="45"/>
      <c r="E94" s="45"/>
      <c r="F94" s="45"/>
      <c r="G94" s="45"/>
      <c r="H94" s="45"/>
      <c r="I94" s="45"/>
      <c r="J94" s="45"/>
      <c r="K94" s="45"/>
    </row>
    <row r="95" spans="3:12">
      <c r="C95" s="45"/>
      <c r="D95" s="45"/>
      <c r="E95" s="45"/>
      <c r="F95" s="45"/>
      <c r="G95" s="45"/>
      <c r="H95" s="45"/>
      <c r="I95" s="45"/>
      <c r="J95" s="45"/>
      <c r="K95" s="45"/>
    </row>
    <row r="96" spans="3:12">
      <c r="C96" s="45"/>
      <c r="D96" s="45"/>
      <c r="E96" s="45"/>
      <c r="F96" s="45"/>
      <c r="G96" s="45"/>
      <c r="H96" s="45"/>
      <c r="I96" s="45"/>
      <c r="J96" s="45"/>
      <c r="K96" s="45"/>
    </row>
    <row r="97" spans="3:11">
      <c r="C97" s="45"/>
      <c r="D97" s="45"/>
      <c r="E97" s="45"/>
      <c r="F97" s="45"/>
      <c r="G97" s="45"/>
      <c r="H97" s="45"/>
      <c r="I97" s="45"/>
      <c r="J97" s="45"/>
      <c r="K97" s="45"/>
    </row>
    <row r="98" spans="3:11">
      <c r="C98" s="45"/>
      <c r="D98" s="45"/>
      <c r="E98" s="45"/>
      <c r="F98" s="45"/>
      <c r="G98" s="45"/>
      <c r="H98" s="45"/>
      <c r="I98" s="45"/>
      <c r="J98" s="45"/>
      <c r="K98" s="45"/>
    </row>
    <row r="99" spans="3:11">
      <c r="C99" s="45"/>
      <c r="D99" s="45"/>
      <c r="E99" s="45"/>
      <c r="F99" s="45"/>
      <c r="G99" s="45"/>
      <c r="H99" s="45"/>
      <c r="I99" s="45"/>
      <c r="J99" s="45"/>
      <c r="K99" s="45"/>
    </row>
    <row r="100" spans="3:11">
      <c r="C100" s="45"/>
      <c r="D100" s="45"/>
      <c r="E100" s="45"/>
      <c r="F100" s="45"/>
      <c r="G100" s="45"/>
      <c r="H100" s="45"/>
      <c r="I100" s="45"/>
      <c r="J100" s="45"/>
      <c r="K100" s="45"/>
    </row>
    <row r="101" spans="3:11">
      <c r="C101" s="45"/>
      <c r="D101" s="45"/>
      <c r="E101" s="45"/>
      <c r="F101" s="45"/>
      <c r="G101" s="45"/>
      <c r="H101" s="45"/>
      <c r="I101" s="45"/>
      <c r="J101" s="45"/>
      <c r="K101" s="45"/>
    </row>
    <row r="102" spans="3:11">
      <c r="C102" s="45"/>
      <c r="D102" s="45"/>
      <c r="E102" s="45"/>
      <c r="F102" s="45"/>
      <c r="G102" s="45"/>
      <c r="H102" s="45"/>
      <c r="I102" s="45"/>
      <c r="J102" s="45"/>
      <c r="K102" s="45"/>
    </row>
    <row r="103" spans="3:11">
      <c r="C103" s="45"/>
      <c r="D103" s="45"/>
      <c r="E103" s="45"/>
      <c r="F103" s="45"/>
      <c r="G103" s="45"/>
      <c r="H103" s="45"/>
      <c r="I103" s="45"/>
      <c r="J103" s="45"/>
      <c r="K103" s="45"/>
    </row>
    <row r="104" spans="3:11">
      <c r="C104" s="45"/>
      <c r="D104" s="45"/>
      <c r="E104" s="45"/>
      <c r="F104" s="45"/>
      <c r="G104" s="45"/>
      <c r="H104" s="45"/>
      <c r="I104" s="45"/>
      <c r="J104" s="45"/>
      <c r="K104" s="45"/>
    </row>
    <row r="105" spans="3:11">
      <c r="C105" s="45"/>
      <c r="D105" s="45"/>
      <c r="E105" s="45"/>
      <c r="F105" s="45"/>
      <c r="G105" s="45"/>
      <c r="H105" s="45"/>
      <c r="I105" s="45"/>
      <c r="J105" s="45"/>
      <c r="K105" s="45"/>
    </row>
    <row r="106" spans="3:11">
      <c r="C106" s="45"/>
      <c r="D106" s="45"/>
      <c r="E106" s="45"/>
      <c r="F106" s="45"/>
      <c r="G106" s="45"/>
      <c r="H106" s="45"/>
      <c r="I106" s="45"/>
      <c r="J106" s="45"/>
      <c r="K106" s="45"/>
    </row>
    <row r="107" spans="3:11">
      <c r="C107" s="45"/>
      <c r="D107" s="45"/>
      <c r="E107" s="45"/>
      <c r="F107" s="45"/>
      <c r="G107" s="45"/>
      <c r="H107" s="45"/>
      <c r="I107" s="45"/>
      <c r="J107" s="45"/>
      <c r="K107" s="45"/>
    </row>
    <row r="108" spans="3:11">
      <c r="C108" s="45"/>
      <c r="D108" s="45"/>
      <c r="E108" s="45"/>
      <c r="F108" s="45"/>
      <c r="G108" s="45"/>
      <c r="H108" s="45"/>
      <c r="I108" s="45"/>
      <c r="J108" s="45"/>
      <c r="K108" s="45"/>
    </row>
    <row r="109" spans="3:11">
      <c r="C109" s="45"/>
      <c r="D109" s="45"/>
      <c r="E109" s="45"/>
      <c r="F109" s="45"/>
      <c r="G109" s="45"/>
      <c r="H109" s="45"/>
      <c r="I109" s="45"/>
      <c r="J109" s="45"/>
      <c r="K109" s="45"/>
    </row>
    <row r="110" spans="3:11">
      <c r="C110" s="45"/>
      <c r="D110" s="45"/>
      <c r="E110" s="45"/>
      <c r="F110" s="45"/>
      <c r="G110" s="45"/>
      <c r="H110" s="45"/>
      <c r="I110" s="45"/>
      <c r="J110" s="45"/>
      <c r="K110" s="45"/>
    </row>
    <row r="111" spans="3:11">
      <c r="C111" s="45"/>
      <c r="D111" s="45"/>
      <c r="E111" s="45"/>
      <c r="F111" s="45"/>
      <c r="G111" s="45"/>
      <c r="H111" s="45"/>
      <c r="I111" s="45"/>
      <c r="J111" s="45"/>
      <c r="K111" s="45"/>
    </row>
    <row r="112" spans="3:11">
      <c r="C112" s="45"/>
      <c r="D112" s="45"/>
      <c r="E112" s="45"/>
      <c r="F112" s="45"/>
      <c r="G112" s="45"/>
      <c r="H112" s="45"/>
      <c r="I112" s="45"/>
      <c r="J112" s="45"/>
      <c r="K112" s="45"/>
    </row>
    <row r="113" spans="3:11">
      <c r="C113" s="45"/>
      <c r="D113" s="45"/>
      <c r="E113" s="45"/>
      <c r="F113" s="45"/>
      <c r="G113" s="45"/>
      <c r="H113" s="45"/>
      <c r="I113" s="45"/>
      <c r="J113" s="45"/>
      <c r="K113" s="45"/>
    </row>
    <row r="114" spans="3:11">
      <c r="C114" s="45"/>
      <c r="D114" s="45"/>
      <c r="E114" s="45"/>
      <c r="F114" s="45"/>
      <c r="G114" s="45"/>
      <c r="H114" s="45"/>
      <c r="I114" s="45"/>
      <c r="J114" s="45"/>
      <c r="K114" s="45"/>
    </row>
    <row r="115" spans="3:11">
      <c r="C115" s="45"/>
      <c r="D115" s="45"/>
      <c r="E115" s="45"/>
      <c r="F115" s="45"/>
      <c r="G115" s="45"/>
      <c r="H115" s="45"/>
      <c r="I115" s="45"/>
      <c r="J115" s="45"/>
      <c r="K115" s="45"/>
    </row>
    <row r="116" spans="3:11">
      <c r="C116" s="45"/>
      <c r="D116" s="45"/>
      <c r="E116" s="45"/>
      <c r="F116" s="45"/>
      <c r="G116" s="45"/>
      <c r="H116" s="45"/>
      <c r="I116" s="45"/>
      <c r="J116" s="45"/>
      <c r="K116" s="45"/>
    </row>
    <row r="117" spans="3:11">
      <c r="C117" s="45"/>
      <c r="D117" s="45"/>
      <c r="E117" s="45"/>
      <c r="F117" s="45"/>
      <c r="G117" s="45"/>
      <c r="H117" s="45"/>
      <c r="I117" s="45"/>
      <c r="J117" s="45"/>
      <c r="K117" s="45"/>
    </row>
    <row r="118" spans="3:11">
      <c r="C118" s="45"/>
      <c r="D118" s="45"/>
      <c r="E118" s="45"/>
      <c r="F118" s="45"/>
      <c r="G118" s="45"/>
      <c r="H118" s="45"/>
      <c r="I118" s="45"/>
      <c r="J118" s="45"/>
      <c r="K118" s="45"/>
    </row>
    <row r="119" spans="3:11">
      <c r="C119" s="45"/>
      <c r="D119" s="45"/>
      <c r="E119" s="45"/>
      <c r="F119" s="45"/>
      <c r="G119" s="45"/>
      <c r="H119" s="45"/>
      <c r="I119" s="45"/>
      <c r="J119" s="45"/>
      <c r="K119" s="45"/>
    </row>
    <row r="120" spans="3:11">
      <c r="C120" s="45"/>
      <c r="D120" s="45"/>
      <c r="E120" s="45"/>
      <c r="F120" s="45"/>
      <c r="G120" s="45"/>
      <c r="H120" s="45"/>
      <c r="I120" s="45"/>
      <c r="J120" s="45"/>
      <c r="K120" s="45"/>
    </row>
    <row r="121" spans="3:11">
      <c r="C121" s="45"/>
      <c r="D121" s="45"/>
      <c r="E121" s="45"/>
      <c r="F121" s="45"/>
      <c r="G121" s="45"/>
      <c r="H121" s="45"/>
      <c r="I121" s="45"/>
      <c r="J121" s="45"/>
      <c r="K121" s="45"/>
    </row>
    <row r="122" spans="3:11">
      <c r="C122" s="45"/>
      <c r="D122" s="45"/>
      <c r="E122" s="45"/>
      <c r="F122" s="45"/>
      <c r="G122" s="45"/>
      <c r="H122" s="45"/>
      <c r="I122" s="45"/>
      <c r="J122" s="45"/>
      <c r="K122" s="45"/>
    </row>
    <row r="123" spans="3:11">
      <c r="C123" s="45"/>
      <c r="D123" s="45"/>
      <c r="E123" s="45"/>
      <c r="F123" s="45"/>
      <c r="G123" s="45"/>
      <c r="H123" s="45"/>
      <c r="I123" s="45"/>
      <c r="J123" s="45"/>
      <c r="K123" s="45"/>
    </row>
    <row r="124" spans="3:11">
      <c r="C124" s="45"/>
      <c r="D124" s="45"/>
      <c r="E124" s="45"/>
      <c r="F124" s="45"/>
      <c r="G124" s="45"/>
      <c r="H124" s="45"/>
      <c r="I124" s="45"/>
      <c r="J124" s="45"/>
      <c r="K124" s="45"/>
    </row>
    <row r="125" spans="3:11">
      <c r="C125" s="45"/>
      <c r="D125" s="45"/>
      <c r="E125" s="45"/>
      <c r="F125" s="45"/>
      <c r="G125" s="45"/>
      <c r="H125" s="45"/>
      <c r="I125" s="45"/>
      <c r="J125" s="45"/>
      <c r="K125" s="45"/>
    </row>
    <row r="126" spans="3:11">
      <c r="C126" s="45"/>
      <c r="D126" s="45"/>
      <c r="E126" s="45"/>
      <c r="F126" s="45"/>
      <c r="G126" s="45"/>
      <c r="H126" s="45"/>
      <c r="I126" s="45"/>
      <c r="J126" s="45"/>
      <c r="K126" s="45"/>
    </row>
    <row r="127" spans="3:11">
      <c r="C127" s="45"/>
      <c r="D127" s="45"/>
      <c r="E127" s="45"/>
      <c r="F127" s="45"/>
      <c r="G127" s="45"/>
      <c r="H127" s="45"/>
      <c r="I127" s="45"/>
      <c r="J127" s="45"/>
      <c r="K127" s="45"/>
    </row>
    <row r="128" spans="3:11">
      <c r="C128" s="45"/>
      <c r="D128" s="45"/>
      <c r="E128" s="45"/>
      <c r="F128" s="45"/>
      <c r="G128" s="45"/>
      <c r="H128" s="45"/>
      <c r="I128" s="45"/>
      <c r="J128" s="45"/>
      <c r="K128" s="45"/>
    </row>
    <row r="129" spans="3:12">
      <c r="C129" s="45"/>
      <c r="D129" s="45"/>
      <c r="E129" s="45"/>
      <c r="F129" s="45"/>
      <c r="G129" s="45"/>
      <c r="H129" s="45"/>
      <c r="I129" s="45"/>
      <c r="J129" s="45"/>
      <c r="K129" s="45"/>
    </row>
    <row r="130" spans="3:12">
      <c r="C130" s="45"/>
      <c r="D130" s="45"/>
      <c r="E130" s="45"/>
      <c r="F130" s="45"/>
      <c r="G130" s="45"/>
      <c r="H130" s="45"/>
      <c r="I130" s="45"/>
      <c r="J130" s="45"/>
      <c r="K130" s="45"/>
    </row>
    <row r="131" spans="3:12">
      <c r="C131" s="45"/>
      <c r="D131" s="45"/>
      <c r="E131" s="45"/>
      <c r="F131" s="45"/>
      <c r="G131" s="45"/>
      <c r="H131" s="45"/>
      <c r="I131" s="45"/>
      <c r="J131" s="45"/>
      <c r="K131" s="45"/>
    </row>
    <row r="132" spans="3:12">
      <c r="C132" s="45"/>
      <c r="D132" s="45"/>
      <c r="E132" s="45"/>
      <c r="F132" s="45"/>
      <c r="G132" s="45"/>
      <c r="H132" s="45"/>
      <c r="I132" s="45"/>
      <c r="J132" s="45"/>
      <c r="K132" s="45"/>
    </row>
    <row r="133" spans="3:12">
      <c r="C133" s="45"/>
      <c r="D133" s="45"/>
      <c r="E133" s="45"/>
      <c r="F133" s="45"/>
      <c r="G133" s="45"/>
      <c r="H133" s="45"/>
      <c r="I133" s="45"/>
      <c r="J133" s="45"/>
      <c r="K133" s="45"/>
    </row>
    <row r="134" spans="3:12">
      <c r="C134" s="45"/>
      <c r="D134" s="45"/>
      <c r="E134" s="45"/>
      <c r="F134" s="45"/>
      <c r="G134" s="45"/>
      <c r="H134" s="45"/>
      <c r="I134" s="45"/>
      <c r="J134" s="45"/>
      <c r="K134" s="45"/>
    </row>
    <row r="135" spans="3:12">
      <c r="C135" s="45"/>
      <c r="D135" s="45"/>
      <c r="E135" s="45"/>
      <c r="F135" s="45"/>
      <c r="G135" s="45"/>
      <c r="H135" s="45"/>
      <c r="I135" s="45"/>
      <c r="J135" s="45"/>
      <c r="K135" s="45"/>
    </row>
    <row r="136" spans="3:12">
      <c r="C136" s="45"/>
      <c r="D136" s="45"/>
      <c r="E136" s="45"/>
      <c r="F136" s="45"/>
      <c r="G136" s="45"/>
      <c r="H136" s="45"/>
      <c r="I136" s="45"/>
      <c r="J136" s="45"/>
      <c r="K136" s="45"/>
      <c r="L136" s="45"/>
    </row>
    <row r="137" spans="3:12">
      <c r="C137" s="45"/>
      <c r="D137" s="45"/>
      <c r="E137" s="45"/>
      <c r="F137" s="45"/>
      <c r="G137" s="45"/>
      <c r="H137" s="45"/>
      <c r="I137" s="45"/>
      <c r="J137" s="45"/>
      <c r="K137" s="45"/>
    </row>
    <row r="138" spans="3:12">
      <c r="C138" s="45"/>
      <c r="D138" s="45"/>
      <c r="E138" s="45"/>
      <c r="F138" s="45"/>
      <c r="G138" s="45"/>
      <c r="H138" s="45"/>
      <c r="I138" s="45"/>
      <c r="J138" s="45"/>
      <c r="K138" s="45"/>
    </row>
    <row r="139" spans="3:12">
      <c r="C139" s="45"/>
      <c r="D139" s="45"/>
      <c r="E139" s="45"/>
      <c r="F139" s="45"/>
      <c r="G139" s="45"/>
      <c r="H139" s="45"/>
      <c r="I139" s="45"/>
      <c r="J139" s="45"/>
      <c r="K139" s="45"/>
    </row>
    <row r="140" spans="3:12">
      <c r="C140" s="45"/>
      <c r="D140" s="45"/>
      <c r="E140" s="45"/>
      <c r="F140" s="45"/>
      <c r="G140" s="45"/>
      <c r="H140" s="45"/>
      <c r="I140" s="45"/>
      <c r="J140" s="45"/>
      <c r="K140" s="45"/>
    </row>
    <row r="141" spans="3:12">
      <c r="C141" s="45"/>
      <c r="D141" s="45"/>
      <c r="E141" s="45"/>
      <c r="F141" s="45"/>
      <c r="G141" s="45"/>
      <c r="H141" s="45"/>
      <c r="I141" s="45"/>
      <c r="J141" s="45"/>
      <c r="K141" s="45"/>
      <c r="L141" s="45"/>
    </row>
    <row r="142" spans="3:12">
      <c r="C142" s="45"/>
      <c r="D142" s="45"/>
      <c r="E142" s="45"/>
      <c r="F142" s="45"/>
      <c r="G142" s="45"/>
      <c r="H142" s="45"/>
      <c r="I142" s="45"/>
      <c r="J142" s="45"/>
      <c r="K142" s="45"/>
    </row>
    <row r="143" spans="3:12">
      <c r="C143" s="45"/>
      <c r="D143" s="45"/>
      <c r="E143" s="45"/>
      <c r="F143" s="45"/>
      <c r="G143" s="45"/>
      <c r="H143" s="45"/>
      <c r="I143" s="45"/>
      <c r="J143" s="45"/>
      <c r="K143" s="45"/>
    </row>
    <row r="144" spans="3:12">
      <c r="C144" s="45"/>
      <c r="D144" s="45"/>
      <c r="E144" s="45"/>
      <c r="F144" s="45"/>
      <c r="G144" s="45"/>
      <c r="H144" s="45"/>
      <c r="I144" s="45"/>
      <c r="J144" s="45"/>
      <c r="K144" s="45"/>
    </row>
    <row r="145" spans="3:13">
      <c r="C145" s="45"/>
      <c r="D145" s="45"/>
      <c r="E145" s="45"/>
      <c r="F145" s="45"/>
      <c r="G145" s="45"/>
      <c r="H145" s="45"/>
      <c r="I145" s="45"/>
      <c r="J145" s="45"/>
      <c r="K145" s="45"/>
    </row>
    <row r="147" spans="3:13">
      <c r="E147" s="45"/>
      <c r="F147" s="45"/>
      <c r="G147" s="45"/>
      <c r="H147" s="45"/>
      <c r="I147" s="45"/>
      <c r="J147" s="45"/>
    </row>
    <row r="148" spans="3:13">
      <c r="E148" s="45"/>
      <c r="F148" s="45"/>
      <c r="G148" s="45"/>
      <c r="H148" s="45"/>
      <c r="I148" s="45"/>
      <c r="J148" s="45"/>
    </row>
    <row r="150" spans="3:13" ht="15.75">
      <c r="C150" s="723"/>
      <c r="D150" s="723"/>
      <c r="E150" s="723"/>
      <c r="F150" s="723"/>
      <c r="G150" s="724"/>
      <c r="H150" s="724"/>
      <c r="I150" s="724"/>
      <c r="J150" s="595"/>
      <c r="K150" s="595"/>
      <c r="L150" s="595"/>
      <c r="M150" s="595"/>
    </row>
    <row r="151" spans="3:13" ht="15.75">
      <c r="C151" s="46"/>
      <c r="E151" s="595"/>
      <c r="F151" s="595"/>
      <c r="L151" s="595"/>
      <c r="M151" s="595"/>
    </row>
    <row r="152" spans="3:13" ht="15.75">
      <c r="C152" s="46"/>
      <c r="D152" s="595"/>
      <c r="E152" s="595"/>
      <c r="F152" s="595"/>
      <c r="H152" s="595"/>
      <c r="I152" s="595"/>
      <c r="K152" s="595"/>
      <c r="L152" s="595"/>
      <c r="M152" s="595"/>
    </row>
    <row r="153" spans="3:13" ht="15.75">
      <c r="C153" s="46"/>
      <c r="E153" s="595"/>
      <c r="F153" s="595"/>
      <c r="L153" s="595"/>
      <c r="M153" s="595"/>
    </row>
  </sheetData>
  <autoFilter ref="F4:F65"/>
  <mergeCells count="32">
    <mergeCell ref="C3:M3"/>
    <mergeCell ref="L4:M4"/>
    <mergeCell ref="L7:M7"/>
    <mergeCell ref="L11:M11"/>
    <mergeCell ref="L17:M17"/>
    <mergeCell ref="L20:M20"/>
    <mergeCell ref="L24:M24"/>
    <mergeCell ref="L27:M27"/>
    <mergeCell ref="L31:M31"/>
    <mergeCell ref="L40:M40"/>
    <mergeCell ref="L46:M46"/>
    <mergeCell ref="L57:M57"/>
    <mergeCell ref="C71:F71"/>
    <mergeCell ref="G71:I71"/>
    <mergeCell ref="J71:M71"/>
    <mergeCell ref="H72:I72"/>
    <mergeCell ref="K72:L72"/>
    <mergeCell ref="D73:F73"/>
    <mergeCell ref="H73:I73"/>
    <mergeCell ref="K73:M73"/>
    <mergeCell ref="H74:I74"/>
    <mergeCell ref="K74:M74"/>
    <mergeCell ref="C150:F150"/>
    <mergeCell ref="G150:I150"/>
    <mergeCell ref="J150:M150"/>
    <mergeCell ref="E153:F153"/>
    <mergeCell ref="L153:M153"/>
    <mergeCell ref="E151:F151"/>
    <mergeCell ref="L151:M151"/>
    <mergeCell ref="D152:F152"/>
    <mergeCell ref="H152:I152"/>
    <mergeCell ref="K152:M152"/>
  </mergeCells>
  <pageMargins left="0.25" right="0.25" top="0.25" bottom="0.25" header="0.3" footer="0.3"/>
  <pageSetup paperSize="9" fitToHeight="0" orientation="landscape" horizontalDpi="300" verticalDpi="300"/>
  <rowBreaks count="1" manualBreakCount="1">
    <brk id="38"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189"/>
  <sheetViews>
    <sheetView topLeftCell="A27" workbookViewId="0">
      <selection activeCell="C23" sqref="C23:D50"/>
    </sheetView>
  </sheetViews>
  <sheetFormatPr defaultColWidth="9" defaultRowHeight="15"/>
  <cols>
    <col min="2" max="2" width="10.7109375" customWidth="1"/>
    <col min="3" max="3" width="13.7109375" customWidth="1"/>
    <col min="4" max="4" width="12.140625" customWidth="1"/>
    <col min="5" max="5" width="16" customWidth="1"/>
    <col min="6" max="6" width="15" customWidth="1"/>
    <col min="7" max="7" width="20.28515625" customWidth="1"/>
    <col min="8" max="8" width="19.5703125" customWidth="1"/>
    <col min="9" max="9" width="16.85546875" customWidth="1"/>
    <col min="10" max="10" width="13.28515625" customWidth="1"/>
    <col min="11" max="11" width="10.85546875" customWidth="1"/>
  </cols>
  <sheetData>
    <row r="3" spans="2:11" ht="18.75">
      <c r="B3" s="502" t="s">
        <v>1517</v>
      </c>
      <c r="C3" s="502"/>
      <c r="D3" s="502"/>
      <c r="E3" s="502"/>
      <c r="F3" s="502"/>
      <c r="G3" s="502"/>
      <c r="H3" s="502"/>
      <c r="I3" s="502"/>
      <c r="J3" s="502"/>
      <c r="K3" s="502"/>
    </row>
    <row r="4" spans="2:11" ht="37.5">
      <c r="B4" s="25" t="s">
        <v>179</v>
      </c>
      <c r="C4" s="25" t="s">
        <v>180</v>
      </c>
      <c r="D4" s="25" t="s">
        <v>13</v>
      </c>
      <c r="E4" s="25" t="s">
        <v>181</v>
      </c>
      <c r="F4" s="27" t="s">
        <v>1520</v>
      </c>
      <c r="G4" s="25" t="s">
        <v>183</v>
      </c>
      <c r="H4" s="33" t="s">
        <v>184</v>
      </c>
      <c r="I4" s="26" t="s">
        <v>185</v>
      </c>
      <c r="J4" s="26" t="s">
        <v>186</v>
      </c>
      <c r="K4" s="26" t="s">
        <v>187</v>
      </c>
    </row>
    <row r="5" spans="2:11">
      <c r="B5" s="5">
        <v>1</v>
      </c>
      <c r="C5" s="5" t="s">
        <v>43</v>
      </c>
      <c r="D5" s="5" t="s">
        <v>44</v>
      </c>
      <c r="E5" s="5"/>
      <c r="F5" s="5"/>
      <c r="G5" s="5">
        <v>63</v>
      </c>
      <c r="H5" s="5">
        <v>22.5</v>
      </c>
      <c r="I5" s="5">
        <f>+H5</f>
        <v>22.5</v>
      </c>
      <c r="J5" s="5">
        <v>1.06</v>
      </c>
      <c r="K5" s="5"/>
    </row>
    <row r="6" spans="2:11">
      <c r="B6" s="5">
        <f>1+B5</f>
        <v>2</v>
      </c>
      <c r="C6" s="5" t="s">
        <v>43</v>
      </c>
      <c r="D6" s="5" t="s">
        <v>46</v>
      </c>
      <c r="E6" s="5"/>
      <c r="F6" s="5"/>
      <c r="G6" s="5">
        <v>63</v>
      </c>
      <c r="H6" s="5">
        <v>108.8</v>
      </c>
      <c r="I6" s="5">
        <f>+I5+H6</f>
        <v>131.30000000000001</v>
      </c>
      <c r="J6" s="5">
        <v>1.06</v>
      </c>
      <c r="K6" s="5"/>
    </row>
    <row r="7" spans="2:11">
      <c r="B7" s="5">
        <f t="shared" ref="B7:B71" si="0">1+B6</f>
        <v>3</v>
      </c>
      <c r="C7" s="5" t="s">
        <v>46</v>
      </c>
      <c r="D7" s="5" t="s">
        <v>840</v>
      </c>
      <c r="E7" s="5"/>
      <c r="F7" s="5"/>
      <c r="G7" s="5">
        <v>63</v>
      </c>
      <c r="H7" s="5">
        <v>152.80000000000001</v>
      </c>
      <c r="I7" s="5">
        <f t="shared" ref="I7:I71" si="1">+I6+H7</f>
        <v>284.10000000000002</v>
      </c>
      <c r="J7" s="5">
        <v>1.06</v>
      </c>
      <c r="K7" s="5"/>
    </row>
    <row r="8" spans="2:11">
      <c r="B8" s="5">
        <f t="shared" si="0"/>
        <v>4</v>
      </c>
      <c r="C8" s="5" t="s">
        <v>840</v>
      </c>
      <c r="D8" s="5" t="s">
        <v>48</v>
      </c>
      <c r="E8" s="5"/>
      <c r="F8" s="5"/>
      <c r="G8" s="5">
        <v>63</v>
      </c>
      <c r="H8" s="5">
        <v>265.10000000000002</v>
      </c>
      <c r="I8" s="5">
        <f t="shared" si="1"/>
        <v>549.20000000000005</v>
      </c>
      <c r="J8" s="5">
        <v>1.06</v>
      </c>
      <c r="K8" s="5"/>
    </row>
    <row r="9" spans="2:11">
      <c r="B9" s="5">
        <f t="shared" si="0"/>
        <v>5</v>
      </c>
      <c r="C9" s="5" t="s">
        <v>840</v>
      </c>
      <c r="D9" s="5" t="s">
        <v>48</v>
      </c>
      <c r="E9" s="5" t="s">
        <v>301</v>
      </c>
      <c r="F9" s="5">
        <v>0.36</v>
      </c>
      <c r="G9" s="5">
        <v>63</v>
      </c>
      <c r="H9" s="5">
        <v>5.7</v>
      </c>
      <c r="I9" s="5">
        <f t="shared" si="1"/>
        <v>554.90000000000009</v>
      </c>
      <c r="J9" s="5">
        <v>1.06</v>
      </c>
      <c r="K9" s="5"/>
    </row>
    <row r="10" spans="2:11">
      <c r="B10" s="5">
        <f t="shared" si="0"/>
        <v>6</v>
      </c>
      <c r="C10" s="5" t="s">
        <v>55</v>
      </c>
      <c r="D10" s="5" t="s">
        <v>731</v>
      </c>
      <c r="E10" s="5"/>
      <c r="F10" s="5"/>
      <c r="G10" s="5">
        <v>63</v>
      </c>
      <c r="H10" s="5">
        <v>25.6</v>
      </c>
      <c r="I10" s="5">
        <f t="shared" si="1"/>
        <v>580.50000000000011</v>
      </c>
      <c r="J10" s="5">
        <v>1.06</v>
      </c>
      <c r="K10" s="5"/>
    </row>
    <row r="11" spans="2:11">
      <c r="B11" s="5">
        <f t="shared" si="0"/>
        <v>7</v>
      </c>
      <c r="C11" s="5" t="s">
        <v>48</v>
      </c>
      <c r="D11" s="5" t="s">
        <v>58</v>
      </c>
      <c r="E11" s="5"/>
      <c r="F11" s="5"/>
      <c r="G11" s="5">
        <v>63</v>
      </c>
      <c r="H11" s="5">
        <v>265.60000000000002</v>
      </c>
      <c r="I11" s="5">
        <f t="shared" si="1"/>
        <v>846.10000000000014</v>
      </c>
      <c r="J11" s="5">
        <v>1.06</v>
      </c>
      <c r="K11" s="5"/>
    </row>
    <row r="12" spans="2:11">
      <c r="B12" s="5">
        <f t="shared" si="0"/>
        <v>8</v>
      </c>
      <c r="C12" s="5" t="s">
        <v>58</v>
      </c>
      <c r="D12" s="5" t="s">
        <v>56</v>
      </c>
      <c r="E12" s="5" t="s">
        <v>193</v>
      </c>
      <c r="F12" s="5">
        <v>0.36</v>
      </c>
      <c r="G12" s="5">
        <v>63</v>
      </c>
      <c r="H12" s="5">
        <v>3.5</v>
      </c>
      <c r="I12" s="5">
        <f t="shared" si="1"/>
        <v>849.60000000000014</v>
      </c>
      <c r="J12" s="5">
        <v>1.06</v>
      </c>
      <c r="K12" s="5"/>
    </row>
    <row r="13" spans="2:11">
      <c r="B13" s="5">
        <f t="shared" si="0"/>
        <v>9</v>
      </c>
      <c r="C13" s="5" t="s">
        <v>58</v>
      </c>
      <c r="D13" s="5" t="s">
        <v>56</v>
      </c>
      <c r="E13" s="5"/>
      <c r="F13" s="5"/>
      <c r="G13" s="5">
        <v>63</v>
      </c>
      <c r="H13" s="5">
        <v>291.5</v>
      </c>
      <c r="I13" s="5">
        <f t="shared" si="1"/>
        <v>1141.1000000000001</v>
      </c>
      <c r="J13" s="5">
        <v>1.06</v>
      </c>
      <c r="K13" s="5"/>
    </row>
    <row r="14" spans="2:11">
      <c r="B14" s="5">
        <f t="shared" si="0"/>
        <v>10</v>
      </c>
      <c r="C14" s="5" t="s">
        <v>58</v>
      </c>
      <c r="D14" s="5" t="s">
        <v>56</v>
      </c>
      <c r="E14" s="5" t="s">
        <v>199</v>
      </c>
      <c r="F14" s="5">
        <v>0.36</v>
      </c>
      <c r="G14" s="5">
        <v>63</v>
      </c>
      <c r="H14" s="5">
        <v>67.5</v>
      </c>
      <c r="I14" s="5">
        <f t="shared" si="1"/>
        <v>1208.6000000000001</v>
      </c>
      <c r="J14" s="5">
        <v>1.06</v>
      </c>
      <c r="K14" s="5"/>
    </row>
    <row r="15" spans="2:11">
      <c r="B15" s="5">
        <f t="shared" si="0"/>
        <v>11</v>
      </c>
      <c r="C15" s="5" t="s">
        <v>348</v>
      </c>
      <c r="D15" s="5" t="s">
        <v>238</v>
      </c>
      <c r="E15" s="5" t="s">
        <v>199</v>
      </c>
      <c r="F15" s="5">
        <v>0.36</v>
      </c>
      <c r="G15" s="5">
        <v>63</v>
      </c>
      <c r="H15" s="5">
        <v>75.7</v>
      </c>
      <c r="I15" s="5">
        <f t="shared" si="1"/>
        <v>1284.3000000000002</v>
      </c>
      <c r="J15" s="5">
        <v>1.06</v>
      </c>
      <c r="K15" s="5"/>
    </row>
    <row r="16" spans="2:11">
      <c r="B16" s="5">
        <f t="shared" si="0"/>
        <v>12</v>
      </c>
      <c r="C16" s="5" t="s">
        <v>348</v>
      </c>
      <c r="D16" s="5" t="s">
        <v>346</v>
      </c>
      <c r="E16" s="5" t="s">
        <v>199</v>
      </c>
      <c r="F16" s="5">
        <v>0.36</v>
      </c>
      <c r="G16" s="5">
        <v>63</v>
      </c>
      <c r="H16" s="5">
        <v>97.1</v>
      </c>
      <c r="I16" s="5">
        <f t="shared" si="1"/>
        <v>1381.4</v>
      </c>
      <c r="J16" s="5">
        <v>1.06</v>
      </c>
      <c r="K16" s="5"/>
    </row>
    <row r="17" spans="2:11">
      <c r="B17" s="5">
        <f t="shared" si="0"/>
        <v>13</v>
      </c>
      <c r="C17" s="5" t="s">
        <v>346</v>
      </c>
      <c r="D17" s="5" t="s">
        <v>639</v>
      </c>
      <c r="E17" s="5" t="s">
        <v>199</v>
      </c>
      <c r="F17" s="5">
        <v>0.36</v>
      </c>
      <c r="G17" s="5">
        <v>63</v>
      </c>
      <c r="H17" s="5">
        <v>24.1</v>
      </c>
      <c r="I17" s="5">
        <f t="shared" si="1"/>
        <v>1405.5</v>
      </c>
      <c r="J17" s="5">
        <v>1.06</v>
      </c>
      <c r="K17" s="5"/>
    </row>
    <row r="18" spans="2:11">
      <c r="B18" s="5">
        <f t="shared" si="0"/>
        <v>14</v>
      </c>
      <c r="C18" s="5" t="s">
        <v>346</v>
      </c>
      <c r="D18" s="5" t="s">
        <v>244</v>
      </c>
      <c r="E18" s="5" t="s">
        <v>199</v>
      </c>
      <c r="F18" s="5">
        <v>0.36</v>
      </c>
      <c r="G18" s="5">
        <v>63</v>
      </c>
      <c r="H18" s="5">
        <v>43.7</v>
      </c>
      <c r="I18" s="5">
        <f t="shared" si="1"/>
        <v>1449.2</v>
      </c>
      <c r="J18" s="5">
        <v>1.06</v>
      </c>
      <c r="K18" s="5"/>
    </row>
    <row r="19" spans="2:11">
      <c r="B19" s="5">
        <f t="shared" si="0"/>
        <v>15</v>
      </c>
      <c r="C19" s="5" t="s">
        <v>244</v>
      </c>
      <c r="D19" s="5" t="s">
        <v>443</v>
      </c>
      <c r="E19" s="5"/>
      <c r="F19" s="5"/>
      <c r="G19" s="5">
        <v>63</v>
      </c>
      <c r="H19" s="5">
        <v>78.900000000000006</v>
      </c>
      <c r="I19" s="5">
        <f t="shared" si="1"/>
        <v>1528.1000000000001</v>
      </c>
      <c r="J19" s="5">
        <v>1.06</v>
      </c>
      <c r="K19" s="5"/>
    </row>
    <row r="20" spans="2:11">
      <c r="B20" s="5">
        <f t="shared" si="0"/>
        <v>16</v>
      </c>
      <c r="C20" s="5" t="s">
        <v>244</v>
      </c>
      <c r="D20" s="5" t="s">
        <v>323</v>
      </c>
      <c r="E20" s="5" t="s">
        <v>199</v>
      </c>
      <c r="F20" s="5">
        <v>0.36</v>
      </c>
      <c r="G20" s="5">
        <v>63</v>
      </c>
      <c r="H20" s="5">
        <v>22.1</v>
      </c>
      <c r="I20" s="5">
        <f t="shared" si="1"/>
        <v>1550.2</v>
      </c>
      <c r="J20" s="5">
        <v>1.06</v>
      </c>
      <c r="K20" s="5"/>
    </row>
    <row r="21" spans="2:11">
      <c r="B21" s="5">
        <f t="shared" si="0"/>
        <v>17</v>
      </c>
      <c r="C21" s="5" t="s">
        <v>244</v>
      </c>
      <c r="D21" s="5" t="s">
        <v>323</v>
      </c>
      <c r="E21" s="5"/>
      <c r="F21" s="5"/>
      <c r="G21" s="5">
        <v>63</v>
      </c>
      <c r="H21" s="5">
        <v>17.100000000000001</v>
      </c>
      <c r="I21" s="5">
        <f t="shared" si="1"/>
        <v>1567.3</v>
      </c>
      <c r="J21" s="5">
        <v>1.06</v>
      </c>
      <c r="K21" s="5"/>
    </row>
    <row r="22" spans="2:11">
      <c r="B22" s="5">
        <f t="shared" si="0"/>
        <v>18</v>
      </c>
      <c r="C22" s="5" t="s">
        <v>323</v>
      </c>
      <c r="D22" s="5" t="s">
        <v>243</v>
      </c>
      <c r="E22" s="5"/>
      <c r="F22" s="5"/>
      <c r="G22" s="5">
        <v>63</v>
      </c>
      <c r="H22" s="5">
        <v>14.5</v>
      </c>
      <c r="I22" s="5">
        <f t="shared" si="1"/>
        <v>1581.8</v>
      </c>
      <c r="J22" s="5">
        <v>1.06</v>
      </c>
      <c r="K22" s="5"/>
    </row>
    <row r="23" spans="2:11">
      <c r="B23" s="5">
        <f t="shared" si="0"/>
        <v>19</v>
      </c>
      <c r="C23" s="5" t="s">
        <v>323</v>
      </c>
      <c r="D23" s="5" t="s">
        <v>358</v>
      </c>
      <c r="E23" s="5"/>
      <c r="F23" s="5"/>
      <c r="G23" s="5">
        <v>63</v>
      </c>
      <c r="H23" s="5">
        <v>143.69999999999999</v>
      </c>
      <c r="I23" s="5">
        <f t="shared" si="1"/>
        <v>1725.5</v>
      </c>
      <c r="J23" s="5">
        <v>1.06</v>
      </c>
      <c r="K23" s="5"/>
    </row>
    <row r="24" spans="2:11">
      <c r="B24" s="5">
        <f t="shared" si="0"/>
        <v>20</v>
      </c>
      <c r="C24" s="5" t="s">
        <v>323</v>
      </c>
      <c r="D24" s="5" t="s">
        <v>243</v>
      </c>
      <c r="E24" s="5" t="s">
        <v>301</v>
      </c>
      <c r="F24" s="5">
        <v>0.36</v>
      </c>
      <c r="G24" s="5">
        <v>63</v>
      </c>
      <c r="H24" s="5">
        <v>23.8</v>
      </c>
      <c r="I24" s="5">
        <f t="shared" si="1"/>
        <v>1749.3</v>
      </c>
      <c r="J24" s="5">
        <v>1.06</v>
      </c>
      <c r="K24" s="5"/>
    </row>
    <row r="25" spans="2:11">
      <c r="B25" s="5">
        <f t="shared" si="0"/>
        <v>21</v>
      </c>
      <c r="C25" s="5" t="s">
        <v>323</v>
      </c>
      <c r="D25" s="5" t="s">
        <v>358</v>
      </c>
      <c r="E25" s="5" t="s">
        <v>301</v>
      </c>
      <c r="F25" s="5">
        <v>0.36</v>
      </c>
      <c r="G25" s="5">
        <v>63</v>
      </c>
      <c r="H25" s="5">
        <v>23.4</v>
      </c>
      <c r="I25" s="5">
        <f t="shared" si="1"/>
        <v>1772.7</v>
      </c>
      <c r="J25" s="5">
        <v>1.06</v>
      </c>
      <c r="K25" s="5"/>
    </row>
    <row r="26" spans="2:11">
      <c r="B26" s="5">
        <f t="shared" si="0"/>
        <v>22</v>
      </c>
      <c r="C26" s="5" t="s">
        <v>323</v>
      </c>
      <c r="D26" s="5" t="s">
        <v>358</v>
      </c>
      <c r="E26" s="5" t="s">
        <v>301</v>
      </c>
      <c r="F26" s="5">
        <v>0.36</v>
      </c>
      <c r="G26" s="5">
        <v>63</v>
      </c>
      <c r="H26" s="5">
        <v>106.7</v>
      </c>
      <c r="I26" s="5">
        <f t="shared" si="1"/>
        <v>1879.4</v>
      </c>
      <c r="J26" s="5">
        <v>1.06</v>
      </c>
      <c r="K26" s="5"/>
    </row>
    <row r="27" spans="2:11">
      <c r="B27" s="5">
        <f t="shared" si="0"/>
        <v>23</v>
      </c>
      <c r="C27" s="5" t="s">
        <v>358</v>
      </c>
      <c r="D27" s="5" t="s">
        <v>308</v>
      </c>
      <c r="E27" s="5"/>
      <c r="F27" s="5"/>
      <c r="G27" s="5">
        <v>63</v>
      </c>
      <c r="H27" s="5">
        <v>17.7</v>
      </c>
      <c r="I27" s="5">
        <f t="shared" si="1"/>
        <v>1897.1000000000001</v>
      </c>
      <c r="J27" s="5">
        <v>1.06</v>
      </c>
      <c r="K27" s="5"/>
    </row>
    <row r="28" spans="2:11">
      <c r="B28" s="5">
        <f t="shared" si="0"/>
        <v>24</v>
      </c>
      <c r="C28" s="5" t="s">
        <v>358</v>
      </c>
      <c r="D28" s="5" t="s">
        <v>308</v>
      </c>
      <c r="E28" s="5" t="s">
        <v>199</v>
      </c>
      <c r="F28" s="5">
        <v>0.36</v>
      </c>
      <c r="G28" s="5">
        <v>63</v>
      </c>
      <c r="H28" s="5">
        <v>64.7</v>
      </c>
      <c r="I28" s="5">
        <f t="shared" si="1"/>
        <v>1961.8000000000002</v>
      </c>
      <c r="J28" s="5">
        <v>1.06</v>
      </c>
      <c r="K28" s="5"/>
    </row>
    <row r="29" spans="2:11">
      <c r="B29" s="5">
        <f t="shared" si="0"/>
        <v>25</v>
      </c>
      <c r="C29" s="5" t="s">
        <v>358</v>
      </c>
      <c r="D29" s="5" t="s">
        <v>308</v>
      </c>
      <c r="E29" s="5" t="s">
        <v>301</v>
      </c>
      <c r="F29" s="5">
        <v>0.36</v>
      </c>
      <c r="G29" s="5">
        <v>63</v>
      </c>
      <c r="H29" s="5">
        <v>11.1</v>
      </c>
      <c r="I29" s="5">
        <f t="shared" si="1"/>
        <v>1972.9</v>
      </c>
      <c r="J29" s="5">
        <v>1.06</v>
      </c>
      <c r="K29" s="5"/>
    </row>
    <row r="30" spans="2:11">
      <c r="B30" s="5">
        <f t="shared" si="0"/>
        <v>26</v>
      </c>
      <c r="C30" s="5" t="s">
        <v>358</v>
      </c>
      <c r="D30" s="5" t="s">
        <v>308</v>
      </c>
      <c r="E30" s="5" t="s">
        <v>199</v>
      </c>
      <c r="F30" s="5">
        <v>0.36</v>
      </c>
      <c r="G30" s="5">
        <v>63</v>
      </c>
      <c r="H30" s="5">
        <v>27.7</v>
      </c>
      <c r="I30" s="5">
        <f t="shared" si="1"/>
        <v>2000.6000000000001</v>
      </c>
      <c r="J30" s="5">
        <v>1.06</v>
      </c>
      <c r="K30" s="5"/>
    </row>
    <row r="31" spans="2:11">
      <c r="B31" s="5">
        <f t="shared" si="0"/>
        <v>27</v>
      </c>
      <c r="C31" s="5" t="s">
        <v>358</v>
      </c>
      <c r="D31" s="5" t="s">
        <v>308</v>
      </c>
      <c r="E31" s="5" t="s">
        <v>301</v>
      </c>
      <c r="F31" s="5">
        <v>0.36</v>
      </c>
      <c r="G31" s="5">
        <v>63</v>
      </c>
      <c r="H31" s="5">
        <v>18.399999999999999</v>
      </c>
      <c r="I31" s="5">
        <f t="shared" si="1"/>
        <v>2019.0000000000002</v>
      </c>
      <c r="J31" s="5">
        <v>1.06</v>
      </c>
      <c r="K31" s="5"/>
    </row>
    <row r="32" spans="2:11">
      <c r="B32" s="5">
        <f t="shared" si="0"/>
        <v>28</v>
      </c>
      <c r="C32" s="5" t="s">
        <v>308</v>
      </c>
      <c r="D32" s="5" t="s">
        <v>322</v>
      </c>
      <c r="E32" s="5"/>
      <c r="F32" s="5"/>
      <c r="G32" s="5">
        <v>63</v>
      </c>
      <c r="H32" s="5">
        <f>231.3+4</f>
        <v>235.3</v>
      </c>
      <c r="I32" s="5">
        <f t="shared" si="1"/>
        <v>2254.3000000000002</v>
      </c>
      <c r="J32" s="5">
        <v>1.06</v>
      </c>
      <c r="K32" s="5"/>
    </row>
    <row r="33" spans="2:11">
      <c r="B33" s="5">
        <f t="shared" si="0"/>
        <v>29</v>
      </c>
      <c r="C33" s="5" t="s">
        <v>358</v>
      </c>
      <c r="D33" s="5" t="s">
        <v>386</v>
      </c>
      <c r="E33" s="5"/>
      <c r="F33" s="5"/>
      <c r="G33" s="5">
        <v>63</v>
      </c>
      <c r="H33" s="5">
        <v>93.5</v>
      </c>
      <c r="I33" s="5">
        <f t="shared" si="1"/>
        <v>2347.8000000000002</v>
      </c>
      <c r="J33" s="5">
        <v>1.06</v>
      </c>
      <c r="K33" s="5"/>
    </row>
    <row r="34" spans="2:11">
      <c r="B34" s="5">
        <f t="shared" si="0"/>
        <v>30</v>
      </c>
      <c r="C34" s="5" t="s">
        <v>386</v>
      </c>
      <c r="D34" s="5" t="s">
        <v>306</v>
      </c>
      <c r="E34" s="5"/>
      <c r="F34" s="5"/>
      <c r="G34" s="5">
        <v>63</v>
      </c>
      <c r="H34" s="5">
        <v>228.7</v>
      </c>
      <c r="I34" s="5">
        <f t="shared" si="1"/>
        <v>2576.5</v>
      </c>
      <c r="J34" s="5">
        <v>1.06</v>
      </c>
      <c r="K34" s="5"/>
    </row>
    <row r="35" spans="2:11">
      <c r="B35" s="5">
        <f t="shared" si="0"/>
        <v>31</v>
      </c>
      <c r="C35" s="5" t="s">
        <v>386</v>
      </c>
      <c r="D35" s="5" t="s">
        <v>424</v>
      </c>
      <c r="E35" s="5" t="s">
        <v>199</v>
      </c>
      <c r="F35" s="5">
        <v>0.36</v>
      </c>
      <c r="G35" s="5">
        <v>63</v>
      </c>
      <c r="H35" s="5">
        <v>110.4</v>
      </c>
      <c r="I35" s="5">
        <f t="shared" si="1"/>
        <v>2686.9</v>
      </c>
      <c r="J35" s="5">
        <v>1.06</v>
      </c>
      <c r="K35" s="5"/>
    </row>
    <row r="36" spans="2:11">
      <c r="B36" s="5">
        <f t="shared" si="0"/>
        <v>32</v>
      </c>
      <c r="C36" s="5" t="s">
        <v>386</v>
      </c>
      <c r="D36" s="5" t="s">
        <v>424</v>
      </c>
      <c r="E36" s="5"/>
      <c r="F36" s="5"/>
      <c r="G36" s="5">
        <v>63</v>
      </c>
      <c r="H36" s="5">
        <v>129.19999999999999</v>
      </c>
      <c r="I36" s="5">
        <f t="shared" si="1"/>
        <v>2816.1</v>
      </c>
      <c r="J36" s="5">
        <v>1.06</v>
      </c>
      <c r="K36" s="5"/>
    </row>
    <row r="37" spans="2:11">
      <c r="B37" s="5">
        <f t="shared" si="0"/>
        <v>33</v>
      </c>
      <c r="C37" s="5" t="s">
        <v>424</v>
      </c>
      <c r="D37" s="5" t="s">
        <v>425</v>
      </c>
      <c r="E37" s="5"/>
      <c r="F37" s="5"/>
      <c r="G37" s="5">
        <v>63</v>
      </c>
      <c r="H37" s="5">
        <v>35.700000000000003</v>
      </c>
      <c r="I37" s="5">
        <f t="shared" si="1"/>
        <v>2851.7999999999997</v>
      </c>
      <c r="J37" s="5">
        <v>1.06</v>
      </c>
      <c r="K37" s="5"/>
    </row>
    <row r="38" spans="2:11">
      <c r="B38" s="5">
        <f t="shared" si="0"/>
        <v>34</v>
      </c>
      <c r="C38" s="5" t="s">
        <v>424</v>
      </c>
      <c r="D38" s="5" t="s">
        <v>425</v>
      </c>
      <c r="E38" s="5" t="s">
        <v>199</v>
      </c>
      <c r="F38" s="5">
        <v>0.36</v>
      </c>
      <c r="G38" s="5">
        <v>63</v>
      </c>
      <c r="H38" s="5">
        <v>49.4</v>
      </c>
      <c r="I38" s="5">
        <f t="shared" si="1"/>
        <v>2901.2</v>
      </c>
      <c r="J38" s="5">
        <v>1.06</v>
      </c>
      <c r="K38" s="5"/>
    </row>
    <row r="39" spans="2:11">
      <c r="B39" s="5">
        <f t="shared" si="0"/>
        <v>35</v>
      </c>
      <c r="C39" s="5" t="s">
        <v>424</v>
      </c>
      <c r="D39" s="5" t="s">
        <v>308</v>
      </c>
      <c r="E39" s="5"/>
      <c r="F39" s="5"/>
      <c r="G39" s="5">
        <v>63</v>
      </c>
      <c r="H39" s="5">
        <v>92.5</v>
      </c>
      <c r="I39" s="5">
        <f t="shared" si="1"/>
        <v>2993.7</v>
      </c>
      <c r="J39" s="5">
        <v>1.06</v>
      </c>
      <c r="K39" s="5"/>
    </row>
    <row r="40" spans="2:11">
      <c r="B40" s="5">
        <f t="shared" si="0"/>
        <v>36</v>
      </c>
      <c r="C40" s="5" t="s">
        <v>308</v>
      </c>
      <c r="D40" s="5" t="s">
        <v>258</v>
      </c>
      <c r="E40" s="5"/>
      <c r="F40" s="5"/>
      <c r="G40" s="5">
        <v>63</v>
      </c>
      <c r="H40" s="5">
        <v>263.10000000000002</v>
      </c>
      <c r="I40" s="5">
        <f t="shared" si="1"/>
        <v>3256.7999999999997</v>
      </c>
      <c r="J40" s="5">
        <v>1.06</v>
      </c>
      <c r="K40" s="5"/>
    </row>
    <row r="41" spans="2:11">
      <c r="B41" s="5">
        <f t="shared" si="0"/>
        <v>37</v>
      </c>
      <c r="C41" s="5" t="s">
        <v>424</v>
      </c>
      <c r="D41" s="5" t="s">
        <v>254</v>
      </c>
      <c r="E41" s="5" t="s">
        <v>199</v>
      </c>
      <c r="F41" s="5">
        <v>0.36</v>
      </c>
      <c r="G41" s="5">
        <v>63</v>
      </c>
      <c r="H41" s="5">
        <v>18</v>
      </c>
      <c r="I41" s="5">
        <f t="shared" si="1"/>
        <v>3274.7999999999997</v>
      </c>
      <c r="J41" s="5">
        <v>1.06</v>
      </c>
      <c r="K41" s="5"/>
    </row>
    <row r="42" spans="2:11">
      <c r="B42" s="5">
        <f t="shared" si="0"/>
        <v>38</v>
      </c>
      <c r="C42" s="5" t="s">
        <v>254</v>
      </c>
      <c r="D42" s="5" t="s">
        <v>399</v>
      </c>
      <c r="E42" s="5" t="s">
        <v>199</v>
      </c>
      <c r="F42" s="5">
        <v>0.36</v>
      </c>
      <c r="G42" s="5">
        <v>63</v>
      </c>
      <c r="H42" s="5">
        <v>15.5</v>
      </c>
      <c r="I42" s="5">
        <f t="shared" si="1"/>
        <v>3290.2999999999997</v>
      </c>
      <c r="J42" s="5">
        <v>1.06</v>
      </c>
      <c r="K42" s="5"/>
    </row>
    <row r="43" spans="2:11">
      <c r="B43" s="5">
        <f t="shared" si="0"/>
        <v>39</v>
      </c>
      <c r="C43" s="5" t="s">
        <v>399</v>
      </c>
      <c r="D43" s="5" t="s">
        <v>253</v>
      </c>
      <c r="E43" s="5" t="s">
        <v>199</v>
      </c>
      <c r="F43" s="5">
        <v>0.36</v>
      </c>
      <c r="G43" s="5">
        <v>63</v>
      </c>
      <c r="H43" s="5">
        <v>13.6</v>
      </c>
      <c r="I43" s="5">
        <f t="shared" si="1"/>
        <v>3303.8999999999996</v>
      </c>
      <c r="J43" s="5">
        <v>1.06</v>
      </c>
      <c r="K43" s="5"/>
    </row>
    <row r="44" spans="2:11">
      <c r="B44" s="5">
        <f t="shared" si="0"/>
        <v>40</v>
      </c>
      <c r="C44" s="5" t="s">
        <v>399</v>
      </c>
      <c r="D44" s="5" t="s">
        <v>253</v>
      </c>
      <c r="E44" s="5"/>
      <c r="F44" s="5"/>
      <c r="G44" s="5">
        <v>63</v>
      </c>
      <c r="H44" s="5">
        <v>11.6</v>
      </c>
      <c r="I44" s="5">
        <f t="shared" si="1"/>
        <v>3315.4999999999995</v>
      </c>
      <c r="J44" s="5">
        <v>1.06</v>
      </c>
      <c r="K44" s="5"/>
    </row>
    <row r="45" spans="2:11">
      <c r="B45" s="5">
        <f t="shared" si="0"/>
        <v>41</v>
      </c>
      <c r="C45" s="5" t="s">
        <v>399</v>
      </c>
      <c r="D45" s="5" t="s">
        <v>524</v>
      </c>
      <c r="E45" s="5" t="s">
        <v>199</v>
      </c>
      <c r="F45" s="5">
        <v>0.36</v>
      </c>
      <c r="G45" s="5">
        <v>63</v>
      </c>
      <c r="H45" s="5">
        <v>46.4</v>
      </c>
      <c r="I45" s="5">
        <f t="shared" si="1"/>
        <v>3361.8999999999996</v>
      </c>
      <c r="J45" s="5">
        <v>1.06</v>
      </c>
      <c r="K45" s="5"/>
    </row>
    <row r="46" spans="2:11">
      <c r="B46" s="5">
        <f t="shared" si="0"/>
        <v>42</v>
      </c>
      <c r="C46" s="5" t="s">
        <v>524</v>
      </c>
      <c r="D46" s="5" t="s">
        <v>398</v>
      </c>
      <c r="E46" s="5" t="s">
        <v>199</v>
      </c>
      <c r="F46" s="5">
        <v>0.36</v>
      </c>
      <c r="G46" s="5">
        <v>63</v>
      </c>
      <c r="H46" s="5">
        <v>26.9</v>
      </c>
      <c r="I46" s="5">
        <f t="shared" si="1"/>
        <v>3388.7999999999997</v>
      </c>
      <c r="J46" s="5">
        <v>1.06</v>
      </c>
      <c r="K46" s="5"/>
    </row>
    <row r="47" spans="2:11">
      <c r="B47" s="5">
        <f t="shared" si="0"/>
        <v>43</v>
      </c>
      <c r="C47" s="5" t="s">
        <v>524</v>
      </c>
      <c r="D47" s="5" t="s">
        <v>398</v>
      </c>
      <c r="E47" s="5"/>
      <c r="F47" s="5"/>
      <c r="G47" s="5">
        <v>63</v>
      </c>
      <c r="H47" s="5">
        <v>21.4</v>
      </c>
      <c r="I47" s="5">
        <f t="shared" si="1"/>
        <v>3410.2</v>
      </c>
      <c r="J47" s="5">
        <v>1.06</v>
      </c>
      <c r="K47" s="5"/>
    </row>
    <row r="48" spans="2:11">
      <c r="B48" s="5">
        <f t="shared" si="0"/>
        <v>44</v>
      </c>
      <c r="C48" s="5" t="s">
        <v>524</v>
      </c>
      <c r="D48" s="5" t="s">
        <v>426</v>
      </c>
      <c r="E48" s="5" t="s">
        <v>199</v>
      </c>
      <c r="F48" s="5">
        <v>0.36</v>
      </c>
      <c r="G48" s="5">
        <v>63</v>
      </c>
      <c r="H48" s="5">
        <v>39.700000000000003</v>
      </c>
      <c r="I48" s="5">
        <f t="shared" si="1"/>
        <v>3449.8999999999996</v>
      </c>
      <c r="J48" s="5">
        <v>1.06</v>
      </c>
      <c r="K48" s="5"/>
    </row>
    <row r="49" spans="2:11">
      <c r="B49" s="5">
        <f t="shared" si="0"/>
        <v>45</v>
      </c>
      <c r="C49" s="5" t="s">
        <v>524</v>
      </c>
      <c r="D49" s="5" t="s">
        <v>426</v>
      </c>
      <c r="E49" s="5"/>
      <c r="F49" s="5"/>
      <c r="G49" s="5">
        <v>63</v>
      </c>
      <c r="H49" s="5">
        <v>58.2</v>
      </c>
      <c r="I49" s="5">
        <f t="shared" si="1"/>
        <v>3508.0999999999995</v>
      </c>
      <c r="J49" s="5">
        <v>1.06</v>
      </c>
      <c r="K49" s="5"/>
    </row>
    <row r="50" spans="2:11">
      <c r="B50" s="5">
        <f t="shared" si="0"/>
        <v>46</v>
      </c>
      <c r="C50" s="5" t="s">
        <v>254</v>
      </c>
      <c r="D50" s="5" t="s">
        <v>625</v>
      </c>
      <c r="E50" s="5" t="s">
        <v>199</v>
      </c>
      <c r="F50" s="5">
        <v>0.36</v>
      </c>
      <c r="G50" s="5">
        <v>63</v>
      </c>
      <c r="H50" s="5">
        <v>42.4</v>
      </c>
      <c r="I50" s="5">
        <f t="shared" si="1"/>
        <v>3550.4999999999995</v>
      </c>
      <c r="J50" s="5">
        <v>1.06</v>
      </c>
      <c r="K50" s="5"/>
    </row>
    <row r="51" spans="2:11">
      <c r="B51" s="5">
        <f t="shared" si="0"/>
        <v>47</v>
      </c>
      <c r="C51" s="5" t="s">
        <v>625</v>
      </c>
      <c r="D51" s="5" t="s">
        <v>259</v>
      </c>
      <c r="E51" s="5" t="s">
        <v>199</v>
      </c>
      <c r="F51" s="5">
        <v>0.36</v>
      </c>
      <c r="G51" s="5">
        <v>63</v>
      </c>
      <c r="H51" s="5">
        <v>53.7</v>
      </c>
      <c r="I51" s="5">
        <f t="shared" si="1"/>
        <v>3604.1999999999994</v>
      </c>
      <c r="J51" s="5">
        <v>1.06</v>
      </c>
      <c r="K51" s="5"/>
    </row>
    <row r="52" spans="2:11">
      <c r="B52" s="5">
        <f t="shared" si="0"/>
        <v>48</v>
      </c>
      <c r="C52" s="5" t="s">
        <v>259</v>
      </c>
      <c r="D52" s="5" t="s">
        <v>260</v>
      </c>
      <c r="E52" s="5"/>
      <c r="F52" s="5"/>
      <c r="G52" s="5">
        <v>63</v>
      </c>
      <c r="H52" s="5">
        <v>47.6</v>
      </c>
      <c r="I52" s="5">
        <f t="shared" si="1"/>
        <v>3651.7999999999993</v>
      </c>
      <c r="J52" s="5">
        <v>1.06</v>
      </c>
      <c r="K52" s="5"/>
    </row>
    <row r="53" spans="2:11">
      <c r="B53" s="5">
        <f t="shared" si="0"/>
        <v>49</v>
      </c>
      <c r="C53" s="5" t="s">
        <v>259</v>
      </c>
      <c r="D53" s="5" t="s">
        <v>261</v>
      </c>
      <c r="E53" s="5" t="s">
        <v>199</v>
      </c>
      <c r="F53" s="5">
        <v>0.36</v>
      </c>
      <c r="G53" s="5">
        <v>63</v>
      </c>
      <c r="H53" s="5">
        <v>118.5</v>
      </c>
      <c r="I53" s="5">
        <f t="shared" si="1"/>
        <v>3770.2999999999993</v>
      </c>
      <c r="J53" s="5">
        <v>1.06</v>
      </c>
      <c r="K53" s="5"/>
    </row>
    <row r="54" spans="2:11">
      <c r="B54" s="5">
        <f t="shared" si="0"/>
        <v>50</v>
      </c>
      <c r="C54" s="5" t="s">
        <v>261</v>
      </c>
      <c r="D54" s="5" t="s">
        <v>262</v>
      </c>
      <c r="E54" s="5"/>
      <c r="F54" s="5"/>
      <c r="G54" s="5">
        <v>63</v>
      </c>
      <c r="H54" s="5">
        <v>127.6</v>
      </c>
      <c r="I54" s="5">
        <f t="shared" si="1"/>
        <v>3897.8999999999992</v>
      </c>
      <c r="J54" s="5">
        <v>1.06</v>
      </c>
      <c r="K54" s="5"/>
    </row>
    <row r="55" spans="2:11">
      <c r="B55" s="5">
        <f t="shared" si="0"/>
        <v>51</v>
      </c>
      <c r="C55" s="5" t="s">
        <v>261</v>
      </c>
      <c r="D55" s="5" t="s">
        <v>264</v>
      </c>
      <c r="E55" s="5" t="s">
        <v>199</v>
      </c>
      <c r="F55" s="5">
        <v>0.36</v>
      </c>
      <c r="G55" s="5">
        <v>63</v>
      </c>
      <c r="H55" s="5">
        <v>286</v>
      </c>
      <c r="I55" s="5">
        <f t="shared" si="1"/>
        <v>4183.8999999999996</v>
      </c>
      <c r="J55" s="5">
        <v>1.06</v>
      </c>
      <c r="K55" s="5"/>
    </row>
    <row r="56" spans="2:11">
      <c r="B56" s="5">
        <f t="shared" si="0"/>
        <v>52</v>
      </c>
      <c r="C56" s="5" t="s">
        <v>264</v>
      </c>
      <c r="D56" s="5" t="s">
        <v>286</v>
      </c>
      <c r="E56" s="5"/>
      <c r="F56" s="5"/>
      <c r="G56" s="5">
        <v>63</v>
      </c>
      <c r="H56" s="5">
        <v>229.3</v>
      </c>
      <c r="I56" s="5">
        <f t="shared" si="1"/>
        <v>4413.2</v>
      </c>
      <c r="J56" s="5">
        <v>1.06</v>
      </c>
      <c r="K56" s="5"/>
    </row>
    <row r="57" spans="2:11">
      <c r="B57" s="5">
        <f t="shared" si="0"/>
        <v>53</v>
      </c>
      <c r="C57" s="5" t="s">
        <v>264</v>
      </c>
      <c r="D57" s="5" t="s">
        <v>394</v>
      </c>
      <c r="E57" s="5"/>
      <c r="F57" s="5"/>
      <c r="G57" s="5">
        <v>63</v>
      </c>
      <c r="H57" s="5">
        <v>178.3</v>
      </c>
      <c r="I57" s="5">
        <f t="shared" si="1"/>
        <v>4591.5</v>
      </c>
      <c r="J57" s="5">
        <v>1.06</v>
      </c>
      <c r="K57" s="5"/>
    </row>
    <row r="58" spans="2:11">
      <c r="B58" s="5">
        <f t="shared" si="0"/>
        <v>54</v>
      </c>
      <c r="C58" s="5" t="s">
        <v>394</v>
      </c>
      <c r="D58" s="5" t="s">
        <v>267</v>
      </c>
      <c r="E58" s="5"/>
      <c r="F58" s="5"/>
      <c r="G58" s="5">
        <v>63</v>
      </c>
      <c r="H58" s="5">
        <v>148.4</v>
      </c>
      <c r="I58" s="5">
        <f t="shared" si="1"/>
        <v>4739.8999999999996</v>
      </c>
      <c r="J58" s="5">
        <v>1.06</v>
      </c>
      <c r="K58" s="5"/>
    </row>
    <row r="59" spans="2:11">
      <c r="B59" s="5">
        <f t="shared" si="0"/>
        <v>55</v>
      </c>
      <c r="C59" s="5" t="s">
        <v>394</v>
      </c>
      <c r="D59" s="5" t="s">
        <v>267</v>
      </c>
      <c r="E59" s="5" t="s">
        <v>199</v>
      </c>
      <c r="F59" s="5">
        <v>0.36</v>
      </c>
      <c r="G59" s="5">
        <v>63</v>
      </c>
      <c r="H59" s="5">
        <v>142</v>
      </c>
      <c r="I59" s="5">
        <f t="shared" si="1"/>
        <v>4881.8999999999996</v>
      </c>
      <c r="J59" s="5">
        <v>1.06</v>
      </c>
      <c r="K59" s="5"/>
    </row>
    <row r="60" spans="2:11">
      <c r="B60" s="5">
        <f t="shared" si="0"/>
        <v>56</v>
      </c>
      <c r="C60" s="5" t="s">
        <v>277</v>
      </c>
      <c r="D60" s="5" t="s">
        <v>416</v>
      </c>
      <c r="E60" s="5" t="s">
        <v>301</v>
      </c>
      <c r="F60" s="5">
        <v>0.36</v>
      </c>
      <c r="G60" s="5">
        <v>63</v>
      </c>
      <c r="H60" s="5">
        <v>10.4</v>
      </c>
      <c r="I60" s="5">
        <f t="shared" si="1"/>
        <v>4892.2999999999993</v>
      </c>
      <c r="J60" s="5">
        <v>1.06</v>
      </c>
      <c r="K60" s="5"/>
    </row>
    <row r="61" spans="2:11">
      <c r="B61" s="5">
        <f t="shared" si="0"/>
        <v>57</v>
      </c>
      <c r="C61" s="5" t="s">
        <v>277</v>
      </c>
      <c r="D61" s="5" t="s">
        <v>625</v>
      </c>
      <c r="E61" s="5"/>
      <c r="F61" s="5"/>
      <c r="G61" s="5">
        <v>63</v>
      </c>
      <c r="H61" s="5">
        <v>75.7</v>
      </c>
      <c r="I61" s="5">
        <f t="shared" si="1"/>
        <v>4967.9999999999991</v>
      </c>
      <c r="J61" s="5">
        <v>1.06</v>
      </c>
      <c r="K61" s="5"/>
    </row>
    <row r="62" spans="2:11">
      <c r="B62" s="5">
        <f t="shared" si="0"/>
        <v>58</v>
      </c>
      <c r="C62" s="5" t="s">
        <v>277</v>
      </c>
      <c r="D62" s="5" t="s">
        <v>625</v>
      </c>
      <c r="E62" s="5" t="s">
        <v>199</v>
      </c>
      <c r="F62" s="5">
        <v>0.36</v>
      </c>
      <c r="G62" s="5">
        <v>63</v>
      </c>
      <c r="H62" s="5">
        <v>3.2</v>
      </c>
      <c r="I62" s="5">
        <f t="shared" si="1"/>
        <v>4971.1999999999989</v>
      </c>
      <c r="J62" s="5">
        <v>1.06</v>
      </c>
      <c r="K62" s="5"/>
    </row>
    <row r="63" spans="2:11">
      <c r="B63" s="5">
        <f t="shared" si="0"/>
        <v>59</v>
      </c>
      <c r="C63" s="5" t="s">
        <v>392</v>
      </c>
      <c r="D63" s="5" t="s">
        <v>277</v>
      </c>
      <c r="E63" s="5" t="s">
        <v>199</v>
      </c>
      <c r="F63" s="5">
        <v>0.36</v>
      </c>
      <c r="G63" s="5">
        <v>63</v>
      </c>
      <c r="H63" s="5">
        <v>35.299999999999997</v>
      </c>
      <c r="I63" s="5">
        <f t="shared" si="1"/>
        <v>5006.4999999999991</v>
      </c>
      <c r="J63" s="5">
        <v>1.06</v>
      </c>
      <c r="K63" s="5"/>
    </row>
    <row r="64" spans="2:11">
      <c r="B64" s="5">
        <f t="shared" si="0"/>
        <v>60</v>
      </c>
      <c r="C64" s="5" t="s">
        <v>402</v>
      </c>
      <c r="D64" s="5" t="s">
        <v>525</v>
      </c>
      <c r="E64" s="5"/>
      <c r="F64" s="5"/>
      <c r="G64" s="5">
        <v>63</v>
      </c>
      <c r="H64" s="5">
        <v>58.2</v>
      </c>
      <c r="I64" s="5">
        <f t="shared" si="1"/>
        <v>5064.6999999999989</v>
      </c>
      <c r="J64" s="5">
        <v>1.06</v>
      </c>
      <c r="K64" s="5"/>
    </row>
    <row r="65" spans="2:11">
      <c r="B65" s="5">
        <f t="shared" si="0"/>
        <v>61</v>
      </c>
      <c r="C65" s="5" t="s">
        <v>525</v>
      </c>
      <c r="D65" s="5" t="s">
        <v>265</v>
      </c>
      <c r="E65" s="5" t="s">
        <v>193</v>
      </c>
      <c r="F65" s="5">
        <v>0.36</v>
      </c>
      <c r="G65" s="5">
        <v>63</v>
      </c>
      <c r="H65" s="5">
        <v>4</v>
      </c>
      <c r="I65" s="5">
        <f t="shared" si="1"/>
        <v>5068.6999999999989</v>
      </c>
      <c r="J65" s="5">
        <v>1.06</v>
      </c>
      <c r="K65" s="5"/>
    </row>
    <row r="66" spans="2:11">
      <c r="B66" s="5">
        <f t="shared" si="0"/>
        <v>62</v>
      </c>
      <c r="C66" s="5" t="s">
        <v>525</v>
      </c>
      <c r="D66" s="5" t="s">
        <v>265</v>
      </c>
      <c r="E66" s="5"/>
      <c r="F66" s="5"/>
      <c r="G66" s="5">
        <v>63</v>
      </c>
      <c r="H66" s="5">
        <v>69</v>
      </c>
      <c r="I66" s="5">
        <f t="shared" si="1"/>
        <v>5137.6999999999989</v>
      </c>
      <c r="J66" s="5">
        <v>1.06</v>
      </c>
      <c r="K66" s="5"/>
    </row>
    <row r="67" spans="2:11">
      <c r="B67" s="5">
        <f t="shared" si="0"/>
        <v>63</v>
      </c>
      <c r="C67" s="5" t="s">
        <v>525</v>
      </c>
      <c r="D67" s="5" t="s">
        <v>643</v>
      </c>
      <c r="E67" s="5"/>
      <c r="F67" s="5"/>
      <c r="G67" s="5">
        <v>63</v>
      </c>
      <c r="H67" s="5">
        <v>75.7</v>
      </c>
      <c r="I67" s="5">
        <f t="shared" si="1"/>
        <v>5213.3999999999987</v>
      </c>
      <c r="J67" s="5">
        <v>1.06</v>
      </c>
      <c r="K67" s="5"/>
    </row>
    <row r="68" spans="2:11">
      <c r="B68" s="5">
        <f t="shared" si="0"/>
        <v>64</v>
      </c>
      <c r="C68" s="5" t="s">
        <v>643</v>
      </c>
      <c r="D68" s="5" t="s">
        <v>394</v>
      </c>
      <c r="E68" s="5"/>
      <c r="F68" s="5"/>
      <c r="G68" s="5">
        <v>63</v>
      </c>
      <c r="H68" s="5">
        <f>35+48.2</f>
        <v>83.2</v>
      </c>
      <c r="I68" s="5">
        <f t="shared" si="1"/>
        <v>5296.5999999999985</v>
      </c>
      <c r="J68" s="5">
        <v>1.06</v>
      </c>
      <c r="K68" s="5"/>
    </row>
    <row r="69" spans="2:11">
      <c r="B69" s="5">
        <f t="shared" si="0"/>
        <v>65</v>
      </c>
      <c r="C69" s="5" t="s">
        <v>197</v>
      </c>
      <c r="D69" s="5" t="s">
        <v>275</v>
      </c>
      <c r="E69" s="5"/>
      <c r="F69" s="5"/>
      <c r="G69" s="5">
        <v>63</v>
      </c>
      <c r="H69" s="5">
        <v>155.80000000000001</v>
      </c>
      <c r="I69" s="5">
        <f t="shared" si="1"/>
        <v>5452.3999999999987</v>
      </c>
      <c r="J69" s="5">
        <v>1.06</v>
      </c>
      <c r="K69" s="5"/>
    </row>
    <row r="70" spans="2:11">
      <c r="B70" s="5">
        <f t="shared" si="0"/>
        <v>66</v>
      </c>
      <c r="C70" s="5" t="s">
        <v>275</v>
      </c>
      <c r="D70" s="5">
        <v>87</v>
      </c>
      <c r="E70" s="5"/>
      <c r="F70" s="5"/>
      <c r="G70" s="5">
        <v>63</v>
      </c>
      <c r="H70" s="5">
        <v>50.1</v>
      </c>
      <c r="I70" s="5">
        <f t="shared" si="1"/>
        <v>5502.4999999999991</v>
      </c>
      <c r="J70" s="5">
        <v>1.06</v>
      </c>
      <c r="K70" s="5"/>
    </row>
    <row r="71" spans="2:11">
      <c r="B71" s="5">
        <f t="shared" si="0"/>
        <v>67</v>
      </c>
      <c r="C71" s="5" t="s">
        <v>509</v>
      </c>
      <c r="D71" s="5">
        <v>91</v>
      </c>
      <c r="E71" s="5"/>
      <c r="F71" s="5"/>
      <c r="G71" s="5">
        <v>63</v>
      </c>
      <c r="H71" s="5">
        <v>108.1</v>
      </c>
      <c r="I71" s="5">
        <f t="shared" si="1"/>
        <v>5610.5999999999995</v>
      </c>
      <c r="J71" s="5">
        <v>1.06</v>
      </c>
      <c r="K71" s="5"/>
    </row>
    <row r="72" spans="2:11">
      <c r="B72" s="5">
        <f t="shared" ref="B72:B116" si="2">1+B71</f>
        <v>68</v>
      </c>
      <c r="C72" s="5" t="s">
        <v>509</v>
      </c>
      <c r="D72" s="5">
        <v>91</v>
      </c>
      <c r="E72" s="5" t="s">
        <v>193</v>
      </c>
      <c r="F72" s="5">
        <v>0.36</v>
      </c>
      <c r="G72" s="5">
        <v>63</v>
      </c>
      <c r="H72" s="5">
        <v>4.5</v>
      </c>
      <c r="I72" s="5">
        <f t="shared" ref="I72:I116" si="3">+I71+H72</f>
        <v>5615.0999999999995</v>
      </c>
      <c r="J72" s="5">
        <v>1.06</v>
      </c>
      <c r="K72" s="5"/>
    </row>
    <row r="73" spans="2:11">
      <c r="B73" s="5">
        <f t="shared" si="2"/>
        <v>69</v>
      </c>
      <c r="C73" s="5" t="s">
        <v>516</v>
      </c>
      <c r="D73" s="5" t="s">
        <v>510</v>
      </c>
      <c r="E73" s="5" t="s">
        <v>193</v>
      </c>
      <c r="F73" s="5">
        <v>0.36</v>
      </c>
      <c r="G73" s="5">
        <v>63</v>
      </c>
      <c r="H73" s="5">
        <v>4</v>
      </c>
      <c r="I73" s="5">
        <f t="shared" si="3"/>
        <v>5619.0999999999995</v>
      </c>
      <c r="J73" s="5">
        <v>1.06</v>
      </c>
      <c r="K73" s="5"/>
    </row>
    <row r="74" spans="2:11">
      <c r="B74" s="5">
        <f t="shared" si="2"/>
        <v>70</v>
      </c>
      <c r="C74" s="5" t="s">
        <v>516</v>
      </c>
      <c r="D74" s="5" t="s">
        <v>510</v>
      </c>
      <c r="E74" s="5" t="s">
        <v>301</v>
      </c>
      <c r="F74" s="5">
        <v>0.36</v>
      </c>
      <c r="G74" s="5">
        <v>63</v>
      </c>
      <c r="H74" s="5">
        <v>51</v>
      </c>
      <c r="I74" s="5">
        <f t="shared" si="3"/>
        <v>5670.0999999999995</v>
      </c>
      <c r="J74" s="5">
        <v>1.06</v>
      </c>
      <c r="K74" s="5"/>
    </row>
    <row r="75" spans="2:11">
      <c r="B75" s="5">
        <f t="shared" si="2"/>
        <v>71</v>
      </c>
      <c r="C75" s="5" t="s">
        <v>273</v>
      </c>
      <c r="D75" s="5" t="s">
        <v>271</v>
      </c>
      <c r="E75" s="5"/>
      <c r="F75" s="5"/>
      <c r="G75" s="5">
        <v>63</v>
      </c>
      <c r="H75" s="5">
        <v>52.4</v>
      </c>
      <c r="I75" s="5">
        <f t="shared" si="3"/>
        <v>5722.4999999999991</v>
      </c>
      <c r="J75" s="5">
        <v>1.06</v>
      </c>
      <c r="K75" s="5"/>
    </row>
    <row r="76" spans="2:11">
      <c r="B76" s="5">
        <f t="shared" si="2"/>
        <v>72</v>
      </c>
      <c r="C76" s="5" t="s">
        <v>273</v>
      </c>
      <c r="D76" s="5" t="s">
        <v>271</v>
      </c>
      <c r="E76" s="5" t="s">
        <v>301</v>
      </c>
      <c r="F76" s="5">
        <v>0.36</v>
      </c>
      <c r="G76" s="5">
        <v>63</v>
      </c>
      <c r="H76" s="5">
        <v>2.8</v>
      </c>
      <c r="I76" s="5">
        <f t="shared" si="3"/>
        <v>5725.2999999999993</v>
      </c>
      <c r="J76" s="5">
        <v>1.06</v>
      </c>
      <c r="K76" s="5"/>
    </row>
    <row r="77" spans="2:11">
      <c r="B77" s="5">
        <f t="shared" si="2"/>
        <v>73</v>
      </c>
      <c r="C77" s="5" t="s">
        <v>271</v>
      </c>
      <c r="D77" s="5" t="s">
        <v>538</v>
      </c>
      <c r="E77" s="5" t="s">
        <v>301</v>
      </c>
      <c r="F77" s="5">
        <v>0.36</v>
      </c>
      <c r="G77" s="5">
        <v>63</v>
      </c>
      <c r="H77" s="5">
        <v>30.3</v>
      </c>
      <c r="I77" s="5">
        <f t="shared" si="3"/>
        <v>5755.5999999999995</v>
      </c>
      <c r="J77" s="5">
        <v>1.06</v>
      </c>
      <c r="K77" s="5"/>
    </row>
    <row r="78" spans="2:11">
      <c r="B78" s="5">
        <f t="shared" si="2"/>
        <v>74</v>
      </c>
      <c r="C78" s="5" t="s">
        <v>272</v>
      </c>
      <c r="D78" s="5" t="s">
        <v>271</v>
      </c>
      <c r="E78" s="5" t="s">
        <v>301</v>
      </c>
      <c r="F78" s="5">
        <v>0.36</v>
      </c>
      <c r="G78" s="5">
        <v>63</v>
      </c>
      <c r="H78" s="5">
        <v>32.6</v>
      </c>
      <c r="I78" s="5">
        <f t="shared" si="3"/>
        <v>5788.2</v>
      </c>
      <c r="J78" s="5">
        <v>1.06</v>
      </c>
      <c r="K78" s="5"/>
    </row>
    <row r="79" spans="2:11">
      <c r="B79" s="5">
        <f t="shared" si="2"/>
        <v>75</v>
      </c>
      <c r="C79" s="5" t="s">
        <v>272</v>
      </c>
      <c r="D79" s="5" t="s">
        <v>198</v>
      </c>
      <c r="E79" s="5" t="s">
        <v>301</v>
      </c>
      <c r="F79" s="5">
        <v>0.36</v>
      </c>
      <c r="G79" s="5">
        <v>63</v>
      </c>
      <c r="H79" s="5">
        <v>57.3</v>
      </c>
      <c r="I79" s="5">
        <f t="shared" si="3"/>
        <v>5845.5</v>
      </c>
      <c r="J79" s="5">
        <v>1.06</v>
      </c>
      <c r="K79" s="5"/>
    </row>
    <row r="80" spans="2:11">
      <c r="B80" s="5">
        <f t="shared" si="2"/>
        <v>76</v>
      </c>
      <c r="C80" s="5" t="s">
        <v>272</v>
      </c>
      <c r="D80" s="5" t="s">
        <v>198</v>
      </c>
      <c r="E80" s="5"/>
      <c r="F80" s="5"/>
      <c r="G80" s="5">
        <v>63</v>
      </c>
      <c r="H80" s="5">
        <v>2.2000000000000002</v>
      </c>
      <c r="I80" s="5">
        <f t="shared" si="3"/>
        <v>5847.7</v>
      </c>
      <c r="J80" s="5">
        <v>1.06</v>
      </c>
      <c r="K80" s="5"/>
    </row>
    <row r="81" spans="2:11">
      <c r="B81" s="5">
        <f t="shared" si="2"/>
        <v>77</v>
      </c>
      <c r="C81" s="5" t="s">
        <v>272</v>
      </c>
      <c r="D81" s="5" t="s">
        <v>198</v>
      </c>
      <c r="E81" s="5" t="s">
        <v>199</v>
      </c>
      <c r="F81" s="5">
        <v>0.36</v>
      </c>
      <c r="G81" s="5">
        <v>63</v>
      </c>
      <c r="H81" s="5">
        <v>46.9</v>
      </c>
      <c r="I81" s="5">
        <f t="shared" si="3"/>
        <v>5894.5999999999995</v>
      </c>
      <c r="J81" s="5">
        <v>1.06</v>
      </c>
      <c r="K81" s="5"/>
    </row>
    <row r="82" spans="2:11">
      <c r="B82" s="5">
        <f t="shared" si="2"/>
        <v>78</v>
      </c>
      <c r="C82" s="5" t="s">
        <v>272</v>
      </c>
      <c r="D82" s="5" t="s">
        <v>198</v>
      </c>
      <c r="E82" s="5"/>
      <c r="F82" s="5"/>
      <c r="G82" s="5">
        <v>63</v>
      </c>
      <c r="H82" s="5">
        <v>138.5</v>
      </c>
      <c r="I82" s="5">
        <f t="shared" si="3"/>
        <v>6033.0999999999995</v>
      </c>
      <c r="J82" s="5">
        <v>1.06</v>
      </c>
      <c r="K82" s="5"/>
    </row>
    <row r="83" spans="2:11">
      <c r="B83" s="5">
        <f t="shared" si="2"/>
        <v>79</v>
      </c>
      <c r="C83" s="5" t="s">
        <v>198</v>
      </c>
      <c r="D83" s="5" t="s">
        <v>197</v>
      </c>
      <c r="E83" s="5" t="s">
        <v>199</v>
      </c>
      <c r="F83" s="5">
        <v>0.36</v>
      </c>
      <c r="G83" s="5">
        <v>63</v>
      </c>
      <c r="H83" s="5">
        <v>234.5</v>
      </c>
      <c r="I83" s="5">
        <f t="shared" si="3"/>
        <v>6267.5999999999995</v>
      </c>
      <c r="J83" s="5">
        <v>1.06</v>
      </c>
      <c r="K83" s="5"/>
    </row>
    <row r="84" spans="2:11">
      <c r="B84" s="5">
        <f t="shared" si="2"/>
        <v>80</v>
      </c>
      <c r="C84" s="5" t="s">
        <v>506</v>
      </c>
      <c r="D84" s="5" t="s">
        <v>504</v>
      </c>
      <c r="E84" s="5" t="s">
        <v>193</v>
      </c>
      <c r="F84" s="5">
        <v>0.36</v>
      </c>
      <c r="G84" s="5">
        <v>63</v>
      </c>
      <c r="H84" s="5">
        <v>4.8</v>
      </c>
      <c r="I84" s="5">
        <f t="shared" si="3"/>
        <v>6272.4</v>
      </c>
      <c r="J84" s="5">
        <v>1.06</v>
      </c>
      <c r="K84" s="5"/>
    </row>
    <row r="85" spans="2:11">
      <c r="B85" s="5">
        <f t="shared" si="2"/>
        <v>81</v>
      </c>
      <c r="C85" s="5" t="s">
        <v>506</v>
      </c>
      <c r="D85" s="5" t="s">
        <v>504</v>
      </c>
      <c r="E85" s="5" t="s">
        <v>199</v>
      </c>
      <c r="F85" s="5">
        <v>0.36</v>
      </c>
      <c r="G85" s="5">
        <v>63</v>
      </c>
      <c r="H85" s="5">
        <v>9</v>
      </c>
      <c r="I85" s="5">
        <f t="shared" si="3"/>
        <v>6281.4</v>
      </c>
      <c r="J85" s="5">
        <v>1.06</v>
      </c>
      <c r="K85" s="5"/>
    </row>
    <row r="86" spans="2:11">
      <c r="B86" s="5">
        <f t="shared" si="2"/>
        <v>82</v>
      </c>
      <c r="C86" s="5" t="s">
        <v>504</v>
      </c>
      <c r="D86" s="5" t="s">
        <v>418</v>
      </c>
      <c r="E86" s="5" t="s">
        <v>199</v>
      </c>
      <c r="F86" s="5">
        <v>0.36</v>
      </c>
      <c r="G86" s="5">
        <v>63</v>
      </c>
      <c r="H86" s="5">
        <v>107</v>
      </c>
      <c r="I86" s="5">
        <f t="shared" si="3"/>
        <v>6388.4</v>
      </c>
      <c r="J86" s="5">
        <v>1.06</v>
      </c>
      <c r="K86" s="5"/>
    </row>
    <row r="87" spans="2:11">
      <c r="B87" s="5">
        <f t="shared" si="2"/>
        <v>83</v>
      </c>
      <c r="C87" s="5" t="s">
        <v>418</v>
      </c>
      <c r="D87" s="5" t="s">
        <v>417</v>
      </c>
      <c r="E87" s="5" t="s">
        <v>199</v>
      </c>
      <c r="F87" s="5">
        <v>0.36</v>
      </c>
      <c r="G87" s="5">
        <v>63</v>
      </c>
      <c r="H87" s="5">
        <v>16.600000000000001</v>
      </c>
      <c r="I87" s="5">
        <f t="shared" si="3"/>
        <v>6405</v>
      </c>
      <c r="J87" s="5">
        <v>1.06</v>
      </c>
      <c r="K87" s="5"/>
    </row>
    <row r="88" spans="2:11">
      <c r="B88" s="5">
        <f t="shared" si="2"/>
        <v>84</v>
      </c>
      <c r="C88" s="5" t="s">
        <v>285</v>
      </c>
      <c r="D88" s="5" t="s">
        <v>418</v>
      </c>
      <c r="E88" s="5" t="s">
        <v>199</v>
      </c>
      <c r="F88" s="5">
        <v>0.36</v>
      </c>
      <c r="G88" s="5">
        <v>63</v>
      </c>
      <c r="H88" s="5">
        <v>8.4</v>
      </c>
      <c r="I88" s="5">
        <f t="shared" si="3"/>
        <v>6413.4</v>
      </c>
      <c r="J88" s="5">
        <v>1.06</v>
      </c>
      <c r="K88" s="5"/>
    </row>
    <row r="89" spans="2:11">
      <c r="B89" s="5">
        <f t="shared" si="2"/>
        <v>85</v>
      </c>
      <c r="C89" s="5" t="s">
        <v>504</v>
      </c>
      <c r="D89" s="5" t="s">
        <v>416</v>
      </c>
      <c r="E89" s="5" t="s">
        <v>199</v>
      </c>
      <c r="F89" s="5">
        <v>0.36</v>
      </c>
      <c r="G89" s="5">
        <v>63</v>
      </c>
      <c r="H89" s="5">
        <v>44.6</v>
      </c>
      <c r="I89" s="5">
        <f t="shared" si="3"/>
        <v>6458</v>
      </c>
      <c r="J89" s="5">
        <v>1.06</v>
      </c>
      <c r="K89" s="5"/>
    </row>
    <row r="90" spans="2:11">
      <c r="B90" s="5">
        <f t="shared" si="2"/>
        <v>86</v>
      </c>
      <c r="C90" s="5" t="s">
        <v>249</v>
      </c>
      <c r="D90" s="5" t="s">
        <v>356</v>
      </c>
      <c r="E90" s="5" t="s">
        <v>199</v>
      </c>
      <c r="F90" s="5">
        <v>0.36</v>
      </c>
      <c r="G90" s="5">
        <v>63</v>
      </c>
      <c r="H90" s="5">
        <v>82.5</v>
      </c>
      <c r="I90" s="5">
        <f t="shared" si="3"/>
        <v>6540.5</v>
      </c>
      <c r="J90" s="5">
        <v>1.06</v>
      </c>
      <c r="K90" s="5"/>
    </row>
    <row r="91" spans="2:11">
      <c r="B91" s="5">
        <f t="shared" si="2"/>
        <v>87</v>
      </c>
      <c r="C91" s="5" t="s">
        <v>249</v>
      </c>
      <c r="D91" s="5" t="s">
        <v>356</v>
      </c>
      <c r="E91" s="5"/>
      <c r="F91" s="5"/>
      <c r="G91" s="5">
        <v>63</v>
      </c>
      <c r="H91" s="5">
        <v>24.3</v>
      </c>
      <c r="I91" s="5">
        <f t="shared" si="3"/>
        <v>6564.8</v>
      </c>
      <c r="J91" s="5">
        <v>1.06</v>
      </c>
      <c r="K91" s="5"/>
    </row>
    <row r="92" spans="2:11">
      <c r="B92" s="5">
        <f t="shared" si="2"/>
        <v>88</v>
      </c>
      <c r="C92" s="5" t="s">
        <v>249</v>
      </c>
      <c r="D92" s="5" t="s">
        <v>356</v>
      </c>
      <c r="E92" s="5" t="s">
        <v>199</v>
      </c>
      <c r="F92" s="5">
        <v>0.36</v>
      </c>
      <c r="G92" s="5">
        <v>63</v>
      </c>
      <c r="H92" s="5">
        <v>31</v>
      </c>
      <c r="I92" s="5">
        <f t="shared" si="3"/>
        <v>6595.8</v>
      </c>
      <c r="J92" s="5">
        <v>1.06</v>
      </c>
      <c r="K92" s="5"/>
    </row>
    <row r="93" spans="2:11">
      <c r="B93" s="5">
        <f t="shared" si="2"/>
        <v>89</v>
      </c>
      <c r="C93" s="5" t="s">
        <v>509</v>
      </c>
      <c r="D93" s="5" t="s">
        <v>274</v>
      </c>
      <c r="E93" s="5" t="s">
        <v>199</v>
      </c>
      <c r="F93" s="5">
        <v>0.36</v>
      </c>
      <c r="G93" s="5">
        <v>63</v>
      </c>
      <c r="H93" s="5">
        <v>49.5</v>
      </c>
      <c r="I93" s="5">
        <f t="shared" si="3"/>
        <v>6645.3</v>
      </c>
      <c r="J93" s="5">
        <v>1.06</v>
      </c>
      <c r="K93" s="5"/>
    </row>
    <row r="94" spans="2:11">
      <c r="B94" s="5">
        <f t="shared" si="2"/>
        <v>90</v>
      </c>
      <c r="C94" s="5" t="s">
        <v>275</v>
      </c>
      <c r="D94" s="5" t="s">
        <v>245</v>
      </c>
      <c r="E94" s="5" t="s">
        <v>193</v>
      </c>
      <c r="F94" s="5">
        <v>0.36</v>
      </c>
      <c r="G94" s="5">
        <v>63</v>
      </c>
      <c r="H94" s="5">
        <v>4</v>
      </c>
      <c r="I94" s="5">
        <f t="shared" si="3"/>
        <v>6649.3</v>
      </c>
      <c r="J94" s="5">
        <v>1.06</v>
      </c>
      <c r="K94" s="5"/>
    </row>
    <row r="95" spans="2:11">
      <c r="B95" s="5">
        <f t="shared" si="2"/>
        <v>91</v>
      </c>
      <c r="C95" s="5" t="s">
        <v>275</v>
      </c>
      <c r="D95" s="5" t="s">
        <v>245</v>
      </c>
      <c r="E95" s="5"/>
      <c r="F95" s="5"/>
      <c r="G95" s="5">
        <v>63</v>
      </c>
      <c r="H95" s="5">
        <v>151.69999999999999</v>
      </c>
      <c r="I95" s="5">
        <f t="shared" si="3"/>
        <v>6801</v>
      </c>
      <c r="J95" s="5">
        <v>1.06</v>
      </c>
      <c r="K95" s="5"/>
    </row>
    <row r="96" spans="2:11">
      <c r="B96" s="5">
        <f t="shared" si="2"/>
        <v>92</v>
      </c>
      <c r="C96" s="5" t="s">
        <v>245</v>
      </c>
      <c r="D96" s="5" t="s">
        <v>246</v>
      </c>
      <c r="E96" s="5"/>
      <c r="F96" s="5"/>
      <c r="G96" s="5">
        <v>63</v>
      </c>
      <c r="H96" s="5">
        <v>39.9</v>
      </c>
      <c r="I96" s="5">
        <f t="shared" si="3"/>
        <v>6840.9</v>
      </c>
      <c r="J96" s="5">
        <v>1.06</v>
      </c>
      <c r="K96" s="5"/>
    </row>
    <row r="97" spans="2:11">
      <c r="B97" s="5">
        <f t="shared" si="2"/>
        <v>93</v>
      </c>
      <c r="C97" s="5" t="s">
        <v>246</v>
      </c>
      <c r="D97" s="5" t="s">
        <v>360</v>
      </c>
      <c r="E97" s="5"/>
      <c r="F97" s="5"/>
      <c r="G97" s="5">
        <v>63</v>
      </c>
      <c r="H97" s="5">
        <v>10</v>
      </c>
      <c r="I97" s="5">
        <f t="shared" si="3"/>
        <v>6850.9</v>
      </c>
      <c r="J97" s="5">
        <v>1.06</v>
      </c>
      <c r="K97" s="5"/>
    </row>
    <row r="98" spans="2:11">
      <c r="B98" s="5">
        <f t="shared" si="2"/>
        <v>94</v>
      </c>
      <c r="C98" s="5" t="s">
        <v>246</v>
      </c>
      <c r="D98" s="5" t="s">
        <v>537</v>
      </c>
      <c r="E98" s="5"/>
      <c r="F98" s="5"/>
      <c r="G98" s="5">
        <v>63</v>
      </c>
      <c r="H98" s="5">
        <v>173</v>
      </c>
      <c r="I98" s="5">
        <f t="shared" si="3"/>
        <v>7023.9</v>
      </c>
      <c r="J98" s="5">
        <v>1.06</v>
      </c>
      <c r="K98" s="5"/>
    </row>
    <row r="99" spans="2:11">
      <c r="B99" s="5">
        <f t="shared" si="2"/>
        <v>95</v>
      </c>
      <c r="C99" s="5" t="s">
        <v>537</v>
      </c>
      <c r="D99" s="5" t="s">
        <v>245</v>
      </c>
      <c r="E99" s="5"/>
      <c r="F99" s="5"/>
      <c r="G99" s="5">
        <v>63</v>
      </c>
      <c r="H99" s="5">
        <v>75.3</v>
      </c>
      <c r="I99" s="5">
        <f t="shared" si="3"/>
        <v>7099.2</v>
      </c>
      <c r="J99" s="5">
        <v>1.06</v>
      </c>
      <c r="K99" s="5"/>
    </row>
    <row r="100" spans="2:11">
      <c r="B100" s="5">
        <f t="shared" si="2"/>
        <v>96</v>
      </c>
      <c r="C100" s="5" t="s">
        <v>537</v>
      </c>
      <c r="D100" s="5" t="s">
        <v>359</v>
      </c>
      <c r="E100" s="5"/>
      <c r="F100" s="5"/>
      <c r="G100" s="5">
        <v>63</v>
      </c>
      <c r="H100" s="5">
        <v>60.6</v>
      </c>
      <c r="I100" s="5">
        <f t="shared" si="3"/>
        <v>7159.8</v>
      </c>
      <c r="J100" s="5">
        <v>1.06</v>
      </c>
      <c r="K100" s="5"/>
    </row>
    <row r="101" spans="2:11">
      <c r="B101" s="5">
        <f t="shared" si="2"/>
        <v>97</v>
      </c>
      <c r="C101" s="5" t="s">
        <v>537</v>
      </c>
      <c r="D101" s="5" t="s">
        <v>359</v>
      </c>
      <c r="E101" s="5" t="s">
        <v>193</v>
      </c>
      <c r="F101" s="5">
        <v>0.36</v>
      </c>
      <c r="G101" s="5">
        <v>63</v>
      </c>
      <c r="H101" s="5">
        <v>4</v>
      </c>
      <c r="I101" s="5">
        <f t="shared" si="3"/>
        <v>7163.8</v>
      </c>
      <c r="J101" s="5">
        <v>1.06</v>
      </c>
      <c r="K101" s="5"/>
    </row>
    <row r="102" spans="2:11">
      <c r="B102" s="5">
        <f t="shared" si="2"/>
        <v>98</v>
      </c>
      <c r="C102" s="5" t="s">
        <v>267</v>
      </c>
      <c r="D102" s="5" t="s">
        <v>277</v>
      </c>
      <c r="E102" s="5" t="s">
        <v>199</v>
      </c>
      <c r="F102" s="5">
        <v>0.36</v>
      </c>
      <c r="G102" s="5">
        <v>75</v>
      </c>
      <c r="H102" s="5">
        <v>38.6</v>
      </c>
      <c r="I102" s="5">
        <f t="shared" si="3"/>
        <v>7202.4000000000005</v>
      </c>
      <c r="J102" s="5">
        <v>1.07</v>
      </c>
      <c r="K102" s="5"/>
    </row>
    <row r="103" spans="2:11">
      <c r="B103" s="5">
        <f t="shared" si="2"/>
        <v>99</v>
      </c>
      <c r="C103" s="5" t="s">
        <v>267</v>
      </c>
      <c r="D103" s="5" t="s">
        <v>277</v>
      </c>
      <c r="E103" s="5" t="s">
        <v>199</v>
      </c>
      <c r="F103" s="5">
        <v>0.36</v>
      </c>
      <c r="G103" s="5">
        <v>75</v>
      </c>
      <c r="H103" s="5">
        <v>41.1</v>
      </c>
      <c r="I103" s="5">
        <f t="shared" si="3"/>
        <v>7243.5000000000009</v>
      </c>
      <c r="J103" s="5">
        <v>1.07</v>
      </c>
      <c r="K103" s="5"/>
    </row>
    <row r="104" spans="2:11">
      <c r="B104" s="5">
        <f t="shared" si="2"/>
        <v>100</v>
      </c>
      <c r="C104" s="5" t="s">
        <v>277</v>
      </c>
      <c r="D104" s="5" t="s">
        <v>625</v>
      </c>
      <c r="E104" s="5" t="s">
        <v>301</v>
      </c>
      <c r="F104" s="5">
        <v>0.36</v>
      </c>
      <c r="G104" s="5">
        <v>75</v>
      </c>
      <c r="H104" s="5">
        <v>4</v>
      </c>
      <c r="I104" s="5">
        <f t="shared" si="3"/>
        <v>7247.5000000000009</v>
      </c>
      <c r="J104" s="5">
        <v>1.07</v>
      </c>
      <c r="K104" s="5"/>
    </row>
    <row r="105" spans="2:11">
      <c r="B105" s="5">
        <f t="shared" si="2"/>
        <v>101</v>
      </c>
      <c r="C105" s="5" t="s">
        <v>277</v>
      </c>
      <c r="D105" s="5" t="s">
        <v>625</v>
      </c>
      <c r="E105" s="5"/>
      <c r="F105" s="5"/>
      <c r="G105" s="5">
        <v>75</v>
      </c>
      <c r="H105" s="5">
        <v>34.700000000000003</v>
      </c>
      <c r="I105" s="5">
        <f t="shared" si="3"/>
        <v>7282.2000000000007</v>
      </c>
      <c r="J105" s="5">
        <v>1.07</v>
      </c>
      <c r="K105" s="5"/>
    </row>
    <row r="106" spans="2:11">
      <c r="B106" s="5">
        <f t="shared" si="2"/>
        <v>102</v>
      </c>
      <c r="C106" s="5" t="s">
        <v>267</v>
      </c>
      <c r="D106" s="5" t="s">
        <v>392</v>
      </c>
      <c r="E106" s="5" t="s">
        <v>199</v>
      </c>
      <c r="F106" s="5">
        <v>0.36</v>
      </c>
      <c r="G106" s="5">
        <v>75</v>
      </c>
      <c r="H106" s="5">
        <v>56.1</v>
      </c>
      <c r="I106" s="5">
        <f t="shared" si="3"/>
        <v>7338.3000000000011</v>
      </c>
      <c r="J106" s="5">
        <v>1.07</v>
      </c>
      <c r="K106" s="5"/>
    </row>
    <row r="107" spans="2:11">
      <c r="B107" s="5">
        <f t="shared" si="2"/>
        <v>103</v>
      </c>
      <c r="C107" s="5" t="s">
        <v>267</v>
      </c>
      <c r="D107" s="5" t="s">
        <v>392</v>
      </c>
      <c r="E107" s="5"/>
      <c r="F107" s="5"/>
      <c r="G107" s="5">
        <v>75</v>
      </c>
      <c r="H107" s="5">
        <v>91.3</v>
      </c>
      <c r="I107" s="5">
        <f t="shared" si="3"/>
        <v>7429.6000000000013</v>
      </c>
      <c r="J107" s="5">
        <v>1.07</v>
      </c>
      <c r="K107" s="5"/>
    </row>
    <row r="108" spans="2:11">
      <c r="B108" s="5">
        <f t="shared" si="2"/>
        <v>104</v>
      </c>
      <c r="C108" s="5" t="s">
        <v>316</v>
      </c>
      <c r="D108" s="5" t="s">
        <v>197</v>
      </c>
      <c r="E108" s="5"/>
      <c r="F108" s="5"/>
      <c r="G108" s="5">
        <v>75</v>
      </c>
      <c r="H108" s="5">
        <v>164.3</v>
      </c>
      <c r="I108" s="5">
        <f t="shared" si="3"/>
        <v>7593.9000000000015</v>
      </c>
      <c r="J108" s="5">
        <v>1.07</v>
      </c>
      <c r="K108" s="5"/>
    </row>
    <row r="109" spans="2:11">
      <c r="B109" s="5">
        <f t="shared" si="2"/>
        <v>105</v>
      </c>
      <c r="C109" s="5" t="s">
        <v>392</v>
      </c>
      <c r="D109" s="5" t="s">
        <v>402</v>
      </c>
      <c r="E109" s="5" t="s">
        <v>199</v>
      </c>
      <c r="F109" s="5">
        <v>0.36</v>
      </c>
      <c r="G109" s="5">
        <v>90</v>
      </c>
      <c r="H109" s="5">
        <v>79</v>
      </c>
      <c r="I109" s="5">
        <f t="shared" si="3"/>
        <v>7672.9000000000015</v>
      </c>
      <c r="J109" s="5">
        <v>1.0900000000000001</v>
      </c>
      <c r="K109" s="5"/>
    </row>
    <row r="110" spans="2:11">
      <c r="B110" s="5">
        <f t="shared" si="2"/>
        <v>106</v>
      </c>
      <c r="C110" s="5" t="s">
        <v>392</v>
      </c>
      <c r="D110" s="5" t="s">
        <v>402</v>
      </c>
      <c r="E110" s="5" t="s">
        <v>193</v>
      </c>
      <c r="F110" s="5">
        <v>0.36</v>
      </c>
      <c r="G110" s="5">
        <v>90</v>
      </c>
      <c r="H110" s="5">
        <v>3.1</v>
      </c>
      <c r="I110" s="5">
        <f t="shared" si="3"/>
        <v>7676.0000000000018</v>
      </c>
      <c r="J110" s="5">
        <v>1.0900000000000001</v>
      </c>
      <c r="K110" s="5"/>
    </row>
    <row r="111" spans="2:11">
      <c r="B111" s="5">
        <f t="shared" si="2"/>
        <v>107</v>
      </c>
      <c r="C111" s="5" t="s">
        <v>402</v>
      </c>
      <c r="D111" s="5" t="s">
        <v>281</v>
      </c>
      <c r="E111" s="5"/>
      <c r="F111" s="5"/>
      <c r="G111" s="5">
        <v>90</v>
      </c>
      <c r="H111" s="5">
        <v>34.6</v>
      </c>
      <c r="I111" s="5">
        <f t="shared" si="3"/>
        <v>7710.6000000000022</v>
      </c>
      <c r="J111" s="5">
        <v>1.0900000000000001</v>
      </c>
      <c r="K111" s="5"/>
    </row>
    <row r="112" spans="2:11">
      <c r="B112" s="5">
        <f t="shared" si="2"/>
        <v>108</v>
      </c>
      <c r="C112" s="5" t="s">
        <v>402</v>
      </c>
      <c r="D112" s="5" t="s">
        <v>281</v>
      </c>
      <c r="E112" s="5" t="s">
        <v>199</v>
      </c>
      <c r="F112" s="5">
        <v>0.36</v>
      </c>
      <c r="G112" s="5">
        <v>90</v>
      </c>
      <c r="H112" s="5">
        <v>4.0999999999999996</v>
      </c>
      <c r="I112" s="5">
        <f t="shared" si="3"/>
        <v>7714.7000000000025</v>
      </c>
      <c r="J112" s="5">
        <v>1.0900000000000001</v>
      </c>
      <c r="K112" s="5"/>
    </row>
    <row r="113" spans="2:20">
      <c r="B113" s="5">
        <f t="shared" si="2"/>
        <v>109</v>
      </c>
      <c r="C113" s="5" t="s">
        <v>391</v>
      </c>
      <c r="D113" s="5" t="s">
        <v>506</v>
      </c>
      <c r="E113" s="5"/>
      <c r="F113" s="5"/>
      <c r="G113" s="5">
        <v>90</v>
      </c>
      <c r="H113" s="5">
        <v>60.3</v>
      </c>
      <c r="I113" s="5">
        <f t="shared" si="3"/>
        <v>7775.0000000000027</v>
      </c>
      <c r="J113" s="5">
        <v>1.0900000000000001</v>
      </c>
      <c r="K113" s="5"/>
    </row>
    <row r="114" spans="2:20">
      <c r="B114" s="5">
        <f t="shared" si="2"/>
        <v>110</v>
      </c>
      <c r="C114" s="5" t="s">
        <v>506</v>
      </c>
      <c r="D114" s="5" t="s">
        <v>316</v>
      </c>
      <c r="E114" s="5"/>
      <c r="F114" s="5"/>
      <c r="G114" s="5">
        <v>90</v>
      </c>
      <c r="H114" s="5">
        <v>60</v>
      </c>
      <c r="I114" s="5">
        <f t="shared" si="3"/>
        <v>7835.0000000000027</v>
      </c>
      <c r="J114" s="5">
        <v>1.0900000000000001</v>
      </c>
      <c r="K114" s="5"/>
      <c r="O114">
        <v>6488</v>
      </c>
    </row>
    <row r="115" spans="2:20">
      <c r="B115" s="5">
        <f t="shared" si="2"/>
        <v>111</v>
      </c>
      <c r="C115" s="5" t="s">
        <v>391</v>
      </c>
      <c r="D115" s="5" t="s">
        <v>249</v>
      </c>
      <c r="E115" s="5" t="s">
        <v>199</v>
      </c>
      <c r="F115" s="5">
        <v>0.36</v>
      </c>
      <c r="G115" s="5">
        <v>110</v>
      </c>
      <c r="H115" s="5">
        <v>242.8</v>
      </c>
      <c r="I115" s="5">
        <f t="shared" si="3"/>
        <v>8077.8000000000029</v>
      </c>
      <c r="J115" s="10">
        <v>1.1100000000000001</v>
      </c>
      <c r="K115" s="5"/>
      <c r="O115">
        <v>8163</v>
      </c>
    </row>
    <row r="116" spans="2:20">
      <c r="B116" s="5">
        <f t="shared" si="2"/>
        <v>112</v>
      </c>
      <c r="C116" s="5" t="s">
        <v>249</v>
      </c>
      <c r="D116" s="5" t="s">
        <v>362</v>
      </c>
      <c r="E116" s="5"/>
      <c r="F116" s="5"/>
      <c r="G116" s="5">
        <v>110</v>
      </c>
      <c r="H116" s="5">
        <v>85.6</v>
      </c>
      <c r="I116" s="5">
        <f t="shared" si="3"/>
        <v>8163.4000000000033</v>
      </c>
      <c r="J116" s="10">
        <v>1.1100000000000001</v>
      </c>
      <c r="K116" s="5"/>
    </row>
    <row r="117" spans="2:20">
      <c r="B117" s="5"/>
      <c r="C117" s="5"/>
      <c r="D117" s="5"/>
      <c r="E117" s="5"/>
      <c r="F117" s="5"/>
      <c r="G117" s="5"/>
      <c r="H117" s="5"/>
      <c r="I117" s="5"/>
      <c r="J117" s="5"/>
      <c r="K117" s="5"/>
      <c r="M117" s="40">
        <v>63</v>
      </c>
      <c r="N117" s="40">
        <v>75</v>
      </c>
      <c r="O117" s="40">
        <v>90</v>
      </c>
      <c r="P117" s="40">
        <v>110</v>
      </c>
      <c r="Q117" s="40">
        <v>125</v>
      </c>
      <c r="R117" s="40">
        <v>140</v>
      </c>
      <c r="S117" s="40">
        <v>160</v>
      </c>
      <c r="T117" s="40">
        <v>6488</v>
      </c>
    </row>
    <row r="118" spans="2:20">
      <c r="B118" s="5"/>
      <c r="C118" s="5"/>
      <c r="D118" s="5"/>
      <c r="E118" s="5"/>
      <c r="F118" s="5">
        <v>63</v>
      </c>
      <c r="G118" s="5">
        <v>75</v>
      </c>
      <c r="H118" s="5">
        <v>90</v>
      </c>
      <c r="I118" s="5">
        <v>110</v>
      </c>
      <c r="J118" s="5"/>
      <c r="K118" s="5"/>
      <c r="M118" s="397">
        <v>6103.6</v>
      </c>
      <c r="N118" s="397">
        <v>0</v>
      </c>
      <c r="O118" s="397">
        <v>0</v>
      </c>
      <c r="P118" s="397">
        <v>384.4</v>
      </c>
      <c r="Q118" s="397">
        <v>0</v>
      </c>
      <c r="R118" s="397">
        <v>0</v>
      </c>
      <c r="S118" s="397">
        <v>0</v>
      </c>
      <c r="T118" s="40">
        <v>15451</v>
      </c>
    </row>
    <row r="119" spans="2:20">
      <c r="B119" s="5"/>
      <c r="C119" s="5"/>
      <c r="D119" s="5"/>
      <c r="E119" s="5"/>
      <c r="F119" s="5">
        <f>+SUMIF($G$5:$G$116,F118,$H$5:$H$116)</f>
        <v>7163.8</v>
      </c>
      <c r="G119" s="5">
        <f t="shared" ref="G119:I119" si="4">+SUMIF($G$5:$G$116,G118,$H$5:$H$116)</f>
        <v>430.1</v>
      </c>
      <c r="H119" s="5">
        <f t="shared" si="4"/>
        <v>241.09999999999997</v>
      </c>
      <c r="I119" s="5">
        <f t="shared" si="4"/>
        <v>328.4</v>
      </c>
      <c r="J119" s="5">
        <f>+SUM(F119+G119+H119+I119)</f>
        <v>8163.4000000000005</v>
      </c>
      <c r="K119" s="5"/>
      <c r="M119">
        <f>+F119</f>
        <v>7163.8</v>
      </c>
      <c r="N119">
        <f>+G119</f>
        <v>430.1</v>
      </c>
      <c r="O119">
        <f>+H119</f>
        <v>241.09999999999997</v>
      </c>
      <c r="P119">
        <f>+I119</f>
        <v>328.4</v>
      </c>
    </row>
    <row r="120" spans="2:20" ht="15.75">
      <c r="B120" s="503" t="s">
        <v>365</v>
      </c>
      <c r="C120" s="504"/>
      <c r="D120" s="504"/>
      <c r="E120" s="505"/>
      <c r="F120" s="506" t="s">
        <v>366</v>
      </c>
      <c r="G120" s="507"/>
      <c r="H120" s="508"/>
      <c r="I120" s="498" t="s">
        <v>367</v>
      </c>
      <c r="J120" s="498"/>
      <c r="K120" s="498"/>
      <c r="M120">
        <f>+M118+M119</f>
        <v>13267.400000000001</v>
      </c>
      <c r="N120">
        <f t="shared" ref="N120:S120" si="5">+N118+N119</f>
        <v>430.1</v>
      </c>
      <c r="O120">
        <f t="shared" si="5"/>
        <v>241.09999999999997</v>
      </c>
      <c r="P120">
        <f t="shared" si="5"/>
        <v>712.8</v>
      </c>
      <c r="Q120">
        <f t="shared" si="5"/>
        <v>0</v>
      </c>
      <c r="R120">
        <f t="shared" si="5"/>
        <v>0</v>
      </c>
      <c r="S120">
        <f t="shared" si="5"/>
        <v>0</v>
      </c>
    </row>
    <row r="121" spans="2:20" ht="15.75">
      <c r="B121" s="7" t="s">
        <v>368</v>
      </c>
      <c r="C121" s="499"/>
      <c r="D121" s="500"/>
      <c r="E121" s="501"/>
      <c r="F121" s="8" t="s">
        <v>368</v>
      </c>
      <c r="G121" s="498"/>
      <c r="H121" s="498"/>
      <c r="I121" s="8" t="s">
        <v>368</v>
      </c>
      <c r="J121" s="498"/>
      <c r="K121" s="498"/>
    </row>
    <row r="122" spans="2:20" ht="15.75">
      <c r="B122" s="7" t="s">
        <v>369</v>
      </c>
      <c r="C122" s="498"/>
      <c r="D122" s="498"/>
      <c r="E122" s="498"/>
      <c r="F122" s="8" t="s">
        <v>369</v>
      </c>
      <c r="G122" s="498"/>
      <c r="H122" s="498"/>
      <c r="I122" s="8" t="s">
        <v>369</v>
      </c>
      <c r="J122" s="498"/>
      <c r="K122" s="498"/>
    </row>
    <row r="123" spans="2:20" ht="15.75">
      <c r="B123" s="7" t="s">
        <v>370</v>
      </c>
      <c r="C123" s="499"/>
      <c r="D123" s="500"/>
      <c r="E123" s="501"/>
      <c r="F123" s="8" t="s">
        <v>370</v>
      </c>
      <c r="G123" s="498"/>
      <c r="H123" s="498"/>
      <c r="I123" s="8" t="s">
        <v>370</v>
      </c>
      <c r="J123" s="498"/>
      <c r="K123" s="498"/>
    </row>
    <row r="127" spans="2:20" ht="18.75">
      <c r="B127" s="502" t="s">
        <v>1522</v>
      </c>
      <c r="C127" s="502"/>
      <c r="D127" s="502"/>
      <c r="E127" s="502"/>
      <c r="F127" s="502"/>
      <c r="G127" s="502"/>
      <c r="H127" s="502"/>
      <c r="I127" s="502"/>
      <c r="J127" s="502"/>
      <c r="K127" s="502"/>
    </row>
    <row r="128" spans="2:20" ht="37.5">
      <c r="B128" s="25" t="s">
        <v>179</v>
      </c>
      <c r="C128" s="25" t="s">
        <v>180</v>
      </c>
      <c r="D128" s="25" t="s">
        <v>13</v>
      </c>
      <c r="E128" s="25" t="s">
        <v>181</v>
      </c>
      <c r="F128" s="27" t="s">
        <v>449</v>
      </c>
      <c r="G128" s="25" t="s">
        <v>183</v>
      </c>
      <c r="H128" s="33" t="s">
        <v>184</v>
      </c>
      <c r="I128" s="26" t="s">
        <v>185</v>
      </c>
      <c r="J128" s="26" t="s">
        <v>186</v>
      </c>
      <c r="K128" s="26" t="s">
        <v>187</v>
      </c>
    </row>
    <row r="129" spans="2:11">
      <c r="B129" s="5">
        <v>1</v>
      </c>
      <c r="C129" s="5" t="s">
        <v>840</v>
      </c>
      <c r="D129" s="5" t="s">
        <v>48</v>
      </c>
      <c r="E129" s="5" t="s">
        <v>301</v>
      </c>
      <c r="F129" s="5"/>
      <c r="G129" s="5">
        <v>63</v>
      </c>
      <c r="H129" s="5">
        <v>5.7</v>
      </c>
      <c r="I129" s="5">
        <v>554.9</v>
      </c>
      <c r="J129" s="5">
        <v>1.03</v>
      </c>
      <c r="K129" s="5"/>
    </row>
    <row r="130" spans="2:11">
      <c r="B130" s="5">
        <f>1+B129</f>
        <v>2</v>
      </c>
      <c r="C130" s="5" t="s">
        <v>58</v>
      </c>
      <c r="D130" s="5" t="s">
        <v>56</v>
      </c>
      <c r="E130" s="5" t="s">
        <v>193</v>
      </c>
      <c r="F130" s="5"/>
      <c r="G130" s="5">
        <v>63</v>
      </c>
      <c r="H130" s="5">
        <v>3.5</v>
      </c>
      <c r="I130" s="5">
        <v>849.6</v>
      </c>
      <c r="J130" s="5">
        <v>1.03</v>
      </c>
      <c r="K130" s="5"/>
    </row>
    <row r="131" spans="2:11">
      <c r="B131" s="5">
        <f t="shared" ref="B131:B185" si="6">1+B130</f>
        <v>3</v>
      </c>
      <c r="C131" s="5" t="s">
        <v>58</v>
      </c>
      <c r="D131" s="5" t="s">
        <v>56</v>
      </c>
      <c r="E131" s="5" t="s">
        <v>199</v>
      </c>
      <c r="F131" s="5"/>
      <c r="G131" s="5">
        <v>63</v>
      </c>
      <c r="H131" s="5">
        <v>67.5</v>
      </c>
      <c r="I131" s="5">
        <v>1208.5999999999999</v>
      </c>
      <c r="J131" s="5">
        <v>1.05</v>
      </c>
      <c r="K131" s="5"/>
    </row>
    <row r="132" spans="2:11">
      <c r="B132" s="5">
        <f t="shared" si="6"/>
        <v>4</v>
      </c>
      <c r="C132" s="5" t="s">
        <v>348</v>
      </c>
      <c r="D132" s="5" t="s">
        <v>238</v>
      </c>
      <c r="E132" s="5" t="s">
        <v>199</v>
      </c>
      <c r="F132" s="5"/>
      <c r="G132" s="5">
        <v>63</v>
      </c>
      <c r="H132" s="5">
        <v>75.7</v>
      </c>
      <c r="I132" s="5">
        <v>1284.3</v>
      </c>
      <c r="J132" s="5">
        <v>1.03</v>
      </c>
      <c r="K132" s="5"/>
    </row>
    <row r="133" spans="2:11">
      <c r="B133" s="5">
        <f t="shared" si="6"/>
        <v>5</v>
      </c>
      <c r="C133" s="5" t="s">
        <v>348</v>
      </c>
      <c r="D133" s="5" t="s">
        <v>346</v>
      </c>
      <c r="E133" s="5" t="s">
        <v>199</v>
      </c>
      <c r="F133" s="5"/>
      <c r="G133" s="5">
        <v>63</v>
      </c>
      <c r="H133" s="5">
        <v>97.1</v>
      </c>
      <c r="I133" s="5">
        <v>1381.4</v>
      </c>
      <c r="J133" s="5">
        <v>1.03</v>
      </c>
      <c r="K133" s="5"/>
    </row>
    <row r="134" spans="2:11">
      <c r="B134" s="5">
        <f t="shared" si="6"/>
        <v>6</v>
      </c>
      <c r="C134" s="5" t="s">
        <v>346</v>
      </c>
      <c r="D134" s="5" t="s">
        <v>639</v>
      </c>
      <c r="E134" s="5" t="s">
        <v>199</v>
      </c>
      <c r="F134" s="5"/>
      <c r="G134" s="5">
        <v>63</v>
      </c>
      <c r="H134" s="5">
        <v>24.1</v>
      </c>
      <c r="I134" s="5">
        <v>1405.5</v>
      </c>
      <c r="J134" s="5">
        <v>1.05</v>
      </c>
      <c r="K134" s="5"/>
    </row>
    <row r="135" spans="2:11">
      <c r="B135" s="5">
        <f t="shared" si="6"/>
        <v>7</v>
      </c>
      <c r="C135" s="5" t="s">
        <v>346</v>
      </c>
      <c r="D135" s="5" t="s">
        <v>244</v>
      </c>
      <c r="E135" s="5" t="s">
        <v>199</v>
      </c>
      <c r="F135" s="5"/>
      <c r="G135" s="5">
        <v>63</v>
      </c>
      <c r="H135" s="5">
        <v>43.7</v>
      </c>
      <c r="I135" s="5">
        <v>1449.2</v>
      </c>
      <c r="J135" s="5">
        <v>1.03</v>
      </c>
      <c r="K135" s="5"/>
    </row>
    <row r="136" spans="2:11">
      <c r="B136" s="5">
        <f t="shared" si="6"/>
        <v>8</v>
      </c>
      <c r="C136" s="5" t="s">
        <v>244</v>
      </c>
      <c r="D136" s="5" t="s">
        <v>323</v>
      </c>
      <c r="E136" s="5" t="s">
        <v>199</v>
      </c>
      <c r="F136" s="5"/>
      <c r="G136" s="5">
        <v>63</v>
      </c>
      <c r="H136" s="5">
        <v>22.1</v>
      </c>
      <c r="I136" s="5">
        <v>1550.2</v>
      </c>
      <c r="J136" s="5">
        <v>1.06</v>
      </c>
      <c r="K136" s="5"/>
    </row>
    <row r="137" spans="2:11">
      <c r="B137" s="5">
        <f t="shared" si="6"/>
        <v>9</v>
      </c>
      <c r="C137" s="5" t="s">
        <v>323</v>
      </c>
      <c r="D137" s="5" t="s">
        <v>243</v>
      </c>
      <c r="E137" s="5" t="s">
        <v>1521</v>
      </c>
      <c r="F137" s="5"/>
      <c r="G137" s="5">
        <v>63</v>
      </c>
      <c r="H137" s="5">
        <v>23.8</v>
      </c>
      <c r="I137" s="5">
        <v>1749.3</v>
      </c>
      <c r="J137" s="5">
        <v>1.06</v>
      </c>
      <c r="K137" s="5"/>
    </row>
    <row r="138" spans="2:11">
      <c r="B138" s="5">
        <f t="shared" si="6"/>
        <v>10</v>
      </c>
      <c r="C138" s="5" t="s">
        <v>323</v>
      </c>
      <c r="D138" s="5" t="s">
        <v>358</v>
      </c>
      <c r="E138" s="5" t="s">
        <v>1521</v>
      </c>
      <c r="F138" s="5"/>
      <c r="G138" s="5">
        <v>63</v>
      </c>
      <c r="H138" s="5">
        <v>106.7</v>
      </c>
      <c r="I138" s="5">
        <v>1879.4</v>
      </c>
      <c r="J138" s="5">
        <v>0.95</v>
      </c>
      <c r="K138" s="5"/>
    </row>
    <row r="139" spans="2:11">
      <c r="B139" s="5">
        <f t="shared" si="6"/>
        <v>11</v>
      </c>
      <c r="C139" s="5" t="s">
        <v>358</v>
      </c>
      <c r="D139" s="5" t="s">
        <v>308</v>
      </c>
      <c r="E139" s="5" t="s">
        <v>1521</v>
      </c>
      <c r="F139" s="5"/>
      <c r="G139" s="5">
        <v>63</v>
      </c>
      <c r="H139" s="5">
        <v>27.3</v>
      </c>
      <c r="I139" s="5">
        <v>1906.7</v>
      </c>
      <c r="J139" s="5">
        <v>0.96</v>
      </c>
      <c r="K139" s="5"/>
    </row>
    <row r="140" spans="2:11">
      <c r="B140" s="5">
        <f t="shared" si="6"/>
        <v>12</v>
      </c>
      <c r="C140" s="5" t="s">
        <v>358</v>
      </c>
      <c r="D140" s="5" t="s">
        <v>308</v>
      </c>
      <c r="E140" s="5" t="s">
        <v>1521</v>
      </c>
      <c r="F140" s="5"/>
      <c r="G140" s="5">
        <v>63</v>
      </c>
      <c r="H140" s="5">
        <v>18.8</v>
      </c>
      <c r="I140" s="5">
        <v>1936.6</v>
      </c>
      <c r="J140" s="5">
        <v>1.05</v>
      </c>
      <c r="K140" s="5"/>
    </row>
    <row r="141" spans="2:11">
      <c r="B141" s="5">
        <f t="shared" si="6"/>
        <v>13</v>
      </c>
      <c r="C141" s="5" t="s">
        <v>386</v>
      </c>
      <c r="D141" s="5" t="s">
        <v>424</v>
      </c>
      <c r="E141" s="5" t="s">
        <v>199</v>
      </c>
      <c r="F141" s="5"/>
      <c r="G141" s="5">
        <v>63</v>
      </c>
      <c r="H141" s="5">
        <v>30.9</v>
      </c>
      <c r="I141" s="5">
        <v>2820.8</v>
      </c>
      <c r="J141" s="5">
        <v>1.02</v>
      </c>
      <c r="K141" s="5"/>
    </row>
    <row r="142" spans="2:11">
      <c r="B142" s="5">
        <f t="shared" si="6"/>
        <v>14</v>
      </c>
      <c r="C142" s="5" t="s">
        <v>424</v>
      </c>
      <c r="D142" s="5" t="s">
        <v>425</v>
      </c>
      <c r="E142" s="5" t="s">
        <v>199</v>
      </c>
      <c r="F142" s="5"/>
      <c r="G142" s="5">
        <v>63</v>
      </c>
      <c r="H142" s="5">
        <v>49.4</v>
      </c>
      <c r="I142" s="5">
        <v>2905.9</v>
      </c>
      <c r="J142" s="5">
        <v>1.02</v>
      </c>
      <c r="K142" s="5"/>
    </row>
    <row r="143" spans="2:11">
      <c r="B143" s="5">
        <f t="shared" si="6"/>
        <v>15</v>
      </c>
      <c r="C143" s="5" t="s">
        <v>424</v>
      </c>
      <c r="D143" s="5" t="s">
        <v>254</v>
      </c>
      <c r="E143" s="5" t="s">
        <v>199</v>
      </c>
      <c r="F143" s="5"/>
      <c r="G143" s="5">
        <v>63</v>
      </c>
      <c r="H143" s="5">
        <v>18</v>
      </c>
      <c r="I143" s="5">
        <v>3279.5</v>
      </c>
      <c r="J143" s="5">
        <v>1.04</v>
      </c>
      <c r="K143" s="5"/>
    </row>
    <row r="144" spans="2:11">
      <c r="B144" s="5">
        <f t="shared" si="6"/>
        <v>16</v>
      </c>
      <c r="C144" s="5" t="s">
        <v>254</v>
      </c>
      <c r="D144" s="5" t="s">
        <v>399</v>
      </c>
      <c r="E144" s="5" t="s">
        <v>199</v>
      </c>
      <c r="F144" s="5"/>
      <c r="G144" s="5">
        <v>63</v>
      </c>
      <c r="H144" s="5">
        <v>15.5</v>
      </c>
      <c r="I144" s="5">
        <v>3295</v>
      </c>
      <c r="J144" s="5">
        <v>1.04</v>
      </c>
      <c r="K144" s="5"/>
    </row>
    <row r="145" spans="2:11">
      <c r="B145" s="5">
        <f t="shared" si="6"/>
        <v>17</v>
      </c>
      <c r="C145" s="5" t="s">
        <v>399</v>
      </c>
      <c r="D145" s="5" t="s">
        <v>253</v>
      </c>
      <c r="E145" s="5" t="s">
        <v>199</v>
      </c>
      <c r="F145" s="5"/>
      <c r="G145" s="5">
        <v>63</v>
      </c>
      <c r="H145" s="5">
        <v>13.6</v>
      </c>
      <c r="I145" s="5">
        <v>3308.6</v>
      </c>
      <c r="J145" s="5">
        <v>1.04</v>
      </c>
      <c r="K145" s="5"/>
    </row>
    <row r="146" spans="2:11">
      <c r="B146" s="5">
        <f t="shared" si="6"/>
        <v>18</v>
      </c>
      <c r="C146" s="5" t="s">
        <v>399</v>
      </c>
      <c r="D146" s="5" t="s">
        <v>524</v>
      </c>
      <c r="E146" s="5" t="s">
        <v>199</v>
      </c>
      <c r="F146" s="5"/>
      <c r="G146" s="5">
        <v>63</v>
      </c>
      <c r="H146" s="5">
        <v>46.4</v>
      </c>
      <c r="I146" s="5">
        <v>3366.6</v>
      </c>
      <c r="J146" s="5">
        <v>1.06</v>
      </c>
      <c r="K146" s="5"/>
    </row>
    <row r="147" spans="2:11">
      <c r="B147" s="5">
        <f t="shared" si="6"/>
        <v>19</v>
      </c>
      <c r="C147" s="5" t="s">
        <v>524</v>
      </c>
      <c r="D147" s="5" t="s">
        <v>398</v>
      </c>
      <c r="E147" s="5" t="s">
        <v>199</v>
      </c>
      <c r="F147" s="5"/>
      <c r="G147" s="5">
        <v>63</v>
      </c>
      <c r="H147" s="5">
        <v>26.9</v>
      </c>
      <c r="I147" s="5">
        <v>3393.5</v>
      </c>
      <c r="J147" s="5">
        <v>1.06</v>
      </c>
      <c r="K147" s="5"/>
    </row>
    <row r="148" spans="2:11">
      <c r="B148" s="5">
        <f t="shared" si="6"/>
        <v>20</v>
      </c>
      <c r="C148" s="5" t="s">
        <v>524</v>
      </c>
      <c r="D148" s="5" t="s">
        <v>426</v>
      </c>
      <c r="E148" s="5" t="s">
        <v>199</v>
      </c>
      <c r="F148" s="5"/>
      <c r="G148" s="5">
        <v>63</v>
      </c>
      <c r="H148" s="5">
        <v>39.700000000000003</v>
      </c>
      <c r="I148" s="5">
        <v>3454.6</v>
      </c>
      <c r="J148" s="5">
        <v>1.06</v>
      </c>
      <c r="K148" s="5"/>
    </row>
    <row r="149" spans="2:11">
      <c r="B149" s="5">
        <f t="shared" si="6"/>
        <v>21</v>
      </c>
      <c r="C149" s="5" t="s">
        <v>254</v>
      </c>
      <c r="D149" s="5" t="s">
        <v>625</v>
      </c>
      <c r="E149" s="5" t="s">
        <v>199</v>
      </c>
      <c r="F149" s="5"/>
      <c r="G149" s="5">
        <v>63</v>
      </c>
      <c r="H149" s="5">
        <v>42.4</v>
      </c>
      <c r="I149" s="5">
        <v>3555.2</v>
      </c>
      <c r="J149" s="5">
        <v>1.04</v>
      </c>
      <c r="K149" s="5"/>
    </row>
    <row r="150" spans="2:11">
      <c r="B150" s="5">
        <f t="shared" si="6"/>
        <v>22</v>
      </c>
      <c r="C150" s="5" t="s">
        <v>625</v>
      </c>
      <c r="D150" s="5" t="s">
        <v>259</v>
      </c>
      <c r="E150" s="5" t="s">
        <v>199</v>
      </c>
      <c r="F150" s="5"/>
      <c r="G150" s="5">
        <v>63</v>
      </c>
      <c r="H150" s="5">
        <v>53.7</v>
      </c>
      <c r="I150" s="5">
        <v>3608.9</v>
      </c>
      <c r="J150" s="5">
        <v>1.06</v>
      </c>
      <c r="K150" s="5"/>
    </row>
    <row r="151" spans="2:11">
      <c r="B151" s="5">
        <f t="shared" si="6"/>
        <v>23</v>
      </c>
      <c r="C151" s="5" t="s">
        <v>259</v>
      </c>
      <c r="D151" s="5" t="s">
        <v>261</v>
      </c>
      <c r="E151" s="5" t="s">
        <v>199</v>
      </c>
      <c r="F151" s="5"/>
      <c r="G151" s="5">
        <v>63</v>
      </c>
      <c r="H151" s="5">
        <v>118.5</v>
      </c>
      <c r="I151" s="5">
        <v>3775</v>
      </c>
      <c r="J151" s="5">
        <v>1.06</v>
      </c>
      <c r="K151" s="5"/>
    </row>
    <row r="152" spans="2:11">
      <c r="B152" s="5">
        <f t="shared" si="6"/>
        <v>24</v>
      </c>
      <c r="C152" s="5" t="s">
        <v>261</v>
      </c>
      <c r="D152" s="5" t="s">
        <v>264</v>
      </c>
      <c r="E152" s="5" t="s">
        <v>199</v>
      </c>
      <c r="F152" s="5"/>
      <c r="G152" s="5">
        <v>63</v>
      </c>
      <c r="H152" s="5">
        <v>286</v>
      </c>
      <c r="I152" s="5">
        <v>4188.6000000000004</v>
      </c>
      <c r="J152" s="5">
        <v>1.06</v>
      </c>
      <c r="K152" s="5"/>
    </row>
    <row r="153" spans="2:11">
      <c r="B153" s="5">
        <f t="shared" si="6"/>
        <v>25</v>
      </c>
      <c r="C153" s="5" t="s">
        <v>394</v>
      </c>
      <c r="D153" s="5" t="s">
        <v>267</v>
      </c>
      <c r="E153" s="5" t="s">
        <v>199</v>
      </c>
      <c r="F153" s="5"/>
      <c r="G153" s="5">
        <v>63</v>
      </c>
      <c r="H153" s="5">
        <v>142</v>
      </c>
      <c r="I153" s="5">
        <v>4886.6000000000004</v>
      </c>
      <c r="J153" s="5">
        <v>1.03</v>
      </c>
      <c r="K153" s="5"/>
    </row>
    <row r="154" spans="2:11">
      <c r="B154" s="5">
        <f t="shared" si="6"/>
        <v>26</v>
      </c>
      <c r="C154" s="5" t="s">
        <v>277</v>
      </c>
      <c r="D154" s="5" t="s">
        <v>416</v>
      </c>
      <c r="E154" s="5" t="s">
        <v>301</v>
      </c>
      <c r="F154" s="5"/>
      <c r="G154" s="5">
        <v>63</v>
      </c>
      <c r="H154" s="5">
        <v>10.4</v>
      </c>
      <c r="I154" s="5">
        <v>4897</v>
      </c>
      <c r="J154" s="5">
        <v>1.03</v>
      </c>
      <c r="K154" s="5"/>
    </row>
    <row r="155" spans="2:11">
      <c r="B155" s="5">
        <f t="shared" si="6"/>
        <v>27</v>
      </c>
      <c r="C155" s="5" t="s">
        <v>277</v>
      </c>
      <c r="D155" s="5" t="s">
        <v>625</v>
      </c>
      <c r="E155" s="5" t="s">
        <v>199</v>
      </c>
      <c r="F155" s="5"/>
      <c r="G155" s="5">
        <v>63</v>
      </c>
      <c r="H155" s="5">
        <v>3.2</v>
      </c>
      <c r="I155" s="5">
        <v>4975.8999999999996</v>
      </c>
      <c r="J155" s="5">
        <v>1.03</v>
      </c>
      <c r="K155" s="5"/>
    </row>
    <row r="156" spans="2:11">
      <c r="B156" s="5">
        <f t="shared" si="6"/>
        <v>28</v>
      </c>
      <c r="C156" s="5" t="s">
        <v>392</v>
      </c>
      <c r="D156" s="5" t="s">
        <v>277</v>
      </c>
      <c r="E156" s="5" t="s">
        <v>199</v>
      </c>
      <c r="F156" s="5"/>
      <c r="G156" s="5">
        <v>63</v>
      </c>
      <c r="H156" s="5">
        <v>35.299999999999997</v>
      </c>
      <c r="I156" s="5">
        <v>5011.2</v>
      </c>
      <c r="J156" s="5">
        <v>1.03</v>
      </c>
      <c r="K156" s="5"/>
    </row>
    <row r="157" spans="2:11">
      <c r="B157" s="5">
        <f t="shared" si="6"/>
        <v>29</v>
      </c>
      <c r="C157" s="5" t="s">
        <v>525</v>
      </c>
      <c r="D157" s="5" t="s">
        <v>265</v>
      </c>
      <c r="E157" s="5" t="s">
        <v>193</v>
      </c>
      <c r="F157" s="5"/>
      <c r="G157" s="5">
        <v>63</v>
      </c>
      <c r="H157" s="5">
        <v>4</v>
      </c>
      <c r="I157" s="5">
        <v>5073.3999999999996</v>
      </c>
      <c r="J157" s="5">
        <v>1.05</v>
      </c>
      <c r="K157" s="5"/>
    </row>
    <row r="158" spans="2:11">
      <c r="B158" s="5">
        <f t="shared" si="6"/>
        <v>30</v>
      </c>
      <c r="C158" s="5" t="s">
        <v>509</v>
      </c>
      <c r="D158" s="5">
        <v>91</v>
      </c>
      <c r="E158" s="5" t="s">
        <v>193</v>
      </c>
      <c r="F158" s="5"/>
      <c r="G158" s="5">
        <v>63</v>
      </c>
      <c r="H158" s="5">
        <v>4.5</v>
      </c>
      <c r="I158" s="5">
        <v>5619.8</v>
      </c>
      <c r="J158" s="5">
        <v>1.05</v>
      </c>
      <c r="K158" s="5"/>
    </row>
    <row r="159" spans="2:11">
      <c r="B159" s="5">
        <f t="shared" si="6"/>
        <v>31</v>
      </c>
      <c r="C159" s="5" t="s">
        <v>516</v>
      </c>
      <c r="D159" s="5" t="s">
        <v>510</v>
      </c>
      <c r="E159" s="5" t="s">
        <v>193</v>
      </c>
      <c r="F159" s="5"/>
      <c r="G159" s="5">
        <v>63</v>
      </c>
      <c r="H159" s="5">
        <v>4</v>
      </c>
      <c r="I159" s="5">
        <v>5623.8</v>
      </c>
      <c r="J159" s="5">
        <v>1.03</v>
      </c>
      <c r="K159" s="5"/>
    </row>
    <row r="160" spans="2:11">
      <c r="B160" s="5">
        <f t="shared" si="6"/>
        <v>32</v>
      </c>
      <c r="C160" s="5" t="s">
        <v>516</v>
      </c>
      <c r="D160" s="5" t="s">
        <v>510</v>
      </c>
      <c r="E160" s="5" t="s">
        <v>199</v>
      </c>
      <c r="F160" s="5"/>
      <c r="G160" s="5">
        <v>63</v>
      </c>
      <c r="H160" s="5">
        <v>51</v>
      </c>
      <c r="I160" s="5">
        <v>5674.8</v>
      </c>
      <c r="J160" s="5">
        <v>1.06</v>
      </c>
      <c r="K160" s="5"/>
    </row>
    <row r="161" spans="2:11">
      <c r="B161" s="5">
        <f t="shared" si="6"/>
        <v>33</v>
      </c>
      <c r="C161" s="5" t="s">
        <v>273</v>
      </c>
      <c r="D161" s="5" t="s">
        <v>271</v>
      </c>
      <c r="E161" s="5" t="s">
        <v>301</v>
      </c>
      <c r="F161" s="5"/>
      <c r="G161" s="5">
        <v>63</v>
      </c>
      <c r="H161" s="5">
        <v>2.8</v>
      </c>
      <c r="I161" s="5">
        <v>5730</v>
      </c>
      <c r="J161" s="5">
        <v>1.04</v>
      </c>
      <c r="K161" s="5"/>
    </row>
    <row r="162" spans="2:11">
      <c r="B162" s="5">
        <f t="shared" si="6"/>
        <v>34</v>
      </c>
      <c r="C162" s="5" t="s">
        <v>271</v>
      </c>
      <c r="D162" s="5" t="s">
        <v>538</v>
      </c>
      <c r="E162" s="5" t="s">
        <v>1521</v>
      </c>
      <c r="F162" s="5"/>
      <c r="G162" s="5">
        <v>63</v>
      </c>
      <c r="H162" s="5">
        <v>34.799999999999997</v>
      </c>
      <c r="I162" s="5">
        <v>5764.8</v>
      </c>
      <c r="J162" s="5">
        <v>1.03</v>
      </c>
      <c r="K162" s="5"/>
    </row>
    <row r="163" spans="2:11">
      <c r="B163" s="5">
        <f t="shared" si="6"/>
        <v>35</v>
      </c>
      <c r="C163" s="5" t="s">
        <v>272</v>
      </c>
      <c r="D163" s="5" t="s">
        <v>271</v>
      </c>
      <c r="E163" s="5" t="s">
        <v>1521</v>
      </c>
      <c r="F163" s="5"/>
      <c r="G163" s="5">
        <v>63</v>
      </c>
      <c r="H163" s="5">
        <v>33.5</v>
      </c>
      <c r="I163" s="5">
        <v>5798.3</v>
      </c>
      <c r="J163" s="5">
        <v>1.03</v>
      </c>
      <c r="K163" s="5"/>
    </row>
    <row r="164" spans="2:11">
      <c r="B164" s="5">
        <f t="shared" si="6"/>
        <v>36</v>
      </c>
      <c r="C164" s="5" t="s">
        <v>272</v>
      </c>
      <c r="D164" s="5" t="s">
        <v>198</v>
      </c>
      <c r="E164" s="5" t="s">
        <v>1521</v>
      </c>
      <c r="F164" s="5"/>
      <c r="G164" s="5">
        <v>63</v>
      </c>
      <c r="H164" s="5">
        <v>57.3</v>
      </c>
      <c r="I164" s="5">
        <v>5855.6</v>
      </c>
      <c r="J164" s="5">
        <v>1.03</v>
      </c>
      <c r="K164" s="5"/>
    </row>
    <row r="165" spans="2:11">
      <c r="B165" s="5">
        <f t="shared" si="6"/>
        <v>37</v>
      </c>
      <c r="C165" s="5" t="s">
        <v>272</v>
      </c>
      <c r="D165" s="5" t="s">
        <v>198</v>
      </c>
      <c r="E165" s="5" t="s">
        <v>199</v>
      </c>
      <c r="F165" s="5"/>
      <c r="G165" s="5">
        <v>63</v>
      </c>
      <c r="H165" s="5">
        <v>46.9</v>
      </c>
      <c r="I165" s="5">
        <v>5904.7</v>
      </c>
      <c r="J165" s="5">
        <v>1.03</v>
      </c>
      <c r="K165" s="5"/>
    </row>
    <row r="166" spans="2:11">
      <c r="B166" s="5">
        <f t="shared" si="6"/>
        <v>38</v>
      </c>
      <c r="C166" s="5" t="s">
        <v>198</v>
      </c>
      <c r="D166" s="5" t="s">
        <v>197</v>
      </c>
      <c r="E166" s="5" t="s">
        <v>199</v>
      </c>
      <c r="F166" s="5"/>
      <c r="G166" s="5">
        <v>63</v>
      </c>
      <c r="H166" s="5">
        <v>234.5</v>
      </c>
      <c r="I166" s="5">
        <v>6331.6</v>
      </c>
      <c r="J166" s="5">
        <v>1.03</v>
      </c>
      <c r="K166" s="5"/>
    </row>
    <row r="167" spans="2:11">
      <c r="B167" s="5">
        <f t="shared" si="6"/>
        <v>39</v>
      </c>
      <c r="C167" s="5" t="s">
        <v>506</v>
      </c>
      <c r="D167" s="5" t="s">
        <v>504</v>
      </c>
      <c r="E167" s="5" t="s">
        <v>193</v>
      </c>
      <c r="F167" s="5"/>
      <c r="G167" s="5">
        <v>63</v>
      </c>
      <c r="H167" s="5">
        <v>4.8</v>
      </c>
      <c r="I167" s="5">
        <v>6336.4</v>
      </c>
      <c r="J167" s="5">
        <v>1.03</v>
      </c>
      <c r="K167" s="5"/>
    </row>
    <row r="168" spans="2:11">
      <c r="B168" s="5">
        <f t="shared" si="6"/>
        <v>40</v>
      </c>
      <c r="C168" s="5" t="s">
        <v>506</v>
      </c>
      <c r="D168" s="5" t="s">
        <v>504</v>
      </c>
      <c r="E168" s="5" t="s">
        <v>199</v>
      </c>
      <c r="F168" s="5"/>
      <c r="G168" s="5">
        <v>63</v>
      </c>
      <c r="H168" s="5">
        <v>9</v>
      </c>
      <c r="I168" s="5">
        <v>6345.4</v>
      </c>
      <c r="J168" s="5">
        <v>1.05</v>
      </c>
      <c r="K168" s="5"/>
    </row>
    <row r="169" spans="2:11">
      <c r="B169" s="5">
        <f t="shared" si="6"/>
        <v>41</v>
      </c>
      <c r="C169" s="5" t="s">
        <v>504</v>
      </c>
      <c r="D169" s="5" t="s">
        <v>418</v>
      </c>
      <c r="E169" s="5" t="s">
        <v>199</v>
      </c>
      <c r="F169" s="5"/>
      <c r="G169" s="5">
        <v>63</v>
      </c>
      <c r="H169" s="5">
        <v>107</v>
      </c>
      <c r="I169" s="5">
        <v>6452.4</v>
      </c>
      <c r="J169" s="5">
        <v>1.03</v>
      </c>
      <c r="K169" s="5"/>
    </row>
    <row r="170" spans="2:11">
      <c r="B170" s="5">
        <f t="shared" si="6"/>
        <v>42</v>
      </c>
      <c r="C170" s="5" t="s">
        <v>418</v>
      </c>
      <c r="D170" s="5" t="s">
        <v>417</v>
      </c>
      <c r="E170" s="5" t="s">
        <v>199</v>
      </c>
      <c r="F170" s="5"/>
      <c r="G170" s="5">
        <v>63</v>
      </c>
      <c r="H170" s="5">
        <v>16.600000000000001</v>
      </c>
      <c r="I170" s="5">
        <v>6469</v>
      </c>
      <c r="J170" s="5">
        <v>1.03</v>
      </c>
      <c r="K170" s="5"/>
    </row>
    <row r="171" spans="2:11">
      <c r="B171" s="5">
        <f t="shared" si="6"/>
        <v>43</v>
      </c>
      <c r="C171" s="5" t="s">
        <v>285</v>
      </c>
      <c r="D171" s="5" t="s">
        <v>418</v>
      </c>
      <c r="E171" s="5" t="s">
        <v>199</v>
      </c>
      <c r="F171" s="5"/>
      <c r="G171" s="5">
        <v>63</v>
      </c>
      <c r="H171" s="5">
        <v>8.4</v>
      </c>
      <c r="I171" s="5">
        <v>6477.4</v>
      </c>
      <c r="J171" s="5">
        <v>1.05</v>
      </c>
      <c r="K171" s="5"/>
    </row>
    <row r="172" spans="2:11">
      <c r="B172" s="5">
        <f t="shared" si="6"/>
        <v>44</v>
      </c>
      <c r="C172" s="5" t="s">
        <v>504</v>
      </c>
      <c r="D172" s="5" t="s">
        <v>416</v>
      </c>
      <c r="E172" s="5" t="s">
        <v>199</v>
      </c>
      <c r="F172" s="5"/>
      <c r="G172" s="5">
        <v>63</v>
      </c>
      <c r="H172" s="5">
        <v>44.6</v>
      </c>
      <c r="I172" s="5">
        <v>6522</v>
      </c>
      <c r="J172" s="5">
        <v>1.03</v>
      </c>
      <c r="K172" s="5"/>
    </row>
    <row r="173" spans="2:11">
      <c r="B173" s="5">
        <f t="shared" si="6"/>
        <v>45</v>
      </c>
      <c r="C173" s="5" t="s">
        <v>249</v>
      </c>
      <c r="D173" s="5" t="s">
        <v>356</v>
      </c>
      <c r="E173" s="5" t="s">
        <v>199</v>
      </c>
      <c r="F173" s="5"/>
      <c r="G173" s="5">
        <v>63</v>
      </c>
      <c r="H173" s="5">
        <v>82.5</v>
      </c>
      <c r="I173" s="5">
        <v>6604.5</v>
      </c>
      <c r="J173" s="5">
        <v>1.04</v>
      </c>
      <c r="K173" s="5"/>
    </row>
    <row r="174" spans="2:11">
      <c r="B174" s="5">
        <f t="shared" si="6"/>
        <v>46</v>
      </c>
      <c r="C174" s="5" t="s">
        <v>249</v>
      </c>
      <c r="D174" s="5" t="s">
        <v>356</v>
      </c>
      <c r="E174" s="5" t="s">
        <v>199</v>
      </c>
      <c r="F174" s="5"/>
      <c r="G174" s="5">
        <v>63</v>
      </c>
      <c r="H174" s="5">
        <v>31</v>
      </c>
      <c r="I174" s="5">
        <v>6659.8</v>
      </c>
      <c r="J174" s="5">
        <v>1.03</v>
      </c>
      <c r="K174" s="5"/>
    </row>
    <row r="175" spans="2:11">
      <c r="B175" s="5">
        <f t="shared" si="6"/>
        <v>47</v>
      </c>
      <c r="C175" s="5" t="s">
        <v>509</v>
      </c>
      <c r="D175" s="5" t="s">
        <v>274</v>
      </c>
      <c r="E175" s="5" t="s">
        <v>199</v>
      </c>
      <c r="F175" s="5"/>
      <c r="G175" s="5">
        <v>63</v>
      </c>
      <c r="H175" s="5">
        <v>49.5</v>
      </c>
      <c r="I175" s="5">
        <v>6709.3</v>
      </c>
      <c r="J175" s="5">
        <v>1.03</v>
      </c>
      <c r="K175" s="5"/>
    </row>
    <row r="176" spans="2:11">
      <c r="B176" s="5">
        <f t="shared" si="6"/>
        <v>48</v>
      </c>
      <c r="C176" s="5" t="s">
        <v>275</v>
      </c>
      <c r="D176" s="5" t="s">
        <v>245</v>
      </c>
      <c r="E176" s="5" t="s">
        <v>193</v>
      </c>
      <c r="F176" s="5"/>
      <c r="G176" s="5">
        <v>63</v>
      </c>
      <c r="H176" s="5">
        <v>4</v>
      </c>
      <c r="I176" s="5">
        <v>6713.3</v>
      </c>
      <c r="J176" s="5">
        <v>1.03</v>
      </c>
      <c r="K176" s="5"/>
    </row>
    <row r="177" spans="2:15">
      <c r="B177" s="5">
        <f t="shared" si="6"/>
        <v>49</v>
      </c>
      <c r="C177" s="5" t="s">
        <v>537</v>
      </c>
      <c r="D177" s="5" t="s">
        <v>359</v>
      </c>
      <c r="E177" s="5" t="s">
        <v>193</v>
      </c>
      <c r="F177" s="5"/>
      <c r="G177" s="5">
        <v>63</v>
      </c>
      <c r="H177" s="5">
        <v>4</v>
      </c>
      <c r="I177" s="5">
        <v>7227.8</v>
      </c>
      <c r="J177" s="5">
        <v>0.96</v>
      </c>
      <c r="K177" s="5"/>
      <c r="M177">
        <f>6103.6+2282.6</f>
        <v>8386.2000000000007</v>
      </c>
    </row>
    <row r="178" spans="2:15">
      <c r="B178" s="5">
        <f t="shared" si="6"/>
        <v>50</v>
      </c>
      <c r="C178" s="5" t="s">
        <v>267</v>
      </c>
      <c r="D178" s="5" t="s">
        <v>277</v>
      </c>
      <c r="E178" s="5" t="s">
        <v>199</v>
      </c>
      <c r="F178" s="5"/>
      <c r="G178" s="5">
        <v>75</v>
      </c>
      <c r="H178" s="5">
        <v>38.6</v>
      </c>
      <c r="I178" s="5">
        <v>7266.4</v>
      </c>
      <c r="J178" s="5">
        <v>0.96</v>
      </c>
      <c r="K178" s="5"/>
      <c r="M178">
        <f>384.4+242.8</f>
        <v>627.20000000000005</v>
      </c>
    </row>
    <row r="179" spans="2:15">
      <c r="B179" s="5">
        <f t="shared" si="6"/>
        <v>51</v>
      </c>
      <c r="C179" s="5" t="s">
        <v>267</v>
      </c>
      <c r="D179" s="5" t="s">
        <v>277</v>
      </c>
      <c r="E179" s="5" t="s">
        <v>1521</v>
      </c>
      <c r="F179" s="5"/>
      <c r="G179" s="5">
        <v>75</v>
      </c>
      <c r="H179" s="5">
        <v>41.1</v>
      </c>
      <c r="I179" s="5">
        <v>7307.5</v>
      </c>
      <c r="J179" s="5">
        <v>1.05</v>
      </c>
      <c r="K179" s="5"/>
      <c r="M179" s="34">
        <v>139.80000000000001</v>
      </c>
    </row>
    <row r="180" spans="2:15">
      <c r="B180" s="5">
        <f t="shared" si="6"/>
        <v>52</v>
      </c>
      <c r="C180" s="5" t="s">
        <v>277</v>
      </c>
      <c r="D180" s="5" t="s">
        <v>625</v>
      </c>
      <c r="E180" s="5" t="s">
        <v>301</v>
      </c>
      <c r="F180" s="5"/>
      <c r="G180" s="5">
        <v>75</v>
      </c>
      <c r="H180" s="5">
        <v>4</v>
      </c>
      <c r="I180" s="5">
        <v>7311.5</v>
      </c>
      <c r="J180" s="5">
        <v>1.06</v>
      </c>
      <c r="K180" s="5"/>
    </row>
    <row r="181" spans="2:15">
      <c r="B181" s="5">
        <f t="shared" si="6"/>
        <v>53</v>
      </c>
      <c r="C181" s="5" t="s">
        <v>267</v>
      </c>
      <c r="D181" s="5" t="s">
        <v>392</v>
      </c>
      <c r="E181" s="5" t="s">
        <v>199</v>
      </c>
      <c r="F181" s="5"/>
      <c r="G181" s="5">
        <v>75</v>
      </c>
      <c r="H181" s="5">
        <v>56.1</v>
      </c>
      <c r="I181" s="5">
        <v>7402.3</v>
      </c>
      <c r="J181" s="5">
        <v>1.06</v>
      </c>
      <c r="K181" s="5"/>
    </row>
    <row r="182" spans="2:15">
      <c r="B182" s="5">
        <f t="shared" si="6"/>
        <v>54</v>
      </c>
      <c r="C182" s="5" t="s">
        <v>392</v>
      </c>
      <c r="D182" s="5" t="s">
        <v>402</v>
      </c>
      <c r="E182" s="5" t="s">
        <v>199</v>
      </c>
      <c r="F182" s="5"/>
      <c r="G182" s="5">
        <v>90</v>
      </c>
      <c r="H182" s="5">
        <v>79</v>
      </c>
      <c r="I182" s="5">
        <v>7736.9</v>
      </c>
      <c r="J182" s="5">
        <v>1.02</v>
      </c>
      <c r="K182" s="5"/>
    </row>
    <row r="183" spans="2:15">
      <c r="B183" s="5">
        <f t="shared" si="6"/>
        <v>55</v>
      </c>
      <c r="C183" s="5" t="s">
        <v>392</v>
      </c>
      <c r="D183" s="5" t="s">
        <v>402</v>
      </c>
      <c r="E183" s="5" t="s">
        <v>193</v>
      </c>
      <c r="F183" s="5"/>
      <c r="G183" s="5">
        <v>90</v>
      </c>
      <c r="H183" s="5">
        <v>3.1</v>
      </c>
      <c r="I183" s="5">
        <v>7740</v>
      </c>
      <c r="J183" s="5">
        <v>1.02</v>
      </c>
      <c r="K183" s="5"/>
    </row>
    <row r="184" spans="2:15">
      <c r="B184" s="5">
        <f t="shared" si="6"/>
        <v>56</v>
      </c>
      <c r="C184" s="5" t="s">
        <v>402</v>
      </c>
      <c r="D184" s="5" t="s">
        <v>281</v>
      </c>
      <c r="E184" s="5" t="s">
        <v>199</v>
      </c>
      <c r="F184" s="5"/>
      <c r="G184" s="5">
        <v>90</v>
      </c>
      <c r="H184" s="5">
        <v>4.0999999999999996</v>
      </c>
      <c r="I184" s="5">
        <v>7778.7</v>
      </c>
      <c r="J184" s="5">
        <v>1.04</v>
      </c>
      <c r="K184" s="5"/>
      <c r="O184">
        <f>6488+8141.8</f>
        <v>14629.8</v>
      </c>
    </row>
    <row r="185" spans="2:15">
      <c r="B185" s="5">
        <f t="shared" si="6"/>
        <v>57</v>
      </c>
      <c r="C185" s="5" t="s">
        <v>391</v>
      </c>
      <c r="D185" s="5" t="s">
        <v>249</v>
      </c>
      <c r="E185" s="5" t="s">
        <v>199</v>
      </c>
      <c r="F185" s="5"/>
      <c r="G185" s="5">
        <v>110</v>
      </c>
      <c r="H185" s="5">
        <v>242.8</v>
      </c>
      <c r="I185" s="5">
        <v>8141.8</v>
      </c>
      <c r="J185" s="5">
        <v>1.06</v>
      </c>
      <c r="K185" s="5"/>
    </row>
    <row r="186" spans="2:15" ht="15.75">
      <c r="B186" s="503" t="s">
        <v>365</v>
      </c>
      <c r="C186" s="504"/>
      <c r="D186" s="504"/>
      <c r="E186" s="505"/>
      <c r="F186" s="506" t="s">
        <v>366</v>
      </c>
      <c r="G186" s="507"/>
      <c r="H186" s="508"/>
      <c r="I186" s="498" t="s">
        <v>367</v>
      </c>
      <c r="J186" s="498"/>
      <c r="K186" s="498"/>
    </row>
    <row r="187" spans="2:15" ht="15.75">
      <c r="B187" s="7" t="s">
        <v>368</v>
      </c>
      <c r="C187" s="499"/>
      <c r="D187" s="500"/>
      <c r="E187" s="501"/>
      <c r="F187" s="8" t="s">
        <v>368</v>
      </c>
      <c r="G187" s="498"/>
      <c r="H187" s="498"/>
      <c r="I187" s="8" t="s">
        <v>368</v>
      </c>
      <c r="J187" s="498"/>
      <c r="K187" s="498"/>
    </row>
    <row r="188" spans="2:15" ht="15.75">
      <c r="B188" s="7" t="s">
        <v>369</v>
      </c>
      <c r="C188" s="498"/>
      <c r="D188" s="498"/>
      <c r="E188" s="498"/>
      <c r="F188" s="8" t="s">
        <v>369</v>
      </c>
      <c r="G188" s="498"/>
      <c r="H188" s="498"/>
      <c r="I188" s="8" t="s">
        <v>369</v>
      </c>
      <c r="J188" s="498"/>
      <c r="K188" s="498"/>
    </row>
    <row r="189" spans="2:15" ht="15.75">
      <c r="B189" s="7" t="s">
        <v>370</v>
      </c>
      <c r="C189" s="499"/>
      <c r="D189" s="500"/>
      <c r="E189" s="501"/>
      <c r="F189" s="8" t="s">
        <v>370</v>
      </c>
      <c r="G189" s="498"/>
      <c r="H189" s="498"/>
      <c r="I189" s="8" t="s">
        <v>370</v>
      </c>
      <c r="J189" s="498"/>
      <c r="K189" s="498"/>
    </row>
  </sheetData>
  <autoFilter ref="B4:K116"/>
  <mergeCells count="26">
    <mergeCell ref="B3:K3"/>
    <mergeCell ref="B120:E120"/>
    <mergeCell ref="F120:H120"/>
    <mergeCell ref="I120:K120"/>
    <mergeCell ref="C121:E121"/>
    <mergeCell ref="G121:H121"/>
    <mergeCell ref="J121:K121"/>
    <mergeCell ref="C122:E122"/>
    <mergeCell ref="G122:H122"/>
    <mergeCell ref="J122:K122"/>
    <mergeCell ref="C123:E123"/>
    <mergeCell ref="G123:H123"/>
    <mergeCell ref="J123:K123"/>
    <mergeCell ref="B127:K127"/>
    <mergeCell ref="B186:E186"/>
    <mergeCell ref="F186:H186"/>
    <mergeCell ref="I186:K186"/>
    <mergeCell ref="C187:E187"/>
    <mergeCell ref="G187:H187"/>
    <mergeCell ref="J187:K187"/>
    <mergeCell ref="C188:E188"/>
    <mergeCell ref="G188:H188"/>
    <mergeCell ref="J188:K188"/>
    <mergeCell ref="C189:E189"/>
    <mergeCell ref="G189:H189"/>
    <mergeCell ref="J189:K18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P199"/>
  <sheetViews>
    <sheetView workbookViewId="0">
      <selection activeCell="J5" sqref="J5:J182"/>
    </sheetView>
  </sheetViews>
  <sheetFormatPr defaultColWidth="9" defaultRowHeight="15"/>
  <cols>
    <col min="4" max="4" width="14.140625" customWidth="1"/>
    <col min="5" max="5" width="13" customWidth="1"/>
    <col min="6" max="6" width="12.140625" customWidth="1"/>
    <col min="7" max="7" width="13" customWidth="1"/>
    <col min="8" max="8" width="15" customWidth="1"/>
    <col min="9" max="9" width="10.28515625" customWidth="1"/>
    <col min="10" max="10" width="12.5703125" customWidth="1"/>
    <col min="11" max="11" width="14.7109375" customWidth="1"/>
    <col min="12" max="12" width="12.85546875" customWidth="1"/>
    <col min="13" max="13" width="12.140625" customWidth="1"/>
  </cols>
  <sheetData>
    <row r="3" spans="4:13" ht="18.75">
      <c r="D3" s="502" t="s">
        <v>1523</v>
      </c>
      <c r="E3" s="502"/>
      <c r="F3" s="502"/>
      <c r="G3" s="502"/>
      <c r="H3" s="502"/>
      <c r="I3" s="502"/>
      <c r="J3" s="502"/>
      <c r="K3" s="502"/>
      <c r="L3" s="502"/>
      <c r="M3" s="502"/>
    </row>
    <row r="4" spans="4:13" ht="56.25">
      <c r="D4" s="25" t="s">
        <v>179</v>
      </c>
      <c r="E4" s="25" t="s">
        <v>180</v>
      </c>
      <c r="F4" s="25" t="s">
        <v>13</v>
      </c>
      <c r="G4" s="26" t="s">
        <v>181</v>
      </c>
      <c r="H4" s="27" t="s">
        <v>182</v>
      </c>
      <c r="I4" s="26" t="s">
        <v>183</v>
      </c>
      <c r="J4" s="28" t="s">
        <v>184</v>
      </c>
      <c r="K4" s="26" t="s">
        <v>185</v>
      </c>
      <c r="L4" s="26" t="s">
        <v>186</v>
      </c>
      <c r="M4" s="26" t="s">
        <v>187</v>
      </c>
    </row>
    <row r="5" spans="4:13">
      <c r="D5" s="5">
        <v>1</v>
      </c>
      <c r="E5" s="5" t="s">
        <v>53</v>
      </c>
      <c r="F5" s="5" t="s">
        <v>78</v>
      </c>
      <c r="G5" s="5" t="s">
        <v>149</v>
      </c>
      <c r="H5" s="22">
        <f>(300+I5)/1000</f>
        <v>0.36299999999999999</v>
      </c>
      <c r="I5" s="5">
        <v>63</v>
      </c>
      <c r="J5" s="5">
        <v>1.8</v>
      </c>
      <c r="K5" s="5">
        <f>+J5</f>
        <v>1.8</v>
      </c>
      <c r="L5" s="22">
        <f>(1000+I5)/1000</f>
        <v>1.0629999999999999</v>
      </c>
      <c r="M5" s="5"/>
    </row>
    <row r="6" spans="4:13">
      <c r="D6" s="5">
        <f>1+D5</f>
        <v>2</v>
      </c>
      <c r="E6" s="5" t="s">
        <v>53</v>
      </c>
      <c r="F6" s="5" t="s">
        <v>78</v>
      </c>
      <c r="G6" s="5"/>
      <c r="H6" s="5"/>
      <c r="I6" s="5">
        <v>63</v>
      </c>
      <c r="J6" s="5">
        <v>80</v>
      </c>
      <c r="K6" s="5">
        <f>+K5+J6</f>
        <v>81.8</v>
      </c>
      <c r="L6" s="22">
        <f t="shared" ref="L6:L69" si="0">(1000+I6)/1000</f>
        <v>1.0629999999999999</v>
      </c>
      <c r="M6" s="5"/>
    </row>
    <row r="7" spans="4:13">
      <c r="D7" s="5">
        <f t="shared" ref="D7:D70" si="1">1+D6</f>
        <v>3</v>
      </c>
      <c r="E7" s="5" t="s">
        <v>53</v>
      </c>
      <c r="F7" s="5" t="s">
        <v>78</v>
      </c>
      <c r="G7" s="5" t="s">
        <v>149</v>
      </c>
      <c r="H7" s="22">
        <f>(300+I7)/1000</f>
        <v>0.36299999999999999</v>
      </c>
      <c r="I7" s="5">
        <v>63</v>
      </c>
      <c r="J7" s="5">
        <v>4.3</v>
      </c>
      <c r="K7" s="5">
        <f t="shared" ref="K7:K70" si="2">+K6+J7</f>
        <v>86.1</v>
      </c>
      <c r="L7" s="22">
        <f t="shared" si="0"/>
        <v>1.0629999999999999</v>
      </c>
      <c r="M7" s="5"/>
    </row>
    <row r="8" spans="4:13">
      <c r="D8" s="5">
        <f t="shared" si="1"/>
        <v>4</v>
      </c>
      <c r="E8" s="5" t="s">
        <v>53</v>
      </c>
      <c r="F8" s="5" t="s">
        <v>78</v>
      </c>
      <c r="G8" s="5"/>
      <c r="H8" s="5"/>
      <c r="I8" s="5">
        <v>63</v>
      </c>
      <c r="J8" s="5">
        <v>53.2</v>
      </c>
      <c r="K8" s="5">
        <f t="shared" si="2"/>
        <v>139.30000000000001</v>
      </c>
      <c r="L8" s="22">
        <f t="shared" si="0"/>
        <v>1.0629999999999999</v>
      </c>
      <c r="M8" s="5"/>
    </row>
    <row r="9" spans="4:13">
      <c r="D9" s="5">
        <f t="shared" si="1"/>
        <v>5</v>
      </c>
      <c r="E9" s="5" t="s">
        <v>906</v>
      </c>
      <c r="F9" s="5" t="s">
        <v>96</v>
      </c>
      <c r="G9" s="5"/>
      <c r="H9" s="5"/>
      <c r="I9" s="5">
        <v>63</v>
      </c>
      <c r="J9" s="5">
        <v>94.8</v>
      </c>
      <c r="K9" s="5">
        <f t="shared" si="2"/>
        <v>234.10000000000002</v>
      </c>
      <c r="L9" s="22">
        <f t="shared" si="0"/>
        <v>1.0629999999999999</v>
      </c>
      <c r="M9" s="5"/>
    </row>
    <row r="10" spans="4:13">
      <c r="D10" s="5">
        <f t="shared" si="1"/>
        <v>6</v>
      </c>
      <c r="E10" s="5" t="s">
        <v>96</v>
      </c>
      <c r="F10" s="5" t="s">
        <v>79</v>
      </c>
      <c r="G10" s="5"/>
      <c r="H10" s="5"/>
      <c r="I10" s="5">
        <v>63</v>
      </c>
      <c r="J10" s="5">
        <v>77.099999999999994</v>
      </c>
      <c r="K10" s="5">
        <f t="shared" si="2"/>
        <v>311.20000000000005</v>
      </c>
      <c r="L10" s="22">
        <f t="shared" si="0"/>
        <v>1.0629999999999999</v>
      </c>
      <c r="M10" s="5"/>
    </row>
    <row r="11" spans="4:13">
      <c r="D11" s="5">
        <f t="shared" si="1"/>
        <v>7</v>
      </c>
      <c r="E11" s="5" t="s">
        <v>79</v>
      </c>
      <c r="F11" s="5" t="s">
        <v>83</v>
      </c>
      <c r="G11" s="5"/>
      <c r="H11" s="5"/>
      <c r="I11" s="5">
        <v>63</v>
      </c>
      <c r="J11" s="5">
        <v>81</v>
      </c>
      <c r="K11" s="5">
        <f t="shared" si="2"/>
        <v>392.20000000000005</v>
      </c>
      <c r="L11" s="22">
        <f t="shared" si="0"/>
        <v>1.0629999999999999</v>
      </c>
      <c r="M11" s="5"/>
    </row>
    <row r="12" spans="4:13">
      <c r="D12" s="5">
        <f t="shared" si="1"/>
        <v>8</v>
      </c>
      <c r="E12" s="5" t="s">
        <v>83</v>
      </c>
      <c r="F12" s="5" t="s">
        <v>93</v>
      </c>
      <c r="G12" s="5"/>
      <c r="H12" s="5"/>
      <c r="I12" s="5">
        <v>63</v>
      </c>
      <c r="J12" s="5">
        <v>122.5</v>
      </c>
      <c r="K12" s="5">
        <f t="shared" si="2"/>
        <v>514.70000000000005</v>
      </c>
      <c r="L12" s="22">
        <f t="shared" si="0"/>
        <v>1.0629999999999999</v>
      </c>
      <c r="M12" s="5"/>
    </row>
    <row r="13" spans="4:13">
      <c r="D13" s="5">
        <f t="shared" si="1"/>
        <v>9</v>
      </c>
      <c r="E13" s="5" t="s">
        <v>93</v>
      </c>
      <c r="F13" s="5" t="s">
        <v>92</v>
      </c>
      <c r="G13" s="5"/>
      <c r="H13" s="5"/>
      <c r="I13" s="5">
        <v>63</v>
      </c>
      <c r="J13" s="5">
        <v>219.4</v>
      </c>
      <c r="K13" s="5">
        <f t="shared" si="2"/>
        <v>734.1</v>
      </c>
      <c r="L13" s="22">
        <f t="shared" si="0"/>
        <v>1.0629999999999999</v>
      </c>
      <c r="M13" s="5"/>
    </row>
    <row r="14" spans="4:13">
      <c r="D14" s="5">
        <f t="shared" si="1"/>
        <v>10</v>
      </c>
      <c r="E14" s="5" t="s">
        <v>92</v>
      </c>
      <c r="F14" s="5" t="s">
        <v>1401</v>
      </c>
      <c r="G14" s="5"/>
      <c r="H14" s="5"/>
      <c r="I14" s="5">
        <v>63</v>
      </c>
      <c r="J14" s="5">
        <v>41.6</v>
      </c>
      <c r="K14" s="5">
        <f t="shared" si="2"/>
        <v>775.7</v>
      </c>
      <c r="L14" s="22">
        <f t="shared" si="0"/>
        <v>1.0629999999999999</v>
      </c>
      <c r="M14" s="5"/>
    </row>
    <row r="15" spans="4:13">
      <c r="D15" s="5">
        <f t="shared" si="1"/>
        <v>11</v>
      </c>
      <c r="E15" s="5" t="s">
        <v>1401</v>
      </c>
      <c r="F15" s="5" t="s">
        <v>137</v>
      </c>
      <c r="G15" s="5"/>
      <c r="H15" s="5"/>
      <c r="I15" s="5">
        <v>63</v>
      </c>
      <c r="J15" s="5">
        <v>19.399999999999999</v>
      </c>
      <c r="K15" s="5">
        <f t="shared" si="2"/>
        <v>795.1</v>
      </c>
      <c r="L15" s="22">
        <f t="shared" si="0"/>
        <v>1.0629999999999999</v>
      </c>
      <c r="M15" s="5"/>
    </row>
    <row r="16" spans="4:13">
      <c r="D16" s="5">
        <f t="shared" si="1"/>
        <v>12</v>
      </c>
      <c r="E16" s="5" t="s">
        <v>79</v>
      </c>
      <c r="F16" s="5" t="s">
        <v>1524</v>
      </c>
      <c r="G16" s="5"/>
      <c r="H16" s="5"/>
      <c r="I16" s="5">
        <v>63</v>
      </c>
      <c r="J16" s="5">
        <v>128.30000000000001</v>
      </c>
      <c r="K16" s="5">
        <f t="shared" si="2"/>
        <v>923.40000000000009</v>
      </c>
      <c r="L16" s="22">
        <f t="shared" si="0"/>
        <v>1.0629999999999999</v>
      </c>
      <c r="M16" s="5"/>
    </row>
    <row r="17" spans="4:13">
      <c r="D17" s="5">
        <f t="shared" si="1"/>
        <v>13</v>
      </c>
      <c r="E17" s="5" t="s">
        <v>1524</v>
      </c>
      <c r="F17" s="5" t="s">
        <v>1525</v>
      </c>
      <c r="G17" s="5"/>
      <c r="H17" s="5"/>
      <c r="I17" s="5">
        <v>63</v>
      </c>
      <c r="J17" s="5">
        <v>69.599999999999994</v>
      </c>
      <c r="K17" s="5">
        <f t="shared" si="2"/>
        <v>993.00000000000011</v>
      </c>
      <c r="L17" s="22">
        <f t="shared" si="0"/>
        <v>1.0629999999999999</v>
      </c>
      <c r="M17" s="5"/>
    </row>
    <row r="18" spans="4:13">
      <c r="D18" s="5">
        <f t="shared" si="1"/>
        <v>14</v>
      </c>
      <c r="E18" s="5" t="s">
        <v>1524</v>
      </c>
      <c r="F18" s="5" t="s">
        <v>1300</v>
      </c>
      <c r="G18" s="5"/>
      <c r="H18" s="5"/>
      <c r="I18" s="5">
        <v>63</v>
      </c>
      <c r="J18" s="5">
        <v>115</v>
      </c>
      <c r="K18" s="5">
        <f t="shared" si="2"/>
        <v>1108</v>
      </c>
      <c r="L18" s="22">
        <f t="shared" si="0"/>
        <v>1.0629999999999999</v>
      </c>
      <c r="M18" s="5"/>
    </row>
    <row r="19" spans="4:13">
      <c r="D19" s="5">
        <f t="shared" si="1"/>
        <v>15</v>
      </c>
      <c r="E19" s="5" t="s">
        <v>1300</v>
      </c>
      <c r="F19" s="5" t="s">
        <v>107</v>
      </c>
      <c r="G19" s="5"/>
      <c r="H19" s="5"/>
      <c r="I19" s="5">
        <v>63</v>
      </c>
      <c r="J19" s="5">
        <v>76.5</v>
      </c>
      <c r="K19" s="5">
        <f t="shared" si="2"/>
        <v>1184.5</v>
      </c>
      <c r="L19" s="22">
        <f t="shared" si="0"/>
        <v>1.0629999999999999</v>
      </c>
      <c r="M19" s="5"/>
    </row>
    <row r="20" spans="4:13">
      <c r="D20" s="5">
        <f t="shared" si="1"/>
        <v>16</v>
      </c>
      <c r="E20" s="5" t="s">
        <v>107</v>
      </c>
      <c r="F20" s="5" t="s">
        <v>105</v>
      </c>
      <c r="G20" s="5" t="s">
        <v>199</v>
      </c>
      <c r="H20" s="22">
        <f>(300+I20)/1000</f>
        <v>0.36299999999999999</v>
      </c>
      <c r="I20" s="5">
        <v>63</v>
      </c>
      <c r="J20" s="5">
        <v>1.8</v>
      </c>
      <c r="K20" s="5">
        <f t="shared" si="2"/>
        <v>1186.3</v>
      </c>
      <c r="L20" s="22">
        <f t="shared" si="0"/>
        <v>1.0629999999999999</v>
      </c>
      <c r="M20" s="5"/>
    </row>
    <row r="21" spans="4:13">
      <c r="D21" s="5">
        <f t="shared" si="1"/>
        <v>17</v>
      </c>
      <c r="E21" s="5" t="s">
        <v>107</v>
      </c>
      <c r="F21" s="5" t="s">
        <v>105</v>
      </c>
      <c r="G21" s="5"/>
      <c r="H21" s="5"/>
      <c r="I21" s="5">
        <v>63</v>
      </c>
      <c r="J21" s="5">
        <v>830.5</v>
      </c>
      <c r="K21" s="5">
        <f t="shared" si="2"/>
        <v>2016.8</v>
      </c>
      <c r="L21" s="22">
        <f t="shared" si="0"/>
        <v>1.0629999999999999</v>
      </c>
      <c r="M21" s="5"/>
    </row>
    <row r="22" spans="4:13">
      <c r="D22" s="5">
        <f t="shared" si="1"/>
        <v>18</v>
      </c>
      <c r="E22" s="5" t="s">
        <v>549</v>
      </c>
      <c r="F22" s="5" t="s">
        <v>461</v>
      </c>
      <c r="G22" s="5"/>
      <c r="H22" s="5"/>
      <c r="I22" s="5">
        <v>63</v>
      </c>
      <c r="J22" s="5">
        <v>2</v>
      </c>
      <c r="K22" s="5">
        <f t="shared" si="2"/>
        <v>2018.8</v>
      </c>
      <c r="L22" s="22">
        <f t="shared" si="0"/>
        <v>1.0629999999999999</v>
      </c>
      <c r="M22" s="5"/>
    </row>
    <row r="23" spans="4:13">
      <c r="D23" s="5">
        <f t="shared" si="1"/>
        <v>19</v>
      </c>
      <c r="E23" s="5" t="s">
        <v>549</v>
      </c>
      <c r="F23" s="5" t="s">
        <v>240</v>
      </c>
      <c r="G23" s="5"/>
      <c r="H23" s="5"/>
      <c r="I23" s="5">
        <v>63</v>
      </c>
      <c r="J23" s="5">
        <v>192</v>
      </c>
      <c r="K23" s="5">
        <f t="shared" si="2"/>
        <v>2210.8000000000002</v>
      </c>
      <c r="L23" s="22">
        <f t="shared" si="0"/>
        <v>1.0629999999999999</v>
      </c>
      <c r="M23" s="5"/>
    </row>
    <row r="24" spans="4:13">
      <c r="D24" s="5">
        <f t="shared" si="1"/>
        <v>20</v>
      </c>
      <c r="E24" s="5" t="s">
        <v>1526</v>
      </c>
      <c r="F24" s="5" t="s">
        <v>240</v>
      </c>
      <c r="G24" s="5"/>
      <c r="H24" s="5"/>
      <c r="I24" s="5">
        <v>63</v>
      </c>
      <c r="J24" s="5">
        <v>8.6</v>
      </c>
      <c r="K24" s="5">
        <f t="shared" si="2"/>
        <v>2219.4</v>
      </c>
      <c r="L24" s="22">
        <f t="shared" si="0"/>
        <v>1.0629999999999999</v>
      </c>
      <c r="M24" s="5"/>
    </row>
    <row r="25" spans="4:13">
      <c r="D25" s="5">
        <f t="shared" si="1"/>
        <v>21</v>
      </c>
      <c r="E25" s="5" t="s">
        <v>1526</v>
      </c>
      <c r="F25" s="5" t="s">
        <v>241</v>
      </c>
      <c r="G25" s="5"/>
      <c r="H25" s="5"/>
      <c r="I25" s="5">
        <v>63</v>
      </c>
      <c r="J25" s="5">
        <v>38.9</v>
      </c>
      <c r="K25" s="5">
        <f t="shared" si="2"/>
        <v>2258.3000000000002</v>
      </c>
      <c r="L25" s="22">
        <f t="shared" si="0"/>
        <v>1.0629999999999999</v>
      </c>
      <c r="M25" s="5"/>
    </row>
    <row r="26" spans="4:13">
      <c r="D26" s="5">
        <f t="shared" si="1"/>
        <v>22</v>
      </c>
      <c r="E26" s="5" t="s">
        <v>241</v>
      </c>
      <c r="F26" s="5" t="s">
        <v>333</v>
      </c>
      <c r="G26" s="5"/>
      <c r="H26" s="5"/>
      <c r="I26" s="5">
        <v>63</v>
      </c>
      <c r="J26" s="5">
        <v>44.1</v>
      </c>
      <c r="K26" s="5">
        <f t="shared" si="2"/>
        <v>2302.4</v>
      </c>
      <c r="L26" s="22">
        <f t="shared" si="0"/>
        <v>1.0629999999999999</v>
      </c>
      <c r="M26" s="5"/>
    </row>
    <row r="27" spans="4:13">
      <c r="D27" s="5">
        <f t="shared" si="1"/>
        <v>23</v>
      </c>
      <c r="E27" s="5" t="s">
        <v>241</v>
      </c>
      <c r="F27" s="5" t="s">
        <v>436</v>
      </c>
      <c r="G27" s="5"/>
      <c r="H27" s="5"/>
      <c r="I27" s="5">
        <v>63</v>
      </c>
      <c r="J27" s="5">
        <v>43</v>
      </c>
      <c r="K27" s="5">
        <f t="shared" si="2"/>
        <v>2345.4</v>
      </c>
      <c r="L27" s="22">
        <f t="shared" si="0"/>
        <v>1.0629999999999999</v>
      </c>
      <c r="M27" s="5"/>
    </row>
    <row r="28" spans="4:13">
      <c r="D28" s="5">
        <f t="shared" si="1"/>
        <v>24</v>
      </c>
      <c r="E28" s="5" t="s">
        <v>1526</v>
      </c>
      <c r="F28" s="5" t="s">
        <v>436</v>
      </c>
      <c r="G28" s="5"/>
      <c r="H28" s="5"/>
      <c r="I28" s="5">
        <v>63</v>
      </c>
      <c r="J28" s="5">
        <v>82</v>
      </c>
      <c r="K28" s="5">
        <f t="shared" si="2"/>
        <v>2427.4</v>
      </c>
      <c r="L28" s="22">
        <f t="shared" si="0"/>
        <v>1.0629999999999999</v>
      </c>
      <c r="M28" s="5"/>
    </row>
    <row r="29" spans="4:13">
      <c r="D29" s="5">
        <f t="shared" si="1"/>
        <v>25</v>
      </c>
      <c r="E29" s="5" t="s">
        <v>436</v>
      </c>
      <c r="F29" s="5" t="s">
        <v>336</v>
      </c>
      <c r="G29" s="5"/>
      <c r="H29" s="5"/>
      <c r="I29" s="5">
        <v>63</v>
      </c>
      <c r="J29" s="5">
        <v>38.4</v>
      </c>
      <c r="K29" s="5">
        <f t="shared" si="2"/>
        <v>2465.8000000000002</v>
      </c>
      <c r="L29" s="22">
        <f t="shared" si="0"/>
        <v>1.0629999999999999</v>
      </c>
      <c r="M29" s="5"/>
    </row>
    <row r="30" spans="4:13">
      <c r="D30" s="5">
        <f t="shared" si="1"/>
        <v>26</v>
      </c>
      <c r="E30" s="5" t="s">
        <v>336</v>
      </c>
      <c r="F30" s="5" t="s">
        <v>235</v>
      </c>
      <c r="G30" s="5"/>
      <c r="H30" s="5"/>
      <c r="I30" s="5">
        <v>63</v>
      </c>
      <c r="J30" s="5">
        <v>28</v>
      </c>
      <c r="K30" s="5">
        <f t="shared" si="2"/>
        <v>2493.8000000000002</v>
      </c>
      <c r="L30" s="22">
        <f t="shared" si="0"/>
        <v>1.0629999999999999</v>
      </c>
      <c r="M30" s="5"/>
    </row>
    <row r="31" spans="4:13">
      <c r="D31" s="5">
        <f t="shared" si="1"/>
        <v>27</v>
      </c>
      <c r="E31" s="5" t="s">
        <v>336</v>
      </c>
      <c r="F31" s="5" t="s">
        <v>234</v>
      </c>
      <c r="G31" s="5"/>
      <c r="H31" s="5"/>
      <c r="I31" s="5">
        <v>63</v>
      </c>
      <c r="J31" s="5">
        <v>71.2</v>
      </c>
      <c r="K31" s="5">
        <f t="shared" si="2"/>
        <v>2565</v>
      </c>
      <c r="L31" s="22">
        <f t="shared" si="0"/>
        <v>1.0629999999999999</v>
      </c>
      <c r="M31" s="5"/>
    </row>
    <row r="32" spans="4:13">
      <c r="D32" s="5">
        <f t="shared" si="1"/>
        <v>28</v>
      </c>
      <c r="E32" s="5" t="s">
        <v>234</v>
      </c>
      <c r="F32" s="5" t="s">
        <v>235</v>
      </c>
      <c r="G32" s="5"/>
      <c r="H32" s="5"/>
      <c r="I32" s="5">
        <v>63</v>
      </c>
      <c r="J32" s="5">
        <v>37</v>
      </c>
      <c r="K32" s="5">
        <f t="shared" si="2"/>
        <v>2602</v>
      </c>
      <c r="L32" s="22">
        <f t="shared" si="0"/>
        <v>1.0629999999999999</v>
      </c>
      <c r="M32" s="5"/>
    </row>
    <row r="33" spans="4:13">
      <c r="D33" s="5">
        <f t="shared" si="1"/>
        <v>29</v>
      </c>
      <c r="E33" s="5" t="s">
        <v>338</v>
      </c>
      <c r="F33" s="5" t="s">
        <v>238</v>
      </c>
      <c r="G33" s="5"/>
      <c r="H33" s="5"/>
      <c r="I33" s="5">
        <v>63</v>
      </c>
      <c r="J33" s="5">
        <v>154</v>
      </c>
      <c r="K33" s="5">
        <f t="shared" si="2"/>
        <v>2756</v>
      </c>
      <c r="L33" s="22">
        <f t="shared" si="0"/>
        <v>1.0629999999999999</v>
      </c>
      <c r="M33" s="5"/>
    </row>
    <row r="34" spans="4:13">
      <c r="D34" s="5">
        <f t="shared" si="1"/>
        <v>30</v>
      </c>
      <c r="E34" s="5" t="s">
        <v>234</v>
      </c>
      <c r="F34" s="5" t="s">
        <v>338</v>
      </c>
      <c r="G34" s="5"/>
      <c r="H34" s="5"/>
      <c r="I34" s="5">
        <v>63</v>
      </c>
      <c r="J34" s="5">
        <v>48.2</v>
      </c>
      <c r="K34" s="5">
        <f t="shared" si="2"/>
        <v>2804.2</v>
      </c>
      <c r="L34" s="22">
        <f t="shared" si="0"/>
        <v>1.0629999999999999</v>
      </c>
      <c r="M34" s="5"/>
    </row>
    <row r="35" spans="4:13">
      <c r="D35" s="5">
        <f t="shared" si="1"/>
        <v>31</v>
      </c>
      <c r="E35" s="5" t="s">
        <v>238</v>
      </c>
      <c r="F35" s="5" t="s">
        <v>352</v>
      </c>
      <c r="G35" s="5" t="s">
        <v>199</v>
      </c>
      <c r="H35" s="22">
        <f>(300+I35)/1000</f>
        <v>0.36299999999999999</v>
      </c>
      <c r="I35" s="5">
        <v>63</v>
      </c>
      <c r="J35" s="5">
        <v>2</v>
      </c>
      <c r="K35" s="5">
        <f t="shared" si="2"/>
        <v>2806.2</v>
      </c>
      <c r="L35" s="22">
        <f t="shared" si="0"/>
        <v>1.0629999999999999</v>
      </c>
      <c r="M35" s="5"/>
    </row>
    <row r="36" spans="4:13">
      <c r="D36" s="5">
        <f t="shared" si="1"/>
        <v>32</v>
      </c>
      <c r="E36" s="5" t="s">
        <v>238</v>
      </c>
      <c r="F36" s="5" t="s">
        <v>443</v>
      </c>
      <c r="G36" s="5"/>
      <c r="H36" s="5"/>
      <c r="I36" s="5">
        <v>63</v>
      </c>
      <c r="J36" s="5">
        <v>96.1</v>
      </c>
      <c r="K36" s="5">
        <f t="shared" si="2"/>
        <v>2902.2999999999997</v>
      </c>
      <c r="L36" s="22">
        <f t="shared" si="0"/>
        <v>1.0629999999999999</v>
      </c>
      <c r="M36" s="5"/>
    </row>
    <row r="37" spans="4:13">
      <c r="D37" s="5">
        <f t="shared" si="1"/>
        <v>33</v>
      </c>
      <c r="E37" s="5" t="s">
        <v>238</v>
      </c>
      <c r="F37" s="5" t="s">
        <v>358</v>
      </c>
      <c r="G37" s="5"/>
      <c r="H37" s="5"/>
      <c r="I37" s="5">
        <v>63</v>
      </c>
      <c r="J37" s="5">
        <v>40</v>
      </c>
      <c r="K37" s="5">
        <f t="shared" si="2"/>
        <v>2942.2999999999997</v>
      </c>
      <c r="L37" s="22">
        <f t="shared" si="0"/>
        <v>1.0629999999999999</v>
      </c>
      <c r="M37" s="5"/>
    </row>
    <row r="38" spans="4:13">
      <c r="D38" s="5">
        <f t="shared" si="1"/>
        <v>34</v>
      </c>
      <c r="E38" s="6" t="s">
        <v>443</v>
      </c>
      <c r="F38" s="6" t="s">
        <v>639</v>
      </c>
      <c r="G38" s="6" t="s">
        <v>199</v>
      </c>
      <c r="H38" s="32">
        <f t="shared" ref="H38:H42" si="3">(300+I38)/1000</f>
        <v>0.36299999999999999</v>
      </c>
      <c r="I38" s="6">
        <v>63</v>
      </c>
      <c r="J38" s="6">
        <v>7.7</v>
      </c>
      <c r="K38" s="5">
        <f t="shared" si="2"/>
        <v>2949.9999999999995</v>
      </c>
      <c r="L38" s="22">
        <f t="shared" si="0"/>
        <v>1.0629999999999999</v>
      </c>
      <c r="M38" s="5"/>
    </row>
    <row r="39" spans="4:13">
      <c r="D39" s="5">
        <f t="shared" si="1"/>
        <v>35</v>
      </c>
      <c r="E39" s="103" t="s">
        <v>443</v>
      </c>
      <c r="F39" s="103" t="s">
        <v>639</v>
      </c>
      <c r="G39" s="103" t="s">
        <v>199</v>
      </c>
      <c r="H39" s="430">
        <f t="shared" si="3"/>
        <v>0.36299999999999999</v>
      </c>
      <c r="I39" s="103">
        <v>63</v>
      </c>
      <c r="J39" s="103">
        <v>21.7</v>
      </c>
      <c r="K39" s="5">
        <f t="shared" si="2"/>
        <v>2971.6999999999994</v>
      </c>
      <c r="L39" s="22">
        <f t="shared" si="0"/>
        <v>1.0629999999999999</v>
      </c>
      <c r="M39" s="5"/>
    </row>
    <row r="40" spans="4:13">
      <c r="D40" s="5">
        <f t="shared" si="1"/>
        <v>36</v>
      </c>
      <c r="E40" s="6" t="s">
        <v>443</v>
      </c>
      <c r="F40" s="6" t="s">
        <v>639</v>
      </c>
      <c r="G40" s="6" t="s">
        <v>199</v>
      </c>
      <c r="H40" s="32">
        <f t="shared" si="3"/>
        <v>0.36299999999999999</v>
      </c>
      <c r="I40" s="6">
        <v>63</v>
      </c>
      <c r="J40" s="6">
        <v>31.1</v>
      </c>
      <c r="K40" s="5">
        <f t="shared" si="2"/>
        <v>3002.7999999999993</v>
      </c>
      <c r="L40" s="22">
        <f t="shared" si="0"/>
        <v>1.0629999999999999</v>
      </c>
      <c r="M40" s="5"/>
    </row>
    <row r="41" spans="4:13">
      <c r="D41" s="5">
        <f t="shared" si="1"/>
        <v>37</v>
      </c>
      <c r="E41" s="6" t="s">
        <v>443</v>
      </c>
      <c r="F41" s="6" t="s">
        <v>639</v>
      </c>
      <c r="G41" s="6" t="s">
        <v>199</v>
      </c>
      <c r="H41" s="32">
        <f t="shared" si="3"/>
        <v>0.36299999999999999</v>
      </c>
      <c r="I41" s="6">
        <v>63</v>
      </c>
      <c r="J41" s="6">
        <v>23</v>
      </c>
      <c r="K41" s="5">
        <f t="shared" si="2"/>
        <v>3025.7999999999993</v>
      </c>
      <c r="L41" s="22">
        <f t="shared" si="0"/>
        <v>1.0629999999999999</v>
      </c>
      <c r="M41" s="5"/>
    </row>
    <row r="42" spans="4:13">
      <c r="D42" s="5">
        <f t="shared" si="1"/>
        <v>38</v>
      </c>
      <c r="E42" s="6" t="s">
        <v>639</v>
      </c>
      <c r="F42" s="6" t="s">
        <v>228</v>
      </c>
      <c r="G42" s="6" t="s">
        <v>199</v>
      </c>
      <c r="H42" s="32">
        <f t="shared" si="3"/>
        <v>0.36299999999999999</v>
      </c>
      <c r="I42" s="6">
        <v>63</v>
      </c>
      <c r="J42" s="6">
        <v>6.5</v>
      </c>
      <c r="K42" s="5">
        <f t="shared" si="2"/>
        <v>3032.2999999999993</v>
      </c>
      <c r="L42" s="22">
        <f t="shared" si="0"/>
        <v>1.0629999999999999</v>
      </c>
      <c r="M42" s="5"/>
    </row>
    <row r="43" spans="4:13">
      <c r="D43" s="5">
        <f t="shared" si="1"/>
        <v>39</v>
      </c>
      <c r="E43" s="5" t="s">
        <v>639</v>
      </c>
      <c r="F43" s="5" t="s">
        <v>228</v>
      </c>
      <c r="G43" s="5"/>
      <c r="H43" s="5"/>
      <c r="I43" s="5">
        <v>63</v>
      </c>
      <c r="J43" s="5">
        <v>455.1</v>
      </c>
      <c r="K43" s="5">
        <f t="shared" si="2"/>
        <v>3487.3999999999992</v>
      </c>
      <c r="L43" s="22">
        <f t="shared" si="0"/>
        <v>1.0629999999999999</v>
      </c>
      <c r="M43" s="5"/>
    </row>
    <row r="44" spans="4:13">
      <c r="D44" s="5">
        <f t="shared" si="1"/>
        <v>40</v>
      </c>
      <c r="E44" s="5" t="s">
        <v>228</v>
      </c>
      <c r="F44" s="5" t="s">
        <v>189</v>
      </c>
      <c r="G44" s="5"/>
      <c r="H44" s="5"/>
      <c r="I44" s="5">
        <v>63</v>
      </c>
      <c r="J44" s="5">
        <v>143.69999999999999</v>
      </c>
      <c r="K44" s="5">
        <f t="shared" si="2"/>
        <v>3631.099999999999</v>
      </c>
      <c r="L44" s="22">
        <f t="shared" si="0"/>
        <v>1.0629999999999999</v>
      </c>
      <c r="M44" s="5"/>
    </row>
    <row r="45" spans="4:13">
      <c r="D45" s="5">
        <f t="shared" si="1"/>
        <v>41</v>
      </c>
      <c r="E45" s="5" t="s">
        <v>189</v>
      </c>
      <c r="F45" s="5" t="s">
        <v>190</v>
      </c>
      <c r="G45" s="5"/>
      <c r="H45" s="5"/>
      <c r="I45" s="5">
        <v>63</v>
      </c>
      <c r="J45" s="5">
        <v>30.5</v>
      </c>
      <c r="K45" s="5">
        <f t="shared" si="2"/>
        <v>3661.599999999999</v>
      </c>
      <c r="L45" s="22">
        <f t="shared" si="0"/>
        <v>1.0629999999999999</v>
      </c>
      <c r="M45" s="5"/>
    </row>
    <row r="46" spans="4:13">
      <c r="D46" s="5">
        <f t="shared" si="1"/>
        <v>42</v>
      </c>
      <c r="E46" s="5" t="s">
        <v>189</v>
      </c>
      <c r="F46" s="5" t="s">
        <v>291</v>
      </c>
      <c r="G46" s="5"/>
      <c r="H46" s="5"/>
      <c r="I46" s="5">
        <v>63</v>
      </c>
      <c r="J46" s="5">
        <v>39.5</v>
      </c>
      <c r="K46" s="5">
        <f t="shared" si="2"/>
        <v>3701.099999999999</v>
      </c>
      <c r="L46" s="22">
        <f t="shared" si="0"/>
        <v>1.0629999999999999</v>
      </c>
      <c r="M46" s="5"/>
    </row>
    <row r="47" spans="4:13">
      <c r="D47" s="5">
        <f t="shared" si="1"/>
        <v>43</v>
      </c>
      <c r="E47" s="5" t="s">
        <v>291</v>
      </c>
      <c r="F47" s="5" t="s">
        <v>665</v>
      </c>
      <c r="G47" s="5"/>
      <c r="H47" s="5"/>
      <c r="I47" s="5">
        <v>63</v>
      </c>
      <c r="J47" s="5">
        <v>12</v>
      </c>
      <c r="K47" s="5">
        <f t="shared" si="2"/>
        <v>3713.099999999999</v>
      </c>
      <c r="L47" s="22">
        <f t="shared" si="0"/>
        <v>1.0629999999999999</v>
      </c>
      <c r="M47" s="5"/>
    </row>
    <row r="48" spans="4:13">
      <c r="D48" s="5">
        <f t="shared" si="1"/>
        <v>44</v>
      </c>
      <c r="E48" s="5" t="s">
        <v>291</v>
      </c>
      <c r="F48" s="5" t="s">
        <v>294</v>
      </c>
      <c r="G48" s="5"/>
      <c r="H48" s="5"/>
      <c r="I48" s="5">
        <v>63</v>
      </c>
      <c r="J48" s="5">
        <v>136</v>
      </c>
      <c r="K48" s="5">
        <f t="shared" si="2"/>
        <v>3849.099999999999</v>
      </c>
      <c r="L48" s="22">
        <f t="shared" si="0"/>
        <v>1.0629999999999999</v>
      </c>
      <c r="M48" s="5"/>
    </row>
    <row r="49" spans="4:13">
      <c r="D49" s="5">
        <f t="shared" si="1"/>
        <v>45</v>
      </c>
      <c r="E49" s="5" t="s">
        <v>294</v>
      </c>
      <c r="F49" s="5">
        <v>162</v>
      </c>
      <c r="G49" s="5"/>
      <c r="H49" s="5"/>
      <c r="I49" s="5">
        <v>63</v>
      </c>
      <c r="J49" s="5">
        <v>14</v>
      </c>
      <c r="K49" s="5">
        <f t="shared" si="2"/>
        <v>3863.099999999999</v>
      </c>
      <c r="L49" s="22">
        <f t="shared" si="0"/>
        <v>1.0629999999999999</v>
      </c>
      <c r="M49" s="5"/>
    </row>
    <row r="50" spans="4:13">
      <c r="D50" s="5">
        <f t="shared" si="1"/>
        <v>46</v>
      </c>
      <c r="E50" s="5" t="s">
        <v>295</v>
      </c>
      <c r="F50" s="5" t="s">
        <v>432</v>
      </c>
      <c r="G50" s="5"/>
      <c r="H50" s="5"/>
      <c r="I50" s="5">
        <v>63</v>
      </c>
      <c r="J50" s="5">
        <v>275.5</v>
      </c>
      <c r="K50" s="5">
        <f t="shared" si="2"/>
        <v>4138.5999999999985</v>
      </c>
      <c r="L50" s="22">
        <f t="shared" si="0"/>
        <v>1.0629999999999999</v>
      </c>
      <c r="M50" s="5"/>
    </row>
    <row r="51" spans="4:13">
      <c r="D51" s="5">
        <f t="shared" si="1"/>
        <v>47</v>
      </c>
      <c r="E51" s="5" t="s">
        <v>295</v>
      </c>
      <c r="F51" s="5" t="s">
        <v>297</v>
      </c>
      <c r="G51" s="5"/>
      <c r="H51" s="5"/>
      <c r="I51" s="5">
        <v>63</v>
      </c>
      <c r="J51" s="5">
        <v>232.7</v>
      </c>
      <c r="K51" s="5">
        <f t="shared" si="2"/>
        <v>4371.2999999999984</v>
      </c>
      <c r="L51" s="22">
        <f t="shared" si="0"/>
        <v>1.0629999999999999</v>
      </c>
      <c r="M51" s="5"/>
    </row>
    <row r="52" spans="4:13">
      <c r="D52" s="5">
        <f t="shared" si="1"/>
        <v>48</v>
      </c>
      <c r="E52" s="5" t="s">
        <v>294</v>
      </c>
      <c r="F52" s="5" t="s">
        <v>228</v>
      </c>
      <c r="G52" s="5"/>
      <c r="H52" s="5"/>
      <c r="I52" s="5">
        <v>63</v>
      </c>
      <c r="J52" s="5">
        <v>226.3</v>
      </c>
      <c r="K52" s="5">
        <f t="shared" si="2"/>
        <v>4597.5999999999985</v>
      </c>
      <c r="L52" s="22">
        <f t="shared" si="0"/>
        <v>1.0629999999999999</v>
      </c>
      <c r="M52" s="5"/>
    </row>
    <row r="53" spans="4:13">
      <c r="D53" s="5">
        <f t="shared" si="1"/>
        <v>49</v>
      </c>
      <c r="E53" s="5" t="s">
        <v>289</v>
      </c>
      <c r="F53" s="5" t="s">
        <v>446</v>
      </c>
      <c r="G53" s="5"/>
      <c r="H53" s="5"/>
      <c r="I53" s="5">
        <v>63</v>
      </c>
      <c r="J53" s="5">
        <v>167.6</v>
      </c>
      <c r="K53" s="5">
        <f t="shared" si="2"/>
        <v>4765.1999999999989</v>
      </c>
      <c r="L53" s="22">
        <f t="shared" si="0"/>
        <v>1.0629999999999999</v>
      </c>
      <c r="M53" s="5"/>
    </row>
    <row r="54" spans="4:13">
      <c r="D54" s="5">
        <f t="shared" si="1"/>
        <v>50</v>
      </c>
      <c r="E54" s="5" t="s">
        <v>446</v>
      </c>
      <c r="F54" s="5" t="s">
        <v>307</v>
      </c>
      <c r="G54" s="5"/>
      <c r="H54" s="5"/>
      <c r="I54" s="5">
        <v>63</v>
      </c>
      <c r="J54" s="5">
        <v>50.3</v>
      </c>
      <c r="K54" s="5">
        <f t="shared" si="2"/>
        <v>4815.4999999999991</v>
      </c>
      <c r="L54" s="22">
        <f t="shared" si="0"/>
        <v>1.0629999999999999</v>
      </c>
      <c r="M54" s="5"/>
    </row>
    <row r="55" spans="4:13">
      <c r="D55" s="5">
        <f t="shared" si="1"/>
        <v>51</v>
      </c>
      <c r="E55" s="5" t="s">
        <v>446</v>
      </c>
      <c r="F55" s="5" t="s">
        <v>256</v>
      </c>
      <c r="G55" s="5"/>
      <c r="H55" s="5"/>
      <c r="I55" s="5">
        <v>63</v>
      </c>
      <c r="J55" s="5">
        <v>223.1</v>
      </c>
      <c r="K55" s="5">
        <f t="shared" si="2"/>
        <v>5038.5999999999995</v>
      </c>
      <c r="L55" s="22">
        <f t="shared" si="0"/>
        <v>1.0629999999999999</v>
      </c>
      <c r="M55" s="5"/>
    </row>
    <row r="56" spans="4:13">
      <c r="D56" s="5">
        <f t="shared" si="1"/>
        <v>52</v>
      </c>
      <c r="E56" s="5" t="s">
        <v>249</v>
      </c>
      <c r="F56" s="5" t="s">
        <v>315</v>
      </c>
      <c r="G56" s="5"/>
      <c r="H56" s="5"/>
      <c r="I56" s="5">
        <v>63</v>
      </c>
      <c r="J56" s="5">
        <v>2</v>
      </c>
      <c r="K56" s="5">
        <f t="shared" si="2"/>
        <v>5040.5999999999995</v>
      </c>
      <c r="L56" s="22">
        <f t="shared" si="0"/>
        <v>1.0629999999999999</v>
      </c>
      <c r="M56" s="5"/>
    </row>
    <row r="57" spans="4:13">
      <c r="D57" s="5">
        <f t="shared" si="1"/>
        <v>53</v>
      </c>
      <c r="E57" s="6" t="s">
        <v>392</v>
      </c>
      <c r="F57" s="6" t="s">
        <v>265</v>
      </c>
      <c r="G57" s="6" t="s">
        <v>199</v>
      </c>
      <c r="H57" s="32">
        <f>(300+I57)/1000</f>
        <v>0.36299999999999999</v>
      </c>
      <c r="I57" s="6">
        <v>63</v>
      </c>
      <c r="J57" s="6">
        <v>2.4</v>
      </c>
      <c r="K57" s="5">
        <f t="shared" si="2"/>
        <v>5042.9999999999991</v>
      </c>
      <c r="L57" s="22">
        <f t="shared" si="0"/>
        <v>1.0629999999999999</v>
      </c>
      <c r="M57" s="5"/>
    </row>
    <row r="58" spans="4:13">
      <c r="D58" s="5">
        <f t="shared" si="1"/>
        <v>54</v>
      </c>
      <c r="E58" s="5" t="s">
        <v>392</v>
      </c>
      <c r="F58" s="5" t="s">
        <v>265</v>
      </c>
      <c r="G58" s="5"/>
      <c r="H58" s="5"/>
      <c r="I58" s="5">
        <v>63</v>
      </c>
      <c r="J58" s="5">
        <v>15.5</v>
      </c>
      <c r="K58" s="5">
        <f t="shared" si="2"/>
        <v>5058.4999999999991</v>
      </c>
      <c r="L58" s="22">
        <f t="shared" si="0"/>
        <v>1.0629999999999999</v>
      </c>
      <c r="M58" s="5"/>
    </row>
    <row r="59" spans="4:13">
      <c r="D59" s="5">
        <f t="shared" si="1"/>
        <v>55</v>
      </c>
      <c r="E59" s="6" t="s">
        <v>416</v>
      </c>
      <c r="F59" s="6" t="s">
        <v>281</v>
      </c>
      <c r="G59" s="6" t="s">
        <v>199</v>
      </c>
      <c r="H59" s="32">
        <f>(300+I59)/1000</f>
        <v>0.36299999999999999</v>
      </c>
      <c r="I59" s="6">
        <v>63</v>
      </c>
      <c r="J59" s="6">
        <v>51</v>
      </c>
      <c r="K59" s="5">
        <f t="shared" si="2"/>
        <v>5109.4999999999991</v>
      </c>
      <c r="L59" s="22">
        <f t="shared" si="0"/>
        <v>1.0629999999999999</v>
      </c>
      <c r="M59" s="5"/>
    </row>
    <row r="60" spans="4:13">
      <c r="D60" s="5">
        <f t="shared" si="1"/>
        <v>56</v>
      </c>
      <c r="E60" s="5" t="s">
        <v>416</v>
      </c>
      <c r="F60" s="5" t="s">
        <v>281</v>
      </c>
      <c r="G60" s="5"/>
      <c r="H60" s="5"/>
      <c r="I60" s="5">
        <v>63</v>
      </c>
      <c r="J60" s="5">
        <v>11.6</v>
      </c>
      <c r="K60" s="5">
        <f t="shared" si="2"/>
        <v>5121.0999999999995</v>
      </c>
      <c r="L60" s="22">
        <f t="shared" si="0"/>
        <v>1.0629999999999999</v>
      </c>
      <c r="M60" s="5"/>
    </row>
    <row r="61" spans="4:13">
      <c r="D61" s="5">
        <f t="shared" si="1"/>
        <v>57</v>
      </c>
      <c r="E61" s="6" t="s">
        <v>416</v>
      </c>
      <c r="F61" s="6" t="s">
        <v>281</v>
      </c>
      <c r="G61" s="6" t="s">
        <v>199</v>
      </c>
      <c r="H61" s="32">
        <f>(300+I61)/1000</f>
        <v>0.36299999999999999</v>
      </c>
      <c r="I61" s="6">
        <v>63</v>
      </c>
      <c r="J61" s="6">
        <v>3.6</v>
      </c>
      <c r="K61" s="5">
        <f t="shared" si="2"/>
        <v>5124.7</v>
      </c>
      <c r="L61" s="22">
        <f t="shared" si="0"/>
        <v>1.0629999999999999</v>
      </c>
      <c r="M61" s="5"/>
    </row>
    <row r="62" spans="4:13">
      <c r="D62" s="5">
        <f t="shared" si="1"/>
        <v>58</v>
      </c>
      <c r="E62" s="5" t="s">
        <v>281</v>
      </c>
      <c r="F62" s="5" t="s">
        <v>350</v>
      </c>
      <c r="G62" s="5"/>
      <c r="H62" s="5"/>
      <c r="I62" s="5">
        <v>63</v>
      </c>
      <c r="J62" s="5">
        <v>55.1</v>
      </c>
      <c r="K62" s="5">
        <f t="shared" si="2"/>
        <v>5179.8</v>
      </c>
      <c r="L62" s="22">
        <f t="shared" si="0"/>
        <v>1.0629999999999999</v>
      </c>
      <c r="M62" s="5"/>
    </row>
    <row r="63" spans="4:13">
      <c r="D63" s="5">
        <f t="shared" si="1"/>
        <v>59</v>
      </c>
      <c r="E63" s="6" t="s">
        <v>281</v>
      </c>
      <c r="F63" s="6" t="s">
        <v>357</v>
      </c>
      <c r="G63" s="6" t="s">
        <v>199</v>
      </c>
      <c r="H63" s="32">
        <f t="shared" ref="H63:H64" si="4">(300+I63)/1000</f>
        <v>0.36299999999999999</v>
      </c>
      <c r="I63" s="6">
        <v>63</v>
      </c>
      <c r="J63" s="6">
        <v>60</v>
      </c>
      <c r="K63" s="5">
        <f t="shared" si="2"/>
        <v>5239.8</v>
      </c>
      <c r="L63" s="22">
        <f t="shared" si="0"/>
        <v>1.0629999999999999</v>
      </c>
      <c r="M63" s="5"/>
    </row>
    <row r="64" spans="4:13">
      <c r="D64" s="5">
        <f t="shared" si="1"/>
        <v>60</v>
      </c>
      <c r="E64" s="6" t="s">
        <v>870</v>
      </c>
      <c r="F64" s="6" t="s">
        <v>1527</v>
      </c>
      <c r="G64" s="6" t="s">
        <v>199</v>
      </c>
      <c r="H64" s="32">
        <f t="shared" si="4"/>
        <v>0.36299999999999999</v>
      </c>
      <c r="I64" s="6">
        <v>63</v>
      </c>
      <c r="J64" s="6">
        <v>3</v>
      </c>
      <c r="K64" s="5">
        <f t="shared" si="2"/>
        <v>5242.8</v>
      </c>
      <c r="L64" s="22">
        <f t="shared" si="0"/>
        <v>1.0629999999999999</v>
      </c>
      <c r="M64" s="5"/>
    </row>
    <row r="65" spans="4:13">
      <c r="D65" s="5">
        <f t="shared" si="1"/>
        <v>61</v>
      </c>
      <c r="E65" s="5" t="s">
        <v>870</v>
      </c>
      <c r="F65" s="5" t="s">
        <v>1527</v>
      </c>
      <c r="G65" s="5"/>
      <c r="H65" s="5"/>
      <c r="I65" s="5">
        <v>63</v>
      </c>
      <c r="J65" s="5">
        <v>27.5</v>
      </c>
      <c r="K65" s="5">
        <f t="shared" si="2"/>
        <v>5270.3</v>
      </c>
      <c r="L65" s="22">
        <f t="shared" si="0"/>
        <v>1.0629999999999999</v>
      </c>
      <c r="M65" s="5"/>
    </row>
    <row r="66" spans="4:13">
      <c r="D66" s="5">
        <f t="shared" si="1"/>
        <v>62</v>
      </c>
      <c r="E66" s="5" t="s">
        <v>314</v>
      </c>
      <c r="F66" s="5" t="s">
        <v>402</v>
      </c>
      <c r="G66" s="5"/>
      <c r="H66" s="5"/>
      <c r="I66" s="5">
        <v>63</v>
      </c>
      <c r="J66" s="5">
        <v>327.7</v>
      </c>
      <c r="K66" s="5">
        <f t="shared" si="2"/>
        <v>5598</v>
      </c>
      <c r="L66" s="22">
        <f t="shared" si="0"/>
        <v>1.0629999999999999</v>
      </c>
      <c r="M66" s="5"/>
    </row>
    <row r="67" spans="4:13">
      <c r="D67" s="5">
        <f t="shared" si="1"/>
        <v>63</v>
      </c>
      <c r="E67" s="5" t="s">
        <v>1528</v>
      </c>
      <c r="F67" s="5" t="s">
        <v>1529</v>
      </c>
      <c r="G67" s="5"/>
      <c r="H67" s="5"/>
      <c r="I67" s="5">
        <v>63</v>
      </c>
      <c r="J67" s="5">
        <v>71.7</v>
      </c>
      <c r="K67" s="5">
        <f t="shared" si="2"/>
        <v>5669.7</v>
      </c>
      <c r="L67" s="22">
        <f t="shared" si="0"/>
        <v>1.0629999999999999</v>
      </c>
      <c r="M67" s="5"/>
    </row>
    <row r="68" spans="4:13">
      <c r="D68" s="5">
        <f t="shared" si="1"/>
        <v>64</v>
      </c>
      <c r="E68" s="5" t="s">
        <v>1529</v>
      </c>
      <c r="F68" s="5" t="s">
        <v>402</v>
      </c>
      <c r="G68" s="5"/>
      <c r="H68" s="5"/>
      <c r="I68" s="5">
        <v>63</v>
      </c>
      <c r="J68" s="5">
        <v>47.6</v>
      </c>
      <c r="K68" s="5">
        <f t="shared" si="2"/>
        <v>5717.3</v>
      </c>
      <c r="L68" s="22">
        <f t="shared" si="0"/>
        <v>1.0629999999999999</v>
      </c>
      <c r="M68" s="5"/>
    </row>
    <row r="69" spans="4:13">
      <c r="D69" s="5">
        <f t="shared" si="1"/>
        <v>65</v>
      </c>
      <c r="E69" s="6" t="s">
        <v>402</v>
      </c>
      <c r="F69" s="6" t="s">
        <v>282</v>
      </c>
      <c r="G69" s="6" t="s">
        <v>199</v>
      </c>
      <c r="H69" s="32">
        <f>(300+I69)/1000</f>
        <v>0.36299999999999999</v>
      </c>
      <c r="I69" s="6">
        <v>63</v>
      </c>
      <c r="J69" s="6">
        <v>4</v>
      </c>
      <c r="K69" s="5">
        <f t="shared" si="2"/>
        <v>5721.3</v>
      </c>
      <c r="L69" s="22">
        <f t="shared" si="0"/>
        <v>1.0629999999999999</v>
      </c>
      <c r="M69" s="5"/>
    </row>
    <row r="70" spans="4:13">
      <c r="D70" s="5">
        <f t="shared" si="1"/>
        <v>66</v>
      </c>
      <c r="E70" s="5" t="s">
        <v>402</v>
      </c>
      <c r="F70" s="5" t="s">
        <v>282</v>
      </c>
      <c r="G70" s="5"/>
      <c r="H70" s="5"/>
      <c r="I70" s="5">
        <v>63</v>
      </c>
      <c r="J70" s="5">
        <v>251</v>
      </c>
      <c r="K70" s="5">
        <f t="shared" si="2"/>
        <v>5972.3</v>
      </c>
      <c r="L70" s="22">
        <f t="shared" ref="L70:L133" si="5">(1000+I70)/1000</f>
        <v>1.0629999999999999</v>
      </c>
      <c r="M70" s="5"/>
    </row>
    <row r="71" spans="4:13">
      <c r="D71" s="5">
        <f t="shared" ref="D71:D134" si="6">1+D70</f>
        <v>67</v>
      </c>
      <c r="E71" s="5" t="s">
        <v>282</v>
      </c>
      <c r="F71" s="5" t="s">
        <v>279</v>
      </c>
      <c r="G71" s="5"/>
      <c r="H71" s="5"/>
      <c r="I71" s="5">
        <v>63</v>
      </c>
      <c r="J71" s="5">
        <v>40.6</v>
      </c>
      <c r="K71" s="5">
        <f t="shared" ref="K71:K134" si="7">+K70+J71</f>
        <v>6012.9000000000005</v>
      </c>
      <c r="L71" s="22">
        <f t="shared" si="5"/>
        <v>1.0629999999999999</v>
      </c>
      <c r="M71" s="5"/>
    </row>
    <row r="72" spans="4:13">
      <c r="D72" s="5">
        <f t="shared" si="6"/>
        <v>68</v>
      </c>
      <c r="E72" s="5" t="s">
        <v>279</v>
      </c>
      <c r="F72" s="5" t="s">
        <v>283</v>
      </c>
      <c r="G72" s="5"/>
      <c r="H72" s="5"/>
      <c r="I72" s="5">
        <v>63</v>
      </c>
      <c r="J72" s="5">
        <v>18.2</v>
      </c>
      <c r="K72" s="5">
        <f t="shared" si="7"/>
        <v>6031.1</v>
      </c>
      <c r="L72" s="22">
        <f t="shared" si="5"/>
        <v>1.0629999999999999</v>
      </c>
      <c r="M72" s="5"/>
    </row>
    <row r="73" spans="4:13">
      <c r="D73" s="5">
        <f t="shared" si="6"/>
        <v>69</v>
      </c>
      <c r="E73" s="5" t="s">
        <v>279</v>
      </c>
      <c r="F73" s="5" t="s">
        <v>400</v>
      </c>
      <c r="G73" s="5"/>
      <c r="H73" s="5"/>
      <c r="I73" s="5">
        <v>63</v>
      </c>
      <c r="J73" s="5">
        <v>52.9</v>
      </c>
      <c r="K73" s="5">
        <f t="shared" si="7"/>
        <v>6084</v>
      </c>
      <c r="L73" s="22">
        <f t="shared" si="5"/>
        <v>1.0629999999999999</v>
      </c>
      <c r="M73" s="5"/>
    </row>
    <row r="74" spans="4:13">
      <c r="D74" s="5">
        <f t="shared" si="6"/>
        <v>70</v>
      </c>
      <c r="E74" s="5" t="s">
        <v>400</v>
      </c>
      <c r="F74" s="5" t="s">
        <v>278</v>
      </c>
      <c r="G74" s="5"/>
      <c r="H74" s="5"/>
      <c r="I74" s="5">
        <v>63</v>
      </c>
      <c r="J74" s="5">
        <v>57.3</v>
      </c>
      <c r="K74" s="5">
        <f t="shared" si="7"/>
        <v>6141.3</v>
      </c>
      <c r="L74" s="22">
        <f t="shared" si="5"/>
        <v>1.0629999999999999</v>
      </c>
      <c r="M74" s="5"/>
    </row>
    <row r="75" spans="4:13">
      <c r="D75" s="5">
        <f t="shared" si="6"/>
        <v>71</v>
      </c>
      <c r="E75" s="5" t="s">
        <v>400</v>
      </c>
      <c r="F75" s="5" t="s">
        <v>315</v>
      </c>
      <c r="G75" s="5"/>
      <c r="H75" s="5"/>
      <c r="I75" s="5">
        <v>63</v>
      </c>
      <c r="J75" s="5">
        <v>101.1</v>
      </c>
      <c r="K75" s="5">
        <f t="shared" si="7"/>
        <v>6242.4000000000005</v>
      </c>
      <c r="L75" s="22">
        <f t="shared" si="5"/>
        <v>1.0629999999999999</v>
      </c>
      <c r="M75" s="5"/>
    </row>
    <row r="76" spans="4:13">
      <c r="D76" s="5">
        <f t="shared" si="6"/>
        <v>72</v>
      </c>
      <c r="E76" s="6" t="s">
        <v>315</v>
      </c>
      <c r="F76" s="6" t="s">
        <v>363</v>
      </c>
      <c r="G76" s="5"/>
      <c r="H76" s="5"/>
      <c r="I76" s="5">
        <v>63</v>
      </c>
      <c r="J76" s="5">
        <v>53.8</v>
      </c>
      <c r="K76" s="5">
        <f t="shared" si="7"/>
        <v>6296.2000000000007</v>
      </c>
      <c r="L76" s="22">
        <f t="shared" si="5"/>
        <v>1.0629999999999999</v>
      </c>
      <c r="M76" s="5"/>
    </row>
    <row r="77" spans="4:13">
      <c r="D77" s="5">
        <f t="shared" si="6"/>
        <v>73</v>
      </c>
      <c r="E77" s="5" t="s">
        <v>315</v>
      </c>
      <c r="F77" s="5" t="s">
        <v>265</v>
      </c>
      <c r="G77" s="5"/>
      <c r="H77" s="5"/>
      <c r="I77" s="5">
        <v>63</v>
      </c>
      <c r="J77" s="5">
        <v>101.8</v>
      </c>
      <c r="K77" s="5">
        <f t="shared" si="7"/>
        <v>6398.0000000000009</v>
      </c>
      <c r="L77" s="22">
        <f t="shared" si="5"/>
        <v>1.0629999999999999</v>
      </c>
      <c r="M77" s="5"/>
    </row>
    <row r="78" spans="4:13">
      <c r="D78" s="5">
        <f t="shared" si="6"/>
        <v>74</v>
      </c>
      <c r="E78" s="6" t="s">
        <v>250</v>
      </c>
      <c r="F78" s="6" t="s">
        <v>628</v>
      </c>
      <c r="G78" s="6" t="s">
        <v>149</v>
      </c>
      <c r="H78" s="32">
        <f>(300+I78)/1000</f>
        <v>0.36299999999999999</v>
      </c>
      <c r="I78" s="6">
        <v>63</v>
      </c>
      <c r="J78" s="6">
        <v>101.3</v>
      </c>
      <c r="K78" s="5">
        <f t="shared" si="7"/>
        <v>6499.3000000000011</v>
      </c>
      <c r="L78" s="22">
        <f t="shared" si="5"/>
        <v>1.0629999999999999</v>
      </c>
      <c r="M78" s="5"/>
    </row>
    <row r="79" spans="4:13">
      <c r="D79" s="5">
        <f t="shared" si="6"/>
        <v>75</v>
      </c>
      <c r="E79" s="5" t="s">
        <v>250</v>
      </c>
      <c r="F79" s="5" t="s">
        <v>628</v>
      </c>
      <c r="G79" s="5"/>
      <c r="H79" s="5"/>
      <c r="I79" s="5">
        <v>63</v>
      </c>
      <c r="J79" s="5">
        <v>138.5</v>
      </c>
      <c r="K79" s="5">
        <f t="shared" si="7"/>
        <v>6637.8000000000011</v>
      </c>
      <c r="L79" s="22">
        <f t="shared" si="5"/>
        <v>1.0629999999999999</v>
      </c>
      <c r="M79" s="5"/>
    </row>
    <row r="80" spans="4:13">
      <c r="D80" s="5">
        <f t="shared" si="6"/>
        <v>76</v>
      </c>
      <c r="E80" s="5" t="s">
        <v>628</v>
      </c>
      <c r="F80" s="5" t="s">
        <v>363</v>
      </c>
      <c r="G80" s="5"/>
      <c r="H80" s="5"/>
      <c r="I80" s="5">
        <v>63</v>
      </c>
      <c r="J80" s="5">
        <v>62</v>
      </c>
      <c r="K80" s="5">
        <f t="shared" si="7"/>
        <v>6699.8000000000011</v>
      </c>
      <c r="L80" s="22">
        <f t="shared" si="5"/>
        <v>1.0629999999999999</v>
      </c>
      <c r="M80" s="5"/>
    </row>
    <row r="81" spans="4:13">
      <c r="D81" s="5">
        <f t="shared" si="6"/>
        <v>77</v>
      </c>
      <c r="E81" s="5" t="s">
        <v>628</v>
      </c>
      <c r="F81" s="5" t="s">
        <v>504</v>
      </c>
      <c r="G81" s="5"/>
      <c r="H81" s="5"/>
      <c r="I81" s="5">
        <v>63</v>
      </c>
      <c r="J81" s="5">
        <v>87.4</v>
      </c>
      <c r="K81" s="5">
        <f t="shared" si="7"/>
        <v>6787.2000000000007</v>
      </c>
      <c r="L81" s="22">
        <f t="shared" si="5"/>
        <v>1.0629999999999999</v>
      </c>
      <c r="M81" s="5"/>
    </row>
    <row r="82" spans="4:13">
      <c r="D82" s="5">
        <f t="shared" si="6"/>
        <v>78</v>
      </c>
      <c r="E82" s="6" t="s">
        <v>504</v>
      </c>
      <c r="F82" s="6" t="s">
        <v>283</v>
      </c>
      <c r="G82" s="6" t="s">
        <v>199</v>
      </c>
      <c r="H82" s="32">
        <f>(300+I82)/1000</f>
        <v>0.36299999999999999</v>
      </c>
      <c r="I82" s="6">
        <v>63</v>
      </c>
      <c r="J82" s="6">
        <v>84.5</v>
      </c>
      <c r="K82" s="5">
        <f t="shared" si="7"/>
        <v>6871.7000000000007</v>
      </c>
      <c r="L82" s="22">
        <f t="shared" si="5"/>
        <v>1.0629999999999999</v>
      </c>
      <c r="M82" s="5"/>
    </row>
    <row r="83" spans="4:13">
      <c r="D83" s="5">
        <f t="shared" si="6"/>
        <v>79</v>
      </c>
      <c r="E83" s="5" t="s">
        <v>504</v>
      </c>
      <c r="F83" s="5" t="s">
        <v>283</v>
      </c>
      <c r="G83" s="5"/>
      <c r="H83" s="5"/>
      <c r="I83" s="5">
        <v>63</v>
      </c>
      <c r="J83" s="5">
        <v>8</v>
      </c>
      <c r="K83" s="5">
        <f t="shared" si="7"/>
        <v>6879.7000000000007</v>
      </c>
      <c r="L83" s="22">
        <f t="shared" si="5"/>
        <v>1.0629999999999999</v>
      </c>
      <c r="M83" s="5"/>
    </row>
    <row r="84" spans="4:13">
      <c r="D84" s="5">
        <f t="shared" si="6"/>
        <v>80</v>
      </c>
      <c r="E84" s="6" t="s">
        <v>504</v>
      </c>
      <c r="F84" s="6" t="s">
        <v>352</v>
      </c>
      <c r="G84" s="6" t="s">
        <v>199</v>
      </c>
      <c r="H84" s="32">
        <f t="shared" ref="H84:H85" si="8">(300+I84)/1000</f>
        <v>0.36299999999999999</v>
      </c>
      <c r="I84" s="6">
        <v>63</v>
      </c>
      <c r="J84" s="6">
        <v>95.5</v>
      </c>
      <c r="K84" s="5">
        <f t="shared" si="7"/>
        <v>6975.2000000000007</v>
      </c>
      <c r="L84" s="22">
        <f t="shared" si="5"/>
        <v>1.0629999999999999</v>
      </c>
      <c r="M84" s="5"/>
    </row>
    <row r="85" spans="4:13">
      <c r="D85" s="5">
        <f t="shared" si="6"/>
        <v>81</v>
      </c>
      <c r="E85" s="6" t="s">
        <v>352</v>
      </c>
      <c r="F85" s="6" t="s">
        <v>240</v>
      </c>
      <c r="G85" s="6" t="s">
        <v>199</v>
      </c>
      <c r="H85" s="32">
        <f t="shared" si="8"/>
        <v>0.36299999999999999</v>
      </c>
      <c r="I85" s="6">
        <v>63</v>
      </c>
      <c r="J85" s="6">
        <v>3</v>
      </c>
      <c r="K85" s="5">
        <f t="shared" si="7"/>
        <v>6978.2000000000007</v>
      </c>
      <c r="L85" s="22">
        <f t="shared" si="5"/>
        <v>1.0629999999999999</v>
      </c>
      <c r="M85" s="5"/>
    </row>
    <row r="86" spans="4:13">
      <c r="D86" s="5">
        <f t="shared" si="6"/>
        <v>82</v>
      </c>
      <c r="E86" s="5" t="s">
        <v>352</v>
      </c>
      <c r="F86" s="5" t="s">
        <v>240</v>
      </c>
      <c r="G86" s="5"/>
      <c r="H86" s="5"/>
      <c r="I86" s="5">
        <v>63</v>
      </c>
      <c r="J86" s="5">
        <v>303</v>
      </c>
      <c r="K86" s="5">
        <f t="shared" si="7"/>
        <v>7281.2000000000007</v>
      </c>
      <c r="L86" s="22">
        <f t="shared" si="5"/>
        <v>1.0629999999999999</v>
      </c>
      <c r="M86" s="5"/>
    </row>
    <row r="87" spans="4:13">
      <c r="D87" s="5">
        <f t="shared" si="6"/>
        <v>83</v>
      </c>
      <c r="E87" s="6" t="s">
        <v>352</v>
      </c>
      <c r="F87" s="6" t="s">
        <v>238</v>
      </c>
      <c r="G87" s="6" t="s">
        <v>199</v>
      </c>
      <c r="H87" s="32">
        <f>(300+I87)/1000</f>
        <v>0.36299999999999999</v>
      </c>
      <c r="I87" s="6">
        <v>63</v>
      </c>
      <c r="J87" s="6">
        <v>128</v>
      </c>
      <c r="K87" s="5">
        <f t="shared" si="7"/>
        <v>7409.2000000000007</v>
      </c>
      <c r="L87" s="22">
        <f t="shared" si="5"/>
        <v>1.0629999999999999</v>
      </c>
      <c r="M87" s="5"/>
    </row>
    <row r="88" spans="4:13">
      <c r="D88" s="5">
        <f t="shared" si="6"/>
        <v>84</v>
      </c>
      <c r="E88" s="5" t="s">
        <v>352</v>
      </c>
      <c r="F88" s="5" t="s">
        <v>238</v>
      </c>
      <c r="G88" s="5"/>
      <c r="H88" s="5"/>
      <c r="I88" s="5">
        <v>63</v>
      </c>
      <c r="J88" s="5">
        <v>138.5</v>
      </c>
      <c r="K88" s="5">
        <f t="shared" si="7"/>
        <v>7547.7000000000007</v>
      </c>
      <c r="L88" s="22">
        <f t="shared" si="5"/>
        <v>1.0629999999999999</v>
      </c>
      <c r="M88" s="5"/>
    </row>
    <row r="89" spans="4:13">
      <c r="D89" s="5">
        <f t="shared" si="6"/>
        <v>85</v>
      </c>
      <c r="E89" s="6" t="s">
        <v>352</v>
      </c>
      <c r="F89" s="6" t="s">
        <v>308</v>
      </c>
      <c r="G89" s="6" t="s">
        <v>199</v>
      </c>
      <c r="H89" s="32">
        <f t="shared" ref="H89:H91" si="9">(300+I89)/1000</f>
        <v>0.36299999999999999</v>
      </c>
      <c r="I89" s="6">
        <v>63</v>
      </c>
      <c r="J89" s="6">
        <v>363</v>
      </c>
      <c r="K89" s="5">
        <f t="shared" si="7"/>
        <v>7910.7000000000007</v>
      </c>
      <c r="L89" s="22">
        <f t="shared" si="5"/>
        <v>1.0629999999999999</v>
      </c>
      <c r="M89" s="5"/>
    </row>
    <row r="90" spans="4:13">
      <c r="D90" s="5">
        <f t="shared" si="6"/>
        <v>86</v>
      </c>
      <c r="E90" s="6" t="s">
        <v>352</v>
      </c>
      <c r="F90" s="6" t="s">
        <v>308</v>
      </c>
      <c r="G90" s="6" t="s">
        <v>199</v>
      </c>
      <c r="H90" s="32">
        <f t="shared" si="9"/>
        <v>0.36299999999999999</v>
      </c>
      <c r="I90" s="6">
        <v>63</v>
      </c>
      <c r="J90" s="6">
        <v>409</v>
      </c>
      <c r="K90" s="5">
        <f t="shared" si="7"/>
        <v>8319.7000000000007</v>
      </c>
      <c r="L90" s="22">
        <f t="shared" si="5"/>
        <v>1.0629999999999999</v>
      </c>
      <c r="M90" s="5"/>
    </row>
    <row r="91" spans="4:13">
      <c r="D91" s="5">
        <f t="shared" si="6"/>
        <v>87</v>
      </c>
      <c r="E91" s="6" t="s">
        <v>308</v>
      </c>
      <c r="F91" s="6" t="s">
        <v>616</v>
      </c>
      <c r="G91" s="6" t="s">
        <v>199</v>
      </c>
      <c r="H91" s="32">
        <f t="shared" si="9"/>
        <v>0.36299999999999999</v>
      </c>
      <c r="I91" s="6">
        <v>63</v>
      </c>
      <c r="J91" s="6">
        <v>3</v>
      </c>
      <c r="K91" s="5">
        <f t="shared" si="7"/>
        <v>8322.7000000000007</v>
      </c>
      <c r="L91" s="22">
        <f t="shared" si="5"/>
        <v>1.0629999999999999</v>
      </c>
      <c r="M91" s="5"/>
    </row>
    <row r="92" spans="4:13">
      <c r="D92" s="5">
        <f t="shared" si="6"/>
        <v>88</v>
      </c>
      <c r="E92" s="5" t="s">
        <v>308</v>
      </c>
      <c r="F92" s="5" t="s">
        <v>616</v>
      </c>
      <c r="G92" s="5"/>
      <c r="H92" s="5"/>
      <c r="I92" s="5">
        <v>63</v>
      </c>
      <c r="J92" s="5">
        <v>122.5</v>
      </c>
      <c r="K92" s="5">
        <f t="shared" si="7"/>
        <v>8445.2000000000007</v>
      </c>
      <c r="L92" s="22">
        <f t="shared" si="5"/>
        <v>1.0629999999999999</v>
      </c>
      <c r="M92" s="5"/>
    </row>
    <row r="93" spans="4:13">
      <c r="D93" s="5">
        <f t="shared" si="6"/>
        <v>89</v>
      </c>
      <c r="E93" s="6" t="s">
        <v>308</v>
      </c>
      <c r="F93" s="6" t="s">
        <v>616</v>
      </c>
      <c r="G93" s="6" t="s">
        <v>199</v>
      </c>
      <c r="H93" s="32">
        <f>(300+I93)/1000</f>
        <v>0.36299999999999999</v>
      </c>
      <c r="I93" s="6">
        <v>63</v>
      </c>
      <c r="J93" s="6">
        <v>60</v>
      </c>
      <c r="K93" s="5">
        <f t="shared" si="7"/>
        <v>8505.2000000000007</v>
      </c>
      <c r="L93" s="22">
        <f t="shared" si="5"/>
        <v>1.0629999999999999</v>
      </c>
      <c r="M93" s="5"/>
    </row>
    <row r="94" spans="4:13">
      <c r="D94" s="5">
        <f t="shared" si="6"/>
        <v>90</v>
      </c>
      <c r="E94" s="5" t="s">
        <v>308</v>
      </c>
      <c r="F94" s="5" t="s">
        <v>616</v>
      </c>
      <c r="G94" s="5"/>
      <c r="H94" s="5"/>
      <c r="I94" s="5">
        <v>63</v>
      </c>
      <c r="J94" s="5">
        <v>127.2</v>
      </c>
      <c r="K94" s="5">
        <f t="shared" si="7"/>
        <v>8632.4000000000015</v>
      </c>
      <c r="L94" s="22">
        <f t="shared" si="5"/>
        <v>1.0629999999999999</v>
      </c>
      <c r="M94" s="5"/>
    </row>
    <row r="95" spans="4:13">
      <c r="D95" s="5">
        <f t="shared" si="6"/>
        <v>91</v>
      </c>
      <c r="E95" s="6" t="s">
        <v>308</v>
      </c>
      <c r="F95" s="6" t="s">
        <v>316</v>
      </c>
      <c r="G95" s="6" t="s">
        <v>199</v>
      </c>
      <c r="H95" s="32">
        <f>(300+I95)/1000</f>
        <v>0.36299999999999999</v>
      </c>
      <c r="I95" s="6">
        <v>63</v>
      </c>
      <c r="J95" s="6">
        <v>161.6</v>
      </c>
      <c r="K95" s="5">
        <f t="shared" si="7"/>
        <v>8794.0000000000018</v>
      </c>
      <c r="L95" s="22">
        <f t="shared" si="5"/>
        <v>1.0629999999999999</v>
      </c>
      <c r="M95" s="5"/>
    </row>
    <row r="96" spans="4:13">
      <c r="D96" s="5">
        <f t="shared" si="6"/>
        <v>92</v>
      </c>
      <c r="E96" s="5" t="s">
        <v>506</v>
      </c>
      <c r="F96" s="5" t="s">
        <v>285</v>
      </c>
      <c r="G96" s="5"/>
      <c r="H96" s="5"/>
      <c r="I96" s="5">
        <v>63</v>
      </c>
      <c r="J96" s="5">
        <v>27.8</v>
      </c>
      <c r="K96" s="5">
        <f t="shared" si="7"/>
        <v>8821.8000000000011</v>
      </c>
      <c r="L96" s="22">
        <f t="shared" si="5"/>
        <v>1.0629999999999999</v>
      </c>
      <c r="M96" s="5"/>
    </row>
    <row r="97" spans="4:13">
      <c r="D97" s="5">
        <f t="shared" si="6"/>
        <v>93</v>
      </c>
      <c r="E97" s="5" t="s">
        <v>506</v>
      </c>
      <c r="F97" s="5" t="s">
        <v>285</v>
      </c>
      <c r="G97" s="5"/>
      <c r="H97" s="5"/>
      <c r="I97" s="5">
        <v>63</v>
      </c>
      <c r="J97" s="5">
        <v>25.7</v>
      </c>
      <c r="K97" s="5">
        <f t="shared" si="7"/>
        <v>8847.5000000000018</v>
      </c>
      <c r="L97" s="22">
        <f t="shared" si="5"/>
        <v>1.0629999999999999</v>
      </c>
      <c r="M97" s="5"/>
    </row>
    <row r="98" spans="4:13">
      <c r="D98" s="5">
        <f t="shared" si="6"/>
        <v>94</v>
      </c>
      <c r="E98" s="6" t="s">
        <v>506</v>
      </c>
      <c r="F98" s="6" t="s">
        <v>285</v>
      </c>
      <c r="G98" s="6" t="s">
        <v>199</v>
      </c>
      <c r="H98" s="32">
        <f>(300+I98)/1000</f>
        <v>0.36299999999999999</v>
      </c>
      <c r="I98" s="6">
        <v>63</v>
      </c>
      <c r="J98" s="6">
        <v>15</v>
      </c>
      <c r="K98" s="5">
        <f t="shared" si="7"/>
        <v>8862.5000000000018</v>
      </c>
      <c r="L98" s="22">
        <f t="shared" si="5"/>
        <v>1.0629999999999999</v>
      </c>
      <c r="M98" s="5"/>
    </row>
    <row r="99" spans="4:13">
      <c r="D99" s="5">
        <f t="shared" si="6"/>
        <v>95</v>
      </c>
      <c r="E99" s="5" t="s">
        <v>506</v>
      </c>
      <c r="F99" s="5" t="s">
        <v>285</v>
      </c>
      <c r="G99" s="5"/>
      <c r="H99" s="5"/>
      <c r="I99" s="5">
        <v>63</v>
      </c>
      <c r="J99" s="5">
        <v>15.5</v>
      </c>
      <c r="K99" s="5">
        <f t="shared" si="7"/>
        <v>8878.0000000000018</v>
      </c>
      <c r="L99" s="22">
        <f t="shared" si="5"/>
        <v>1.0629999999999999</v>
      </c>
      <c r="M99" s="5"/>
    </row>
    <row r="100" spans="4:13">
      <c r="D100" s="5">
        <f t="shared" si="6"/>
        <v>96</v>
      </c>
      <c r="E100" s="6" t="s">
        <v>1530</v>
      </c>
      <c r="F100" s="6" t="s">
        <v>1531</v>
      </c>
      <c r="G100" s="6" t="s">
        <v>199</v>
      </c>
      <c r="H100" s="32">
        <f>(300+I100)/1000</f>
        <v>0.36299999999999999</v>
      </c>
      <c r="I100" s="6">
        <v>63</v>
      </c>
      <c r="J100" s="6">
        <v>2.2999999999999998</v>
      </c>
      <c r="K100" s="5">
        <f t="shared" si="7"/>
        <v>8880.3000000000011</v>
      </c>
      <c r="L100" s="22">
        <f t="shared" si="5"/>
        <v>1.0629999999999999</v>
      </c>
      <c r="M100" s="5"/>
    </row>
    <row r="101" spans="4:13">
      <c r="D101" s="5">
        <f t="shared" si="6"/>
        <v>97</v>
      </c>
      <c r="E101" s="5" t="s">
        <v>1530</v>
      </c>
      <c r="F101" s="5" t="s">
        <v>1531</v>
      </c>
      <c r="G101" s="5"/>
      <c r="H101" s="5"/>
      <c r="I101" s="5">
        <v>63</v>
      </c>
      <c r="J101" s="5">
        <v>32.5</v>
      </c>
      <c r="K101" s="5">
        <f t="shared" si="7"/>
        <v>8912.8000000000011</v>
      </c>
      <c r="L101" s="22">
        <f t="shared" si="5"/>
        <v>1.0629999999999999</v>
      </c>
      <c r="M101" s="5"/>
    </row>
    <row r="102" spans="4:13">
      <c r="D102" s="5">
        <f t="shared" si="6"/>
        <v>98</v>
      </c>
      <c r="E102" s="5" t="s">
        <v>285</v>
      </c>
      <c r="F102" s="5" t="s">
        <v>418</v>
      </c>
      <c r="G102" s="5"/>
      <c r="H102" s="5"/>
      <c r="I102" s="5">
        <v>63</v>
      </c>
      <c r="J102" s="5">
        <v>31</v>
      </c>
      <c r="K102" s="5">
        <f t="shared" si="7"/>
        <v>8943.8000000000011</v>
      </c>
      <c r="L102" s="22">
        <f t="shared" si="5"/>
        <v>1.0629999999999999</v>
      </c>
      <c r="M102" s="5"/>
    </row>
    <row r="103" spans="4:13">
      <c r="D103" s="5">
        <f t="shared" si="6"/>
        <v>99</v>
      </c>
      <c r="E103" s="5" t="s">
        <v>285</v>
      </c>
      <c r="F103" s="5" t="s">
        <v>417</v>
      </c>
      <c r="G103" s="5"/>
      <c r="H103" s="5"/>
      <c r="I103" s="5">
        <v>63</v>
      </c>
      <c r="J103" s="5">
        <v>19.5</v>
      </c>
      <c r="K103" s="5">
        <f t="shared" si="7"/>
        <v>8963.3000000000011</v>
      </c>
      <c r="L103" s="22">
        <f t="shared" si="5"/>
        <v>1.0629999999999999</v>
      </c>
      <c r="M103" s="5"/>
    </row>
    <row r="104" spans="4:13">
      <c r="D104" s="5">
        <f t="shared" si="6"/>
        <v>100</v>
      </c>
      <c r="E104" s="5" t="s">
        <v>1532</v>
      </c>
      <c r="F104" s="5" t="s">
        <v>1533</v>
      </c>
      <c r="G104" s="5"/>
      <c r="H104" s="5"/>
      <c r="I104" s="5">
        <v>63</v>
      </c>
      <c r="J104" s="5">
        <v>41</v>
      </c>
      <c r="K104" s="5">
        <f t="shared" si="7"/>
        <v>9004.3000000000011</v>
      </c>
      <c r="L104" s="22">
        <f t="shared" si="5"/>
        <v>1.0629999999999999</v>
      </c>
      <c r="M104" s="5"/>
    </row>
    <row r="105" spans="4:13">
      <c r="D105" s="5">
        <f t="shared" si="6"/>
        <v>101</v>
      </c>
      <c r="E105" s="5" t="s">
        <v>1533</v>
      </c>
      <c r="F105" s="5" t="s">
        <v>417</v>
      </c>
      <c r="G105" s="5"/>
      <c r="H105" s="5"/>
      <c r="I105" s="5">
        <v>63</v>
      </c>
      <c r="J105" s="5">
        <v>186.9</v>
      </c>
      <c r="K105" s="5">
        <f t="shared" si="7"/>
        <v>9191.2000000000007</v>
      </c>
      <c r="L105" s="22">
        <f t="shared" si="5"/>
        <v>1.0629999999999999</v>
      </c>
      <c r="M105" s="5"/>
    </row>
    <row r="106" spans="4:13">
      <c r="D106" s="5">
        <f t="shared" si="6"/>
        <v>102</v>
      </c>
      <c r="E106" s="5" t="s">
        <v>214</v>
      </c>
      <c r="F106" s="5" t="s">
        <v>516</v>
      </c>
      <c r="G106" s="5"/>
      <c r="H106" s="5"/>
      <c r="I106" s="5">
        <v>63</v>
      </c>
      <c r="J106" s="5">
        <v>23.5</v>
      </c>
      <c r="K106" s="5">
        <f t="shared" si="7"/>
        <v>9214.7000000000007</v>
      </c>
      <c r="L106" s="22">
        <f t="shared" si="5"/>
        <v>1.0629999999999999</v>
      </c>
      <c r="M106" s="5"/>
    </row>
    <row r="107" spans="4:13">
      <c r="D107" s="5">
        <f t="shared" si="6"/>
        <v>103</v>
      </c>
      <c r="E107" s="5" t="s">
        <v>214</v>
      </c>
      <c r="F107" s="5" t="s">
        <v>919</v>
      </c>
      <c r="G107" s="5"/>
      <c r="H107" s="5"/>
      <c r="I107" s="5">
        <v>63</v>
      </c>
      <c r="J107" s="5">
        <v>249.5</v>
      </c>
      <c r="K107" s="5">
        <f t="shared" si="7"/>
        <v>9464.2000000000007</v>
      </c>
      <c r="L107" s="22">
        <f t="shared" si="5"/>
        <v>1.0629999999999999</v>
      </c>
      <c r="M107" s="5"/>
    </row>
    <row r="108" spans="4:13">
      <c r="D108" s="5">
        <f t="shared" si="6"/>
        <v>104</v>
      </c>
      <c r="E108" s="5" t="s">
        <v>919</v>
      </c>
      <c r="F108" s="5" t="s">
        <v>205</v>
      </c>
      <c r="G108" s="5"/>
      <c r="H108" s="5"/>
      <c r="I108" s="5">
        <v>63</v>
      </c>
      <c r="J108" s="5">
        <v>37.5</v>
      </c>
      <c r="K108" s="5">
        <f t="shared" si="7"/>
        <v>9501.7000000000007</v>
      </c>
      <c r="L108" s="22">
        <f t="shared" si="5"/>
        <v>1.0629999999999999</v>
      </c>
      <c r="M108" s="5"/>
    </row>
    <row r="109" spans="4:13">
      <c r="D109" s="5">
        <f t="shared" si="6"/>
        <v>105</v>
      </c>
      <c r="E109" s="5" t="s">
        <v>919</v>
      </c>
      <c r="F109" s="5" t="s">
        <v>233</v>
      </c>
      <c r="G109" s="5"/>
      <c r="H109" s="5"/>
      <c r="I109" s="5">
        <v>63</v>
      </c>
      <c r="J109" s="5">
        <v>155</v>
      </c>
      <c r="K109" s="5">
        <f t="shared" si="7"/>
        <v>9656.7000000000007</v>
      </c>
      <c r="L109" s="22">
        <f t="shared" si="5"/>
        <v>1.0629999999999999</v>
      </c>
      <c r="M109" s="5"/>
    </row>
    <row r="110" spans="4:13">
      <c r="D110" s="5">
        <f t="shared" si="6"/>
        <v>106</v>
      </c>
      <c r="E110" s="5" t="s">
        <v>1534</v>
      </c>
      <c r="F110" s="5" t="s">
        <v>206</v>
      </c>
      <c r="G110" s="5"/>
      <c r="H110" s="5"/>
      <c r="I110" s="5">
        <v>63</v>
      </c>
      <c r="J110" s="5">
        <v>83.8</v>
      </c>
      <c r="K110" s="5">
        <f t="shared" si="7"/>
        <v>9740.5</v>
      </c>
      <c r="L110" s="22">
        <f t="shared" si="5"/>
        <v>1.0629999999999999</v>
      </c>
      <c r="M110" s="5"/>
    </row>
    <row r="111" spans="4:13">
      <c r="D111" s="5">
        <f t="shared" si="6"/>
        <v>107</v>
      </c>
      <c r="E111" s="5" t="s">
        <v>1534</v>
      </c>
      <c r="F111" s="5" t="s">
        <v>206</v>
      </c>
      <c r="G111" s="5" t="s">
        <v>193</v>
      </c>
      <c r="H111" s="22">
        <f>(300+I111)/1000</f>
        <v>0.36299999999999999</v>
      </c>
      <c r="I111" s="5">
        <v>63</v>
      </c>
      <c r="J111" s="5">
        <v>3</v>
      </c>
      <c r="K111" s="5">
        <f t="shared" si="7"/>
        <v>9743.5</v>
      </c>
      <c r="L111" s="22">
        <f t="shared" si="5"/>
        <v>1.0629999999999999</v>
      </c>
      <c r="M111" s="5"/>
    </row>
    <row r="112" spans="4:13">
      <c r="D112" s="5">
        <f t="shared" si="6"/>
        <v>108</v>
      </c>
      <c r="E112" s="5" t="s">
        <v>206</v>
      </c>
      <c r="F112" s="5" t="s">
        <v>614</v>
      </c>
      <c r="G112" s="5"/>
      <c r="H112" s="5"/>
      <c r="I112" s="5">
        <v>63</v>
      </c>
      <c r="J112" s="5">
        <v>92</v>
      </c>
      <c r="K112" s="5">
        <f t="shared" si="7"/>
        <v>9835.5</v>
      </c>
      <c r="L112" s="22">
        <f t="shared" si="5"/>
        <v>1.0629999999999999</v>
      </c>
      <c r="M112" s="5"/>
    </row>
    <row r="113" spans="4:13">
      <c r="D113" s="5">
        <f t="shared" si="6"/>
        <v>109</v>
      </c>
      <c r="E113" s="5" t="s">
        <v>206</v>
      </c>
      <c r="F113" s="5" t="s">
        <v>613</v>
      </c>
      <c r="G113" s="5"/>
      <c r="H113" s="5"/>
      <c r="I113" s="5">
        <v>63</v>
      </c>
      <c r="J113" s="5">
        <v>135.30000000000001</v>
      </c>
      <c r="K113" s="5">
        <f t="shared" si="7"/>
        <v>9970.7999999999993</v>
      </c>
      <c r="L113" s="22">
        <f t="shared" si="5"/>
        <v>1.0629999999999999</v>
      </c>
      <c r="M113" s="5"/>
    </row>
    <row r="114" spans="4:13">
      <c r="D114" s="5">
        <f t="shared" si="6"/>
        <v>110</v>
      </c>
      <c r="E114" s="5" t="s">
        <v>613</v>
      </c>
      <c r="F114" s="5" t="s">
        <v>460</v>
      </c>
      <c r="G114" s="5"/>
      <c r="H114" s="5"/>
      <c r="I114" s="5">
        <v>63</v>
      </c>
      <c r="J114" s="5">
        <v>25</v>
      </c>
      <c r="K114" s="5">
        <f t="shared" si="7"/>
        <v>9995.7999999999993</v>
      </c>
      <c r="L114" s="22">
        <f t="shared" si="5"/>
        <v>1.0629999999999999</v>
      </c>
      <c r="M114" s="5"/>
    </row>
    <row r="115" spans="4:13">
      <c r="D115" s="5">
        <f t="shared" si="6"/>
        <v>111</v>
      </c>
      <c r="E115" s="5" t="s">
        <v>613</v>
      </c>
      <c r="F115" s="5" t="s">
        <v>570</v>
      </c>
      <c r="G115" s="5"/>
      <c r="H115" s="5"/>
      <c r="I115" s="5">
        <v>63</v>
      </c>
      <c r="J115" s="5">
        <v>141.19999999999999</v>
      </c>
      <c r="K115" s="5">
        <f t="shared" si="7"/>
        <v>10137</v>
      </c>
      <c r="L115" s="22">
        <f t="shared" si="5"/>
        <v>1.0629999999999999</v>
      </c>
      <c r="M115" s="5"/>
    </row>
    <row r="116" spans="4:13">
      <c r="D116" s="5">
        <f t="shared" si="6"/>
        <v>112</v>
      </c>
      <c r="E116" s="5" t="s">
        <v>570</v>
      </c>
      <c r="F116" s="5" t="s">
        <v>1535</v>
      </c>
      <c r="G116" s="5"/>
      <c r="H116" s="5"/>
      <c r="I116" s="5">
        <v>63</v>
      </c>
      <c r="J116" s="5">
        <v>42.5</v>
      </c>
      <c r="K116" s="5">
        <f t="shared" si="7"/>
        <v>10179.5</v>
      </c>
      <c r="L116" s="22">
        <f t="shared" si="5"/>
        <v>1.0629999999999999</v>
      </c>
      <c r="M116" s="5"/>
    </row>
    <row r="117" spans="4:13">
      <c r="D117" s="5">
        <f t="shared" si="6"/>
        <v>113</v>
      </c>
      <c r="E117" s="5" t="s">
        <v>570</v>
      </c>
      <c r="F117" s="5" t="s">
        <v>686</v>
      </c>
      <c r="G117" s="5"/>
      <c r="H117" s="5"/>
      <c r="I117" s="5">
        <v>63</v>
      </c>
      <c r="J117" s="5">
        <v>16</v>
      </c>
      <c r="K117" s="5">
        <f t="shared" si="7"/>
        <v>10195.5</v>
      </c>
      <c r="L117" s="22">
        <f t="shared" si="5"/>
        <v>1.0629999999999999</v>
      </c>
      <c r="M117" s="5"/>
    </row>
    <row r="118" spans="4:13">
      <c r="D118" s="5">
        <f t="shared" si="6"/>
        <v>114</v>
      </c>
      <c r="E118" s="5" t="s">
        <v>218</v>
      </c>
      <c r="F118" s="5" t="s">
        <v>216</v>
      </c>
      <c r="G118" s="5"/>
      <c r="H118" s="5"/>
      <c r="I118" s="5">
        <v>63</v>
      </c>
      <c r="J118" s="5">
        <v>165.5</v>
      </c>
      <c r="K118" s="5">
        <f t="shared" si="7"/>
        <v>10361</v>
      </c>
      <c r="L118" s="22">
        <f t="shared" si="5"/>
        <v>1.0629999999999999</v>
      </c>
      <c r="M118" s="5"/>
    </row>
    <row r="119" spans="4:13">
      <c r="D119" s="5">
        <f t="shared" si="6"/>
        <v>115</v>
      </c>
      <c r="E119" s="5" t="s">
        <v>296</v>
      </c>
      <c r="F119" s="5" t="s">
        <v>311</v>
      </c>
      <c r="G119" s="5" t="s">
        <v>193</v>
      </c>
      <c r="H119" s="22">
        <f>(300+I119)/1000</f>
        <v>0.36299999999999999</v>
      </c>
      <c r="I119" s="5">
        <v>63</v>
      </c>
      <c r="J119" s="5">
        <v>3.3</v>
      </c>
      <c r="K119" s="5">
        <f t="shared" si="7"/>
        <v>10364.299999999999</v>
      </c>
      <c r="L119" s="22">
        <f t="shared" si="5"/>
        <v>1.0629999999999999</v>
      </c>
      <c r="M119" s="5"/>
    </row>
    <row r="120" spans="4:13">
      <c r="D120" s="5">
        <f t="shared" si="6"/>
        <v>116</v>
      </c>
      <c r="E120" s="5" t="s">
        <v>296</v>
      </c>
      <c r="F120" s="5" t="s">
        <v>311</v>
      </c>
      <c r="G120" s="5"/>
      <c r="H120" s="5"/>
      <c r="I120" s="5">
        <v>63</v>
      </c>
      <c r="J120" s="5">
        <v>275</v>
      </c>
      <c r="K120" s="5">
        <f t="shared" si="7"/>
        <v>10639.3</v>
      </c>
      <c r="L120" s="22">
        <f t="shared" si="5"/>
        <v>1.0629999999999999</v>
      </c>
      <c r="M120" s="5"/>
    </row>
    <row r="121" spans="4:13">
      <c r="D121" s="5">
        <f t="shared" si="6"/>
        <v>117</v>
      </c>
      <c r="E121" s="5" t="s">
        <v>1536</v>
      </c>
      <c r="F121" s="5" t="s">
        <v>311</v>
      </c>
      <c r="G121" s="5"/>
      <c r="H121" s="5"/>
      <c r="I121" s="5">
        <v>63</v>
      </c>
      <c r="J121" s="5">
        <v>27</v>
      </c>
      <c r="K121" s="5">
        <f t="shared" si="7"/>
        <v>10666.3</v>
      </c>
      <c r="L121" s="22">
        <f t="shared" si="5"/>
        <v>1.0629999999999999</v>
      </c>
      <c r="M121" s="5"/>
    </row>
    <row r="122" spans="4:13">
      <c r="D122" s="5">
        <f t="shared" si="6"/>
        <v>118</v>
      </c>
      <c r="E122" s="5" t="s">
        <v>256</v>
      </c>
      <c r="F122" s="5" t="s">
        <v>559</v>
      </c>
      <c r="G122" s="5"/>
      <c r="H122" s="5"/>
      <c r="I122" s="5">
        <v>63</v>
      </c>
      <c r="J122" s="5">
        <v>313.5</v>
      </c>
      <c r="K122" s="5">
        <f t="shared" si="7"/>
        <v>10979.8</v>
      </c>
      <c r="L122" s="22">
        <f t="shared" si="5"/>
        <v>1.0629999999999999</v>
      </c>
      <c r="M122" s="5"/>
    </row>
    <row r="123" spans="4:13">
      <c r="D123" s="5">
        <f t="shared" si="6"/>
        <v>119</v>
      </c>
      <c r="E123" s="5" t="s">
        <v>559</v>
      </c>
      <c r="F123" s="5" t="s">
        <v>617</v>
      </c>
      <c r="G123" s="5"/>
      <c r="H123" s="5"/>
      <c r="I123" s="5">
        <v>63</v>
      </c>
      <c r="J123" s="5">
        <v>683.7</v>
      </c>
      <c r="K123" s="5">
        <f t="shared" si="7"/>
        <v>11663.5</v>
      </c>
      <c r="L123" s="22">
        <f t="shared" si="5"/>
        <v>1.0629999999999999</v>
      </c>
      <c r="M123" s="5"/>
    </row>
    <row r="124" spans="4:13">
      <c r="D124" s="5">
        <f t="shared" si="6"/>
        <v>120</v>
      </c>
      <c r="E124" s="5" t="s">
        <v>559</v>
      </c>
      <c r="F124" s="5" t="s">
        <v>617</v>
      </c>
      <c r="G124" s="5" t="s">
        <v>193</v>
      </c>
      <c r="H124" s="22">
        <f>(300+I124)/1000</f>
        <v>0.36299999999999999</v>
      </c>
      <c r="I124" s="5">
        <v>63</v>
      </c>
      <c r="J124" s="5">
        <v>6</v>
      </c>
      <c r="K124" s="5">
        <f t="shared" si="7"/>
        <v>11669.5</v>
      </c>
      <c r="L124" s="22">
        <f t="shared" si="5"/>
        <v>1.0629999999999999</v>
      </c>
      <c r="M124" s="5"/>
    </row>
    <row r="125" spans="4:13">
      <c r="D125" s="5">
        <f t="shared" si="6"/>
        <v>121</v>
      </c>
      <c r="E125" s="5" t="s">
        <v>559</v>
      </c>
      <c r="F125" s="5" t="s">
        <v>1537</v>
      </c>
      <c r="G125" s="5"/>
      <c r="H125" s="5"/>
      <c r="I125" s="5">
        <v>63</v>
      </c>
      <c r="J125" s="5">
        <v>153</v>
      </c>
      <c r="K125" s="5">
        <f t="shared" si="7"/>
        <v>11822.5</v>
      </c>
      <c r="L125" s="22">
        <f t="shared" si="5"/>
        <v>1.0629999999999999</v>
      </c>
      <c r="M125" s="5"/>
    </row>
    <row r="126" spans="4:13">
      <c r="D126" s="5">
        <f t="shared" si="6"/>
        <v>122</v>
      </c>
      <c r="E126" s="5" t="s">
        <v>256</v>
      </c>
      <c r="F126" s="5" t="s">
        <v>559</v>
      </c>
      <c r="G126" s="5"/>
      <c r="H126" s="5"/>
      <c r="I126" s="5">
        <v>63</v>
      </c>
      <c r="J126" s="5">
        <v>116</v>
      </c>
      <c r="K126" s="5">
        <f t="shared" si="7"/>
        <v>11938.5</v>
      </c>
      <c r="L126" s="22">
        <f t="shared" si="5"/>
        <v>1.0629999999999999</v>
      </c>
      <c r="M126" s="5"/>
    </row>
    <row r="127" spans="4:13">
      <c r="D127" s="5">
        <f t="shared" si="6"/>
        <v>123</v>
      </c>
      <c r="E127" s="5" t="s">
        <v>1538</v>
      </c>
      <c r="F127" s="5" t="s">
        <v>1539</v>
      </c>
      <c r="G127" s="5"/>
      <c r="H127" s="5"/>
      <c r="I127" s="5">
        <v>63</v>
      </c>
      <c r="J127" s="5">
        <v>38.5</v>
      </c>
      <c r="K127" s="5">
        <f t="shared" si="7"/>
        <v>11977</v>
      </c>
      <c r="L127" s="22">
        <f t="shared" si="5"/>
        <v>1.0629999999999999</v>
      </c>
      <c r="M127" s="5"/>
    </row>
    <row r="128" spans="4:13">
      <c r="D128" s="5">
        <f t="shared" si="6"/>
        <v>124</v>
      </c>
      <c r="E128" s="5" t="s">
        <v>1539</v>
      </c>
      <c r="F128" s="5" t="s">
        <v>1540</v>
      </c>
      <c r="G128" s="5"/>
      <c r="H128" s="5"/>
      <c r="I128" s="5">
        <v>63</v>
      </c>
      <c r="J128" s="5">
        <v>20.5</v>
      </c>
      <c r="K128" s="5">
        <f t="shared" si="7"/>
        <v>11997.5</v>
      </c>
      <c r="L128" s="22">
        <f t="shared" si="5"/>
        <v>1.0629999999999999</v>
      </c>
      <c r="M128" s="5"/>
    </row>
    <row r="129" spans="4:13">
      <c r="D129" s="5">
        <f t="shared" si="6"/>
        <v>125</v>
      </c>
      <c r="E129" s="5" t="s">
        <v>1541</v>
      </c>
      <c r="F129" s="5" t="s">
        <v>1542</v>
      </c>
      <c r="G129" s="5"/>
      <c r="H129" s="5"/>
      <c r="I129" s="5">
        <v>63</v>
      </c>
      <c r="J129" s="5">
        <v>37.799999999999997</v>
      </c>
      <c r="K129" s="5">
        <f t="shared" si="7"/>
        <v>12035.3</v>
      </c>
      <c r="L129" s="22">
        <f t="shared" si="5"/>
        <v>1.0629999999999999</v>
      </c>
      <c r="M129" s="5"/>
    </row>
    <row r="130" spans="4:13">
      <c r="D130" s="5">
        <f t="shared" si="6"/>
        <v>126</v>
      </c>
      <c r="E130" s="5" t="s">
        <v>256</v>
      </c>
      <c r="F130" s="5" t="s">
        <v>559</v>
      </c>
      <c r="G130" s="5" t="s">
        <v>199</v>
      </c>
      <c r="H130" s="22">
        <f t="shared" ref="H130:H132" si="10">(300+I130)/1000</f>
        <v>0.36299999999999999</v>
      </c>
      <c r="I130" s="5">
        <v>63</v>
      </c>
      <c r="J130" s="5">
        <v>6</v>
      </c>
      <c r="K130" s="5">
        <f t="shared" si="7"/>
        <v>12041.3</v>
      </c>
      <c r="L130" s="22">
        <f t="shared" si="5"/>
        <v>1.0629999999999999</v>
      </c>
      <c r="M130" s="5"/>
    </row>
    <row r="131" spans="4:13">
      <c r="D131" s="5">
        <f t="shared" si="6"/>
        <v>127</v>
      </c>
      <c r="E131" s="5" t="s">
        <v>559</v>
      </c>
      <c r="F131" s="5" t="s">
        <v>586</v>
      </c>
      <c r="G131" s="5" t="s">
        <v>199</v>
      </c>
      <c r="H131" s="22">
        <f t="shared" si="10"/>
        <v>0.36299999999999999</v>
      </c>
      <c r="I131" s="5">
        <v>63</v>
      </c>
      <c r="J131" s="5">
        <v>30.8</v>
      </c>
      <c r="K131" s="5">
        <f t="shared" si="7"/>
        <v>12072.099999999999</v>
      </c>
      <c r="L131" s="22">
        <f t="shared" si="5"/>
        <v>1.0629999999999999</v>
      </c>
      <c r="M131" s="5"/>
    </row>
    <row r="132" spans="4:13">
      <c r="D132" s="5">
        <f t="shared" si="6"/>
        <v>128</v>
      </c>
      <c r="E132" s="5" t="s">
        <v>586</v>
      </c>
      <c r="F132" s="5" t="s">
        <v>691</v>
      </c>
      <c r="G132" s="5" t="s">
        <v>199</v>
      </c>
      <c r="H132" s="22">
        <f t="shared" si="10"/>
        <v>0.36299999999999999</v>
      </c>
      <c r="I132" s="5">
        <v>63</v>
      </c>
      <c r="J132" s="5">
        <v>89.6</v>
      </c>
      <c r="K132" s="5">
        <f t="shared" si="7"/>
        <v>12161.699999999999</v>
      </c>
      <c r="L132" s="22">
        <f t="shared" si="5"/>
        <v>1.0629999999999999</v>
      </c>
      <c r="M132" s="5"/>
    </row>
    <row r="133" spans="4:13">
      <c r="D133" s="5">
        <f t="shared" si="6"/>
        <v>129</v>
      </c>
      <c r="E133" s="5" t="s">
        <v>586</v>
      </c>
      <c r="F133" s="5" t="s">
        <v>615</v>
      </c>
      <c r="G133" s="5"/>
      <c r="H133" s="5"/>
      <c r="I133" s="5">
        <v>63</v>
      </c>
      <c r="J133" s="5">
        <v>62</v>
      </c>
      <c r="K133" s="5">
        <f t="shared" si="7"/>
        <v>12223.699999999999</v>
      </c>
      <c r="L133" s="22">
        <f t="shared" si="5"/>
        <v>1.0629999999999999</v>
      </c>
      <c r="M133" s="5"/>
    </row>
    <row r="134" spans="4:13">
      <c r="D134" s="5">
        <f t="shared" si="6"/>
        <v>130</v>
      </c>
      <c r="E134" s="5" t="s">
        <v>559</v>
      </c>
      <c r="F134" s="5" t="s">
        <v>694</v>
      </c>
      <c r="G134" s="5"/>
      <c r="H134" s="5"/>
      <c r="I134" s="5">
        <v>63</v>
      </c>
      <c r="J134" s="5">
        <v>47.5</v>
      </c>
      <c r="K134" s="5">
        <f t="shared" si="7"/>
        <v>12271.199999999999</v>
      </c>
      <c r="L134" s="22">
        <f t="shared" ref="L134:L187" si="11">(1000+I134)/1000</f>
        <v>1.0629999999999999</v>
      </c>
      <c r="M134" s="5"/>
    </row>
    <row r="135" spans="4:13">
      <c r="D135" s="5">
        <f t="shared" ref="D135:D187" si="12">1+D134</f>
        <v>131</v>
      </c>
      <c r="E135" s="5" t="s">
        <v>694</v>
      </c>
      <c r="F135" s="5" t="s">
        <v>560</v>
      </c>
      <c r="G135" s="5"/>
      <c r="H135" s="5"/>
      <c r="I135" s="5">
        <v>63</v>
      </c>
      <c r="J135" s="5">
        <v>241.1</v>
      </c>
      <c r="K135" s="5">
        <f t="shared" ref="K135:K187" si="13">+K134+J135</f>
        <v>12512.3</v>
      </c>
      <c r="L135" s="22">
        <f t="shared" si="11"/>
        <v>1.0629999999999999</v>
      </c>
      <c r="M135" s="5"/>
    </row>
    <row r="136" spans="4:13">
      <c r="D136" s="5">
        <f t="shared" si="12"/>
        <v>132</v>
      </c>
      <c r="E136" s="5" t="s">
        <v>560</v>
      </c>
      <c r="F136" s="5" t="s">
        <v>699</v>
      </c>
      <c r="G136" s="5" t="s">
        <v>193</v>
      </c>
      <c r="H136" s="22">
        <f>(300+I136)/1000</f>
        <v>0.36299999999999999</v>
      </c>
      <c r="I136" s="5">
        <v>63</v>
      </c>
      <c r="J136" s="5">
        <v>3</v>
      </c>
      <c r="K136" s="5">
        <f t="shared" si="13"/>
        <v>12515.3</v>
      </c>
      <c r="L136" s="22">
        <f t="shared" si="11"/>
        <v>1.0629999999999999</v>
      </c>
      <c r="M136" s="5"/>
    </row>
    <row r="137" spans="4:13">
      <c r="D137" s="5">
        <f t="shared" si="12"/>
        <v>133</v>
      </c>
      <c r="E137" s="5" t="s">
        <v>1543</v>
      </c>
      <c r="F137" s="5" t="s">
        <v>1544</v>
      </c>
      <c r="G137" s="5"/>
      <c r="H137" s="5"/>
      <c r="I137" s="5">
        <v>63</v>
      </c>
      <c r="J137" s="5">
        <v>10.7</v>
      </c>
      <c r="K137" s="5">
        <f t="shared" si="13"/>
        <v>12526</v>
      </c>
      <c r="L137" s="22">
        <f t="shared" si="11"/>
        <v>1.0629999999999999</v>
      </c>
      <c r="M137" s="5"/>
    </row>
    <row r="138" spans="4:13">
      <c r="D138" s="5">
        <f t="shared" si="12"/>
        <v>134</v>
      </c>
      <c r="E138" s="5" t="s">
        <v>1544</v>
      </c>
      <c r="F138" s="5" t="s">
        <v>1545</v>
      </c>
      <c r="G138" s="5"/>
      <c r="H138" s="5"/>
      <c r="I138" s="5">
        <v>63</v>
      </c>
      <c r="J138" s="5">
        <v>30</v>
      </c>
      <c r="K138" s="5">
        <f t="shared" si="13"/>
        <v>12556</v>
      </c>
      <c r="L138" s="22">
        <f t="shared" si="11"/>
        <v>1.0629999999999999</v>
      </c>
      <c r="M138" s="5"/>
    </row>
    <row r="139" spans="4:13">
      <c r="D139" s="5">
        <f t="shared" si="12"/>
        <v>135</v>
      </c>
      <c r="E139" s="5" t="s">
        <v>1544</v>
      </c>
      <c r="F139" s="5" t="s">
        <v>567</v>
      </c>
      <c r="G139" s="5"/>
      <c r="H139" s="5"/>
      <c r="I139" s="5">
        <v>63</v>
      </c>
      <c r="J139" s="5">
        <v>127.5</v>
      </c>
      <c r="K139" s="5">
        <f t="shared" si="13"/>
        <v>12683.5</v>
      </c>
      <c r="L139" s="22">
        <f t="shared" si="11"/>
        <v>1.0629999999999999</v>
      </c>
      <c r="M139" s="5"/>
    </row>
    <row r="140" spans="4:13">
      <c r="D140" s="5">
        <f t="shared" si="12"/>
        <v>136</v>
      </c>
      <c r="E140" s="5" t="s">
        <v>826</v>
      </c>
      <c r="F140" s="5" t="s">
        <v>160</v>
      </c>
      <c r="G140" s="5"/>
      <c r="H140" s="5"/>
      <c r="I140" s="5">
        <v>63</v>
      </c>
      <c r="J140" s="5">
        <v>34.799999999999997</v>
      </c>
      <c r="K140" s="5">
        <f t="shared" si="13"/>
        <v>12718.3</v>
      </c>
      <c r="L140" s="22">
        <f t="shared" si="11"/>
        <v>1.0629999999999999</v>
      </c>
      <c r="M140" s="5"/>
    </row>
    <row r="141" spans="4:13">
      <c r="D141" s="5">
        <f t="shared" si="12"/>
        <v>137</v>
      </c>
      <c r="E141" s="5" t="s">
        <v>146</v>
      </c>
      <c r="F141" s="5" t="s">
        <v>165</v>
      </c>
      <c r="G141" s="5" t="s">
        <v>199</v>
      </c>
      <c r="H141" s="22">
        <f t="shared" ref="H141:H146" si="14">(300+I141)/1000</f>
        <v>0.36299999999999999</v>
      </c>
      <c r="I141" s="5">
        <v>63</v>
      </c>
      <c r="J141" s="5">
        <v>29.9</v>
      </c>
      <c r="K141" s="5">
        <f t="shared" si="13"/>
        <v>12748.199999999999</v>
      </c>
      <c r="L141" s="22">
        <f t="shared" si="11"/>
        <v>1.0629999999999999</v>
      </c>
      <c r="M141" s="5"/>
    </row>
    <row r="142" spans="4:13">
      <c r="D142" s="5">
        <f t="shared" si="12"/>
        <v>138</v>
      </c>
      <c r="E142" s="5" t="s">
        <v>165</v>
      </c>
      <c r="F142" s="5" t="s">
        <v>111</v>
      </c>
      <c r="G142" s="5" t="s">
        <v>199</v>
      </c>
      <c r="H142" s="22">
        <f t="shared" si="14"/>
        <v>0.36299999999999999</v>
      </c>
      <c r="I142" s="5">
        <v>63</v>
      </c>
      <c r="J142" s="5">
        <v>37.1</v>
      </c>
      <c r="K142" s="5">
        <f t="shared" si="13"/>
        <v>12785.3</v>
      </c>
      <c r="L142" s="22">
        <f t="shared" si="11"/>
        <v>1.0629999999999999</v>
      </c>
      <c r="M142" s="5"/>
    </row>
    <row r="143" spans="4:13">
      <c r="D143" s="5">
        <f t="shared" si="12"/>
        <v>139</v>
      </c>
      <c r="E143" s="6" t="s">
        <v>165</v>
      </c>
      <c r="F143" s="6" t="s">
        <v>163</v>
      </c>
      <c r="G143" s="6" t="s">
        <v>199</v>
      </c>
      <c r="H143" s="32">
        <f t="shared" si="14"/>
        <v>0.36299999999999999</v>
      </c>
      <c r="I143" s="6">
        <v>63</v>
      </c>
      <c r="J143" s="6">
        <v>37.799999999999997</v>
      </c>
      <c r="K143" s="5">
        <f t="shared" si="13"/>
        <v>12823.099999999999</v>
      </c>
      <c r="L143" s="22">
        <f t="shared" si="11"/>
        <v>1.0629999999999999</v>
      </c>
      <c r="M143" s="5"/>
    </row>
    <row r="144" spans="4:13">
      <c r="D144" s="5">
        <f t="shared" si="12"/>
        <v>140</v>
      </c>
      <c r="E144" s="6" t="s">
        <v>166</v>
      </c>
      <c r="F144" s="6" t="s">
        <v>63</v>
      </c>
      <c r="G144" s="6" t="s">
        <v>199</v>
      </c>
      <c r="H144" s="32">
        <f t="shared" si="14"/>
        <v>0.36299999999999999</v>
      </c>
      <c r="I144" s="6">
        <v>63</v>
      </c>
      <c r="J144" s="6">
        <v>41.2</v>
      </c>
      <c r="K144" s="5">
        <f t="shared" si="13"/>
        <v>12864.3</v>
      </c>
      <c r="L144" s="22">
        <f t="shared" si="11"/>
        <v>1.0629999999999999</v>
      </c>
      <c r="M144" s="5"/>
    </row>
    <row r="145" spans="4:13">
      <c r="D145" s="5">
        <f t="shared" si="12"/>
        <v>141</v>
      </c>
      <c r="E145" s="6" t="s">
        <v>166</v>
      </c>
      <c r="F145" s="6" t="s">
        <v>63</v>
      </c>
      <c r="G145" s="6" t="s">
        <v>199</v>
      </c>
      <c r="H145" s="32">
        <f t="shared" si="14"/>
        <v>0.36299999999999999</v>
      </c>
      <c r="I145" s="6">
        <v>63</v>
      </c>
      <c r="J145" s="6">
        <v>31.6</v>
      </c>
      <c r="K145" s="5">
        <f t="shared" si="13"/>
        <v>12895.9</v>
      </c>
      <c r="L145" s="22">
        <f t="shared" si="11"/>
        <v>1.0629999999999999</v>
      </c>
      <c r="M145" s="5"/>
    </row>
    <row r="146" spans="4:13">
      <c r="D146" s="5">
        <f t="shared" si="12"/>
        <v>142</v>
      </c>
      <c r="E146" s="6" t="s">
        <v>166</v>
      </c>
      <c r="F146" s="6" t="s">
        <v>63</v>
      </c>
      <c r="G146" s="6" t="s">
        <v>199</v>
      </c>
      <c r="H146" s="32">
        <f t="shared" si="14"/>
        <v>0.36299999999999999</v>
      </c>
      <c r="I146" s="6">
        <v>63</v>
      </c>
      <c r="J146" s="6">
        <v>88.9</v>
      </c>
      <c r="K146" s="5">
        <f t="shared" si="13"/>
        <v>12984.8</v>
      </c>
      <c r="L146" s="22">
        <f t="shared" si="11"/>
        <v>1.0629999999999999</v>
      </c>
      <c r="M146" s="5"/>
    </row>
    <row r="147" spans="4:13">
      <c r="D147" s="5">
        <f t="shared" si="12"/>
        <v>143</v>
      </c>
      <c r="E147" s="5" t="s">
        <v>113</v>
      </c>
      <c r="F147" s="5" t="s">
        <v>164</v>
      </c>
      <c r="G147" s="5"/>
      <c r="H147" s="5"/>
      <c r="I147" s="5">
        <v>63</v>
      </c>
      <c r="J147" s="5">
        <v>65.099999999999994</v>
      </c>
      <c r="K147" s="5">
        <f t="shared" si="13"/>
        <v>13049.9</v>
      </c>
      <c r="L147" s="22">
        <f t="shared" si="11"/>
        <v>1.0629999999999999</v>
      </c>
      <c r="M147" s="5"/>
    </row>
    <row r="148" spans="4:13">
      <c r="D148" s="5">
        <f t="shared" si="12"/>
        <v>144</v>
      </c>
      <c r="E148" s="6" t="s">
        <v>167</v>
      </c>
      <c r="F148" s="6" t="s">
        <v>113</v>
      </c>
      <c r="G148" s="6" t="s">
        <v>149</v>
      </c>
      <c r="H148" s="32">
        <f>(300+I148)/1000</f>
        <v>0.36299999999999999</v>
      </c>
      <c r="I148" s="6">
        <v>63</v>
      </c>
      <c r="J148" s="6">
        <v>47.8</v>
      </c>
      <c r="K148" s="5">
        <f t="shared" si="13"/>
        <v>13097.699999999999</v>
      </c>
      <c r="L148" s="22">
        <f t="shared" si="11"/>
        <v>1.0629999999999999</v>
      </c>
      <c r="M148" s="5"/>
    </row>
    <row r="149" spans="4:13">
      <c r="D149" s="5">
        <f t="shared" si="12"/>
        <v>145</v>
      </c>
      <c r="E149" s="5" t="s">
        <v>163</v>
      </c>
      <c r="F149" s="5" t="s">
        <v>113</v>
      </c>
      <c r="G149" s="5"/>
      <c r="H149" s="5"/>
      <c r="I149" s="5">
        <v>63</v>
      </c>
      <c r="J149" s="5">
        <v>43.3</v>
      </c>
      <c r="K149" s="5">
        <f t="shared" si="13"/>
        <v>13140.999999999998</v>
      </c>
      <c r="L149" s="22">
        <f t="shared" si="11"/>
        <v>1.0629999999999999</v>
      </c>
      <c r="M149" s="5"/>
    </row>
    <row r="150" spans="4:13">
      <c r="D150" s="5">
        <f t="shared" si="12"/>
        <v>146</v>
      </c>
      <c r="E150" s="5" t="s">
        <v>163</v>
      </c>
      <c r="F150" s="5" t="s">
        <v>113</v>
      </c>
      <c r="G150" s="5"/>
      <c r="H150" s="5"/>
      <c r="I150" s="5">
        <v>63</v>
      </c>
      <c r="J150" s="5">
        <v>2.6</v>
      </c>
      <c r="K150" s="5">
        <f t="shared" si="13"/>
        <v>13143.599999999999</v>
      </c>
      <c r="L150" s="22">
        <f t="shared" si="11"/>
        <v>1.0629999999999999</v>
      </c>
      <c r="M150" s="5"/>
    </row>
    <row r="151" spans="4:13">
      <c r="D151" s="5">
        <f t="shared" si="12"/>
        <v>147</v>
      </c>
      <c r="E151" s="6" t="s">
        <v>163</v>
      </c>
      <c r="F151" s="6" t="s">
        <v>839</v>
      </c>
      <c r="G151" s="6" t="s">
        <v>199</v>
      </c>
      <c r="H151" s="32">
        <f t="shared" ref="H151:H152" si="15">(300+I151)/1000</f>
        <v>0.36299999999999999</v>
      </c>
      <c r="I151" s="6">
        <v>63</v>
      </c>
      <c r="J151" s="6">
        <v>45.9</v>
      </c>
      <c r="K151" s="5">
        <f t="shared" si="13"/>
        <v>13189.499999999998</v>
      </c>
      <c r="L151" s="22">
        <f t="shared" si="11"/>
        <v>1.0629999999999999</v>
      </c>
      <c r="M151" s="5"/>
    </row>
    <row r="152" spans="4:13">
      <c r="D152" s="5">
        <f t="shared" si="12"/>
        <v>148</v>
      </c>
      <c r="E152" s="6" t="s">
        <v>164</v>
      </c>
      <c r="F152" s="6" t="s">
        <v>926</v>
      </c>
      <c r="G152" s="6" t="s">
        <v>149</v>
      </c>
      <c r="H152" s="32">
        <f t="shared" si="15"/>
        <v>0.36299999999999999</v>
      </c>
      <c r="I152" s="6">
        <v>63</v>
      </c>
      <c r="J152" s="6">
        <v>3.1</v>
      </c>
      <c r="K152" s="5">
        <f t="shared" si="13"/>
        <v>13192.599999999999</v>
      </c>
      <c r="L152" s="22">
        <f t="shared" si="11"/>
        <v>1.0629999999999999</v>
      </c>
      <c r="M152" s="5"/>
    </row>
    <row r="153" spans="4:13">
      <c r="D153" s="5">
        <f t="shared" si="12"/>
        <v>149</v>
      </c>
      <c r="E153" s="5" t="s">
        <v>164</v>
      </c>
      <c r="F153" s="5" t="s">
        <v>926</v>
      </c>
      <c r="G153" s="5"/>
      <c r="H153" s="5"/>
      <c r="I153" s="5">
        <v>63</v>
      </c>
      <c r="J153" s="5">
        <v>10.7</v>
      </c>
      <c r="K153" s="5">
        <f t="shared" si="13"/>
        <v>13203.3</v>
      </c>
      <c r="L153" s="22">
        <f t="shared" si="11"/>
        <v>1.0629999999999999</v>
      </c>
      <c r="M153" s="5"/>
    </row>
    <row r="154" spans="4:13">
      <c r="D154" s="5">
        <f t="shared" si="12"/>
        <v>150</v>
      </c>
      <c r="E154" s="6" t="s">
        <v>146</v>
      </c>
      <c r="F154" s="6" t="s">
        <v>829</v>
      </c>
      <c r="G154" s="6" t="s">
        <v>149</v>
      </c>
      <c r="H154" s="32">
        <f>(300+I154)/1000</f>
        <v>0.36299999999999999</v>
      </c>
      <c r="I154" s="6">
        <v>63</v>
      </c>
      <c r="J154" s="6">
        <v>77.599999999999994</v>
      </c>
      <c r="K154" s="5">
        <f t="shared" si="13"/>
        <v>13280.9</v>
      </c>
      <c r="L154" s="22">
        <f t="shared" si="11"/>
        <v>1.0629999999999999</v>
      </c>
      <c r="M154" s="5"/>
    </row>
    <row r="155" spans="4:13">
      <c r="D155" s="5">
        <f t="shared" si="12"/>
        <v>151</v>
      </c>
      <c r="E155" s="5" t="s">
        <v>146</v>
      </c>
      <c r="F155" s="5" t="s">
        <v>829</v>
      </c>
      <c r="G155" s="5"/>
      <c r="H155" s="5"/>
      <c r="I155" s="5">
        <v>63</v>
      </c>
      <c r="J155" s="5">
        <v>44.2</v>
      </c>
      <c r="K155" s="5">
        <f t="shared" si="13"/>
        <v>13325.1</v>
      </c>
      <c r="L155" s="22">
        <f t="shared" si="11"/>
        <v>1.0629999999999999</v>
      </c>
      <c r="M155" s="5"/>
    </row>
    <row r="156" spans="4:13">
      <c r="D156" s="5">
        <f t="shared" si="12"/>
        <v>152</v>
      </c>
      <c r="E156" s="5" t="s">
        <v>146</v>
      </c>
      <c r="F156" s="5" t="s">
        <v>166</v>
      </c>
      <c r="G156" s="5" t="s">
        <v>199</v>
      </c>
      <c r="H156" s="22">
        <f>(300+I156)/1000</f>
        <v>0.36299999999999999</v>
      </c>
      <c r="I156" s="5">
        <v>63</v>
      </c>
      <c r="J156" s="5">
        <v>31.3</v>
      </c>
      <c r="K156" s="5">
        <f t="shared" si="13"/>
        <v>13356.4</v>
      </c>
      <c r="L156" s="22">
        <f t="shared" si="11"/>
        <v>1.0629999999999999</v>
      </c>
      <c r="M156" s="5"/>
    </row>
    <row r="157" spans="4:13">
      <c r="D157" s="5">
        <f t="shared" si="12"/>
        <v>153</v>
      </c>
      <c r="E157" s="5" t="s">
        <v>166</v>
      </c>
      <c r="F157" s="5" t="s">
        <v>110</v>
      </c>
      <c r="G157" s="5"/>
      <c r="H157" s="5"/>
      <c r="I157" s="5">
        <v>63</v>
      </c>
      <c r="J157" s="5">
        <v>34.9</v>
      </c>
      <c r="K157" s="5">
        <f t="shared" si="13"/>
        <v>13391.3</v>
      </c>
      <c r="L157" s="22">
        <f t="shared" si="11"/>
        <v>1.0629999999999999</v>
      </c>
      <c r="M157" s="5"/>
    </row>
    <row r="158" spans="4:13">
      <c r="D158" s="5">
        <f t="shared" si="12"/>
        <v>154</v>
      </c>
      <c r="E158" s="103" t="s">
        <v>926</v>
      </c>
      <c r="F158" s="103" t="s">
        <v>829</v>
      </c>
      <c r="G158" s="5" t="s">
        <v>199</v>
      </c>
      <c r="H158" s="5"/>
      <c r="I158" s="5">
        <v>63</v>
      </c>
      <c r="J158" s="5">
        <v>81.2</v>
      </c>
      <c r="K158" s="5">
        <f t="shared" si="13"/>
        <v>13472.5</v>
      </c>
      <c r="L158" s="22">
        <f t="shared" si="11"/>
        <v>1.0629999999999999</v>
      </c>
      <c r="M158" s="5"/>
    </row>
    <row r="159" spans="4:13">
      <c r="D159" s="5">
        <f t="shared" si="12"/>
        <v>155</v>
      </c>
      <c r="E159" s="5" t="s">
        <v>256</v>
      </c>
      <c r="F159" s="5" t="s">
        <v>250</v>
      </c>
      <c r="G159" s="5"/>
      <c r="H159" s="5"/>
      <c r="I159" s="5">
        <v>75</v>
      </c>
      <c r="J159" s="5">
        <v>480</v>
      </c>
      <c r="K159" s="5">
        <f t="shared" si="13"/>
        <v>13952.5</v>
      </c>
      <c r="L159" s="22">
        <f t="shared" si="11"/>
        <v>1.075</v>
      </c>
      <c r="M159" s="5"/>
    </row>
    <row r="160" spans="4:13">
      <c r="D160" s="5">
        <f t="shared" si="12"/>
        <v>156</v>
      </c>
      <c r="E160" s="5" t="s">
        <v>256</v>
      </c>
      <c r="F160" s="5" t="s">
        <v>255</v>
      </c>
      <c r="G160" s="5" t="s">
        <v>149</v>
      </c>
      <c r="H160" s="22">
        <f t="shared" ref="H160:H161" si="16">(300+I160)/1000</f>
        <v>0.375</v>
      </c>
      <c r="I160" s="5">
        <v>75</v>
      </c>
      <c r="J160" s="5">
        <v>6</v>
      </c>
      <c r="K160" s="5">
        <f t="shared" si="13"/>
        <v>13958.5</v>
      </c>
      <c r="L160" s="22">
        <f t="shared" si="11"/>
        <v>1.075</v>
      </c>
      <c r="M160" s="5"/>
    </row>
    <row r="161" spans="4:16">
      <c r="D161" s="5">
        <f t="shared" si="12"/>
        <v>157</v>
      </c>
      <c r="E161" s="5" t="s">
        <v>391</v>
      </c>
      <c r="F161" s="5" t="s">
        <v>506</v>
      </c>
      <c r="G161" s="5" t="s">
        <v>199</v>
      </c>
      <c r="H161" s="22">
        <f t="shared" si="16"/>
        <v>0.375</v>
      </c>
      <c r="I161" s="5">
        <v>75</v>
      </c>
      <c r="J161" s="5">
        <v>4</v>
      </c>
      <c r="K161" s="5">
        <f t="shared" si="13"/>
        <v>13962.5</v>
      </c>
      <c r="L161" s="22">
        <f t="shared" si="11"/>
        <v>1.075</v>
      </c>
      <c r="M161" s="5"/>
    </row>
    <row r="162" spans="4:16">
      <c r="D162" s="5">
        <f t="shared" si="12"/>
        <v>158</v>
      </c>
      <c r="E162" s="5" t="s">
        <v>391</v>
      </c>
      <c r="F162" s="5" t="s">
        <v>506</v>
      </c>
      <c r="G162" s="5"/>
      <c r="H162" s="5"/>
      <c r="I162" s="5">
        <v>75</v>
      </c>
      <c r="J162" s="5">
        <v>16</v>
      </c>
      <c r="K162" s="5">
        <f t="shared" si="13"/>
        <v>13978.5</v>
      </c>
      <c r="L162" s="22">
        <f t="shared" si="11"/>
        <v>1.075</v>
      </c>
      <c r="M162" s="5"/>
      <c r="P162">
        <f>13447.6+157.5</f>
        <v>13605.1</v>
      </c>
    </row>
    <row r="163" spans="4:16">
      <c r="D163" s="5">
        <f t="shared" si="12"/>
        <v>159</v>
      </c>
      <c r="E163" s="5" t="s">
        <v>391</v>
      </c>
      <c r="F163" s="5" t="s">
        <v>506</v>
      </c>
      <c r="G163" s="5" t="s">
        <v>149</v>
      </c>
      <c r="H163" s="22">
        <f>(300+I163)/1000</f>
        <v>0.375</v>
      </c>
      <c r="I163" s="5">
        <v>75</v>
      </c>
      <c r="J163" s="5">
        <v>3</v>
      </c>
      <c r="K163" s="5">
        <f t="shared" si="13"/>
        <v>13981.5</v>
      </c>
      <c r="L163" s="22">
        <f t="shared" si="11"/>
        <v>1.075</v>
      </c>
      <c r="M163" s="5"/>
      <c r="P163">
        <f>76+65</f>
        <v>141</v>
      </c>
    </row>
    <row r="164" spans="4:16">
      <c r="D164" s="5">
        <f t="shared" si="12"/>
        <v>160</v>
      </c>
      <c r="E164" s="5" t="s">
        <v>218</v>
      </c>
      <c r="F164" s="5" t="s">
        <v>214</v>
      </c>
      <c r="G164" s="5"/>
      <c r="H164" s="5"/>
      <c r="I164" s="5">
        <v>75</v>
      </c>
      <c r="J164" s="5">
        <v>92.9</v>
      </c>
      <c r="K164" s="5">
        <f t="shared" si="13"/>
        <v>14074.4</v>
      </c>
      <c r="L164" s="22">
        <f t="shared" si="11"/>
        <v>1.075</v>
      </c>
      <c r="M164" s="5"/>
    </row>
    <row r="165" spans="4:16">
      <c r="D165" s="5">
        <f t="shared" si="12"/>
        <v>161</v>
      </c>
      <c r="E165" s="5" t="s">
        <v>218</v>
      </c>
      <c r="F165" s="5" t="s">
        <v>305</v>
      </c>
      <c r="G165" s="5" t="s">
        <v>193</v>
      </c>
      <c r="H165" s="22">
        <f>(300+I165)/1000</f>
        <v>0.375</v>
      </c>
      <c r="I165" s="5">
        <v>75</v>
      </c>
      <c r="J165" s="5">
        <v>3</v>
      </c>
      <c r="K165" s="5">
        <f t="shared" si="13"/>
        <v>14077.4</v>
      </c>
      <c r="L165" s="22">
        <f t="shared" si="11"/>
        <v>1.075</v>
      </c>
      <c r="M165" s="5"/>
    </row>
    <row r="166" spans="4:16">
      <c r="D166" s="5">
        <f t="shared" si="12"/>
        <v>162</v>
      </c>
      <c r="E166" s="5" t="s">
        <v>218</v>
      </c>
      <c r="F166" s="5" t="s">
        <v>305</v>
      </c>
      <c r="G166" s="5"/>
      <c r="H166" s="5"/>
      <c r="I166" s="5">
        <v>75</v>
      </c>
      <c r="J166" s="5">
        <v>676.3</v>
      </c>
      <c r="K166" s="5">
        <f t="shared" si="13"/>
        <v>14753.699999999999</v>
      </c>
      <c r="L166" s="22">
        <f t="shared" si="11"/>
        <v>1.075</v>
      </c>
      <c r="M166" s="5"/>
      <c r="P166">
        <f>15025+298.5</f>
        <v>15323.5</v>
      </c>
    </row>
    <row r="167" spans="4:16">
      <c r="D167" s="5">
        <f t="shared" si="12"/>
        <v>163</v>
      </c>
      <c r="E167" s="5" t="s">
        <v>250</v>
      </c>
      <c r="F167" s="5" t="s">
        <v>249</v>
      </c>
      <c r="G167" s="5"/>
      <c r="H167" s="5"/>
      <c r="I167" s="5">
        <v>90</v>
      </c>
      <c r="J167" s="5">
        <v>116.6</v>
      </c>
      <c r="K167" s="5">
        <f t="shared" si="13"/>
        <v>14870.3</v>
      </c>
      <c r="L167" s="22">
        <f t="shared" si="11"/>
        <v>1.0900000000000001</v>
      </c>
      <c r="M167" s="5"/>
    </row>
    <row r="168" spans="4:16">
      <c r="D168" s="5">
        <f t="shared" si="12"/>
        <v>164</v>
      </c>
      <c r="E168" s="5" t="s">
        <v>296</v>
      </c>
      <c r="F168" s="5" t="s">
        <v>305</v>
      </c>
      <c r="G168" s="5"/>
      <c r="H168" s="5"/>
      <c r="I168" s="5">
        <v>90</v>
      </c>
      <c r="J168" s="5">
        <v>188.5</v>
      </c>
      <c r="K168" s="5">
        <f t="shared" si="13"/>
        <v>15058.8</v>
      </c>
      <c r="L168" s="22">
        <f t="shared" si="11"/>
        <v>1.0900000000000001</v>
      </c>
      <c r="M168" s="5"/>
    </row>
    <row r="169" spans="4:16">
      <c r="D169" s="5">
        <f t="shared" si="12"/>
        <v>165</v>
      </c>
      <c r="E169" s="5" t="s">
        <v>296</v>
      </c>
      <c r="F169" s="5" t="s">
        <v>1546</v>
      </c>
      <c r="G169" s="5"/>
      <c r="H169" s="5"/>
      <c r="I169" s="5">
        <v>90</v>
      </c>
      <c r="J169" s="5">
        <v>180.4</v>
      </c>
      <c r="K169" s="5">
        <f t="shared" si="13"/>
        <v>15239.199999999999</v>
      </c>
      <c r="L169" s="22">
        <f t="shared" si="11"/>
        <v>1.0900000000000001</v>
      </c>
      <c r="M169" s="5"/>
    </row>
    <row r="170" spans="4:16">
      <c r="D170" s="5">
        <f t="shared" si="12"/>
        <v>166</v>
      </c>
      <c r="E170" s="5" t="s">
        <v>249</v>
      </c>
      <c r="F170" s="5" t="s">
        <v>362</v>
      </c>
      <c r="G170" s="5"/>
      <c r="H170" s="5"/>
      <c r="I170" s="5">
        <v>110</v>
      </c>
      <c r="J170" s="5">
        <v>155</v>
      </c>
      <c r="K170" s="5">
        <f t="shared" si="13"/>
        <v>15394.199999999999</v>
      </c>
      <c r="L170" s="22">
        <f t="shared" si="11"/>
        <v>1.1100000000000001</v>
      </c>
      <c r="M170" s="5"/>
      <c r="P170">
        <f>232+80+381+190+323.8+247+298.5</f>
        <v>1752.3</v>
      </c>
    </row>
    <row r="171" spans="4:16">
      <c r="D171" s="5">
        <f t="shared" si="12"/>
        <v>167</v>
      </c>
      <c r="E171" s="6" t="s">
        <v>355</v>
      </c>
      <c r="F171" s="6" t="s">
        <v>314</v>
      </c>
      <c r="G171" s="6" t="s">
        <v>199</v>
      </c>
      <c r="H171" s="32">
        <f t="shared" ref="H171:H180" si="17">(300+I171)/1000</f>
        <v>0.41</v>
      </c>
      <c r="I171" s="6">
        <v>110</v>
      </c>
      <c r="J171" s="6">
        <v>273.2</v>
      </c>
      <c r="K171" s="5">
        <f t="shared" si="13"/>
        <v>15667.4</v>
      </c>
      <c r="L171" s="22">
        <f t="shared" si="11"/>
        <v>1.1100000000000001</v>
      </c>
      <c r="M171" s="5"/>
    </row>
    <row r="172" spans="4:16">
      <c r="D172" s="5">
        <f t="shared" si="12"/>
        <v>168</v>
      </c>
      <c r="E172" s="6" t="s">
        <v>314</v>
      </c>
      <c r="F172" s="6" t="s">
        <v>391</v>
      </c>
      <c r="G172" s="6" t="s">
        <v>199</v>
      </c>
      <c r="H172" s="32">
        <f t="shared" si="17"/>
        <v>0.41</v>
      </c>
      <c r="I172" s="6">
        <v>110</v>
      </c>
      <c r="J172" s="6">
        <v>6.6</v>
      </c>
      <c r="K172" s="5">
        <f t="shared" si="13"/>
        <v>15674</v>
      </c>
      <c r="L172" s="22">
        <f t="shared" si="11"/>
        <v>1.1100000000000001</v>
      </c>
      <c r="M172" s="5"/>
    </row>
    <row r="173" spans="4:16">
      <c r="D173" s="5">
        <f t="shared" si="12"/>
        <v>169</v>
      </c>
      <c r="E173" s="6" t="s">
        <v>314</v>
      </c>
      <c r="F173" s="6" t="s">
        <v>391</v>
      </c>
      <c r="G173" s="6" t="s">
        <v>199</v>
      </c>
      <c r="H173" s="32">
        <f t="shared" si="17"/>
        <v>0.41</v>
      </c>
      <c r="I173" s="6">
        <v>110</v>
      </c>
      <c r="J173" s="6">
        <v>76</v>
      </c>
      <c r="K173" s="5">
        <f t="shared" si="13"/>
        <v>15750</v>
      </c>
      <c r="L173" s="22">
        <f t="shared" si="11"/>
        <v>1.1100000000000001</v>
      </c>
      <c r="M173" s="5"/>
    </row>
    <row r="174" spans="4:16">
      <c r="D174" s="5">
        <f t="shared" si="12"/>
        <v>170</v>
      </c>
      <c r="E174" s="6" t="s">
        <v>314</v>
      </c>
      <c r="F174" s="6" t="s">
        <v>391</v>
      </c>
      <c r="G174" s="6" t="s">
        <v>199</v>
      </c>
      <c r="H174" s="32">
        <f t="shared" si="17"/>
        <v>0.41</v>
      </c>
      <c r="I174" s="6">
        <v>110</v>
      </c>
      <c r="J174" s="6">
        <v>55.8</v>
      </c>
      <c r="K174" s="5">
        <f t="shared" si="13"/>
        <v>15805.8</v>
      </c>
      <c r="L174" s="22">
        <f t="shared" si="11"/>
        <v>1.1100000000000001</v>
      </c>
      <c r="M174" s="5"/>
    </row>
    <row r="175" spans="4:16">
      <c r="D175" s="5">
        <f t="shared" si="12"/>
        <v>171</v>
      </c>
      <c r="E175" s="5" t="s">
        <v>391</v>
      </c>
      <c r="F175" s="5" t="s">
        <v>392</v>
      </c>
      <c r="G175" s="5" t="s">
        <v>199</v>
      </c>
      <c r="H175" s="22">
        <f t="shared" si="17"/>
        <v>0.41</v>
      </c>
      <c r="I175" s="5">
        <v>110</v>
      </c>
      <c r="J175" s="5">
        <v>57.8</v>
      </c>
      <c r="K175" s="5">
        <f t="shared" si="13"/>
        <v>15863.599999999999</v>
      </c>
      <c r="L175" s="22">
        <f t="shared" si="11"/>
        <v>1.1100000000000001</v>
      </c>
      <c r="M175" s="5"/>
    </row>
    <row r="176" spans="4:16">
      <c r="D176" s="5">
        <f t="shared" si="12"/>
        <v>172</v>
      </c>
      <c r="E176" s="5" t="s">
        <v>392</v>
      </c>
      <c r="F176" s="5" t="s">
        <v>416</v>
      </c>
      <c r="G176" s="5" t="s">
        <v>199</v>
      </c>
      <c r="H176" s="22">
        <f t="shared" si="17"/>
        <v>0.41</v>
      </c>
      <c r="I176" s="5">
        <v>110</v>
      </c>
      <c r="J176" s="5">
        <v>41.2</v>
      </c>
      <c r="K176" s="5">
        <f t="shared" si="13"/>
        <v>15904.8</v>
      </c>
      <c r="L176" s="22">
        <f t="shared" si="11"/>
        <v>1.1100000000000001</v>
      </c>
      <c r="M176" s="5"/>
    </row>
    <row r="177" spans="4:13">
      <c r="D177" s="5">
        <f t="shared" si="12"/>
        <v>173</v>
      </c>
      <c r="E177" s="5" t="s">
        <v>416</v>
      </c>
      <c r="F177" s="5" t="s">
        <v>316</v>
      </c>
      <c r="G177" s="5" t="s">
        <v>199</v>
      </c>
      <c r="H177" s="22">
        <f t="shared" si="17"/>
        <v>0.41</v>
      </c>
      <c r="I177" s="5">
        <v>110</v>
      </c>
      <c r="J177" s="5">
        <v>39.299999999999997</v>
      </c>
      <c r="K177" s="5">
        <f t="shared" si="13"/>
        <v>15944.099999999999</v>
      </c>
      <c r="L177" s="22">
        <f t="shared" si="11"/>
        <v>1.1100000000000001</v>
      </c>
      <c r="M177" s="5"/>
    </row>
    <row r="178" spans="4:13">
      <c r="D178" s="5">
        <f t="shared" si="12"/>
        <v>174</v>
      </c>
      <c r="E178" s="5" t="s">
        <v>316</v>
      </c>
      <c r="F178" s="5" t="s">
        <v>247</v>
      </c>
      <c r="G178" s="5" t="s">
        <v>199</v>
      </c>
      <c r="H178" s="22">
        <f t="shared" si="17"/>
        <v>0.41</v>
      </c>
      <c r="I178" s="5">
        <v>110</v>
      </c>
      <c r="J178" s="5">
        <v>49.9</v>
      </c>
      <c r="K178" s="5">
        <f t="shared" si="13"/>
        <v>15993.999999999998</v>
      </c>
      <c r="L178" s="22">
        <f t="shared" si="11"/>
        <v>1.1100000000000001</v>
      </c>
      <c r="M178" s="5"/>
    </row>
    <row r="179" spans="4:13">
      <c r="D179" s="5">
        <f t="shared" si="12"/>
        <v>175</v>
      </c>
      <c r="E179" s="5" t="s">
        <v>247</v>
      </c>
      <c r="F179" s="5" t="s">
        <v>406</v>
      </c>
      <c r="G179" s="5" t="s">
        <v>199</v>
      </c>
      <c r="H179" s="22">
        <f t="shared" si="17"/>
        <v>0.41</v>
      </c>
      <c r="I179" s="5">
        <v>110</v>
      </c>
      <c r="J179" s="5">
        <v>29.8</v>
      </c>
      <c r="K179" s="5">
        <f t="shared" si="13"/>
        <v>16023.799999999997</v>
      </c>
      <c r="L179" s="22">
        <f t="shared" si="11"/>
        <v>1.1100000000000001</v>
      </c>
      <c r="M179" s="5"/>
    </row>
    <row r="180" spans="4:13">
      <c r="D180" s="5">
        <f t="shared" si="12"/>
        <v>176</v>
      </c>
      <c r="E180" s="5" t="s">
        <v>406</v>
      </c>
      <c r="F180" s="5" t="s">
        <v>259</v>
      </c>
      <c r="G180" s="5" t="s">
        <v>199</v>
      </c>
      <c r="H180" s="22">
        <f t="shared" si="17"/>
        <v>0.41</v>
      </c>
      <c r="I180" s="5">
        <v>110</v>
      </c>
      <c r="J180" s="5">
        <v>48.5</v>
      </c>
      <c r="K180" s="5">
        <f t="shared" si="13"/>
        <v>16072.299999999997</v>
      </c>
      <c r="L180" s="22">
        <f t="shared" si="11"/>
        <v>1.1100000000000001</v>
      </c>
      <c r="M180" s="5"/>
    </row>
    <row r="181" spans="4:13">
      <c r="D181" s="5">
        <f t="shared" si="12"/>
        <v>177</v>
      </c>
      <c r="E181" s="5" t="s">
        <v>1546</v>
      </c>
      <c r="F181" s="5" t="s">
        <v>325</v>
      </c>
      <c r="G181" s="5"/>
      <c r="H181" s="5"/>
      <c r="I181" s="5">
        <v>110</v>
      </c>
      <c r="J181" s="5">
        <v>69.3</v>
      </c>
      <c r="K181" s="5">
        <f t="shared" si="13"/>
        <v>16141.599999999997</v>
      </c>
      <c r="L181" s="22">
        <f t="shared" si="11"/>
        <v>1.1100000000000001</v>
      </c>
      <c r="M181" s="5"/>
    </row>
    <row r="182" spans="4:13">
      <c r="D182" s="5">
        <f t="shared" si="12"/>
        <v>178</v>
      </c>
      <c r="E182" s="5" t="s">
        <v>1546</v>
      </c>
      <c r="F182" s="5" t="s">
        <v>325</v>
      </c>
      <c r="G182" s="5" t="s">
        <v>149</v>
      </c>
      <c r="H182" s="22">
        <f>(300+I182)/1000</f>
        <v>0.41</v>
      </c>
      <c r="I182" s="5">
        <v>110</v>
      </c>
      <c r="J182" s="5">
        <v>6.7</v>
      </c>
      <c r="K182" s="5">
        <f t="shared" si="13"/>
        <v>16148.299999999997</v>
      </c>
      <c r="L182" s="22">
        <f t="shared" si="11"/>
        <v>1.1100000000000001</v>
      </c>
      <c r="M182" s="5"/>
    </row>
    <row r="183" spans="4:13">
      <c r="D183" s="5">
        <f t="shared" si="12"/>
        <v>179</v>
      </c>
      <c r="E183" s="5" t="s">
        <v>112</v>
      </c>
      <c r="F183" s="5" t="s">
        <v>48</v>
      </c>
      <c r="G183" s="5"/>
      <c r="H183" s="5"/>
      <c r="I183" s="5">
        <v>110</v>
      </c>
      <c r="J183" s="5">
        <v>48.6</v>
      </c>
      <c r="K183" s="5">
        <f t="shared" si="13"/>
        <v>16196.899999999998</v>
      </c>
      <c r="L183" s="22">
        <f t="shared" si="11"/>
        <v>1.1100000000000001</v>
      </c>
      <c r="M183" s="5"/>
    </row>
    <row r="184" spans="4:13">
      <c r="D184" s="5">
        <f t="shared" si="12"/>
        <v>180</v>
      </c>
      <c r="E184" s="5" t="s">
        <v>48</v>
      </c>
      <c r="F184" s="5" t="s">
        <v>49</v>
      </c>
      <c r="G184" s="5"/>
      <c r="H184" s="5"/>
      <c r="I184" s="5">
        <v>110</v>
      </c>
      <c r="J184" s="5">
        <v>64.599999999999994</v>
      </c>
      <c r="K184" s="5">
        <f t="shared" si="13"/>
        <v>16261.499999999998</v>
      </c>
      <c r="L184" s="22">
        <f t="shared" si="11"/>
        <v>1.1100000000000001</v>
      </c>
      <c r="M184" s="5"/>
    </row>
    <row r="185" spans="4:13">
      <c r="D185" s="5">
        <f t="shared" si="12"/>
        <v>181</v>
      </c>
      <c r="E185" s="5" t="s">
        <v>49</v>
      </c>
      <c r="F185" s="5" t="s">
        <v>52</v>
      </c>
      <c r="G185" s="5"/>
      <c r="H185" s="5"/>
      <c r="I185" s="5">
        <v>110</v>
      </c>
      <c r="J185" s="5">
        <v>125.4</v>
      </c>
      <c r="K185" s="5">
        <f t="shared" si="13"/>
        <v>16386.899999999998</v>
      </c>
      <c r="L185" s="22">
        <f t="shared" si="11"/>
        <v>1.1100000000000001</v>
      </c>
      <c r="M185" s="5"/>
    </row>
    <row r="186" spans="4:13">
      <c r="D186" s="5">
        <f t="shared" si="12"/>
        <v>182</v>
      </c>
      <c r="E186" s="5" t="s">
        <v>362</v>
      </c>
      <c r="F186" s="5" t="s">
        <v>821</v>
      </c>
      <c r="G186" s="5"/>
      <c r="H186" s="5"/>
      <c r="I186" s="5">
        <v>125</v>
      </c>
      <c r="J186" s="5">
        <v>6</v>
      </c>
      <c r="K186" s="5">
        <f t="shared" si="13"/>
        <v>16392.899999999998</v>
      </c>
      <c r="L186" s="22">
        <f t="shared" si="11"/>
        <v>1.125</v>
      </c>
      <c r="M186" s="5"/>
    </row>
    <row r="187" spans="4:13">
      <c r="D187" s="5">
        <f t="shared" si="12"/>
        <v>183</v>
      </c>
      <c r="E187" s="5" t="s">
        <v>362</v>
      </c>
      <c r="F187" s="5" t="s">
        <v>355</v>
      </c>
      <c r="G187" s="5"/>
      <c r="H187" s="5"/>
      <c r="I187" s="5">
        <v>125</v>
      </c>
      <c r="J187" s="5">
        <v>114</v>
      </c>
      <c r="K187" s="5">
        <f t="shared" si="13"/>
        <v>16506.899999999998</v>
      </c>
      <c r="L187" s="22">
        <f t="shared" si="11"/>
        <v>1.125</v>
      </c>
      <c r="M187" s="5"/>
    </row>
    <row r="188" spans="4:13">
      <c r="D188" s="5"/>
      <c r="E188" s="5">
        <v>63</v>
      </c>
      <c r="F188" s="5">
        <v>75</v>
      </c>
      <c r="G188" s="5">
        <v>90</v>
      </c>
      <c r="H188" s="5">
        <v>110</v>
      </c>
      <c r="I188" s="17">
        <v>125</v>
      </c>
      <c r="J188" s="5"/>
      <c r="K188" s="5"/>
      <c r="L188" s="5"/>
      <c r="M188" s="5"/>
    </row>
    <row r="189" spans="4:13">
      <c r="D189" s="5"/>
      <c r="E189" s="5">
        <f>+SUMIF($I$5:$I$187,E188,$J$5:$J$187)</f>
        <v>13472.5</v>
      </c>
      <c r="F189" s="5">
        <f>+SUMIF($I$5:$I$187,F188,$J$5:$J$187)</f>
        <v>1281.1999999999998</v>
      </c>
      <c r="G189" s="5">
        <f>+SUMIF($I$5:$I$187,G188,$J$5:$J$187)</f>
        <v>485.5</v>
      </c>
      <c r="H189" s="5">
        <f>+SUMIF($I$5:$I$187,H188,$J$5:$J$187)</f>
        <v>1147.7</v>
      </c>
      <c r="I189" s="5">
        <f>+SUMIF($I$5:$I$187,I188,$J$5:$J$187)</f>
        <v>120</v>
      </c>
      <c r="J189" s="5"/>
      <c r="K189" s="5">
        <f>+SUM(E189:I189)</f>
        <v>16506.900000000001</v>
      </c>
      <c r="L189" s="5"/>
      <c r="M189" s="5"/>
    </row>
    <row r="190" spans="4:13" ht="15.75">
      <c r="D190" s="503" t="s">
        <v>365</v>
      </c>
      <c r="E190" s="504"/>
      <c r="F190" s="504"/>
      <c r="G190" s="505"/>
      <c r="H190" s="506" t="s">
        <v>366</v>
      </c>
      <c r="I190" s="507"/>
      <c r="J190" s="508"/>
      <c r="K190" s="498" t="s">
        <v>367</v>
      </c>
      <c r="L190" s="498"/>
      <c r="M190" s="498"/>
    </row>
    <row r="191" spans="4:13" ht="21.75" customHeight="1">
      <c r="D191" s="7" t="s">
        <v>368</v>
      </c>
      <c r="E191" s="499"/>
      <c r="F191" s="500"/>
      <c r="G191" s="501"/>
      <c r="H191" s="8" t="s">
        <v>368</v>
      </c>
      <c r="I191" s="498"/>
      <c r="J191" s="498"/>
      <c r="K191" s="8" t="s">
        <v>368</v>
      </c>
      <c r="L191" s="498"/>
      <c r="M191" s="498"/>
    </row>
    <row r="192" spans="4:13" ht="21.75" customHeight="1">
      <c r="D192" s="7" t="s">
        <v>369</v>
      </c>
      <c r="E192" s="498"/>
      <c r="F192" s="498"/>
      <c r="G192" s="498"/>
      <c r="H192" s="8" t="s">
        <v>369</v>
      </c>
      <c r="I192" s="498"/>
      <c r="J192" s="498"/>
      <c r="K192" s="8" t="s">
        <v>369</v>
      </c>
      <c r="L192" s="498"/>
      <c r="M192" s="498"/>
    </row>
    <row r="193" spans="4:13" ht="34.5" customHeight="1">
      <c r="D193" s="30" t="s">
        <v>370</v>
      </c>
      <c r="E193" s="499"/>
      <c r="F193" s="500"/>
      <c r="G193" s="501"/>
      <c r="H193" s="31" t="s">
        <v>370</v>
      </c>
      <c r="I193" s="498"/>
      <c r="J193" s="498"/>
      <c r="K193" s="31" t="s">
        <v>370</v>
      </c>
      <c r="L193" s="498"/>
      <c r="M193" s="498"/>
    </row>
    <row r="199" spans="4:13">
      <c r="L199">
        <f>+K189+4224</f>
        <v>20730.900000000001</v>
      </c>
    </row>
  </sheetData>
  <autoFilter ref="D4:P193"/>
  <mergeCells count="13">
    <mergeCell ref="D3:M3"/>
    <mergeCell ref="D190:G190"/>
    <mergeCell ref="H190:J190"/>
    <mergeCell ref="K190:M190"/>
    <mergeCell ref="E191:G191"/>
    <mergeCell ref="I191:J191"/>
    <mergeCell ref="L191:M191"/>
    <mergeCell ref="E192:G192"/>
    <mergeCell ref="I192:J192"/>
    <mergeCell ref="L192:M192"/>
    <mergeCell ref="E193:G193"/>
    <mergeCell ref="I193:J193"/>
    <mergeCell ref="L193:M19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C3:L69"/>
  <sheetViews>
    <sheetView workbookViewId="0">
      <selection activeCell="L77" sqref="L77"/>
    </sheetView>
  </sheetViews>
  <sheetFormatPr defaultRowHeight="15"/>
  <cols>
    <col min="3" max="3" width="16" customWidth="1"/>
    <col min="4" max="4" width="13.140625" customWidth="1"/>
    <col min="5" max="5" width="13.5703125" customWidth="1"/>
    <col min="6" max="6" width="14.42578125" customWidth="1"/>
    <col min="7" max="7" width="16.140625" customWidth="1"/>
    <col min="8" max="8" width="19.28515625" customWidth="1"/>
    <col min="9" max="9" width="13.42578125" customWidth="1"/>
    <col min="10" max="10" width="18.28515625" customWidth="1"/>
    <col min="12" max="12" width="13" customWidth="1"/>
  </cols>
  <sheetData>
    <row r="3" spans="3:12" ht="18.75">
      <c r="C3" s="502" t="s">
        <v>1523</v>
      </c>
      <c r="D3" s="502"/>
      <c r="E3" s="502"/>
      <c r="F3" s="502"/>
      <c r="G3" s="502"/>
      <c r="H3" s="502"/>
      <c r="I3" s="502"/>
      <c r="J3" s="502"/>
      <c r="K3" s="502"/>
      <c r="L3" s="502"/>
    </row>
    <row r="4" spans="3:12" ht="56.25">
      <c r="C4" s="421" t="s">
        <v>179</v>
      </c>
      <c r="D4" s="421" t="s">
        <v>180</v>
      </c>
      <c r="E4" s="421" t="s">
        <v>13</v>
      </c>
      <c r="F4" s="26" t="s">
        <v>181</v>
      </c>
      <c r="G4" s="27" t="s">
        <v>182</v>
      </c>
      <c r="H4" s="26" t="s">
        <v>183</v>
      </c>
      <c r="I4" s="28" t="s">
        <v>184</v>
      </c>
      <c r="J4" s="26" t="s">
        <v>185</v>
      </c>
      <c r="K4" s="26" t="s">
        <v>186</v>
      </c>
      <c r="L4" s="26" t="s">
        <v>187</v>
      </c>
    </row>
    <row r="5" spans="3:12" hidden="1">
      <c r="C5" s="419">
        <v>1</v>
      </c>
      <c r="D5" s="419">
        <v>97</v>
      </c>
      <c r="E5" s="419">
        <v>95</v>
      </c>
      <c r="F5" s="419" t="s">
        <v>45</v>
      </c>
      <c r="G5" s="419"/>
      <c r="H5" s="419">
        <v>63</v>
      </c>
      <c r="I5" s="419">
        <v>3</v>
      </c>
      <c r="J5" s="419">
        <f>+I5</f>
        <v>3</v>
      </c>
      <c r="K5" s="419"/>
      <c r="L5" s="419"/>
    </row>
    <row r="6" spans="3:12" hidden="1">
      <c r="C6" s="419">
        <f>1+C5</f>
        <v>2</v>
      </c>
      <c r="D6" s="419">
        <v>97</v>
      </c>
      <c r="E6" s="419">
        <v>96</v>
      </c>
      <c r="F6" s="419" t="s">
        <v>45</v>
      </c>
      <c r="G6" s="419"/>
      <c r="H6" s="419">
        <v>63</v>
      </c>
      <c r="I6" s="419">
        <v>23</v>
      </c>
      <c r="J6" s="419">
        <f>+J5+I6</f>
        <v>26</v>
      </c>
      <c r="K6" s="419"/>
      <c r="L6" s="419"/>
    </row>
    <row r="7" spans="3:12" hidden="1">
      <c r="C7" s="419">
        <f t="shared" ref="C7:C60" si="0">1+C6</f>
        <v>3</v>
      </c>
      <c r="D7" s="419">
        <v>98</v>
      </c>
      <c r="E7" s="419">
        <v>97</v>
      </c>
      <c r="F7" s="419" t="s">
        <v>45</v>
      </c>
      <c r="G7" s="419"/>
      <c r="H7" s="419">
        <v>63</v>
      </c>
      <c r="I7" s="419">
        <v>38.9</v>
      </c>
      <c r="J7" s="419">
        <f t="shared" ref="J7:J60" si="1">+J6+I7</f>
        <v>64.900000000000006</v>
      </c>
      <c r="K7" s="419"/>
      <c r="L7" s="419"/>
    </row>
    <row r="8" spans="3:12" hidden="1">
      <c r="C8" s="419">
        <f t="shared" si="0"/>
        <v>4</v>
      </c>
      <c r="D8" s="419">
        <v>108</v>
      </c>
      <c r="E8" s="419">
        <v>98</v>
      </c>
      <c r="F8" s="419"/>
      <c r="G8" s="419"/>
      <c r="H8" s="17">
        <v>110</v>
      </c>
      <c r="I8" s="419">
        <v>76</v>
      </c>
      <c r="J8" s="419">
        <f t="shared" si="1"/>
        <v>140.9</v>
      </c>
      <c r="K8" s="419"/>
      <c r="L8" s="419"/>
    </row>
    <row r="9" spans="3:12" hidden="1">
      <c r="C9" s="419">
        <f t="shared" si="0"/>
        <v>5</v>
      </c>
      <c r="D9" s="419" t="s">
        <v>1844</v>
      </c>
      <c r="E9" s="419" t="s">
        <v>1845</v>
      </c>
      <c r="F9" s="419"/>
      <c r="G9" s="419"/>
      <c r="H9" s="17">
        <v>63</v>
      </c>
      <c r="I9" s="419">
        <v>150</v>
      </c>
      <c r="J9" s="419">
        <f t="shared" si="1"/>
        <v>290.89999999999998</v>
      </c>
      <c r="K9" s="419"/>
      <c r="L9" s="419"/>
    </row>
    <row r="10" spans="3:12">
      <c r="C10" s="419">
        <f t="shared" si="0"/>
        <v>6</v>
      </c>
      <c r="D10" s="419">
        <v>125</v>
      </c>
      <c r="E10" s="419">
        <v>120</v>
      </c>
      <c r="F10" s="419" t="s">
        <v>149</v>
      </c>
      <c r="G10" s="419"/>
      <c r="H10" s="17">
        <v>110</v>
      </c>
      <c r="I10" s="419">
        <v>6.5</v>
      </c>
      <c r="J10" s="419">
        <f t="shared" si="1"/>
        <v>297.39999999999998</v>
      </c>
      <c r="K10" s="419"/>
      <c r="L10" s="419"/>
    </row>
    <row r="11" spans="3:12" hidden="1">
      <c r="C11" s="419">
        <f t="shared" si="0"/>
        <v>7</v>
      </c>
      <c r="D11" s="419">
        <v>108</v>
      </c>
      <c r="E11" s="419">
        <v>125</v>
      </c>
      <c r="F11" s="419"/>
      <c r="G11" s="419"/>
      <c r="H11" s="17">
        <v>110</v>
      </c>
      <c r="I11" s="419">
        <v>130.9</v>
      </c>
      <c r="J11" s="419">
        <f t="shared" si="1"/>
        <v>428.29999999999995</v>
      </c>
      <c r="K11" s="419"/>
      <c r="L11" s="419"/>
    </row>
    <row r="12" spans="3:12" hidden="1">
      <c r="C12" s="419">
        <f t="shared" si="0"/>
        <v>8</v>
      </c>
      <c r="D12" s="419">
        <v>108</v>
      </c>
      <c r="E12" s="419">
        <v>118</v>
      </c>
      <c r="F12" s="419" t="s">
        <v>45</v>
      </c>
      <c r="G12" s="419"/>
      <c r="H12" s="17">
        <v>63</v>
      </c>
      <c r="I12" s="419">
        <v>35</v>
      </c>
      <c r="J12" s="419">
        <f t="shared" si="1"/>
        <v>463.29999999999995</v>
      </c>
      <c r="K12" s="419"/>
      <c r="L12" s="419"/>
    </row>
    <row r="13" spans="3:12" hidden="1">
      <c r="C13" s="419">
        <f t="shared" si="0"/>
        <v>9</v>
      </c>
      <c r="D13" s="419">
        <v>108</v>
      </c>
      <c r="E13" s="419">
        <v>118</v>
      </c>
      <c r="F13" s="419"/>
      <c r="G13" s="419"/>
      <c r="H13" s="17">
        <v>63</v>
      </c>
      <c r="I13" s="419">
        <v>150.1</v>
      </c>
      <c r="J13" s="419">
        <f t="shared" si="1"/>
        <v>613.4</v>
      </c>
      <c r="K13" s="419"/>
      <c r="L13" s="419"/>
    </row>
    <row r="14" spans="3:12" hidden="1">
      <c r="C14" s="419">
        <f t="shared" si="0"/>
        <v>10</v>
      </c>
      <c r="D14" s="419">
        <v>108</v>
      </c>
      <c r="E14" s="419">
        <v>118</v>
      </c>
      <c r="F14" s="419" t="s">
        <v>45</v>
      </c>
      <c r="G14" s="419"/>
      <c r="H14" s="17">
        <v>63</v>
      </c>
      <c r="I14" s="419">
        <v>3</v>
      </c>
      <c r="J14" s="419">
        <f t="shared" si="1"/>
        <v>616.4</v>
      </c>
      <c r="K14" s="419"/>
      <c r="L14" s="419"/>
    </row>
    <row r="15" spans="3:12" hidden="1">
      <c r="C15" s="419">
        <f t="shared" si="0"/>
        <v>11</v>
      </c>
      <c r="D15" s="419">
        <v>108</v>
      </c>
      <c r="E15" s="419">
        <v>118</v>
      </c>
      <c r="F15" s="419"/>
      <c r="G15" s="419"/>
      <c r="H15" s="17">
        <v>63</v>
      </c>
      <c r="I15" s="419">
        <v>80</v>
      </c>
      <c r="J15" s="419">
        <f t="shared" si="1"/>
        <v>696.4</v>
      </c>
      <c r="K15" s="419"/>
      <c r="L15" s="419"/>
    </row>
    <row r="16" spans="3:12" hidden="1">
      <c r="C16" s="419">
        <f t="shared" si="0"/>
        <v>12</v>
      </c>
      <c r="D16" s="419" t="s">
        <v>1846</v>
      </c>
      <c r="E16" s="419" t="s">
        <v>1847</v>
      </c>
      <c r="F16" s="419"/>
      <c r="G16" s="419"/>
      <c r="H16" s="17">
        <v>63</v>
      </c>
      <c r="I16" s="419">
        <v>65</v>
      </c>
      <c r="J16" s="419">
        <f t="shared" si="1"/>
        <v>761.4</v>
      </c>
      <c r="K16" s="419"/>
      <c r="L16" s="419"/>
    </row>
    <row r="17" spans="3:12" hidden="1">
      <c r="C17" s="419">
        <f t="shared" si="0"/>
        <v>13</v>
      </c>
      <c r="D17" s="419">
        <v>40</v>
      </c>
      <c r="E17" s="419">
        <v>29</v>
      </c>
      <c r="F17" s="419"/>
      <c r="G17" s="419"/>
      <c r="H17" s="17">
        <v>63</v>
      </c>
      <c r="I17" s="419">
        <v>20.5</v>
      </c>
      <c r="J17" s="419">
        <f t="shared" si="1"/>
        <v>781.9</v>
      </c>
      <c r="K17" s="419"/>
      <c r="L17" s="419"/>
    </row>
    <row r="18" spans="3:12" hidden="1">
      <c r="C18" s="419">
        <f t="shared" si="0"/>
        <v>14</v>
      </c>
      <c r="D18" s="419">
        <v>41</v>
      </c>
      <c r="E18" s="419">
        <v>40</v>
      </c>
      <c r="F18" s="419"/>
      <c r="G18" s="419"/>
      <c r="H18" s="17">
        <v>63</v>
      </c>
      <c r="I18" s="419">
        <v>15</v>
      </c>
      <c r="J18" s="419">
        <f t="shared" si="1"/>
        <v>796.9</v>
      </c>
      <c r="K18" s="419"/>
      <c r="L18" s="419"/>
    </row>
    <row r="19" spans="3:12" hidden="1">
      <c r="C19" s="419">
        <f t="shared" si="0"/>
        <v>15</v>
      </c>
      <c r="D19" s="419">
        <v>189</v>
      </c>
      <c r="E19" s="419">
        <v>187</v>
      </c>
      <c r="F19" s="419"/>
      <c r="G19" s="419"/>
      <c r="H19" s="17">
        <v>75</v>
      </c>
      <c r="I19" s="419">
        <v>79</v>
      </c>
      <c r="J19" s="419">
        <f t="shared" si="1"/>
        <v>875.9</v>
      </c>
      <c r="K19" s="419"/>
      <c r="L19" s="419"/>
    </row>
    <row r="20" spans="3:12" hidden="1">
      <c r="C20" s="419">
        <f t="shared" si="0"/>
        <v>16</v>
      </c>
      <c r="D20" s="419">
        <v>178</v>
      </c>
      <c r="E20" s="419">
        <v>176</v>
      </c>
      <c r="F20" s="419"/>
      <c r="G20" s="419"/>
      <c r="H20" s="17">
        <v>90</v>
      </c>
      <c r="I20" s="419">
        <v>30</v>
      </c>
      <c r="J20" s="419">
        <f t="shared" si="1"/>
        <v>905.9</v>
      </c>
      <c r="K20" s="419"/>
      <c r="L20" s="419"/>
    </row>
    <row r="21" spans="3:12" hidden="1">
      <c r="C21" s="419">
        <f t="shared" si="0"/>
        <v>17</v>
      </c>
      <c r="D21" s="419">
        <v>255</v>
      </c>
      <c r="E21" s="419">
        <v>256</v>
      </c>
      <c r="F21" s="419"/>
      <c r="G21" s="419"/>
      <c r="H21" s="17">
        <v>63</v>
      </c>
      <c r="I21" s="419">
        <v>80</v>
      </c>
      <c r="J21" s="419">
        <f t="shared" si="1"/>
        <v>985.9</v>
      </c>
      <c r="K21" s="419"/>
      <c r="L21" s="419"/>
    </row>
    <row r="22" spans="3:12" hidden="1">
      <c r="C22" s="419">
        <f t="shared" si="0"/>
        <v>18</v>
      </c>
      <c r="D22" s="419">
        <v>255</v>
      </c>
      <c r="E22" s="419">
        <v>257</v>
      </c>
      <c r="F22" s="419"/>
      <c r="G22" s="419"/>
      <c r="H22" s="17">
        <v>63</v>
      </c>
      <c r="I22" s="419">
        <v>50</v>
      </c>
      <c r="J22" s="419">
        <f t="shared" si="1"/>
        <v>1035.9000000000001</v>
      </c>
      <c r="K22" s="419"/>
      <c r="L22" s="419"/>
    </row>
    <row r="23" spans="3:12" hidden="1">
      <c r="C23" s="419">
        <f t="shared" si="0"/>
        <v>19</v>
      </c>
      <c r="D23" s="419">
        <v>253</v>
      </c>
      <c r="E23" s="419">
        <v>255</v>
      </c>
      <c r="F23" s="419"/>
      <c r="G23" s="419"/>
      <c r="H23" s="17">
        <v>63</v>
      </c>
      <c r="I23" s="419">
        <v>123.9</v>
      </c>
      <c r="J23" s="419">
        <f t="shared" si="1"/>
        <v>1159.8000000000002</v>
      </c>
      <c r="K23" s="419"/>
      <c r="L23" s="419"/>
    </row>
    <row r="24" spans="3:12" hidden="1">
      <c r="C24" s="419">
        <f t="shared" si="0"/>
        <v>20</v>
      </c>
      <c r="D24" s="419" t="s">
        <v>1848</v>
      </c>
      <c r="E24" s="419" t="s">
        <v>1849</v>
      </c>
      <c r="F24" s="419"/>
      <c r="G24" s="419"/>
      <c r="H24" s="17">
        <v>63</v>
      </c>
      <c r="I24" s="419">
        <v>30.1</v>
      </c>
      <c r="J24" s="419">
        <f t="shared" si="1"/>
        <v>1189.9000000000001</v>
      </c>
      <c r="K24" s="419"/>
      <c r="L24" s="419"/>
    </row>
    <row r="25" spans="3:12" hidden="1">
      <c r="C25" s="419">
        <f t="shared" si="0"/>
        <v>21</v>
      </c>
      <c r="D25" s="419">
        <v>253</v>
      </c>
      <c r="E25" s="419">
        <v>254</v>
      </c>
      <c r="F25" s="419"/>
      <c r="G25" s="419"/>
      <c r="H25" s="17">
        <v>63</v>
      </c>
      <c r="I25" s="419">
        <v>101.2</v>
      </c>
      <c r="J25" s="419">
        <f t="shared" si="1"/>
        <v>1291.1000000000001</v>
      </c>
      <c r="K25" s="419"/>
      <c r="L25" s="419"/>
    </row>
    <row r="26" spans="3:12" hidden="1">
      <c r="C26" s="419">
        <f t="shared" si="0"/>
        <v>22</v>
      </c>
      <c r="D26" s="419" t="s">
        <v>1850</v>
      </c>
      <c r="E26" s="419" t="s">
        <v>1851</v>
      </c>
      <c r="F26" s="419"/>
      <c r="G26" s="419"/>
      <c r="H26" s="17">
        <v>63</v>
      </c>
      <c r="I26" s="419">
        <v>10.3</v>
      </c>
      <c r="J26" s="419">
        <f t="shared" si="1"/>
        <v>1301.4000000000001</v>
      </c>
      <c r="K26" s="419"/>
      <c r="L26" s="419"/>
    </row>
    <row r="27" spans="3:12" hidden="1">
      <c r="C27" s="419">
        <f t="shared" si="0"/>
        <v>23</v>
      </c>
      <c r="D27" s="419">
        <v>231</v>
      </c>
      <c r="E27" s="419">
        <v>253</v>
      </c>
      <c r="F27" s="419"/>
      <c r="G27" s="419"/>
      <c r="H27" s="17">
        <v>63</v>
      </c>
      <c r="I27" s="419">
        <v>598.5</v>
      </c>
      <c r="J27" s="419">
        <f t="shared" si="1"/>
        <v>1899.9</v>
      </c>
      <c r="K27" s="419"/>
      <c r="L27" s="419"/>
    </row>
    <row r="28" spans="3:12" hidden="1">
      <c r="C28" s="419">
        <f t="shared" si="0"/>
        <v>24</v>
      </c>
      <c r="D28" s="419" t="s">
        <v>1852</v>
      </c>
      <c r="E28" s="419" t="s">
        <v>1853</v>
      </c>
      <c r="F28" s="419"/>
      <c r="G28" s="419"/>
      <c r="H28" s="17">
        <v>63</v>
      </c>
      <c r="I28" s="419">
        <v>350.9</v>
      </c>
      <c r="J28" s="419">
        <f t="shared" si="1"/>
        <v>2250.8000000000002</v>
      </c>
      <c r="K28" s="419"/>
      <c r="L28" s="419"/>
    </row>
    <row r="29" spans="3:12" hidden="1">
      <c r="C29" s="419">
        <f t="shared" si="0"/>
        <v>25</v>
      </c>
      <c r="D29" s="419" t="s">
        <v>1854</v>
      </c>
      <c r="E29" s="419" t="s">
        <v>1855</v>
      </c>
      <c r="F29" s="419"/>
      <c r="G29" s="419"/>
      <c r="H29" s="17">
        <v>63</v>
      </c>
      <c r="I29" s="419">
        <v>16.100000000000001</v>
      </c>
      <c r="J29" s="419">
        <f t="shared" si="1"/>
        <v>2266.9</v>
      </c>
      <c r="K29" s="419"/>
      <c r="L29" s="419"/>
    </row>
    <row r="30" spans="3:12" hidden="1">
      <c r="C30" s="419">
        <f t="shared" si="0"/>
        <v>26</v>
      </c>
      <c r="D30" s="419" t="s">
        <v>1856</v>
      </c>
      <c r="E30" s="419" t="s">
        <v>1857</v>
      </c>
      <c r="F30" s="419"/>
      <c r="G30" s="419"/>
      <c r="H30" s="17">
        <v>63</v>
      </c>
      <c r="I30" s="419">
        <v>25.6</v>
      </c>
      <c r="J30" s="419">
        <f t="shared" si="1"/>
        <v>2292.5</v>
      </c>
      <c r="K30" s="419"/>
      <c r="L30" s="419"/>
    </row>
    <row r="31" spans="3:12" hidden="1">
      <c r="C31" s="419">
        <f t="shared" si="0"/>
        <v>27</v>
      </c>
      <c r="D31" s="419">
        <v>77</v>
      </c>
      <c r="E31" s="419">
        <v>88</v>
      </c>
      <c r="F31" s="419"/>
      <c r="G31" s="419"/>
      <c r="H31" s="17">
        <v>63</v>
      </c>
      <c r="I31" s="419">
        <v>175.4</v>
      </c>
      <c r="J31" s="419">
        <f t="shared" si="1"/>
        <v>2467.9</v>
      </c>
      <c r="K31" s="419"/>
      <c r="L31" s="419"/>
    </row>
    <row r="32" spans="3:12" hidden="1">
      <c r="C32" s="419">
        <f t="shared" si="0"/>
        <v>28</v>
      </c>
      <c r="D32" s="419">
        <v>77</v>
      </c>
      <c r="E32" s="419">
        <v>80</v>
      </c>
      <c r="F32" s="419"/>
      <c r="G32" s="419"/>
      <c r="H32" s="17">
        <v>63</v>
      </c>
      <c r="I32" s="419">
        <v>125.6</v>
      </c>
      <c r="J32" s="419">
        <f t="shared" si="1"/>
        <v>2593.5</v>
      </c>
      <c r="K32" s="419"/>
      <c r="L32" s="419"/>
    </row>
    <row r="33" spans="3:12">
      <c r="C33" s="419">
        <f t="shared" si="0"/>
        <v>29</v>
      </c>
      <c r="D33" s="419">
        <v>77</v>
      </c>
      <c r="E33" s="419">
        <v>75</v>
      </c>
      <c r="F33" s="419" t="s">
        <v>149</v>
      </c>
      <c r="G33" s="419"/>
      <c r="H33" s="419">
        <v>63</v>
      </c>
      <c r="I33" s="419">
        <v>6.3</v>
      </c>
      <c r="J33" s="419">
        <f t="shared" si="1"/>
        <v>2599.8000000000002</v>
      </c>
      <c r="K33" s="419"/>
      <c r="L33" s="419"/>
    </row>
    <row r="34" spans="3:12" hidden="1">
      <c r="C34" s="419">
        <f t="shared" si="0"/>
        <v>30</v>
      </c>
      <c r="D34" s="419">
        <v>75</v>
      </c>
      <c r="E34" s="419">
        <v>74</v>
      </c>
      <c r="F34" s="419"/>
      <c r="G34" s="419"/>
      <c r="H34" s="419">
        <v>63</v>
      </c>
      <c r="I34" s="419">
        <v>56.1</v>
      </c>
      <c r="J34" s="419">
        <f t="shared" si="1"/>
        <v>2655.9</v>
      </c>
      <c r="K34" s="419"/>
      <c r="L34" s="419"/>
    </row>
    <row r="35" spans="3:12" hidden="1">
      <c r="C35" s="419">
        <f t="shared" si="0"/>
        <v>31</v>
      </c>
      <c r="D35" s="419">
        <v>70</v>
      </c>
      <c r="E35" s="419">
        <v>75</v>
      </c>
      <c r="F35" s="419"/>
      <c r="G35" s="419"/>
      <c r="H35" s="419">
        <v>63</v>
      </c>
      <c r="I35" s="419">
        <v>70</v>
      </c>
      <c r="J35" s="419">
        <f t="shared" si="1"/>
        <v>2725.9</v>
      </c>
      <c r="K35" s="419"/>
      <c r="L35" s="419"/>
    </row>
    <row r="36" spans="3:12" hidden="1">
      <c r="C36" s="419">
        <f t="shared" si="0"/>
        <v>32</v>
      </c>
      <c r="D36" s="419">
        <v>70</v>
      </c>
      <c r="E36" s="419">
        <v>55</v>
      </c>
      <c r="F36" s="419" t="s">
        <v>45</v>
      </c>
      <c r="G36" s="419"/>
      <c r="H36" s="419">
        <v>63</v>
      </c>
      <c r="I36" s="419">
        <v>3</v>
      </c>
      <c r="J36" s="419">
        <f t="shared" si="1"/>
        <v>2728.9</v>
      </c>
      <c r="K36" s="419"/>
      <c r="L36" s="419"/>
    </row>
    <row r="37" spans="3:12" hidden="1">
      <c r="C37" s="419">
        <f t="shared" si="0"/>
        <v>33</v>
      </c>
      <c r="D37" s="419" t="s">
        <v>1858</v>
      </c>
      <c r="E37" s="419" t="s">
        <v>1859</v>
      </c>
      <c r="F37" s="419"/>
      <c r="G37" s="419"/>
      <c r="H37" s="419">
        <v>63</v>
      </c>
      <c r="I37" s="419">
        <v>16.899999999999999</v>
      </c>
      <c r="J37" s="419">
        <f t="shared" si="1"/>
        <v>2745.8</v>
      </c>
      <c r="K37" s="419"/>
      <c r="L37" s="419"/>
    </row>
    <row r="38" spans="3:12" hidden="1">
      <c r="C38" s="419">
        <f t="shared" si="0"/>
        <v>34</v>
      </c>
      <c r="D38" s="419">
        <v>61</v>
      </c>
      <c r="E38" s="419">
        <v>70</v>
      </c>
      <c r="F38" s="419"/>
      <c r="G38" s="419"/>
      <c r="H38" s="419">
        <v>63</v>
      </c>
      <c r="I38" s="419">
        <v>91</v>
      </c>
      <c r="J38" s="419">
        <f t="shared" si="1"/>
        <v>2836.8</v>
      </c>
      <c r="K38" s="419"/>
      <c r="L38" s="419"/>
    </row>
    <row r="39" spans="3:12" hidden="1">
      <c r="C39" s="419">
        <f t="shared" si="0"/>
        <v>35</v>
      </c>
      <c r="D39" s="419">
        <v>61</v>
      </c>
      <c r="E39" s="419">
        <v>62</v>
      </c>
      <c r="F39" s="419"/>
      <c r="G39" s="419"/>
      <c r="H39" s="419">
        <v>63</v>
      </c>
      <c r="I39" s="419">
        <v>35.1</v>
      </c>
      <c r="J39" s="419">
        <f t="shared" si="1"/>
        <v>2871.9</v>
      </c>
      <c r="K39" s="419"/>
      <c r="L39" s="419"/>
    </row>
    <row r="40" spans="3:12" hidden="1">
      <c r="C40" s="419">
        <f t="shared" si="0"/>
        <v>36</v>
      </c>
      <c r="D40" s="419">
        <v>61</v>
      </c>
      <c r="E40" s="419">
        <v>62</v>
      </c>
      <c r="F40" s="419" t="s">
        <v>45</v>
      </c>
      <c r="G40" s="419"/>
      <c r="H40" s="419">
        <v>63</v>
      </c>
      <c r="I40" s="419">
        <v>3</v>
      </c>
      <c r="J40" s="419">
        <f t="shared" si="1"/>
        <v>2874.9</v>
      </c>
      <c r="K40" s="419"/>
      <c r="L40" s="419"/>
    </row>
    <row r="41" spans="3:12" hidden="1">
      <c r="C41" s="419">
        <f t="shared" si="0"/>
        <v>37</v>
      </c>
      <c r="D41" s="419">
        <v>60</v>
      </c>
      <c r="E41" s="419">
        <v>62</v>
      </c>
      <c r="F41" s="419"/>
      <c r="G41" s="419"/>
      <c r="H41" s="419">
        <v>63</v>
      </c>
      <c r="I41" s="419">
        <v>15</v>
      </c>
      <c r="J41" s="419">
        <f t="shared" si="1"/>
        <v>2889.9</v>
      </c>
      <c r="K41" s="419"/>
      <c r="L41" s="419"/>
    </row>
    <row r="42" spans="3:12" hidden="1">
      <c r="C42" s="419">
        <f t="shared" si="0"/>
        <v>38</v>
      </c>
      <c r="D42" s="419" t="s">
        <v>1860</v>
      </c>
      <c r="E42" s="419" t="s">
        <v>1861</v>
      </c>
      <c r="F42" s="419"/>
      <c r="G42" s="419"/>
      <c r="H42" s="419">
        <v>63</v>
      </c>
      <c r="I42" s="419">
        <v>10.9</v>
      </c>
      <c r="J42" s="419">
        <f t="shared" si="1"/>
        <v>2900.8</v>
      </c>
      <c r="K42" s="419"/>
      <c r="L42" s="419"/>
    </row>
    <row r="43" spans="3:12" hidden="1">
      <c r="C43" s="419">
        <f t="shared" si="0"/>
        <v>39</v>
      </c>
      <c r="D43" s="419" t="s">
        <v>1862</v>
      </c>
      <c r="E43" s="419" t="s">
        <v>1863</v>
      </c>
      <c r="F43" s="419"/>
      <c r="G43" s="419"/>
      <c r="H43" s="419">
        <v>63</v>
      </c>
      <c r="I43" s="419">
        <v>30.1</v>
      </c>
      <c r="J43" s="419">
        <f t="shared" si="1"/>
        <v>2930.9</v>
      </c>
      <c r="K43" s="419"/>
      <c r="L43" s="419"/>
    </row>
    <row r="44" spans="3:12" hidden="1">
      <c r="C44" s="419">
        <f t="shared" si="0"/>
        <v>40</v>
      </c>
      <c r="D44" s="419">
        <v>15</v>
      </c>
      <c r="E44" s="419">
        <v>93</v>
      </c>
      <c r="F44" s="419"/>
      <c r="G44" s="419"/>
      <c r="H44" s="419">
        <v>63</v>
      </c>
      <c r="I44" s="419">
        <v>250</v>
      </c>
      <c r="J44" s="419">
        <f t="shared" si="1"/>
        <v>3180.9</v>
      </c>
      <c r="K44" s="419"/>
      <c r="L44" s="419"/>
    </row>
    <row r="45" spans="3:12" hidden="1">
      <c r="C45" s="419">
        <f t="shared" si="0"/>
        <v>41</v>
      </c>
      <c r="D45" s="419" t="s">
        <v>1864</v>
      </c>
      <c r="E45" s="419" t="s">
        <v>1865</v>
      </c>
      <c r="F45" s="419"/>
      <c r="G45" s="419"/>
      <c r="H45" s="419">
        <v>63</v>
      </c>
      <c r="I45" s="419">
        <v>20</v>
      </c>
      <c r="J45" s="419">
        <f t="shared" si="1"/>
        <v>3200.9</v>
      </c>
      <c r="K45" s="419"/>
      <c r="L45" s="419"/>
    </row>
    <row r="46" spans="3:12" hidden="1">
      <c r="C46" s="419">
        <f t="shared" si="0"/>
        <v>42</v>
      </c>
      <c r="D46" s="419" t="s">
        <v>1866</v>
      </c>
      <c r="E46" s="419" t="s">
        <v>1867</v>
      </c>
      <c r="F46" s="419"/>
      <c r="G46" s="419"/>
      <c r="H46" s="419">
        <v>63</v>
      </c>
      <c r="I46" s="419">
        <v>60</v>
      </c>
      <c r="J46" s="419">
        <f t="shared" si="1"/>
        <v>3260.9</v>
      </c>
      <c r="K46" s="419"/>
      <c r="L46" s="419"/>
    </row>
    <row r="47" spans="3:12" hidden="1">
      <c r="C47" s="419">
        <f t="shared" si="0"/>
        <v>43</v>
      </c>
      <c r="D47" s="419">
        <v>60</v>
      </c>
      <c r="E47" s="419">
        <v>64</v>
      </c>
      <c r="F47" s="419" t="s">
        <v>45</v>
      </c>
      <c r="G47" s="419"/>
      <c r="H47" s="419">
        <v>63</v>
      </c>
      <c r="I47" s="419">
        <v>87</v>
      </c>
      <c r="J47" s="419">
        <f t="shared" si="1"/>
        <v>3347.9</v>
      </c>
      <c r="K47" s="419"/>
      <c r="L47" s="419"/>
    </row>
    <row r="48" spans="3:12" hidden="1">
      <c r="C48" s="419">
        <f t="shared" si="0"/>
        <v>44</v>
      </c>
      <c r="D48" s="419">
        <v>57</v>
      </c>
      <c r="E48" s="419">
        <v>60</v>
      </c>
      <c r="F48" s="420"/>
      <c r="G48" s="420"/>
      <c r="H48" s="419">
        <v>63</v>
      </c>
      <c r="I48" s="17">
        <v>34</v>
      </c>
      <c r="J48" s="419">
        <f t="shared" si="1"/>
        <v>3381.9</v>
      </c>
      <c r="K48" s="420"/>
      <c r="L48" s="420"/>
    </row>
    <row r="49" spans="3:12" hidden="1">
      <c r="C49" s="419">
        <f t="shared" si="0"/>
        <v>45</v>
      </c>
      <c r="D49" s="17">
        <v>57</v>
      </c>
      <c r="E49" s="17">
        <v>58</v>
      </c>
      <c r="F49" s="420"/>
      <c r="G49" s="420"/>
      <c r="H49" s="419">
        <v>63</v>
      </c>
      <c r="I49" s="17">
        <v>38</v>
      </c>
      <c r="J49" s="419">
        <f t="shared" si="1"/>
        <v>3419.9</v>
      </c>
      <c r="K49" s="420"/>
      <c r="L49" s="420"/>
    </row>
    <row r="50" spans="3:12" hidden="1">
      <c r="C50" s="419">
        <f t="shared" si="0"/>
        <v>46</v>
      </c>
      <c r="D50" s="419" t="s">
        <v>1868</v>
      </c>
      <c r="E50" s="419" t="s">
        <v>1869</v>
      </c>
      <c r="F50" s="420"/>
      <c r="G50" s="420"/>
      <c r="H50" s="419">
        <v>63</v>
      </c>
      <c r="I50" s="17">
        <v>50</v>
      </c>
      <c r="J50" s="419">
        <f t="shared" si="1"/>
        <v>3469.9</v>
      </c>
      <c r="K50" s="420"/>
      <c r="L50" s="420"/>
    </row>
    <row r="51" spans="3:12" hidden="1">
      <c r="C51" s="419">
        <f t="shared" si="0"/>
        <v>47</v>
      </c>
      <c r="D51" s="17">
        <v>49</v>
      </c>
      <c r="E51" s="17">
        <v>57</v>
      </c>
      <c r="F51" s="420"/>
      <c r="G51" s="420"/>
      <c r="H51" s="419">
        <v>63</v>
      </c>
      <c r="I51" s="17">
        <v>93</v>
      </c>
      <c r="J51" s="419">
        <f t="shared" si="1"/>
        <v>3562.9</v>
      </c>
      <c r="K51" s="420"/>
      <c r="L51" s="420"/>
    </row>
    <row r="52" spans="3:12" hidden="1">
      <c r="C52" s="419">
        <f t="shared" si="0"/>
        <v>48</v>
      </c>
      <c r="D52" s="419">
        <v>59</v>
      </c>
      <c r="E52" s="419">
        <v>49</v>
      </c>
      <c r="F52" s="420"/>
      <c r="G52" s="420"/>
      <c r="H52" s="419">
        <v>63</v>
      </c>
      <c r="I52" s="17">
        <v>89.9</v>
      </c>
      <c r="J52" s="419">
        <f t="shared" si="1"/>
        <v>3652.8</v>
      </c>
      <c r="K52" s="420"/>
      <c r="L52" s="420"/>
    </row>
    <row r="53" spans="3:12" hidden="1">
      <c r="C53" s="419">
        <f t="shared" si="0"/>
        <v>49</v>
      </c>
      <c r="D53" s="17">
        <v>98</v>
      </c>
      <c r="E53" s="17">
        <v>59</v>
      </c>
      <c r="F53" s="420"/>
      <c r="G53" s="420"/>
      <c r="H53" s="419">
        <v>110</v>
      </c>
      <c r="I53" s="17">
        <v>55</v>
      </c>
      <c r="J53" s="419">
        <f t="shared" si="1"/>
        <v>3707.8</v>
      </c>
      <c r="K53" s="420"/>
      <c r="L53" s="420"/>
    </row>
    <row r="54" spans="3:12" hidden="1">
      <c r="C54" s="419">
        <f t="shared" si="0"/>
        <v>50</v>
      </c>
      <c r="D54" s="419" t="s">
        <v>1870</v>
      </c>
      <c r="E54" s="419" t="s">
        <v>1871</v>
      </c>
      <c r="F54" s="420"/>
      <c r="G54" s="420"/>
      <c r="H54" s="419">
        <v>63</v>
      </c>
      <c r="I54" s="17">
        <v>25</v>
      </c>
      <c r="J54" s="419">
        <f t="shared" si="1"/>
        <v>3732.8</v>
      </c>
      <c r="K54" s="420"/>
      <c r="L54" s="420"/>
    </row>
    <row r="55" spans="3:12" hidden="1">
      <c r="C55" s="419">
        <f t="shared" si="0"/>
        <v>51</v>
      </c>
      <c r="D55" s="17">
        <v>97</v>
      </c>
      <c r="E55" s="17">
        <v>95</v>
      </c>
      <c r="F55" s="420"/>
      <c r="G55" s="420"/>
      <c r="H55" s="419">
        <v>63</v>
      </c>
      <c r="I55" s="17">
        <v>73</v>
      </c>
      <c r="J55" s="419">
        <f t="shared" si="1"/>
        <v>3805.8</v>
      </c>
      <c r="K55" s="420"/>
      <c r="L55" s="420"/>
    </row>
    <row r="56" spans="3:12" hidden="1">
      <c r="C56" s="419">
        <f t="shared" si="0"/>
        <v>52</v>
      </c>
      <c r="D56" s="419" t="s">
        <v>1872</v>
      </c>
      <c r="E56" s="419" t="s">
        <v>1873</v>
      </c>
      <c r="F56" s="420"/>
      <c r="G56" s="420"/>
      <c r="H56" s="419">
        <v>63</v>
      </c>
      <c r="I56" s="17">
        <v>80.099999999999994</v>
      </c>
      <c r="J56" s="419">
        <f t="shared" si="1"/>
        <v>3885.9</v>
      </c>
      <c r="K56" s="420"/>
      <c r="L56" s="420"/>
    </row>
    <row r="57" spans="3:12" hidden="1">
      <c r="C57" s="419">
        <f t="shared" si="0"/>
        <v>53</v>
      </c>
      <c r="D57" s="17">
        <v>5</v>
      </c>
      <c r="E57" s="17">
        <v>7</v>
      </c>
      <c r="F57" s="420"/>
      <c r="G57" s="420"/>
      <c r="H57" s="17">
        <v>63</v>
      </c>
      <c r="I57" s="17">
        <v>154</v>
      </c>
      <c r="J57" s="419">
        <f t="shared" si="1"/>
        <v>4039.9</v>
      </c>
      <c r="K57" s="420"/>
      <c r="L57" s="420"/>
    </row>
    <row r="58" spans="3:12" hidden="1">
      <c r="C58" s="419">
        <f t="shared" si="0"/>
        <v>54</v>
      </c>
      <c r="D58" s="17">
        <v>5</v>
      </c>
      <c r="E58" s="17">
        <v>8</v>
      </c>
      <c r="F58" s="420"/>
      <c r="G58" s="420"/>
      <c r="H58" s="17">
        <v>110</v>
      </c>
      <c r="I58" s="17">
        <v>30</v>
      </c>
      <c r="J58" s="419">
        <f t="shared" si="1"/>
        <v>4069.9</v>
      </c>
      <c r="K58" s="420"/>
      <c r="L58" s="420"/>
    </row>
    <row r="59" spans="3:12" hidden="1">
      <c r="C59" s="419">
        <f t="shared" si="0"/>
        <v>55</v>
      </c>
      <c r="D59" s="419" t="s">
        <v>1874</v>
      </c>
      <c r="E59" s="419" t="s">
        <v>1875</v>
      </c>
      <c r="F59" s="420"/>
      <c r="G59" s="420"/>
      <c r="H59" s="17">
        <v>63</v>
      </c>
      <c r="I59" s="17">
        <v>69</v>
      </c>
      <c r="J59" s="419">
        <f t="shared" si="1"/>
        <v>4138.8999999999996</v>
      </c>
      <c r="K59" s="420"/>
      <c r="L59" s="420"/>
    </row>
    <row r="60" spans="3:12" hidden="1">
      <c r="C60" s="419">
        <f t="shared" si="0"/>
        <v>56</v>
      </c>
      <c r="D60" s="419" t="s">
        <v>1812</v>
      </c>
      <c r="E60" s="419" t="s">
        <v>1876</v>
      </c>
      <c r="F60" s="419"/>
      <c r="G60" s="419"/>
      <c r="H60" s="17">
        <v>63</v>
      </c>
      <c r="I60" s="419">
        <f>4.1+8.4+5.8+2.1+3.9+8+8+29+3+13</f>
        <v>85.3</v>
      </c>
      <c r="J60" s="419">
        <f t="shared" si="1"/>
        <v>4224.2</v>
      </c>
      <c r="K60" s="419"/>
      <c r="L60" s="419"/>
    </row>
    <row r="61" spans="3:12" ht="15.75" hidden="1">
      <c r="C61" s="503" t="s">
        <v>365</v>
      </c>
      <c r="D61" s="504"/>
      <c r="E61" s="504"/>
      <c r="F61" s="505"/>
      <c r="G61" s="506" t="s">
        <v>366</v>
      </c>
      <c r="H61" s="507"/>
      <c r="I61" s="508"/>
      <c r="J61" s="498" t="s">
        <v>367</v>
      </c>
      <c r="K61" s="498"/>
      <c r="L61" s="498"/>
    </row>
    <row r="62" spans="3:12" ht="15.75" hidden="1">
      <c r="C62" s="7" t="s">
        <v>368</v>
      </c>
      <c r="D62" s="499"/>
      <c r="E62" s="500"/>
      <c r="F62" s="501"/>
      <c r="G62" s="420" t="s">
        <v>368</v>
      </c>
      <c r="H62" s="498"/>
      <c r="I62" s="498"/>
      <c r="J62" s="420" t="s">
        <v>368</v>
      </c>
      <c r="K62" s="498"/>
      <c r="L62" s="498"/>
    </row>
    <row r="63" spans="3:12" ht="15.75" hidden="1">
      <c r="C63" s="7" t="s">
        <v>369</v>
      </c>
      <c r="D63" s="498"/>
      <c r="E63" s="498"/>
      <c r="F63" s="498"/>
      <c r="G63" s="420" t="s">
        <v>369</v>
      </c>
      <c r="H63" s="498"/>
      <c r="I63" s="498"/>
      <c r="J63" s="420" t="s">
        <v>369</v>
      </c>
      <c r="K63" s="498"/>
      <c r="L63" s="498"/>
    </row>
    <row r="64" spans="3:12" ht="15.75" hidden="1">
      <c r="C64" s="30" t="s">
        <v>370</v>
      </c>
      <c r="D64" s="499"/>
      <c r="E64" s="500"/>
      <c r="F64" s="501"/>
      <c r="G64" s="31" t="s">
        <v>370</v>
      </c>
      <c r="H64" s="498"/>
      <c r="I64" s="498"/>
      <c r="J64" s="31" t="s">
        <v>370</v>
      </c>
      <c r="K64" s="498"/>
      <c r="L64" s="498"/>
    </row>
    <row r="66" spans="5:9">
      <c r="E66">
        <v>63</v>
      </c>
      <c r="F66">
        <v>75</v>
      </c>
      <c r="G66">
        <v>110</v>
      </c>
      <c r="H66">
        <v>90</v>
      </c>
    </row>
    <row r="67" spans="5:9">
      <c r="E67">
        <f>+SUMIF($H$5:$H$60,E66,$I$5:$I$60)</f>
        <v>3816.8</v>
      </c>
      <c r="F67">
        <f t="shared" ref="F67:H67" si="2">+SUMIF($H$5:$H$60,F66,$I$5:$I$60)</f>
        <v>79</v>
      </c>
      <c r="G67">
        <f t="shared" si="2"/>
        <v>298.39999999999998</v>
      </c>
      <c r="H67">
        <f t="shared" si="2"/>
        <v>30</v>
      </c>
      <c r="I67">
        <f>+SUM(E67:H670)</f>
        <v>4224.2</v>
      </c>
    </row>
    <row r="68" spans="5:9">
      <c r="I68">
        <f>+hasthara!K189</f>
        <v>16506.900000000001</v>
      </c>
    </row>
    <row r="69" spans="5:9">
      <c r="I69">
        <f>+I68+I67</f>
        <v>20731.100000000002</v>
      </c>
    </row>
  </sheetData>
  <autoFilter ref="C4:L64">
    <filterColumn colId="3">
      <filters>
        <filter val="interlocking"/>
      </filters>
    </filterColumn>
  </autoFilter>
  <mergeCells count="13">
    <mergeCell ref="D63:F63"/>
    <mergeCell ref="H63:I63"/>
    <mergeCell ref="K63:L63"/>
    <mergeCell ref="D64:F64"/>
    <mergeCell ref="H64:I64"/>
    <mergeCell ref="K64:L64"/>
    <mergeCell ref="C3:L3"/>
    <mergeCell ref="C61:F61"/>
    <mergeCell ref="G61:I61"/>
    <mergeCell ref="J61:L61"/>
    <mergeCell ref="D62:F62"/>
    <mergeCell ref="H62:I62"/>
    <mergeCell ref="K62:L62"/>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78"/>
  <sheetViews>
    <sheetView workbookViewId="0">
      <selection activeCell="G7" sqref="G7:G223"/>
    </sheetView>
  </sheetViews>
  <sheetFormatPr defaultColWidth="9" defaultRowHeight="15"/>
  <cols>
    <col min="1" max="1" width="15" customWidth="1"/>
    <col min="2" max="2" width="13.7109375" customWidth="1"/>
    <col min="3" max="3" width="12.140625" customWidth="1"/>
    <col min="4" max="4" width="16" customWidth="1"/>
    <col min="5" max="5" width="15.5703125" customWidth="1"/>
    <col min="6" max="6" width="20.28515625" customWidth="1"/>
    <col min="7" max="7" width="19.5703125" customWidth="1"/>
    <col min="8" max="8" width="16.42578125" customWidth="1"/>
    <col min="9" max="9" width="13.140625" customWidth="1"/>
    <col min="10" max="10" width="14.7109375" customWidth="1"/>
    <col min="11" max="11" width="13.7109375" customWidth="1"/>
    <col min="13" max="13" width="0" hidden="1" customWidth="1"/>
    <col min="14" max="14" width="13.7109375" hidden="1" customWidth="1"/>
    <col min="15" max="15" width="12.140625" hidden="1" customWidth="1"/>
    <col min="16" max="16" width="17.140625" hidden="1" customWidth="1"/>
    <col min="17" max="17" width="16.5703125" hidden="1" customWidth="1"/>
    <col min="18" max="18" width="20.28515625" hidden="1" customWidth="1"/>
    <col min="19" max="19" width="19.5703125" hidden="1" customWidth="1"/>
    <col min="20" max="20" width="15.7109375" hidden="1" customWidth="1"/>
    <col min="21" max="21" width="16.140625" hidden="1" customWidth="1"/>
    <col min="22" max="23" width="0" hidden="1" customWidth="1"/>
  </cols>
  <sheetData>
    <row r="2" spans="1:23" ht="18.75">
      <c r="A2" s="581" t="s">
        <v>1556</v>
      </c>
      <c r="B2" s="581"/>
      <c r="C2" s="581"/>
      <c r="D2" s="581"/>
      <c r="E2" s="581"/>
      <c r="F2" s="581"/>
      <c r="G2" s="581"/>
      <c r="H2" s="581"/>
      <c r="I2" s="581"/>
      <c r="J2" s="581"/>
      <c r="K2" s="581"/>
      <c r="M2" s="581" t="s">
        <v>1556</v>
      </c>
      <c r="N2" s="581"/>
      <c r="O2" s="581"/>
      <c r="P2" s="581"/>
      <c r="Q2" s="581"/>
      <c r="R2" s="581"/>
      <c r="S2" s="581"/>
      <c r="T2" s="581"/>
      <c r="U2" s="581"/>
      <c r="V2" s="581"/>
      <c r="W2" s="581"/>
    </row>
    <row r="3" spans="1:23" ht="37.5">
      <c r="A3" s="1" t="s">
        <v>448</v>
      </c>
      <c r="B3" s="1" t="s">
        <v>180</v>
      </c>
      <c r="C3" s="1" t="s">
        <v>13</v>
      </c>
      <c r="D3" s="1" t="s">
        <v>181</v>
      </c>
      <c r="E3" s="2" t="s">
        <v>449</v>
      </c>
      <c r="F3" s="1" t="s">
        <v>183</v>
      </c>
      <c r="G3" s="9" t="s">
        <v>184</v>
      </c>
      <c r="H3" s="3" t="s">
        <v>185</v>
      </c>
      <c r="I3" s="3" t="s">
        <v>186</v>
      </c>
      <c r="J3" s="636" t="s">
        <v>187</v>
      </c>
      <c r="K3" s="636"/>
      <c r="M3" s="1" t="s">
        <v>448</v>
      </c>
      <c r="N3" s="1" t="s">
        <v>180</v>
      </c>
      <c r="O3" s="1" t="s">
        <v>13</v>
      </c>
      <c r="P3" s="1" t="s">
        <v>181</v>
      </c>
      <c r="Q3" s="2" t="s">
        <v>449</v>
      </c>
      <c r="R3" s="1" t="s">
        <v>183</v>
      </c>
      <c r="S3" s="9" t="s">
        <v>184</v>
      </c>
      <c r="T3" s="374" t="s">
        <v>185</v>
      </c>
      <c r="U3" s="374" t="s">
        <v>186</v>
      </c>
      <c r="V3" s="582" t="s">
        <v>187</v>
      </c>
      <c r="W3" s="583"/>
    </row>
    <row r="4" spans="1:23" ht="15" customHeight="1">
      <c r="A4" s="5">
        <v>1</v>
      </c>
      <c r="B4" s="5" t="s">
        <v>241</v>
      </c>
      <c r="C4" s="5" t="s">
        <v>338</v>
      </c>
      <c r="D4" s="5"/>
      <c r="E4" s="5"/>
      <c r="F4" s="5">
        <v>63</v>
      </c>
      <c r="G4" s="5">
        <v>27</v>
      </c>
      <c r="H4" s="5">
        <f>+G4</f>
        <v>27</v>
      </c>
      <c r="I4" s="5">
        <v>1.06</v>
      </c>
      <c r="J4" s="499"/>
      <c r="K4" s="501"/>
      <c r="M4" s="12">
        <v>1</v>
      </c>
      <c r="N4" s="12" t="s">
        <v>1557</v>
      </c>
      <c r="O4" s="12" t="s">
        <v>1558</v>
      </c>
      <c r="P4" s="12" t="s">
        <v>45</v>
      </c>
      <c r="Q4" s="12">
        <v>0.36</v>
      </c>
      <c r="R4" s="12">
        <v>63</v>
      </c>
      <c r="S4" s="12">
        <v>100.7</v>
      </c>
      <c r="T4" s="13">
        <f>+S4</f>
        <v>100.7</v>
      </c>
      <c r="U4" s="370">
        <v>1.06</v>
      </c>
      <c r="V4" s="731"/>
      <c r="W4" s="732"/>
    </row>
    <row r="5" spans="1:23" ht="15" customHeight="1">
      <c r="A5" s="5">
        <f>1+A4</f>
        <v>2</v>
      </c>
      <c r="B5" s="5" t="s">
        <v>188</v>
      </c>
      <c r="C5" s="5" t="s">
        <v>333</v>
      </c>
      <c r="D5" s="5"/>
      <c r="E5" s="5"/>
      <c r="F5" s="5">
        <v>63</v>
      </c>
      <c r="G5" s="5">
        <v>86.1</v>
      </c>
      <c r="H5" s="5">
        <f>+H4+G5</f>
        <v>113.1</v>
      </c>
      <c r="I5" s="5">
        <v>1.06</v>
      </c>
      <c r="J5" s="499"/>
      <c r="K5" s="501"/>
      <c r="M5" s="12">
        <f t="shared" ref="M5:M30" si="0">1+M4</f>
        <v>2</v>
      </c>
      <c r="N5" s="12" t="s">
        <v>1559</v>
      </c>
      <c r="O5" s="12" t="s">
        <v>890</v>
      </c>
      <c r="P5" s="12" t="s">
        <v>149</v>
      </c>
      <c r="Q5" s="12">
        <v>0.46</v>
      </c>
      <c r="R5" s="12">
        <v>63</v>
      </c>
      <c r="S5" s="12">
        <v>125.8</v>
      </c>
      <c r="T5" s="12">
        <f t="shared" ref="T5:T30" si="1">+T4+S5</f>
        <v>226.5</v>
      </c>
      <c r="U5" s="370">
        <v>1.06</v>
      </c>
      <c r="V5" s="731"/>
      <c r="W5" s="732"/>
    </row>
    <row r="6" spans="1:23" ht="15" customHeight="1">
      <c r="A6" s="5">
        <f t="shared" ref="A6:A69" si="2">1+A5</f>
        <v>3</v>
      </c>
      <c r="B6" s="5" t="s">
        <v>334</v>
      </c>
      <c r="C6" s="5" t="s">
        <v>662</v>
      </c>
      <c r="D6" s="5"/>
      <c r="E6" s="5"/>
      <c r="F6" s="5">
        <v>63</v>
      </c>
      <c r="G6" s="5">
        <v>48.1</v>
      </c>
      <c r="H6" s="5">
        <f t="shared" ref="H6:H69" si="3">+H5+G6</f>
        <v>161.19999999999999</v>
      </c>
      <c r="I6" s="5">
        <v>1.06</v>
      </c>
      <c r="J6" s="499"/>
      <c r="K6" s="501"/>
      <c r="M6" s="12">
        <f t="shared" si="0"/>
        <v>3</v>
      </c>
      <c r="N6" s="12" t="s">
        <v>890</v>
      </c>
      <c r="O6" s="12" t="s">
        <v>1560</v>
      </c>
      <c r="P6" s="12" t="s">
        <v>149</v>
      </c>
      <c r="Q6" s="12">
        <v>0.46</v>
      </c>
      <c r="R6" s="12">
        <v>63</v>
      </c>
      <c r="S6" s="12">
        <v>25.2</v>
      </c>
      <c r="T6" s="12">
        <f t="shared" si="1"/>
        <v>251.7</v>
      </c>
      <c r="U6" s="370">
        <v>1.06</v>
      </c>
      <c r="V6" s="731"/>
      <c r="W6" s="732"/>
    </row>
    <row r="7" spans="1:23" ht="15" customHeight="1">
      <c r="A7" s="5">
        <f t="shared" si="2"/>
        <v>4</v>
      </c>
      <c r="B7" s="5" t="s">
        <v>334</v>
      </c>
      <c r="C7" s="5" t="s">
        <v>662</v>
      </c>
      <c r="D7" s="5" t="s">
        <v>199</v>
      </c>
      <c r="E7" s="5">
        <v>0.36</v>
      </c>
      <c r="F7" s="5">
        <v>63</v>
      </c>
      <c r="G7" s="5">
        <v>33.6</v>
      </c>
      <c r="H7" s="5">
        <f t="shared" si="3"/>
        <v>194.79999999999998</v>
      </c>
      <c r="I7" s="5">
        <v>1.06</v>
      </c>
      <c r="J7" s="499"/>
      <c r="K7" s="501"/>
      <c r="M7" s="12">
        <f t="shared" si="0"/>
        <v>4</v>
      </c>
      <c r="N7" s="12" t="s">
        <v>1560</v>
      </c>
      <c r="O7" s="12" t="s">
        <v>1561</v>
      </c>
      <c r="P7" s="12" t="s">
        <v>149</v>
      </c>
      <c r="Q7" s="12">
        <v>0.46</v>
      </c>
      <c r="R7" s="12">
        <v>63</v>
      </c>
      <c r="S7" s="12">
        <v>30.1</v>
      </c>
      <c r="T7" s="12">
        <f t="shared" si="1"/>
        <v>281.8</v>
      </c>
      <c r="U7" s="370">
        <v>1.06</v>
      </c>
      <c r="V7" s="731"/>
      <c r="W7" s="732"/>
    </row>
    <row r="8" spans="1:23" ht="15" customHeight="1">
      <c r="A8" s="5">
        <f t="shared" si="2"/>
        <v>5</v>
      </c>
      <c r="B8" s="5" t="s">
        <v>1562</v>
      </c>
      <c r="C8" s="5" t="s">
        <v>662</v>
      </c>
      <c r="D8" s="5"/>
      <c r="E8" s="5"/>
      <c r="F8" s="5">
        <v>63</v>
      </c>
      <c r="G8" s="5">
        <v>9.3000000000000007</v>
      </c>
      <c r="H8" s="5">
        <f t="shared" si="3"/>
        <v>204.1</v>
      </c>
      <c r="I8" s="5">
        <v>1.06</v>
      </c>
      <c r="J8" s="499"/>
      <c r="K8" s="501"/>
      <c r="M8" s="12">
        <f t="shared" si="0"/>
        <v>5</v>
      </c>
      <c r="N8" s="12" t="s">
        <v>1561</v>
      </c>
      <c r="O8" s="12" t="s">
        <v>1097</v>
      </c>
      <c r="P8" s="12" t="s">
        <v>149</v>
      </c>
      <c r="Q8" s="12">
        <v>0.46</v>
      </c>
      <c r="R8" s="12">
        <v>63</v>
      </c>
      <c r="S8" s="12">
        <v>57.2</v>
      </c>
      <c r="T8" s="12">
        <f t="shared" si="1"/>
        <v>339</v>
      </c>
      <c r="U8" s="370">
        <v>1.06</v>
      </c>
      <c r="V8" s="731"/>
      <c r="W8" s="732"/>
    </row>
    <row r="9" spans="1:23" ht="15" customHeight="1">
      <c r="A9" s="5">
        <f t="shared" si="2"/>
        <v>6</v>
      </c>
      <c r="B9" s="5" t="s">
        <v>662</v>
      </c>
      <c r="C9" s="5" t="s">
        <v>1563</v>
      </c>
      <c r="D9" s="5"/>
      <c r="E9" s="5"/>
      <c r="F9" s="5">
        <v>63</v>
      </c>
      <c r="G9" s="5">
        <v>53.2</v>
      </c>
      <c r="H9" s="5">
        <f t="shared" si="3"/>
        <v>257.3</v>
      </c>
      <c r="I9" s="5">
        <v>1.06</v>
      </c>
      <c r="J9" s="499"/>
      <c r="K9" s="501"/>
      <c r="M9" s="12">
        <f t="shared" si="0"/>
        <v>6</v>
      </c>
      <c r="N9" s="12" t="s">
        <v>1561</v>
      </c>
      <c r="O9" s="12" t="s">
        <v>1097</v>
      </c>
      <c r="P9" s="12"/>
      <c r="Q9" s="12"/>
      <c r="R9" s="12">
        <v>63</v>
      </c>
      <c r="S9" s="12">
        <v>23.2</v>
      </c>
      <c r="T9" s="12">
        <f t="shared" si="1"/>
        <v>362.2</v>
      </c>
      <c r="U9" s="370">
        <v>1.06</v>
      </c>
      <c r="V9" s="731"/>
      <c r="W9" s="732"/>
    </row>
    <row r="10" spans="1:23" ht="15" customHeight="1">
      <c r="A10" s="5">
        <f t="shared" si="2"/>
        <v>7</v>
      </c>
      <c r="B10" s="5" t="s">
        <v>289</v>
      </c>
      <c r="C10" s="5" t="s">
        <v>228</v>
      </c>
      <c r="D10" s="5"/>
      <c r="E10" s="5"/>
      <c r="F10" s="5">
        <v>63</v>
      </c>
      <c r="G10" s="5">
        <v>91.3</v>
      </c>
      <c r="H10" s="5">
        <f t="shared" si="3"/>
        <v>348.6</v>
      </c>
      <c r="I10" s="5">
        <v>1.06</v>
      </c>
      <c r="J10" s="499"/>
      <c r="K10" s="501"/>
      <c r="M10" s="12">
        <f t="shared" si="0"/>
        <v>7</v>
      </c>
      <c r="N10" s="12" t="s">
        <v>1559</v>
      </c>
      <c r="O10" s="12" t="s">
        <v>890</v>
      </c>
      <c r="P10" s="12" t="s">
        <v>38</v>
      </c>
      <c r="Q10" s="12"/>
      <c r="R10" s="12">
        <v>63</v>
      </c>
      <c r="S10" s="12">
        <v>2</v>
      </c>
      <c r="T10" s="12">
        <f t="shared" si="1"/>
        <v>364.2</v>
      </c>
      <c r="U10" s="370">
        <v>1.06</v>
      </c>
      <c r="V10" s="731"/>
      <c r="W10" s="732"/>
    </row>
    <row r="11" spans="1:23">
      <c r="A11" s="5">
        <f t="shared" si="2"/>
        <v>8</v>
      </c>
      <c r="B11" s="5" t="s">
        <v>334</v>
      </c>
      <c r="C11" s="5" t="s">
        <v>218</v>
      </c>
      <c r="D11" s="5"/>
      <c r="E11" s="5"/>
      <c r="F11" s="5">
        <v>63</v>
      </c>
      <c r="G11" s="5">
        <v>146.1</v>
      </c>
      <c r="H11" s="5">
        <f t="shared" si="3"/>
        <v>494.70000000000005</v>
      </c>
      <c r="I11" s="5">
        <v>1.06</v>
      </c>
      <c r="J11" s="499"/>
      <c r="K11" s="501"/>
      <c r="M11" s="12">
        <f t="shared" si="0"/>
        <v>8</v>
      </c>
      <c r="N11" s="12" t="s">
        <v>1559</v>
      </c>
      <c r="O11" s="12" t="s">
        <v>890</v>
      </c>
      <c r="P11" s="12" t="s">
        <v>102</v>
      </c>
      <c r="Q11" s="12">
        <v>0.36</v>
      </c>
      <c r="R11" s="12">
        <v>63</v>
      </c>
      <c r="S11" s="12">
        <v>6.7</v>
      </c>
      <c r="T11" s="12">
        <f t="shared" si="1"/>
        <v>370.9</v>
      </c>
      <c r="U11" s="370">
        <v>1.06</v>
      </c>
      <c r="V11" s="731"/>
      <c r="W11" s="732"/>
    </row>
    <row r="12" spans="1:23" ht="15" customHeight="1">
      <c r="A12" s="5">
        <f t="shared" si="2"/>
        <v>9</v>
      </c>
      <c r="B12" s="5" t="s">
        <v>218</v>
      </c>
      <c r="C12" s="5" t="s">
        <v>210</v>
      </c>
      <c r="D12" s="5"/>
      <c r="E12" s="5"/>
      <c r="F12" s="5">
        <v>63</v>
      </c>
      <c r="G12" s="5">
        <v>175.8</v>
      </c>
      <c r="H12" s="5">
        <f t="shared" si="3"/>
        <v>670.5</v>
      </c>
      <c r="I12" s="5">
        <v>1.06</v>
      </c>
      <c r="J12" s="499"/>
      <c r="K12" s="501"/>
      <c r="M12" s="12">
        <f t="shared" si="0"/>
        <v>9</v>
      </c>
      <c r="N12" s="12" t="s">
        <v>1564</v>
      </c>
      <c r="O12" s="12" t="s">
        <v>1565</v>
      </c>
      <c r="P12" s="12"/>
      <c r="Q12" s="12"/>
      <c r="R12" s="12">
        <v>63</v>
      </c>
      <c r="S12" s="12">
        <v>10.199999999999999</v>
      </c>
      <c r="T12" s="12">
        <f t="shared" si="1"/>
        <v>381.09999999999997</v>
      </c>
      <c r="U12" s="370">
        <v>1.06</v>
      </c>
      <c r="V12" s="731"/>
      <c r="W12" s="732"/>
    </row>
    <row r="13" spans="1:23" ht="15" customHeight="1">
      <c r="A13" s="5">
        <f t="shared" si="2"/>
        <v>10</v>
      </c>
      <c r="B13" s="5" t="s">
        <v>210</v>
      </c>
      <c r="C13" s="5" t="s">
        <v>211</v>
      </c>
      <c r="D13" s="5"/>
      <c r="E13" s="5"/>
      <c r="F13" s="5">
        <v>63</v>
      </c>
      <c r="G13" s="5">
        <v>37.1</v>
      </c>
      <c r="H13" s="5">
        <f t="shared" si="3"/>
        <v>707.6</v>
      </c>
      <c r="I13" s="5">
        <v>1.06</v>
      </c>
      <c r="J13" s="499"/>
      <c r="K13" s="501"/>
      <c r="M13" s="12">
        <f t="shared" si="0"/>
        <v>10</v>
      </c>
      <c r="N13" s="12" t="s">
        <v>86</v>
      </c>
      <c r="O13" s="12" t="s">
        <v>1418</v>
      </c>
      <c r="P13" s="12" t="s">
        <v>1367</v>
      </c>
      <c r="Q13" s="12">
        <v>0.36</v>
      </c>
      <c r="R13" s="12">
        <v>63</v>
      </c>
      <c r="S13" s="12">
        <v>25.1</v>
      </c>
      <c r="T13" s="12">
        <f t="shared" si="1"/>
        <v>406.2</v>
      </c>
      <c r="U13" s="370">
        <v>1.06</v>
      </c>
      <c r="V13" s="731"/>
      <c r="W13" s="732"/>
    </row>
    <row r="14" spans="1:23">
      <c r="A14" s="5">
        <f t="shared" si="2"/>
        <v>11</v>
      </c>
      <c r="B14" s="5" t="s">
        <v>233</v>
      </c>
      <c r="C14" s="5" t="s">
        <v>576</v>
      </c>
      <c r="D14" s="5"/>
      <c r="E14" s="5"/>
      <c r="F14" s="5">
        <v>63</v>
      </c>
      <c r="G14" s="5">
        <v>25</v>
      </c>
      <c r="H14" s="5">
        <f t="shared" si="3"/>
        <v>732.6</v>
      </c>
      <c r="I14" s="5">
        <v>1.06</v>
      </c>
      <c r="J14" s="499"/>
      <c r="K14" s="501"/>
      <c r="M14" s="12">
        <f t="shared" si="0"/>
        <v>11</v>
      </c>
      <c r="N14" s="12" t="s">
        <v>151</v>
      </c>
      <c r="O14" s="12" t="s">
        <v>159</v>
      </c>
      <c r="P14" s="12" t="s">
        <v>102</v>
      </c>
      <c r="Q14" s="12">
        <v>0.36</v>
      </c>
      <c r="R14" s="12">
        <v>63</v>
      </c>
      <c r="S14" s="12">
        <v>5</v>
      </c>
      <c r="T14" s="12">
        <f t="shared" si="1"/>
        <v>411.2</v>
      </c>
      <c r="U14" s="370">
        <v>1.06</v>
      </c>
      <c r="V14" s="731"/>
      <c r="W14" s="732"/>
    </row>
    <row r="15" spans="1:23" ht="15" customHeight="1">
      <c r="A15" s="5">
        <f t="shared" si="2"/>
        <v>12</v>
      </c>
      <c r="B15" s="5" t="s">
        <v>233</v>
      </c>
      <c r="C15" s="5" t="s">
        <v>218</v>
      </c>
      <c r="D15" s="5"/>
      <c r="E15" s="5"/>
      <c r="F15" s="5">
        <v>63</v>
      </c>
      <c r="G15" s="5">
        <v>24.7</v>
      </c>
      <c r="H15" s="5">
        <f t="shared" si="3"/>
        <v>757.30000000000007</v>
      </c>
      <c r="I15" s="5">
        <v>1.06</v>
      </c>
      <c r="J15" s="499"/>
      <c r="K15" s="501"/>
      <c r="M15" s="12">
        <f t="shared" si="0"/>
        <v>12</v>
      </c>
      <c r="N15" s="12" t="s">
        <v>151</v>
      </c>
      <c r="O15" s="12" t="s">
        <v>159</v>
      </c>
      <c r="P15" s="12" t="s">
        <v>147</v>
      </c>
      <c r="Q15" s="12">
        <v>0.36</v>
      </c>
      <c r="R15" s="12">
        <v>63</v>
      </c>
      <c r="S15" s="12">
        <v>103.1</v>
      </c>
      <c r="T15" s="12">
        <f t="shared" si="1"/>
        <v>514.29999999999995</v>
      </c>
      <c r="U15" s="370">
        <v>1.06</v>
      </c>
      <c r="V15" s="731"/>
      <c r="W15" s="732"/>
    </row>
    <row r="16" spans="1:23" ht="15" customHeight="1">
      <c r="A16" s="5">
        <f t="shared" si="2"/>
        <v>13</v>
      </c>
      <c r="B16" s="5" t="s">
        <v>233</v>
      </c>
      <c r="C16" s="5" t="s">
        <v>204</v>
      </c>
      <c r="D16" s="5"/>
      <c r="E16" s="5"/>
      <c r="F16" s="5">
        <v>63</v>
      </c>
      <c r="G16" s="5">
        <f>91.2+38</f>
        <v>129.19999999999999</v>
      </c>
      <c r="H16" s="5">
        <f t="shared" si="3"/>
        <v>886.5</v>
      </c>
      <c r="I16" s="5">
        <v>1.06</v>
      </c>
      <c r="J16" s="499"/>
      <c r="K16" s="501"/>
      <c r="M16" s="12">
        <f t="shared" si="0"/>
        <v>13</v>
      </c>
      <c r="N16" s="12" t="s">
        <v>69</v>
      </c>
      <c r="O16" s="12" t="s">
        <v>130</v>
      </c>
      <c r="P16" s="12" t="s">
        <v>147</v>
      </c>
      <c r="Q16" s="12">
        <v>0.36</v>
      </c>
      <c r="R16" s="12">
        <v>63</v>
      </c>
      <c r="S16" s="12">
        <v>113.2</v>
      </c>
      <c r="T16" s="12">
        <f t="shared" si="1"/>
        <v>627.5</v>
      </c>
      <c r="U16" s="370">
        <v>1.06</v>
      </c>
      <c r="V16" s="731"/>
      <c r="W16" s="732"/>
    </row>
    <row r="17" spans="1:23" ht="15" customHeight="1">
      <c r="A17" s="5">
        <f t="shared" si="2"/>
        <v>14</v>
      </c>
      <c r="B17" s="5" t="s">
        <v>204</v>
      </c>
      <c r="C17" s="5" t="s">
        <v>210</v>
      </c>
      <c r="D17" s="5"/>
      <c r="E17" s="5"/>
      <c r="F17" s="5">
        <v>63</v>
      </c>
      <c r="G17" s="5">
        <v>34.5</v>
      </c>
      <c r="H17" s="5">
        <f t="shared" si="3"/>
        <v>921</v>
      </c>
      <c r="I17" s="5">
        <v>1.06</v>
      </c>
      <c r="J17" s="499"/>
      <c r="K17" s="501"/>
      <c r="M17" s="12">
        <f t="shared" si="0"/>
        <v>14</v>
      </c>
      <c r="N17" s="12" t="s">
        <v>130</v>
      </c>
      <c r="O17" s="12" t="s">
        <v>68</v>
      </c>
      <c r="P17" s="12" t="s">
        <v>147</v>
      </c>
      <c r="Q17" s="12">
        <v>0.36</v>
      </c>
      <c r="R17" s="12">
        <v>63</v>
      </c>
      <c r="S17" s="12">
        <v>54</v>
      </c>
      <c r="T17" s="12">
        <f t="shared" si="1"/>
        <v>681.5</v>
      </c>
      <c r="U17" s="370">
        <v>1.06</v>
      </c>
      <c r="V17" s="731"/>
      <c r="W17" s="732"/>
    </row>
    <row r="18" spans="1:23" ht="15" customHeight="1">
      <c r="A18" s="5">
        <f t="shared" si="2"/>
        <v>15</v>
      </c>
      <c r="B18" s="5" t="s">
        <v>204</v>
      </c>
      <c r="C18" s="5" t="s">
        <v>802</v>
      </c>
      <c r="D18" s="5"/>
      <c r="E18" s="5"/>
      <c r="F18" s="5">
        <v>63</v>
      </c>
      <c r="G18" s="5">
        <v>536.79999999999995</v>
      </c>
      <c r="H18" s="5">
        <f t="shared" si="3"/>
        <v>1457.8</v>
      </c>
      <c r="I18" s="5">
        <v>1.06</v>
      </c>
      <c r="J18" s="499"/>
      <c r="K18" s="501"/>
      <c r="M18" s="12">
        <f t="shared" si="0"/>
        <v>15</v>
      </c>
      <c r="N18" s="12" t="s">
        <v>130</v>
      </c>
      <c r="O18" s="12" t="s">
        <v>131</v>
      </c>
      <c r="P18" s="12" t="s">
        <v>147</v>
      </c>
      <c r="Q18" s="12">
        <v>0.36</v>
      </c>
      <c r="R18" s="12">
        <v>63</v>
      </c>
      <c r="S18" s="12">
        <v>24.8</v>
      </c>
      <c r="T18" s="12">
        <f t="shared" si="1"/>
        <v>706.3</v>
      </c>
      <c r="U18" s="370">
        <v>1.06</v>
      </c>
      <c r="V18" s="731"/>
      <c r="W18" s="732"/>
    </row>
    <row r="19" spans="1:23" ht="15" customHeight="1">
      <c r="A19" s="5">
        <f t="shared" si="2"/>
        <v>16</v>
      </c>
      <c r="B19" s="5" t="s">
        <v>249</v>
      </c>
      <c r="C19" s="5" t="s">
        <v>356</v>
      </c>
      <c r="D19" s="5" t="s">
        <v>193</v>
      </c>
      <c r="E19" s="5">
        <v>0.36</v>
      </c>
      <c r="F19" s="5">
        <v>63</v>
      </c>
      <c r="G19" s="5">
        <v>45.7</v>
      </c>
      <c r="H19" s="5">
        <f t="shared" si="3"/>
        <v>1503.5</v>
      </c>
      <c r="I19" s="5">
        <v>1.06</v>
      </c>
      <c r="J19" s="499"/>
      <c r="K19" s="501"/>
      <c r="M19" s="12">
        <f t="shared" si="0"/>
        <v>16</v>
      </c>
      <c r="N19" s="12" t="s">
        <v>69</v>
      </c>
      <c r="O19" s="12" t="s">
        <v>128</v>
      </c>
      <c r="P19" s="12" t="s">
        <v>149</v>
      </c>
      <c r="Q19" s="12">
        <v>0.46</v>
      </c>
      <c r="R19" s="12">
        <v>63</v>
      </c>
      <c r="S19" s="12">
        <v>85.1</v>
      </c>
      <c r="T19" s="12">
        <f t="shared" si="1"/>
        <v>791.4</v>
      </c>
      <c r="U19" s="370">
        <v>1.06</v>
      </c>
      <c r="V19" s="731"/>
      <c r="W19" s="732"/>
    </row>
    <row r="20" spans="1:23" ht="15" customHeight="1">
      <c r="A20" s="5">
        <f t="shared" si="2"/>
        <v>17</v>
      </c>
      <c r="B20" s="5" t="s">
        <v>249</v>
      </c>
      <c r="C20" s="5" t="s">
        <v>315</v>
      </c>
      <c r="D20" s="5"/>
      <c r="E20" s="5"/>
      <c r="F20" s="5">
        <v>63</v>
      </c>
      <c r="G20" s="5">
        <v>119.2</v>
      </c>
      <c r="H20" s="5">
        <f t="shared" si="3"/>
        <v>1622.7</v>
      </c>
      <c r="I20" s="5">
        <v>1.06</v>
      </c>
      <c r="J20" s="499"/>
      <c r="K20" s="501"/>
      <c r="M20" s="12">
        <f t="shared" si="0"/>
        <v>17</v>
      </c>
      <c r="N20" s="12" t="s">
        <v>128</v>
      </c>
      <c r="O20" s="12" t="s">
        <v>78</v>
      </c>
      <c r="P20" s="12" t="s">
        <v>147</v>
      </c>
      <c r="Q20" s="12">
        <v>0.36</v>
      </c>
      <c r="R20" s="12">
        <v>63</v>
      </c>
      <c r="S20" s="12">
        <v>47.1</v>
      </c>
      <c r="T20" s="12">
        <f t="shared" si="1"/>
        <v>838.5</v>
      </c>
      <c r="U20" s="370">
        <v>1.06</v>
      </c>
      <c r="V20" s="731"/>
      <c r="W20" s="732"/>
    </row>
    <row r="21" spans="1:23" ht="15" customHeight="1">
      <c r="A21" s="5">
        <f t="shared" si="2"/>
        <v>18</v>
      </c>
      <c r="B21" s="5" t="s">
        <v>403</v>
      </c>
      <c r="C21" s="5" t="s">
        <v>266</v>
      </c>
      <c r="D21" s="5"/>
      <c r="E21" s="5"/>
      <c r="F21" s="5">
        <v>63</v>
      </c>
      <c r="G21" s="5">
        <v>85.5</v>
      </c>
      <c r="H21" s="5">
        <f t="shared" si="3"/>
        <v>1708.2</v>
      </c>
      <c r="I21" s="5">
        <v>1.06</v>
      </c>
      <c r="J21" s="499"/>
      <c r="K21" s="501"/>
      <c r="M21" s="12">
        <f t="shared" si="0"/>
        <v>18</v>
      </c>
      <c r="N21" s="12" t="s">
        <v>128</v>
      </c>
      <c r="O21" s="12" t="s">
        <v>73</v>
      </c>
      <c r="P21" s="12" t="s">
        <v>147</v>
      </c>
      <c r="Q21" s="12">
        <v>0.36</v>
      </c>
      <c r="R21" s="12">
        <v>63</v>
      </c>
      <c r="S21" s="12">
        <v>78.3</v>
      </c>
      <c r="T21" s="12">
        <f t="shared" si="1"/>
        <v>916.8</v>
      </c>
      <c r="U21" s="370">
        <v>1.06</v>
      </c>
      <c r="V21" s="731"/>
      <c r="W21" s="732"/>
    </row>
    <row r="22" spans="1:23">
      <c r="A22" s="5">
        <f t="shared" si="2"/>
        <v>19</v>
      </c>
      <c r="B22" s="5" t="s">
        <v>402</v>
      </c>
      <c r="C22" s="5">
        <v>41</v>
      </c>
      <c r="D22" s="5"/>
      <c r="E22" s="5"/>
      <c r="F22" s="5">
        <v>63</v>
      </c>
      <c r="G22" s="5">
        <v>155</v>
      </c>
      <c r="H22" s="5">
        <f t="shared" si="3"/>
        <v>1863.2</v>
      </c>
      <c r="I22" s="5">
        <v>1.06</v>
      </c>
      <c r="J22" s="499"/>
      <c r="K22" s="501"/>
      <c r="M22" s="12">
        <f t="shared" si="0"/>
        <v>19</v>
      </c>
      <c r="N22" s="12" t="s">
        <v>155</v>
      </c>
      <c r="O22" s="12" t="s">
        <v>162</v>
      </c>
      <c r="P22" s="12" t="s">
        <v>102</v>
      </c>
      <c r="Q22" s="12">
        <v>0.36</v>
      </c>
      <c r="R22" s="12">
        <v>63</v>
      </c>
      <c r="S22" s="12">
        <v>4</v>
      </c>
      <c r="T22" s="12">
        <f t="shared" si="1"/>
        <v>920.8</v>
      </c>
      <c r="U22" s="370">
        <v>1.06</v>
      </c>
      <c r="V22" s="731"/>
      <c r="W22" s="732"/>
    </row>
    <row r="23" spans="1:23" ht="15" customHeight="1">
      <c r="A23" s="5">
        <f t="shared" si="2"/>
        <v>20</v>
      </c>
      <c r="B23" s="5" t="s">
        <v>1566</v>
      </c>
      <c r="C23" s="5" t="s">
        <v>1567</v>
      </c>
      <c r="D23" s="5"/>
      <c r="E23" s="5"/>
      <c r="F23" s="5">
        <v>63</v>
      </c>
      <c r="G23" s="5">
        <v>18.600000000000001</v>
      </c>
      <c r="H23" s="5">
        <f t="shared" si="3"/>
        <v>1881.8</v>
      </c>
      <c r="I23" s="5">
        <v>1.06</v>
      </c>
      <c r="J23" s="499"/>
      <c r="K23" s="501"/>
      <c r="M23" s="12">
        <f t="shared" si="0"/>
        <v>20</v>
      </c>
      <c r="N23" s="12" t="s">
        <v>155</v>
      </c>
      <c r="O23" s="12" t="s">
        <v>162</v>
      </c>
      <c r="P23" s="12"/>
      <c r="Q23" s="12"/>
      <c r="R23" s="12">
        <v>63</v>
      </c>
      <c r="S23" s="12">
        <v>15.3</v>
      </c>
      <c r="T23" s="12">
        <f t="shared" si="1"/>
        <v>936.09999999999991</v>
      </c>
      <c r="U23" s="370">
        <v>1.06</v>
      </c>
      <c r="V23" s="731"/>
      <c r="W23" s="732"/>
    </row>
    <row r="24" spans="1:23" ht="15" customHeight="1">
      <c r="A24" s="5">
        <f t="shared" si="2"/>
        <v>21</v>
      </c>
      <c r="B24" s="5" t="s">
        <v>361</v>
      </c>
      <c r="C24" s="5" t="s">
        <v>1566</v>
      </c>
      <c r="D24" s="5" t="s">
        <v>193</v>
      </c>
      <c r="E24" s="370">
        <v>0.36</v>
      </c>
      <c r="F24" s="5">
        <v>63</v>
      </c>
      <c r="G24" s="5">
        <v>27</v>
      </c>
      <c r="H24" s="5">
        <f t="shared" si="3"/>
        <v>1908.8</v>
      </c>
      <c r="I24" s="5">
        <v>1.06</v>
      </c>
      <c r="J24" s="499"/>
      <c r="K24" s="501"/>
      <c r="M24" s="12">
        <f t="shared" si="0"/>
        <v>21</v>
      </c>
      <c r="N24" s="12" t="s">
        <v>155</v>
      </c>
      <c r="O24" s="12" t="s">
        <v>162</v>
      </c>
      <c r="P24" s="12" t="s">
        <v>149</v>
      </c>
      <c r="Q24" s="12">
        <v>0.46</v>
      </c>
      <c r="R24" s="12">
        <v>63</v>
      </c>
      <c r="S24" s="12">
        <v>33.1</v>
      </c>
      <c r="T24" s="12">
        <f t="shared" si="1"/>
        <v>969.19999999999993</v>
      </c>
      <c r="U24" s="370">
        <v>1.06</v>
      </c>
      <c r="V24" s="731"/>
      <c r="W24" s="732"/>
    </row>
    <row r="25" spans="1:23" ht="15" customHeight="1">
      <c r="A25" s="5">
        <f t="shared" si="2"/>
        <v>22</v>
      </c>
      <c r="B25" s="5" t="s">
        <v>1566</v>
      </c>
      <c r="C25" s="5" t="s">
        <v>516</v>
      </c>
      <c r="D25" s="5"/>
      <c r="E25" s="5"/>
      <c r="F25" s="5">
        <v>63</v>
      </c>
      <c r="G25" s="5">
        <v>18.100000000000001</v>
      </c>
      <c r="H25" s="5">
        <f t="shared" si="3"/>
        <v>1926.8999999999999</v>
      </c>
      <c r="I25" s="5">
        <v>1.06</v>
      </c>
      <c r="J25" s="499"/>
      <c r="K25" s="501"/>
      <c r="M25" s="12">
        <f t="shared" si="0"/>
        <v>22</v>
      </c>
      <c r="N25" s="12" t="s">
        <v>155</v>
      </c>
      <c r="O25" s="12" t="s">
        <v>162</v>
      </c>
      <c r="P25" s="12" t="s">
        <v>147</v>
      </c>
      <c r="Q25" s="12">
        <v>0.36</v>
      </c>
      <c r="R25" s="12">
        <v>63</v>
      </c>
      <c r="S25" s="12">
        <v>93.5</v>
      </c>
      <c r="T25" s="12">
        <f t="shared" si="1"/>
        <v>1062.6999999999998</v>
      </c>
      <c r="U25" s="370">
        <v>1.06</v>
      </c>
      <c r="V25" s="731"/>
      <c r="W25" s="732"/>
    </row>
    <row r="26" spans="1:23" ht="15" customHeight="1">
      <c r="A26" s="5">
        <f t="shared" si="2"/>
        <v>23</v>
      </c>
      <c r="B26" s="5" t="s">
        <v>516</v>
      </c>
      <c r="C26" s="5" t="s">
        <v>245</v>
      </c>
      <c r="D26" s="5"/>
      <c r="E26" s="5"/>
      <c r="F26" s="5">
        <v>63</v>
      </c>
      <c r="G26" s="5">
        <v>39.6</v>
      </c>
      <c r="H26" s="5">
        <f t="shared" si="3"/>
        <v>1966.4999999999998</v>
      </c>
      <c r="I26" s="5">
        <v>1.06</v>
      </c>
      <c r="J26" s="499"/>
      <c r="K26" s="501"/>
      <c r="M26" s="12">
        <f t="shared" si="0"/>
        <v>23</v>
      </c>
      <c r="N26" s="12" t="s">
        <v>826</v>
      </c>
      <c r="O26" s="12" t="s">
        <v>162</v>
      </c>
      <c r="P26" s="12" t="s">
        <v>147</v>
      </c>
      <c r="Q26" s="12">
        <v>0.36</v>
      </c>
      <c r="R26" s="12">
        <v>63</v>
      </c>
      <c r="S26" s="12">
        <v>47.6</v>
      </c>
      <c r="T26" s="12">
        <f t="shared" si="1"/>
        <v>1110.2999999999997</v>
      </c>
      <c r="U26" s="370">
        <v>1.06</v>
      </c>
      <c r="V26" s="731"/>
      <c r="W26" s="732"/>
    </row>
    <row r="27" spans="1:23" ht="15" customHeight="1">
      <c r="A27" s="5">
        <f t="shared" si="2"/>
        <v>24</v>
      </c>
      <c r="B27" s="5" t="s">
        <v>516</v>
      </c>
      <c r="C27" s="5" t="s">
        <v>273</v>
      </c>
      <c r="D27" s="5"/>
      <c r="E27" s="5"/>
      <c r="F27" s="5">
        <v>63</v>
      </c>
      <c r="G27" s="5">
        <v>31.8</v>
      </c>
      <c r="H27" s="5">
        <f t="shared" si="3"/>
        <v>1998.2999999999997</v>
      </c>
      <c r="I27" s="5">
        <v>1.06</v>
      </c>
      <c r="J27" s="499"/>
      <c r="K27" s="501"/>
      <c r="M27" s="12">
        <f t="shared" si="0"/>
        <v>24</v>
      </c>
      <c r="N27" s="12" t="s">
        <v>162</v>
      </c>
      <c r="O27" s="12" t="s">
        <v>148</v>
      </c>
      <c r="P27" s="12" t="s">
        <v>147</v>
      </c>
      <c r="Q27" s="12">
        <v>0.36</v>
      </c>
      <c r="R27" s="12">
        <v>63</v>
      </c>
      <c r="S27" s="12">
        <v>80.8</v>
      </c>
      <c r="T27" s="12">
        <f t="shared" si="1"/>
        <v>1191.0999999999997</v>
      </c>
      <c r="U27" s="370">
        <v>1.06</v>
      </c>
      <c r="V27" s="731"/>
      <c r="W27" s="732"/>
    </row>
    <row r="28" spans="1:23" ht="15" customHeight="1">
      <c r="A28" s="5">
        <f t="shared" si="2"/>
        <v>25</v>
      </c>
      <c r="B28" s="5" t="s">
        <v>273</v>
      </c>
      <c r="C28" s="5" t="s">
        <v>537</v>
      </c>
      <c r="D28" s="5"/>
      <c r="E28" s="5"/>
      <c r="F28" s="5">
        <v>63</v>
      </c>
      <c r="G28" s="5">
        <v>71</v>
      </c>
      <c r="H28" s="5">
        <f t="shared" si="3"/>
        <v>2069.2999999999997</v>
      </c>
      <c r="I28" s="5">
        <v>1.06</v>
      </c>
      <c r="J28" s="499"/>
      <c r="K28" s="501"/>
      <c r="M28" s="12">
        <f t="shared" si="0"/>
        <v>25</v>
      </c>
      <c r="N28" s="12" t="s">
        <v>832</v>
      </c>
      <c r="O28" s="12" t="s">
        <v>1568</v>
      </c>
      <c r="P28" s="12"/>
      <c r="Q28" s="12"/>
      <c r="R28" s="12">
        <v>63</v>
      </c>
      <c r="S28" s="12">
        <v>37.200000000000003</v>
      </c>
      <c r="T28" s="12">
        <f t="shared" si="1"/>
        <v>1228.2999999999997</v>
      </c>
      <c r="U28" s="370">
        <v>1.06</v>
      </c>
      <c r="V28" s="731"/>
      <c r="W28" s="732"/>
    </row>
    <row r="29" spans="1:23">
      <c r="A29" s="5">
        <f t="shared" si="2"/>
        <v>26</v>
      </c>
      <c r="B29" s="5" t="s">
        <v>537</v>
      </c>
      <c r="C29" s="5" t="s">
        <v>245</v>
      </c>
      <c r="D29" s="5"/>
      <c r="E29" s="5"/>
      <c r="F29" s="5">
        <v>63</v>
      </c>
      <c r="G29" s="5">
        <v>42.7</v>
      </c>
      <c r="H29" s="5">
        <f t="shared" si="3"/>
        <v>2111.9999999999995</v>
      </c>
      <c r="I29" s="5">
        <v>1.06</v>
      </c>
      <c r="J29" s="499"/>
      <c r="K29" s="501"/>
      <c r="M29" s="12">
        <f t="shared" si="0"/>
        <v>26</v>
      </c>
      <c r="N29" s="12" t="s">
        <v>832</v>
      </c>
      <c r="O29" s="12" t="s">
        <v>1568</v>
      </c>
      <c r="P29" s="12" t="s">
        <v>102</v>
      </c>
      <c r="Q29" s="12">
        <v>0.36</v>
      </c>
      <c r="R29" s="12">
        <v>63</v>
      </c>
      <c r="S29" s="12">
        <v>3</v>
      </c>
      <c r="T29" s="12">
        <f t="shared" si="1"/>
        <v>1231.2999999999997</v>
      </c>
      <c r="U29" s="370">
        <v>1.06</v>
      </c>
      <c r="V29" s="731"/>
      <c r="W29" s="732"/>
    </row>
    <row r="30" spans="1:23" ht="15" customHeight="1">
      <c r="A30" s="5">
        <f t="shared" si="2"/>
        <v>27</v>
      </c>
      <c r="B30" s="5" t="s">
        <v>537</v>
      </c>
      <c r="C30" s="5" t="s">
        <v>359</v>
      </c>
      <c r="D30" s="5"/>
      <c r="E30" s="5"/>
      <c r="F30" s="5">
        <v>63</v>
      </c>
      <c r="G30" s="5">
        <v>63.6</v>
      </c>
      <c r="H30" s="5">
        <f t="shared" si="3"/>
        <v>2175.5999999999995</v>
      </c>
      <c r="I30" s="5">
        <v>1.06</v>
      </c>
      <c r="J30" s="499"/>
      <c r="K30" s="501"/>
      <c r="M30" s="12">
        <f t="shared" si="0"/>
        <v>27</v>
      </c>
      <c r="N30" s="12" t="s">
        <v>502</v>
      </c>
      <c r="O30" s="12" t="s">
        <v>503</v>
      </c>
      <c r="P30" s="12" t="s">
        <v>147</v>
      </c>
      <c r="Q30" s="12">
        <v>0.36</v>
      </c>
      <c r="R30" s="12">
        <v>63</v>
      </c>
      <c r="S30" s="12">
        <v>73.099999999999994</v>
      </c>
      <c r="T30" s="12">
        <f t="shared" si="1"/>
        <v>1304.3999999999996</v>
      </c>
      <c r="U30" s="370">
        <v>1.06</v>
      </c>
      <c r="V30" s="731"/>
      <c r="W30" s="732"/>
    </row>
    <row r="31" spans="1:23" ht="15" customHeight="1">
      <c r="A31" s="5">
        <f t="shared" si="2"/>
        <v>28</v>
      </c>
      <c r="B31" s="5" t="s">
        <v>359</v>
      </c>
      <c r="C31" s="5" t="s">
        <v>307</v>
      </c>
      <c r="D31" s="5"/>
      <c r="E31" s="5"/>
      <c r="F31" s="5">
        <v>63</v>
      </c>
      <c r="G31" s="5">
        <v>20</v>
      </c>
      <c r="H31" s="5">
        <f t="shared" si="3"/>
        <v>2195.5999999999995</v>
      </c>
      <c r="I31" s="5">
        <v>1.06</v>
      </c>
      <c r="J31" s="499"/>
      <c r="K31" s="501"/>
      <c r="M31" s="12">
        <f>1+M30</f>
        <v>28</v>
      </c>
      <c r="N31" s="12" t="s">
        <v>29</v>
      </c>
      <c r="O31" s="12" t="s">
        <v>168</v>
      </c>
      <c r="P31" s="12"/>
      <c r="Q31" s="12"/>
      <c r="R31" s="12">
        <v>90</v>
      </c>
      <c r="S31" s="12">
        <v>77.599999999999994</v>
      </c>
      <c r="T31" s="12">
        <f t="shared" ref="T31:T36" si="4">+T30+S31</f>
        <v>1381.9999999999995</v>
      </c>
      <c r="U31" s="370">
        <v>1.0900000000000001</v>
      </c>
      <c r="V31" s="731"/>
      <c r="W31" s="732"/>
    </row>
    <row r="32" spans="1:23" ht="15" customHeight="1">
      <c r="A32" s="5">
        <f t="shared" si="2"/>
        <v>29</v>
      </c>
      <c r="B32" s="5" t="s">
        <v>359</v>
      </c>
      <c r="C32" s="5" t="s">
        <v>323</v>
      </c>
      <c r="D32" s="5"/>
      <c r="E32" s="5"/>
      <c r="F32" s="5">
        <v>63</v>
      </c>
      <c r="G32" s="5">
        <v>44.1</v>
      </c>
      <c r="H32" s="5">
        <f t="shared" si="3"/>
        <v>2239.6999999999994</v>
      </c>
      <c r="I32" s="5">
        <v>1.06</v>
      </c>
      <c r="J32" s="499"/>
      <c r="K32" s="501"/>
      <c r="M32" s="12">
        <f t="shared" ref="M32:M45" si="5">1+M31</f>
        <v>29</v>
      </c>
      <c r="N32" s="12" t="s">
        <v>32</v>
      </c>
      <c r="O32" s="12" t="s">
        <v>37</v>
      </c>
      <c r="P32" s="12"/>
      <c r="Q32" s="12"/>
      <c r="R32" s="12">
        <v>90</v>
      </c>
      <c r="S32" s="12">
        <v>101.3</v>
      </c>
      <c r="T32" s="12">
        <f t="shared" si="4"/>
        <v>1483.2999999999995</v>
      </c>
      <c r="U32" s="370">
        <v>1.0900000000000001</v>
      </c>
      <c r="V32" s="731"/>
      <c r="W32" s="732"/>
    </row>
    <row r="33" spans="1:23" ht="15" customHeight="1">
      <c r="A33" s="5">
        <f t="shared" si="2"/>
        <v>30</v>
      </c>
      <c r="B33" s="5" t="s">
        <v>308</v>
      </c>
      <c r="C33" s="5" t="s">
        <v>358</v>
      </c>
      <c r="D33" s="5"/>
      <c r="E33" s="5"/>
      <c r="F33" s="5">
        <v>63</v>
      </c>
      <c r="G33" s="5">
        <v>45.7</v>
      </c>
      <c r="H33" s="5">
        <f t="shared" si="3"/>
        <v>2285.3999999999992</v>
      </c>
      <c r="I33" s="5">
        <v>1.06</v>
      </c>
      <c r="J33" s="499"/>
      <c r="K33" s="501"/>
      <c r="M33" s="12">
        <f t="shared" si="5"/>
        <v>30</v>
      </c>
      <c r="N33" s="12" t="s">
        <v>54</v>
      </c>
      <c r="O33" s="12" t="s">
        <v>86</v>
      </c>
      <c r="P33" s="12" t="s">
        <v>45</v>
      </c>
      <c r="Q33" s="12">
        <v>0.41</v>
      </c>
      <c r="R33" s="12">
        <v>110</v>
      </c>
      <c r="S33" s="12">
        <v>30.2</v>
      </c>
      <c r="T33" s="12">
        <f t="shared" si="4"/>
        <v>1513.4999999999995</v>
      </c>
      <c r="U33" s="370">
        <v>1.1000000000000001</v>
      </c>
      <c r="V33" s="731"/>
      <c r="W33" s="732"/>
    </row>
    <row r="34" spans="1:23" ht="15" customHeight="1">
      <c r="A34" s="5">
        <f t="shared" si="2"/>
        <v>31</v>
      </c>
      <c r="B34" s="5" t="s">
        <v>308</v>
      </c>
      <c r="C34" s="5" t="s">
        <v>352</v>
      </c>
      <c r="D34" s="5"/>
      <c r="E34" s="5"/>
      <c r="F34" s="5">
        <v>63</v>
      </c>
      <c r="G34" s="5">
        <v>28.4</v>
      </c>
      <c r="H34" s="5">
        <f t="shared" si="3"/>
        <v>2313.7999999999993</v>
      </c>
      <c r="I34" s="5">
        <v>1.06</v>
      </c>
      <c r="J34" s="499"/>
      <c r="K34" s="501"/>
      <c r="M34" s="12">
        <f t="shared" si="5"/>
        <v>31</v>
      </c>
      <c r="N34" s="12" t="s">
        <v>115</v>
      </c>
      <c r="O34" s="12" t="s">
        <v>141</v>
      </c>
      <c r="P34" s="12"/>
      <c r="Q34" s="12"/>
      <c r="R34" s="12">
        <v>110</v>
      </c>
      <c r="S34" s="12">
        <v>195.6</v>
      </c>
      <c r="T34" s="12">
        <f t="shared" si="4"/>
        <v>1709.0999999999995</v>
      </c>
      <c r="U34" s="370">
        <v>1.1000000000000001</v>
      </c>
      <c r="V34" s="731"/>
      <c r="W34" s="732"/>
    </row>
    <row r="35" spans="1:23">
      <c r="A35" s="5">
        <f t="shared" si="2"/>
        <v>32</v>
      </c>
      <c r="B35" s="5" t="s">
        <v>352</v>
      </c>
      <c r="C35" s="5" t="s">
        <v>322</v>
      </c>
      <c r="D35" s="5"/>
      <c r="E35" s="5"/>
      <c r="F35" s="5">
        <v>63</v>
      </c>
      <c r="G35" s="5">
        <v>35.299999999999997</v>
      </c>
      <c r="H35" s="5">
        <f t="shared" si="3"/>
        <v>2349.0999999999995</v>
      </c>
      <c r="I35" s="5">
        <v>1.06</v>
      </c>
      <c r="J35" s="499"/>
      <c r="K35" s="501"/>
      <c r="M35" s="12">
        <f t="shared" si="5"/>
        <v>32</v>
      </c>
      <c r="N35" s="12" t="s">
        <v>115</v>
      </c>
      <c r="O35" s="12" t="s">
        <v>141</v>
      </c>
      <c r="P35" s="12" t="s">
        <v>102</v>
      </c>
      <c r="Q35" s="12">
        <v>0.41</v>
      </c>
      <c r="R35" s="12">
        <v>110</v>
      </c>
      <c r="S35" s="12">
        <v>5</v>
      </c>
      <c r="T35" s="12">
        <f t="shared" si="4"/>
        <v>1714.0999999999995</v>
      </c>
      <c r="U35" s="370">
        <v>1.1000000000000001</v>
      </c>
      <c r="V35" s="731"/>
      <c r="W35" s="732"/>
    </row>
    <row r="36" spans="1:23" ht="15" customHeight="1">
      <c r="A36" s="5">
        <f t="shared" si="2"/>
        <v>33</v>
      </c>
      <c r="B36" s="5" t="s">
        <v>352</v>
      </c>
      <c r="C36" s="5" t="s">
        <v>1569</v>
      </c>
      <c r="D36" s="5"/>
      <c r="E36" s="5"/>
      <c r="F36" s="5">
        <v>63</v>
      </c>
      <c r="G36" s="5">
        <v>46.3</v>
      </c>
      <c r="H36" s="5">
        <f t="shared" si="3"/>
        <v>2395.3999999999996</v>
      </c>
      <c r="I36" s="5">
        <v>1.06</v>
      </c>
      <c r="J36" s="499"/>
      <c r="K36" s="501"/>
      <c r="M36" s="12">
        <f t="shared" si="5"/>
        <v>33</v>
      </c>
      <c r="N36" s="12" t="s">
        <v>1570</v>
      </c>
      <c r="O36" s="12" t="s">
        <v>1571</v>
      </c>
      <c r="P36" s="12"/>
      <c r="Q36" s="12"/>
      <c r="R36" s="12">
        <v>110</v>
      </c>
      <c r="S36" s="12">
        <v>140.9</v>
      </c>
      <c r="T36" s="12">
        <f t="shared" si="4"/>
        <v>1854.9999999999995</v>
      </c>
      <c r="U36" s="370">
        <v>1.1000000000000001</v>
      </c>
      <c r="V36" s="731"/>
      <c r="W36" s="732"/>
    </row>
    <row r="37" spans="1:23" ht="15" customHeight="1">
      <c r="A37" s="5">
        <f t="shared" si="2"/>
        <v>34</v>
      </c>
      <c r="B37" s="5" t="s">
        <v>275</v>
      </c>
      <c r="C37" s="5" t="s">
        <v>308</v>
      </c>
      <c r="D37" s="5"/>
      <c r="E37" s="5"/>
      <c r="F37" s="5">
        <v>63</v>
      </c>
      <c r="G37" s="5">
        <v>64.7</v>
      </c>
      <c r="H37" s="5">
        <f t="shared" si="3"/>
        <v>2460.0999999999995</v>
      </c>
      <c r="I37" s="5">
        <v>1.06</v>
      </c>
      <c r="J37" s="499"/>
      <c r="K37" s="501"/>
      <c r="M37" s="12">
        <f t="shared" si="5"/>
        <v>34</v>
      </c>
      <c r="N37" s="12" t="s">
        <v>1572</v>
      </c>
      <c r="O37" s="12" t="s">
        <v>1187</v>
      </c>
      <c r="P37" s="12"/>
      <c r="Q37" s="12"/>
      <c r="R37" s="12">
        <v>140</v>
      </c>
      <c r="S37" s="12">
        <v>118.6</v>
      </c>
      <c r="T37" s="12">
        <f t="shared" ref="T37:T65" si="6">+T36+S37</f>
        <v>1973.5999999999995</v>
      </c>
      <c r="U37" s="370">
        <v>1.1399999999999999</v>
      </c>
      <c r="V37" s="731"/>
      <c r="W37" s="732"/>
    </row>
    <row r="38" spans="1:23" ht="15" customHeight="1">
      <c r="A38" s="5">
        <f t="shared" si="2"/>
        <v>35</v>
      </c>
      <c r="B38" s="5" t="s">
        <v>322</v>
      </c>
      <c r="C38" s="5" t="s">
        <v>386</v>
      </c>
      <c r="D38" s="5"/>
      <c r="E38" s="5"/>
      <c r="F38" s="5">
        <v>63</v>
      </c>
      <c r="G38" s="5">
        <v>64.099999999999994</v>
      </c>
      <c r="H38" s="5">
        <f t="shared" si="3"/>
        <v>2524.1999999999994</v>
      </c>
      <c r="I38" s="5">
        <v>1.06</v>
      </c>
      <c r="J38" s="499"/>
      <c r="K38" s="501"/>
      <c r="M38" s="12">
        <f t="shared" si="5"/>
        <v>35</v>
      </c>
      <c r="N38" s="12" t="s">
        <v>1573</v>
      </c>
      <c r="O38" s="12" t="s">
        <v>1574</v>
      </c>
      <c r="P38" s="12"/>
      <c r="Q38" s="12"/>
      <c r="R38" s="12">
        <v>140</v>
      </c>
      <c r="S38" s="12">
        <v>91.3</v>
      </c>
      <c r="T38" s="12">
        <f t="shared" si="6"/>
        <v>2064.8999999999996</v>
      </c>
      <c r="U38" s="370">
        <v>1.1399999999999999</v>
      </c>
      <c r="V38" s="731"/>
      <c r="W38" s="732"/>
    </row>
    <row r="39" spans="1:23" ht="15" customHeight="1">
      <c r="A39" s="5">
        <f t="shared" si="2"/>
        <v>36</v>
      </c>
      <c r="B39" s="5" t="s">
        <v>335</v>
      </c>
      <c r="C39" s="5" t="s">
        <v>256</v>
      </c>
      <c r="D39" s="5"/>
      <c r="E39" s="5"/>
      <c r="F39" s="5">
        <v>63</v>
      </c>
      <c r="G39" s="5">
        <v>59.4</v>
      </c>
      <c r="H39" s="5">
        <f t="shared" si="3"/>
        <v>2583.5999999999995</v>
      </c>
      <c r="I39" s="5">
        <v>1.06</v>
      </c>
      <c r="J39" s="499"/>
      <c r="K39" s="501"/>
      <c r="M39" s="12">
        <f t="shared" si="5"/>
        <v>36</v>
      </c>
      <c r="N39" s="12" t="s">
        <v>1574</v>
      </c>
      <c r="O39" s="12" t="s">
        <v>1570</v>
      </c>
      <c r="P39" s="12"/>
      <c r="Q39" s="12"/>
      <c r="R39" s="12">
        <v>140</v>
      </c>
      <c r="S39" s="12">
        <v>110.1</v>
      </c>
      <c r="T39" s="12">
        <f t="shared" si="6"/>
        <v>2174.9999999999995</v>
      </c>
      <c r="U39" s="370">
        <v>1.1399999999999999</v>
      </c>
      <c r="V39" s="731"/>
      <c r="W39" s="732"/>
    </row>
    <row r="40" spans="1:23" ht="15" customHeight="1">
      <c r="A40" s="5">
        <f t="shared" si="2"/>
        <v>37</v>
      </c>
      <c r="B40" s="5" t="s">
        <v>339</v>
      </c>
      <c r="C40" s="5" t="s">
        <v>236</v>
      </c>
      <c r="D40" s="5"/>
      <c r="E40" s="5"/>
      <c r="F40" s="5">
        <v>63</v>
      </c>
      <c r="G40" s="5">
        <v>37.200000000000003</v>
      </c>
      <c r="H40" s="5">
        <f t="shared" si="3"/>
        <v>2620.7999999999993</v>
      </c>
      <c r="I40" s="5">
        <v>1.06</v>
      </c>
      <c r="J40" s="499"/>
      <c r="K40" s="501"/>
      <c r="M40" s="12">
        <f t="shared" si="5"/>
        <v>37</v>
      </c>
      <c r="N40" s="12" t="s">
        <v>1575</v>
      </c>
      <c r="O40" s="12" t="s">
        <v>1576</v>
      </c>
      <c r="P40" s="12"/>
      <c r="Q40" s="12"/>
      <c r="R40" s="12">
        <v>140</v>
      </c>
      <c r="S40" s="12">
        <v>44.2</v>
      </c>
      <c r="T40" s="12">
        <f t="shared" si="6"/>
        <v>2219.1999999999994</v>
      </c>
      <c r="U40" s="370">
        <v>1.1399999999999999</v>
      </c>
      <c r="V40" s="731"/>
      <c r="W40" s="732"/>
    </row>
    <row r="41" spans="1:23" ht="15" customHeight="1">
      <c r="A41" s="5">
        <f t="shared" si="2"/>
        <v>38</v>
      </c>
      <c r="B41" s="5" t="s">
        <v>625</v>
      </c>
      <c r="C41" s="5" t="s">
        <v>277</v>
      </c>
      <c r="D41" s="5"/>
      <c r="E41" s="5"/>
      <c r="F41" s="5">
        <v>63</v>
      </c>
      <c r="G41" s="5">
        <v>318.2</v>
      </c>
      <c r="H41" s="5">
        <f t="shared" si="3"/>
        <v>2938.9999999999991</v>
      </c>
      <c r="I41" s="5">
        <v>1.06</v>
      </c>
      <c r="J41" s="499"/>
      <c r="K41" s="501"/>
      <c r="M41" s="12">
        <f t="shared" si="5"/>
        <v>38</v>
      </c>
      <c r="N41" s="12" t="s">
        <v>168</v>
      </c>
      <c r="O41" s="12" t="s">
        <v>167</v>
      </c>
      <c r="P41" s="12"/>
      <c r="Q41" s="12"/>
      <c r="R41" s="12">
        <v>140</v>
      </c>
      <c r="S41" s="12">
        <v>189.7</v>
      </c>
      <c r="T41" s="12">
        <f t="shared" si="6"/>
        <v>2408.8999999999992</v>
      </c>
      <c r="U41" s="370">
        <v>1.1399999999999999</v>
      </c>
      <c r="V41" s="731"/>
      <c r="W41" s="732"/>
    </row>
    <row r="42" spans="1:23" ht="15" customHeight="1">
      <c r="A42" s="5">
        <f t="shared" si="2"/>
        <v>39</v>
      </c>
      <c r="B42" s="5" t="s">
        <v>317</v>
      </c>
      <c r="C42" s="5" t="s">
        <v>251</v>
      </c>
      <c r="D42" s="5"/>
      <c r="E42" s="5"/>
      <c r="F42" s="5">
        <v>63</v>
      </c>
      <c r="G42" s="5">
        <v>72.400000000000006</v>
      </c>
      <c r="H42" s="5">
        <f t="shared" si="3"/>
        <v>3011.3999999999992</v>
      </c>
      <c r="I42" s="5">
        <v>1.06</v>
      </c>
      <c r="J42" s="499"/>
      <c r="K42" s="501"/>
      <c r="M42" s="12">
        <f t="shared" si="5"/>
        <v>39</v>
      </c>
      <c r="N42" s="12" t="s">
        <v>164</v>
      </c>
      <c r="O42" s="12" t="s">
        <v>32</v>
      </c>
      <c r="P42" s="12"/>
      <c r="Q42" s="12"/>
      <c r="R42" s="12">
        <v>140</v>
      </c>
      <c r="S42" s="12">
        <v>291.10000000000002</v>
      </c>
      <c r="T42" s="12">
        <f t="shared" si="6"/>
        <v>2699.9999999999991</v>
      </c>
      <c r="U42" s="370">
        <v>1.1399999999999999</v>
      </c>
      <c r="V42" s="731"/>
      <c r="W42" s="732"/>
    </row>
    <row r="43" spans="1:23" ht="15" customHeight="1">
      <c r="A43" s="5">
        <f t="shared" si="2"/>
        <v>40</v>
      </c>
      <c r="B43" s="5" t="s">
        <v>277</v>
      </c>
      <c r="C43" s="5" t="s">
        <v>521</v>
      </c>
      <c r="D43" s="5"/>
      <c r="E43" s="5"/>
      <c r="F43" s="5">
        <v>63</v>
      </c>
      <c r="G43" s="5">
        <v>104</v>
      </c>
      <c r="H43" s="5">
        <f t="shared" si="3"/>
        <v>3115.3999999999992</v>
      </c>
      <c r="I43" s="5">
        <v>1.06</v>
      </c>
      <c r="J43" s="499"/>
      <c r="K43" s="501"/>
      <c r="M43" s="12">
        <f t="shared" si="5"/>
        <v>40</v>
      </c>
      <c r="N43" s="12" t="s">
        <v>725</v>
      </c>
      <c r="O43" s="12" t="s">
        <v>838</v>
      </c>
      <c r="P43" s="12" t="s">
        <v>45</v>
      </c>
      <c r="Q43" s="12">
        <v>0.44</v>
      </c>
      <c r="R43" s="12">
        <v>140</v>
      </c>
      <c r="S43" s="12">
        <v>26.2</v>
      </c>
      <c r="T43" s="12">
        <f t="shared" si="6"/>
        <v>2726.1999999999989</v>
      </c>
      <c r="U43" s="370">
        <v>1.1399999999999999</v>
      </c>
      <c r="V43" s="731"/>
      <c r="W43" s="732"/>
    </row>
    <row r="44" spans="1:23" ht="15" customHeight="1">
      <c r="A44" s="5">
        <f t="shared" si="2"/>
        <v>41</v>
      </c>
      <c r="B44" s="5" t="s">
        <v>521</v>
      </c>
      <c r="C44" s="5" t="s">
        <v>318</v>
      </c>
      <c r="D44" s="5"/>
      <c r="E44" s="5"/>
      <c r="F44" s="5">
        <v>63</v>
      </c>
      <c r="G44" s="5">
        <v>19.600000000000001</v>
      </c>
      <c r="H44" s="5">
        <f t="shared" si="3"/>
        <v>3134.9999999999991</v>
      </c>
      <c r="I44" s="5">
        <v>1.06</v>
      </c>
      <c r="J44" s="499"/>
      <c r="K44" s="501"/>
      <c r="M44" s="12">
        <f t="shared" si="5"/>
        <v>41</v>
      </c>
      <c r="N44" s="12" t="s">
        <v>838</v>
      </c>
      <c r="O44" s="12" t="s">
        <v>54</v>
      </c>
      <c r="P44" s="12" t="s">
        <v>45</v>
      </c>
      <c r="Q44" s="12">
        <v>0.44</v>
      </c>
      <c r="R44" s="12">
        <v>140</v>
      </c>
      <c r="S44" s="12">
        <v>48.1</v>
      </c>
      <c r="T44" s="12">
        <f t="shared" si="6"/>
        <v>2774.2999999999988</v>
      </c>
      <c r="U44" s="370">
        <v>1.1399999999999999</v>
      </c>
      <c r="V44" s="731"/>
      <c r="W44" s="732"/>
    </row>
    <row r="45" spans="1:23">
      <c r="A45" s="5">
        <f t="shared" si="2"/>
        <v>42</v>
      </c>
      <c r="B45" s="5" t="s">
        <v>521</v>
      </c>
      <c r="C45" s="5" t="s">
        <v>414</v>
      </c>
      <c r="D45" s="5"/>
      <c r="E45" s="5"/>
      <c r="F45" s="5">
        <v>63</v>
      </c>
      <c r="G45" s="5">
        <v>223</v>
      </c>
      <c r="H45" s="5">
        <f t="shared" si="3"/>
        <v>3357.9999999999991</v>
      </c>
      <c r="I45" s="5">
        <v>1.06</v>
      </c>
      <c r="J45" s="499"/>
      <c r="K45" s="501"/>
      <c r="M45" s="12">
        <f t="shared" si="5"/>
        <v>42</v>
      </c>
      <c r="N45" s="12" t="s">
        <v>1363</v>
      </c>
      <c r="O45" s="12" t="s">
        <v>65</v>
      </c>
      <c r="P45" s="12" t="s">
        <v>102</v>
      </c>
      <c r="Q45" s="12">
        <v>0.44</v>
      </c>
      <c r="R45" s="12">
        <v>140</v>
      </c>
      <c r="S45" s="12">
        <v>206.2</v>
      </c>
      <c r="T45" s="12">
        <f t="shared" si="6"/>
        <v>2980.4999999999986</v>
      </c>
      <c r="U45" s="370">
        <v>1.1399999999999999</v>
      </c>
      <c r="V45" s="731"/>
      <c r="W45" s="732"/>
    </row>
    <row r="46" spans="1:23" ht="15" customHeight="1">
      <c r="A46" s="5">
        <f t="shared" si="2"/>
        <v>43</v>
      </c>
      <c r="B46" s="5" t="s">
        <v>264</v>
      </c>
      <c r="C46" s="5" t="s">
        <v>262</v>
      </c>
      <c r="D46" s="5"/>
      <c r="E46" s="5"/>
      <c r="F46" s="5">
        <v>63</v>
      </c>
      <c r="G46" s="5">
        <v>190.2</v>
      </c>
      <c r="H46" s="5">
        <f t="shared" si="3"/>
        <v>3548.1999999999989</v>
      </c>
      <c r="I46" s="5">
        <v>1.06</v>
      </c>
      <c r="J46" s="499"/>
      <c r="K46" s="501"/>
      <c r="M46" s="12">
        <f t="shared" ref="M46:M65" si="7">1+M45</f>
        <v>43</v>
      </c>
      <c r="N46" s="12" t="s">
        <v>1577</v>
      </c>
      <c r="O46" s="12" t="s">
        <v>1572</v>
      </c>
      <c r="P46" s="12"/>
      <c r="Q46" s="12"/>
      <c r="R46" s="12">
        <v>160</v>
      </c>
      <c r="S46" s="12">
        <v>167.5</v>
      </c>
      <c r="T46" s="12">
        <f t="shared" si="6"/>
        <v>3147.9999999999986</v>
      </c>
      <c r="U46" s="370">
        <v>1.1599999999999999</v>
      </c>
      <c r="V46" s="731"/>
      <c r="W46" s="732"/>
    </row>
    <row r="47" spans="1:23" ht="15" customHeight="1">
      <c r="A47" s="5">
        <f t="shared" si="2"/>
        <v>44</v>
      </c>
      <c r="B47" s="5" t="s">
        <v>252</v>
      </c>
      <c r="C47" s="5" t="s">
        <v>253</v>
      </c>
      <c r="D47" s="5"/>
      <c r="E47" s="5"/>
      <c r="F47" s="5">
        <v>63</v>
      </c>
      <c r="G47" s="5">
        <v>130.19999999999999</v>
      </c>
      <c r="H47" s="5">
        <f t="shared" si="3"/>
        <v>3678.3999999999987</v>
      </c>
      <c r="I47" s="5">
        <v>1.06</v>
      </c>
      <c r="J47" s="499"/>
      <c r="K47" s="501"/>
      <c r="M47" s="12">
        <f t="shared" si="7"/>
        <v>44</v>
      </c>
      <c r="N47" s="12" t="s">
        <v>167</v>
      </c>
      <c r="O47" s="12" t="s">
        <v>110</v>
      </c>
      <c r="P47" s="12"/>
      <c r="Q47" s="12"/>
      <c r="R47" s="12">
        <v>160</v>
      </c>
      <c r="S47" s="12">
        <v>215</v>
      </c>
      <c r="T47" s="12">
        <f t="shared" si="6"/>
        <v>3362.9999999999986</v>
      </c>
      <c r="U47" s="370">
        <v>1.1599999999999999</v>
      </c>
      <c r="V47" s="731"/>
      <c r="W47" s="732"/>
    </row>
    <row r="48" spans="1:23" ht="15" customHeight="1">
      <c r="A48" s="5">
        <f t="shared" si="2"/>
        <v>45</v>
      </c>
      <c r="B48" s="5" t="s">
        <v>418</v>
      </c>
      <c r="C48" s="5" t="s">
        <v>417</v>
      </c>
      <c r="D48" s="5"/>
      <c r="E48" s="5"/>
      <c r="F48" s="5">
        <v>63</v>
      </c>
      <c r="G48" s="5">
        <v>37.1</v>
      </c>
      <c r="H48" s="5">
        <f t="shared" si="3"/>
        <v>3715.4999999999986</v>
      </c>
      <c r="I48" s="5">
        <v>1.06</v>
      </c>
      <c r="J48" s="499"/>
      <c r="K48" s="501"/>
      <c r="M48" s="12">
        <f t="shared" si="7"/>
        <v>45</v>
      </c>
      <c r="N48" s="12" t="s">
        <v>110</v>
      </c>
      <c r="O48" s="12" t="s">
        <v>164</v>
      </c>
      <c r="P48" s="12"/>
      <c r="Q48" s="12"/>
      <c r="R48" s="12">
        <v>160</v>
      </c>
      <c r="S48" s="12">
        <v>701.1</v>
      </c>
      <c r="T48" s="12">
        <f t="shared" si="6"/>
        <v>4064.0999999999985</v>
      </c>
      <c r="U48" s="370">
        <v>1.1599999999999999</v>
      </c>
      <c r="V48" s="731"/>
      <c r="W48" s="732"/>
    </row>
    <row r="49" spans="1:23" ht="15" customHeight="1">
      <c r="A49" s="5">
        <f t="shared" si="2"/>
        <v>46</v>
      </c>
      <c r="B49" s="5" t="s">
        <v>418</v>
      </c>
      <c r="C49" s="5" t="s">
        <v>280</v>
      </c>
      <c r="D49" s="5"/>
      <c r="E49" s="5"/>
      <c r="F49" s="5">
        <v>63</v>
      </c>
      <c r="G49" s="5">
        <v>56.4</v>
      </c>
      <c r="H49" s="5">
        <f t="shared" si="3"/>
        <v>3771.8999999999987</v>
      </c>
      <c r="I49" s="5">
        <v>1.06</v>
      </c>
      <c r="J49" s="499"/>
      <c r="K49" s="501"/>
      <c r="M49" s="12">
        <f t="shared" si="7"/>
        <v>46</v>
      </c>
      <c r="N49" s="12" t="s">
        <v>110</v>
      </c>
      <c r="O49" s="12" t="s">
        <v>164</v>
      </c>
      <c r="P49" s="12" t="s">
        <v>38</v>
      </c>
      <c r="Q49" s="12"/>
      <c r="R49" s="12">
        <v>160</v>
      </c>
      <c r="S49" s="12">
        <v>3</v>
      </c>
      <c r="T49" s="12">
        <f t="shared" si="6"/>
        <v>4067.0999999999985</v>
      </c>
      <c r="U49" s="370">
        <v>1.1599999999999999</v>
      </c>
      <c r="V49" s="731"/>
      <c r="W49" s="732"/>
    </row>
    <row r="50" spans="1:23" ht="15" customHeight="1">
      <c r="A50" s="5">
        <f t="shared" si="2"/>
        <v>47</v>
      </c>
      <c r="B50" s="5" t="s">
        <v>418</v>
      </c>
      <c r="C50" s="5" t="s">
        <v>1578</v>
      </c>
      <c r="D50" s="5"/>
      <c r="E50" s="5"/>
      <c r="F50" s="5">
        <v>63</v>
      </c>
      <c r="G50" s="5">
        <v>21.3</v>
      </c>
      <c r="H50" s="5">
        <f t="shared" si="3"/>
        <v>3793.1999999999989</v>
      </c>
      <c r="I50" s="5">
        <v>1.06</v>
      </c>
      <c r="J50" s="499"/>
      <c r="K50" s="501"/>
      <c r="M50" s="12">
        <f t="shared" si="7"/>
        <v>47</v>
      </c>
      <c r="N50" s="12" t="s">
        <v>164</v>
      </c>
      <c r="O50" s="12" t="s">
        <v>151</v>
      </c>
      <c r="P50" s="12"/>
      <c r="Q50" s="12"/>
      <c r="R50" s="12">
        <v>160</v>
      </c>
      <c r="S50" s="12">
        <v>206</v>
      </c>
      <c r="T50" s="12">
        <f t="shared" si="6"/>
        <v>4273.0999999999985</v>
      </c>
      <c r="U50" s="370">
        <v>1.1599999999999999</v>
      </c>
      <c r="V50" s="731"/>
      <c r="W50" s="732"/>
    </row>
    <row r="51" spans="1:23" ht="15" customHeight="1">
      <c r="A51" s="5">
        <f t="shared" si="2"/>
        <v>48</v>
      </c>
      <c r="B51" s="5" t="s">
        <v>280</v>
      </c>
      <c r="C51" s="5" t="s">
        <v>248</v>
      </c>
      <c r="D51" s="5"/>
      <c r="E51" s="5"/>
      <c r="F51" s="5">
        <v>63</v>
      </c>
      <c r="G51" s="5">
        <v>187.7</v>
      </c>
      <c r="H51" s="5">
        <f t="shared" si="3"/>
        <v>3980.8999999999987</v>
      </c>
      <c r="I51" s="5">
        <v>1.06</v>
      </c>
      <c r="J51" s="499"/>
      <c r="K51" s="501"/>
      <c r="M51" s="12">
        <f t="shared" si="7"/>
        <v>48</v>
      </c>
      <c r="N51" s="12" t="s">
        <v>151</v>
      </c>
      <c r="O51" s="12" t="s">
        <v>502</v>
      </c>
      <c r="P51" s="12"/>
      <c r="Q51" s="12"/>
      <c r="R51" s="12">
        <v>160</v>
      </c>
      <c r="S51" s="12">
        <v>90</v>
      </c>
      <c r="T51" s="12">
        <f t="shared" si="6"/>
        <v>4363.0999999999985</v>
      </c>
      <c r="U51" s="370">
        <v>1.1599999999999999</v>
      </c>
      <c r="V51" s="731"/>
      <c r="W51" s="732"/>
    </row>
    <row r="52" spans="1:23" ht="15" customHeight="1">
      <c r="A52" s="5">
        <f t="shared" si="2"/>
        <v>49</v>
      </c>
      <c r="B52" s="5" t="s">
        <v>506</v>
      </c>
      <c r="C52" s="5" t="s">
        <v>282</v>
      </c>
      <c r="D52" s="5"/>
      <c r="E52" s="5"/>
      <c r="F52" s="5">
        <v>63</v>
      </c>
      <c r="G52" s="5">
        <v>187.3</v>
      </c>
      <c r="H52" s="5">
        <f t="shared" si="3"/>
        <v>4168.1999999999989</v>
      </c>
      <c r="I52" s="5">
        <v>1.06</v>
      </c>
      <c r="J52" s="499"/>
      <c r="K52" s="501"/>
      <c r="M52" s="12">
        <f t="shared" si="7"/>
        <v>49</v>
      </c>
      <c r="N52" s="12" t="s">
        <v>502</v>
      </c>
      <c r="O52" s="12" t="s">
        <v>829</v>
      </c>
      <c r="P52" s="12"/>
      <c r="Q52" s="12"/>
      <c r="R52" s="12">
        <v>160</v>
      </c>
      <c r="S52" s="12">
        <v>15</v>
      </c>
      <c r="T52" s="12">
        <f t="shared" si="6"/>
        <v>4378.0999999999985</v>
      </c>
      <c r="U52" s="370">
        <v>1.1599999999999999</v>
      </c>
      <c r="V52" s="731"/>
      <c r="W52" s="732"/>
    </row>
    <row r="53" spans="1:23" ht="15" customHeight="1">
      <c r="A53" s="5">
        <f t="shared" si="2"/>
        <v>50</v>
      </c>
      <c r="B53" s="5" t="s">
        <v>282</v>
      </c>
      <c r="C53" s="5" t="s">
        <v>283</v>
      </c>
      <c r="D53" s="5"/>
      <c r="E53" s="5"/>
      <c r="F53" s="5">
        <v>63</v>
      </c>
      <c r="G53" s="5">
        <v>174.6</v>
      </c>
      <c r="H53" s="5">
        <f t="shared" si="3"/>
        <v>4342.7999999999993</v>
      </c>
      <c r="I53" s="5">
        <v>1.06</v>
      </c>
      <c r="J53" s="499"/>
      <c r="K53" s="501"/>
      <c r="M53" s="12">
        <f t="shared" si="7"/>
        <v>50</v>
      </c>
      <c r="N53" s="12" t="s">
        <v>829</v>
      </c>
      <c r="O53" s="12" t="s">
        <v>155</v>
      </c>
      <c r="P53" s="12"/>
      <c r="Q53" s="12"/>
      <c r="R53" s="12">
        <v>160</v>
      </c>
      <c r="S53" s="12">
        <v>168</v>
      </c>
      <c r="T53" s="12">
        <f t="shared" si="6"/>
        <v>4546.0999999999985</v>
      </c>
      <c r="U53" s="370">
        <v>1.1599999999999999</v>
      </c>
      <c r="V53" s="731"/>
      <c r="W53" s="732"/>
    </row>
    <row r="54" spans="1:23" ht="15" customHeight="1">
      <c r="A54" s="5">
        <f t="shared" si="2"/>
        <v>51</v>
      </c>
      <c r="B54" s="5" t="s">
        <v>284</v>
      </c>
      <c r="C54" s="5" t="s">
        <v>282</v>
      </c>
      <c r="D54" s="5"/>
      <c r="E54" s="5"/>
      <c r="F54" s="5">
        <v>63</v>
      </c>
      <c r="G54" s="5">
        <v>9.1</v>
      </c>
      <c r="H54" s="5">
        <f t="shared" si="3"/>
        <v>4351.8999999999996</v>
      </c>
      <c r="I54" s="5">
        <v>1.06</v>
      </c>
      <c r="J54" s="499"/>
      <c r="K54" s="501"/>
      <c r="M54" s="12">
        <f t="shared" si="7"/>
        <v>51</v>
      </c>
      <c r="N54" s="12" t="s">
        <v>155</v>
      </c>
      <c r="O54" s="12" t="s">
        <v>828</v>
      </c>
      <c r="P54" s="12"/>
      <c r="Q54" s="12"/>
      <c r="R54" s="12">
        <v>160</v>
      </c>
      <c r="S54" s="12">
        <v>54.9</v>
      </c>
      <c r="T54" s="12">
        <f t="shared" si="6"/>
        <v>4600.9999999999982</v>
      </c>
      <c r="U54" s="370">
        <v>1.1599999999999999</v>
      </c>
      <c r="V54" s="731"/>
      <c r="W54" s="732"/>
    </row>
    <row r="55" spans="1:23" ht="15" customHeight="1">
      <c r="A55" s="5">
        <f t="shared" si="2"/>
        <v>52</v>
      </c>
      <c r="B55" s="5" t="s">
        <v>284</v>
      </c>
      <c r="C55" s="5" t="s">
        <v>401</v>
      </c>
      <c r="D55" s="5"/>
      <c r="E55" s="5"/>
      <c r="F55" s="5">
        <v>63</v>
      </c>
      <c r="G55" s="5">
        <v>32.1</v>
      </c>
      <c r="H55" s="5">
        <f t="shared" si="3"/>
        <v>4384</v>
      </c>
      <c r="I55" s="5">
        <v>1.06</v>
      </c>
      <c r="J55" s="499"/>
      <c r="K55" s="501"/>
      <c r="M55" s="12">
        <f t="shared" si="7"/>
        <v>52</v>
      </c>
      <c r="N55" s="12" t="s">
        <v>828</v>
      </c>
      <c r="O55" s="12" t="s">
        <v>154</v>
      </c>
      <c r="P55" s="12"/>
      <c r="Q55" s="12"/>
      <c r="R55" s="12">
        <v>160</v>
      </c>
      <c r="S55" s="12">
        <v>88.8</v>
      </c>
      <c r="T55" s="12">
        <f t="shared" si="6"/>
        <v>4689.7999999999984</v>
      </c>
      <c r="U55" s="370">
        <v>1.1599999999999999</v>
      </c>
      <c r="V55" s="731"/>
      <c r="W55" s="732"/>
    </row>
    <row r="56" spans="1:23">
      <c r="A56" s="5">
        <f t="shared" si="2"/>
        <v>53</v>
      </c>
      <c r="B56" s="5" t="s">
        <v>284</v>
      </c>
      <c r="C56" s="5" t="s">
        <v>523</v>
      </c>
      <c r="D56" s="5"/>
      <c r="E56" s="5"/>
      <c r="F56" s="5">
        <v>63</v>
      </c>
      <c r="G56" s="5">
        <v>37.1</v>
      </c>
      <c r="H56" s="5">
        <f t="shared" si="3"/>
        <v>4421.1000000000004</v>
      </c>
      <c r="I56" s="5">
        <v>1.06</v>
      </c>
      <c r="J56" s="499"/>
      <c r="K56" s="501"/>
      <c r="M56" s="12">
        <f t="shared" si="7"/>
        <v>53</v>
      </c>
      <c r="N56" s="12" t="s">
        <v>828</v>
      </c>
      <c r="O56" s="12" t="s">
        <v>154</v>
      </c>
      <c r="P56" s="12" t="s">
        <v>102</v>
      </c>
      <c r="Q56" s="12">
        <v>0.46</v>
      </c>
      <c r="R56" s="12">
        <v>160</v>
      </c>
      <c r="S56" s="12">
        <v>7.2</v>
      </c>
      <c r="T56" s="12">
        <f t="shared" si="6"/>
        <v>4696.9999999999982</v>
      </c>
      <c r="U56" s="370">
        <v>1.1599999999999999</v>
      </c>
      <c r="V56" s="731"/>
      <c r="W56" s="732"/>
    </row>
    <row r="57" spans="1:23" ht="15" customHeight="1">
      <c r="A57" s="5">
        <f t="shared" si="2"/>
        <v>54</v>
      </c>
      <c r="B57" s="5" t="s">
        <v>523</v>
      </c>
      <c r="C57" s="5" t="s">
        <v>279</v>
      </c>
      <c r="D57" s="5"/>
      <c r="E57" s="5"/>
      <c r="F57" s="5">
        <v>63</v>
      </c>
      <c r="G57" s="5">
        <v>46.3</v>
      </c>
      <c r="H57" s="5">
        <f t="shared" si="3"/>
        <v>4467.4000000000005</v>
      </c>
      <c r="I57" s="5">
        <v>1.06</v>
      </c>
      <c r="J57" s="499"/>
      <c r="K57" s="501"/>
      <c r="M57" s="12">
        <f t="shared" si="7"/>
        <v>54</v>
      </c>
      <c r="N57" s="12" t="s">
        <v>1579</v>
      </c>
      <c r="O57" s="12" t="s">
        <v>729</v>
      </c>
      <c r="P57" s="12"/>
      <c r="Q57" s="12"/>
      <c r="R57" s="12">
        <v>160</v>
      </c>
      <c r="S57" s="12">
        <v>127.2</v>
      </c>
      <c r="T57" s="12">
        <f t="shared" si="6"/>
        <v>4824.199999999998</v>
      </c>
      <c r="U57" s="370">
        <v>1.1599999999999999</v>
      </c>
      <c r="V57" s="731"/>
      <c r="W57" s="732"/>
    </row>
    <row r="58" spans="1:23" ht="15" customHeight="1">
      <c r="A58" s="5">
        <f t="shared" si="2"/>
        <v>55</v>
      </c>
      <c r="B58" s="5" t="s">
        <v>523</v>
      </c>
      <c r="C58" s="5" t="s">
        <v>400</v>
      </c>
      <c r="D58" s="5"/>
      <c r="E58" s="5"/>
      <c r="F58" s="5">
        <v>63</v>
      </c>
      <c r="G58" s="5">
        <v>51.1</v>
      </c>
      <c r="H58" s="5">
        <f t="shared" si="3"/>
        <v>4518.5000000000009</v>
      </c>
      <c r="I58" s="5">
        <v>1.06</v>
      </c>
      <c r="J58" s="499"/>
      <c r="K58" s="501"/>
      <c r="M58" s="12">
        <f t="shared" si="7"/>
        <v>55</v>
      </c>
      <c r="N58" s="12" t="s">
        <v>729</v>
      </c>
      <c r="O58" s="12" t="s">
        <v>156</v>
      </c>
      <c r="P58" s="12"/>
      <c r="Q58" s="12"/>
      <c r="R58" s="12">
        <v>160</v>
      </c>
      <c r="S58" s="12">
        <v>7.7</v>
      </c>
      <c r="T58" s="12">
        <f t="shared" si="6"/>
        <v>4831.8999999999978</v>
      </c>
      <c r="U58" s="370">
        <v>1.1599999999999999</v>
      </c>
      <c r="V58" s="731"/>
      <c r="W58" s="732"/>
    </row>
    <row r="59" spans="1:23" ht="15" customHeight="1">
      <c r="A59" s="5">
        <f t="shared" si="2"/>
        <v>56</v>
      </c>
      <c r="B59" s="5" t="s">
        <v>400</v>
      </c>
      <c r="C59" s="5" t="s">
        <v>279</v>
      </c>
      <c r="D59" s="5"/>
      <c r="E59" s="5"/>
      <c r="F59" s="5">
        <v>63</v>
      </c>
      <c r="G59" s="5">
        <v>10.6</v>
      </c>
      <c r="H59" s="5">
        <f t="shared" si="3"/>
        <v>4529.1000000000013</v>
      </c>
      <c r="I59" s="5">
        <v>1.06</v>
      </c>
      <c r="J59" s="499"/>
      <c r="K59" s="501"/>
      <c r="M59" s="12">
        <f t="shared" si="7"/>
        <v>56</v>
      </c>
      <c r="N59" s="12" t="s">
        <v>156</v>
      </c>
      <c r="O59" s="12" t="s">
        <v>113</v>
      </c>
      <c r="P59" s="12"/>
      <c r="Q59" s="12"/>
      <c r="R59" s="12">
        <v>160</v>
      </c>
      <c r="S59" s="12">
        <v>195.7</v>
      </c>
      <c r="T59" s="12">
        <f t="shared" si="6"/>
        <v>5027.5999999999976</v>
      </c>
      <c r="U59" s="370">
        <v>1.1599999999999999</v>
      </c>
      <c r="V59" s="731"/>
      <c r="W59" s="732"/>
    </row>
    <row r="60" spans="1:23" ht="15" customHeight="1">
      <c r="A60" s="5">
        <f t="shared" si="2"/>
        <v>57</v>
      </c>
      <c r="B60" s="5" t="s">
        <v>400</v>
      </c>
      <c r="C60" s="5" t="s">
        <v>540</v>
      </c>
      <c r="D60" s="5"/>
      <c r="E60" s="5"/>
      <c r="F60" s="5">
        <v>63</v>
      </c>
      <c r="G60" s="5">
        <v>46.2</v>
      </c>
      <c r="H60" s="5">
        <f t="shared" si="3"/>
        <v>4575.3000000000011</v>
      </c>
      <c r="I60" s="5">
        <v>1.06</v>
      </c>
      <c r="J60" s="499"/>
      <c r="K60" s="501"/>
      <c r="M60" s="12">
        <f t="shared" si="7"/>
        <v>57</v>
      </c>
      <c r="N60" s="12" t="s">
        <v>113</v>
      </c>
      <c r="O60" s="12" t="s">
        <v>65</v>
      </c>
      <c r="P60" s="12"/>
      <c r="Q60" s="12"/>
      <c r="R60" s="12">
        <v>160</v>
      </c>
      <c r="S60" s="12">
        <v>234.1</v>
      </c>
      <c r="T60" s="12">
        <f t="shared" si="6"/>
        <v>5261.699999999998</v>
      </c>
      <c r="U60" s="370">
        <v>1.1599999999999999</v>
      </c>
      <c r="V60" s="731"/>
      <c r="W60" s="732"/>
    </row>
    <row r="61" spans="1:23" ht="15" customHeight="1">
      <c r="A61" s="5">
        <f t="shared" si="2"/>
        <v>58</v>
      </c>
      <c r="B61" s="5" t="s">
        <v>540</v>
      </c>
      <c r="C61" s="5" t="s">
        <v>1580</v>
      </c>
      <c r="D61" s="5"/>
      <c r="E61" s="5"/>
      <c r="F61" s="5">
        <v>63</v>
      </c>
      <c r="G61" s="5">
        <v>27.3</v>
      </c>
      <c r="H61" s="5">
        <f t="shared" si="3"/>
        <v>4602.6000000000013</v>
      </c>
      <c r="I61" s="5">
        <v>1.06</v>
      </c>
      <c r="J61" s="499"/>
      <c r="K61" s="501"/>
      <c r="M61" s="12">
        <f t="shared" si="7"/>
        <v>58</v>
      </c>
      <c r="N61" s="12" t="s">
        <v>65</v>
      </c>
      <c r="O61" s="12" t="s">
        <v>732</v>
      </c>
      <c r="P61" s="12"/>
      <c r="Q61" s="12"/>
      <c r="R61" s="12">
        <v>160</v>
      </c>
      <c r="S61" s="12">
        <v>165.3</v>
      </c>
      <c r="T61" s="12">
        <f t="shared" si="6"/>
        <v>5426.9999999999982</v>
      </c>
      <c r="U61" s="370">
        <v>1.1599999999999999</v>
      </c>
      <c r="V61" s="731"/>
      <c r="W61" s="732"/>
    </row>
    <row r="62" spans="1:23">
      <c r="A62" s="5">
        <f t="shared" si="2"/>
        <v>59</v>
      </c>
      <c r="B62" s="5" t="s">
        <v>540</v>
      </c>
      <c r="C62" s="5" t="s">
        <v>628</v>
      </c>
      <c r="D62" s="5"/>
      <c r="E62" s="5"/>
      <c r="F62" s="5">
        <v>63</v>
      </c>
      <c r="G62" s="5">
        <v>26.8</v>
      </c>
      <c r="H62" s="5">
        <f t="shared" si="3"/>
        <v>4629.4000000000015</v>
      </c>
      <c r="I62" s="5">
        <v>1.06</v>
      </c>
      <c r="J62" s="499"/>
      <c r="K62" s="501"/>
      <c r="M62" s="12">
        <f t="shared" si="7"/>
        <v>59</v>
      </c>
      <c r="N62" s="12" t="s">
        <v>65</v>
      </c>
      <c r="O62" s="12" t="s">
        <v>732</v>
      </c>
      <c r="P62" s="12" t="s">
        <v>102</v>
      </c>
      <c r="Q62" s="12">
        <v>0.46</v>
      </c>
      <c r="R62" s="12">
        <v>160</v>
      </c>
      <c r="S62" s="12">
        <v>4.5999999999999996</v>
      </c>
      <c r="T62" s="12">
        <f t="shared" si="6"/>
        <v>5431.5999999999985</v>
      </c>
      <c r="U62" s="370">
        <v>1.1599999999999999</v>
      </c>
      <c r="V62" s="731"/>
      <c r="W62" s="732"/>
    </row>
    <row r="63" spans="1:23" ht="15" customHeight="1">
      <c r="A63" s="5">
        <f t="shared" si="2"/>
        <v>60</v>
      </c>
      <c r="B63" s="5" t="s">
        <v>363</v>
      </c>
      <c r="C63" s="5" t="s">
        <v>349</v>
      </c>
      <c r="D63" s="5"/>
      <c r="E63" s="5"/>
      <c r="F63" s="5">
        <v>63</v>
      </c>
      <c r="G63" s="5">
        <v>39.200000000000003</v>
      </c>
      <c r="H63" s="5">
        <f t="shared" si="3"/>
        <v>4668.6000000000013</v>
      </c>
      <c r="I63" s="5">
        <v>1.06</v>
      </c>
      <c r="J63" s="499"/>
      <c r="K63" s="501"/>
      <c r="M63" s="12">
        <f t="shared" si="7"/>
        <v>60</v>
      </c>
      <c r="N63" s="12" t="s">
        <v>56</v>
      </c>
      <c r="O63" s="12" t="s">
        <v>57</v>
      </c>
      <c r="P63" s="12"/>
      <c r="Q63" s="12"/>
      <c r="R63" s="12">
        <v>160</v>
      </c>
      <c r="S63" s="12">
        <v>60</v>
      </c>
      <c r="T63" s="12">
        <f t="shared" si="6"/>
        <v>5491.5999999999985</v>
      </c>
      <c r="U63" s="370">
        <v>1.1599999999999999</v>
      </c>
      <c r="V63" s="731"/>
      <c r="W63" s="732"/>
    </row>
    <row r="64" spans="1:23" ht="15" customHeight="1">
      <c r="A64" s="5">
        <f t="shared" si="2"/>
        <v>61</v>
      </c>
      <c r="B64" s="5" t="s">
        <v>1504</v>
      </c>
      <c r="C64" s="5" t="s">
        <v>1176</v>
      </c>
      <c r="D64" s="5"/>
      <c r="E64" s="5"/>
      <c r="F64" s="5">
        <v>63</v>
      </c>
      <c r="G64" s="5">
        <v>101.3</v>
      </c>
      <c r="H64" s="5">
        <f t="shared" si="3"/>
        <v>4769.9000000000015</v>
      </c>
      <c r="I64" s="5">
        <v>1.06</v>
      </c>
      <c r="J64" s="499"/>
      <c r="K64" s="501"/>
      <c r="M64" s="12">
        <f t="shared" si="7"/>
        <v>61</v>
      </c>
      <c r="N64" s="12" t="s">
        <v>57</v>
      </c>
      <c r="O64" s="12" t="s">
        <v>725</v>
      </c>
      <c r="P64" s="12" t="s">
        <v>45</v>
      </c>
      <c r="Q64" s="12">
        <v>0.46</v>
      </c>
      <c r="R64" s="12">
        <v>160</v>
      </c>
      <c r="S64" s="12">
        <v>338.3</v>
      </c>
      <c r="T64" s="12">
        <f t="shared" si="6"/>
        <v>5829.8999999999987</v>
      </c>
      <c r="U64" s="370">
        <v>1.1599999999999999</v>
      </c>
      <c r="V64" s="731"/>
      <c r="W64" s="732"/>
    </row>
    <row r="65" spans="1:23" ht="15" customHeight="1">
      <c r="A65" s="5">
        <f t="shared" si="2"/>
        <v>62</v>
      </c>
      <c r="B65" s="5" t="s">
        <v>1176</v>
      </c>
      <c r="C65" s="5" t="s">
        <v>1006</v>
      </c>
      <c r="D65" s="5"/>
      <c r="E65" s="5"/>
      <c r="F65" s="5">
        <v>63</v>
      </c>
      <c r="G65" s="5">
        <v>29</v>
      </c>
      <c r="H65" s="5">
        <f t="shared" si="3"/>
        <v>4798.9000000000015</v>
      </c>
      <c r="I65" s="5">
        <v>1.06</v>
      </c>
      <c r="J65" s="499"/>
      <c r="K65" s="501"/>
      <c r="M65" s="12">
        <f t="shared" si="7"/>
        <v>62</v>
      </c>
      <c r="N65" s="12" t="s">
        <v>1173</v>
      </c>
      <c r="O65" s="12" t="s">
        <v>1333</v>
      </c>
      <c r="P65" s="12"/>
      <c r="Q65" s="12"/>
      <c r="R65" s="12">
        <v>160</v>
      </c>
      <c r="S65" s="12">
        <v>263.10000000000002</v>
      </c>
      <c r="T65" s="12">
        <f t="shared" si="6"/>
        <v>6092.9999999999991</v>
      </c>
      <c r="U65" s="370">
        <v>1.1599999999999999</v>
      </c>
      <c r="V65" s="731"/>
      <c r="W65" s="732"/>
    </row>
    <row r="66" spans="1:23" ht="15" customHeight="1">
      <c r="A66" s="5">
        <f t="shared" si="2"/>
        <v>63</v>
      </c>
      <c r="B66" s="5" t="s">
        <v>1006</v>
      </c>
      <c r="C66" s="5" t="s">
        <v>948</v>
      </c>
      <c r="D66" s="5"/>
      <c r="E66" s="5"/>
      <c r="F66" s="5">
        <v>63</v>
      </c>
      <c r="G66" s="5">
        <v>53.7</v>
      </c>
      <c r="H66" s="5">
        <f t="shared" si="3"/>
        <v>4852.6000000000013</v>
      </c>
      <c r="I66" s="5">
        <v>1.06</v>
      </c>
      <c r="J66" s="499"/>
      <c r="K66" s="501"/>
      <c r="M66" s="12">
        <f t="shared" ref="M66:M69" si="8">1+M65</f>
        <v>63</v>
      </c>
      <c r="N66" s="14" t="s">
        <v>106</v>
      </c>
      <c r="O66" s="14" t="s">
        <v>94</v>
      </c>
      <c r="R66" s="12">
        <v>160</v>
      </c>
      <c r="S66" s="14">
        <v>152.1</v>
      </c>
      <c r="T66" s="12">
        <f t="shared" ref="T66:T67" si="9">+T65+S66</f>
        <v>6245.0999999999995</v>
      </c>
      <c r="U66" s="370">
        <v>1.1599999999999999</v>
      </c>
      <c r="V66" s="731"/>
      <c r="W66" s="732"/>
    </row>
    <row r="67" spans="1:23">
      <c r="A67" s="5">
        <f t="shared" si="2"/>
        <v>64</v>
      </c>
      <c r="B67" s="5" t="s">
        <v>1176</v>
      </c>
      <c r="C67" s="5" t="s">
        <v>1490</v>
      </c>
      <c r="D67" s="5"/>
      <c r="E67" s="5"/>
      <c r="F67" s="5">
        <v>63</v>
      </c>
      <c r="G67" s="5">
        <v>194.7</v>
      </c>
      <c r="H67" s="5">
        <f t="shared" si="3"/>
        <v>5047.3000000000011</v>
      </c>
      <c r="I67" s="5">
        <v>1.06</v>
      </c>
      <c r="J67" s="499"/>
      <c r="K67" s="501"/>
      <c r="M67" s="12">
        <f t="shared" si="8"/>
        <v>64</v>
      </c>
      <c r="N67" s="12" t="s">
        <v>1328</v>
      </c>
      <c r="O67" s="12" t="s">
        <v>1581</v>
      </c>
      <c r="P67" s="12" t="s">
        <v>102</v>
      </c>
      <c r="Q67" s="12">
        <v>0.5</v>
      </c>
      <c r="R67" s="12">
        <v>200</v>
      </c>
      <c r="S67" s="12">
        <v>270.7</v>
      </c>
      <c r="T67" s="12">
        <f t="shared" si="9"/>
        <v>6515.7999999999993</v>
      </c>
      <c r="U67" s="370">
        <v>1.2</v>
      </c>
      <c r="V67" s="731"/>
      <c r="W67" s="732"/>
    </row>
    <row r="68" spans="1:23">
      <c r="A68" s="5">
        <f t="shared" si="2"/>
        <v>65</v>
      </c>
      <c r="B68" s="5" t="s">
        <v>1490</v>
      </c>
      <c r="C68" s="5" t="s">
        <v>1582</v>
      </c>
      <c r="D68" s="5"/>
      <c r="E68" s="5"/>
      <c r="F68" s="5">
        <v>63</v>
      </c>
      <c r="G68" s="5">
        <v>63.4</v>
      </c>
      <c r="H68" s="5">
        <f t="shared" si="3"/>
        <v>5110.7000000000007</v>
      </c>
      <c r="I68" s="5">
        <v>1.06</v>
      </c>
      <c r="J68" s="499"/>
      <c r="K68" s="501"/>
      <c r="M68" s="12">
        <f t="shared" si="8"/>
        <v>65</v>
      </c>
      <c r="N68" s="12" t="s">
        <v>1328</v>
      </c>
      <c r="O68" s="12" t="s">
        <v>1335</v>
      </c>
      <c r="P68" s="12" t="s">
        <v>102</v>
      </c>
      <c r="Q68" s="12">
        <v>0.5</v>
      </c>
      <c r="R68" s="12">
        <v>200</v>
      </c>
      <c r="S68" s="12">
        <v>119.7</v>
      </c>
      <c r="T68" s="12">
        <f t="shared" ref="T68:T130" si="10">+T67+S68</f>
        <v>6635.4999999999991</v>
      </c>
      <c r="U68" s="370">
        <v>1.2</v>
      </c>
      <c r="V68" s="731"/>
      <c r="W68" s="732"/>
    </row>
    <row r="69" spans="1:23">
      <c r="A69" s="5">
        <f t="shared" si="2"/>
        <v>66</v>
      </c>
      <c r="B69" s="5" t="s">
        <v>1006</v>
      </c>
      <c r="C69" s="5" t="s">
        <v>1582</v>
      </c>
      <c r="D69" s="5"/>
      <c r="E69" s="5"/>
      <c r="F69" s="5">
        <v>63</v>
      </c>
      <c r="G69" s="5">
        <v>218.7</v>
      </c>
      <c r="H69" s="5">
        <f t="shared" si="3"/>
        <v>5329.4000000000005</v>
      </c>
      <c r="I69" s="5">
        <v>1.06</v>
      </c>
      <c r="J69" s="499"/>
      <c r="K69" s="501"/>
      <c r="M69" s="12">
        <f t="shared" si="8"/>
        <v>66</v>
      </c>
      <c r="N69" s="12" t="s">
        <v>1335</v>
      </c>
      <c r="O69" s="12" t="s">
        <v>914</v>
      </c>
      <c r="P69" s="12" t="s">
        <v>102</v>
      </c>
      <c r="Q69" s="12">
        <v>0.5</v>
      </c>
      <c r="R69" s="12">
        <v>200</v>
      </c>
      <c r="S69" s="12">
        <v>223.2</v>
      </c>
      <c r="T69" s="12">
        <f t="shared" si="10"/>
        <v>6858.6999999999989</v>
      </c>
      <c r="U69" s="370">
        <v>1.2</v>
      </c>
      <c r="V69" s="731"/>
      <c r="W69" s="732"/>
    </row>
    <row r="70" spans="1:23">
      <c r="A70" s="5">
        <f t="shared" ref="A70:A133" si="11">1+A69</f>
        <v>67</v>
      </c>
      <c r="B70" s="5" t="s">
        <v>1583</v>
      </c>
      <c r="C70" s="5" t="s">
        <v>1490</v>
      </c>
      <c r="D70" s="5"/>
      <c r="E70" s="5"/>
      <c r="F70" s="5">
        <v>63</v>
      </c>
      <c r="G70" s="5">
        <v>214</v>
      </c>
      <c r="H70" s="5">
        <f t="shared" ref="H70:H133" si="12">+H69+G70</f>
        <v>5543.4000000000005</v>
      </c>
      <c r="I70" s="5">
        <v>1.06</v>
      </c>
      <c r="J70" s="499"/>
      <c r="K70" s="501"/>
      <c r="M70" s="12">
        <f t="shared" ref="M70:M130" si="13">1+M69</f>
        <v>67</v>
      </c>
      <c r="N70" s="12" t="s">
        <v>914</v>
      </c>
      <c r="O70" s="12" t="s">
        <v>1173</v>
      </c>
      <c r="P70" s="12" t="s">
        <v>102</v>
      </c>
      <c r="Q70" s="12">
        <v>0.5</v>
      </c>
      <c r="R70" s="12">
        <v>200</v>
      </c>
      <c r="S70" s="12">
        <v>248.5</v>
      </c>
      <c r="T70" s="12">
        <f t="shared" si="10"/>
        <v>7107.1999999999989</v>
      </c>
      <c r="U70" s="370">
        <v>1.2</v>
      </c>
      <c r="V70" s="731"/>
      <c r="W70" s="732"/>
    </row>
    <row r="71" spans="1:23">
      <c r="A71" s="5">
        <f t="shared" si="11"/>
        <v>68</v>
      </c>
      <c r="B71" s="5" t="s">
        <v>1582</v>
      </c>
      <c r="C71" s="5" t="s">
        <v>983</v>
      </c>
      <c r="D71" s="5"/>
      <c r="E71" s="5"/>
      <c r="F71" s="5">
        <v>63</v>
      </c>
      <c r="G71" s="5">
        <v>469.6</v>
      </c>
      <c r="H71" s="5">
        <f t="shared" si="12"/>
        <v>6013.0000000000009</v>
      </c>
      <c r="I71" s="5">
        <v>1.06</v>
      </c>
      <c r="J71" s="499"/>
      <c r="K71" s="501"/>
      <c r="M71" s="12">
        <f t="shared" si="13"/>
        <v>68</v>
      </c>
      <c r="N71" s="12" t="s">
        <v>1173</v>
      </c>
      <c r="O71" s="12" t="s">
        <v>906</v>
      </c>
      <c r="P71" s="12" t="s">
        <v>102</v>
      </c>
      <c r="Q71" s="12">
        <v>0.5</v>
      </c>
      <c r="R71" s="12">
        <v>200</v>
      </c>
      <c r="S71" s="12">
        <v>357.2</v>
      </c>
      <c r="T71" s="12">
        <f t="shared" si="10"/>
        <v>7464.3999999999987</v>
      </c>
      <c r="U71" s="370">
        <v>1.2</v>
      </c>
      <c r="V71" s="731"/>
      <c r="W71" s="732"/>
    </row>
    <row r="72" spans="1:23" ht="15" customHeight="1">
      <c r="A72" s="5">
        <f t="shared" si="11"/>
        <v>69</v>
      </c>
      <c r="B72" s="5" t="s">
        <v>983</v>
      </c>
      <c r="C72" s="5" t="s">
        <v>1584</v>
      </c>
      <c r="D72" s="5"/>
      <c r="E72" s="5"/>
      <c r="F72" s="5">
        <v>63</v>
      </c>
      <c r="G72" s="5">
        <v>153.4</v>
      </c>
      <c r="H72" s="5">
        <f t="shared" si="12"/>
        <v>6166.4000000000005</v>
      </c>
      <c r="I72" s="5">
        <v>1.06</v>
      </c>
      <c r="J72" s="499"/>
      <c r="K72" s="501"/>
      <c r="M72" s="12">
        <f t="shared" si="13"/>
        <v>69</v>
      </c>
      <c r="N72" s="12" t="s">
        <v>1173</v>
      </c>
      <c r="O72" s="12" t="s">
        <v>906</v>
      </c>
      <c r="P72" s="12"/>
      <c r="Q72" s="12"/>
      <c r="R72" s="12">
        <v>200</v>
      </c>
      <c r="S72" s="12">
        <v>76.8</v>
      </c>
      <c r="T72" s="12">
        <f t="shared" si="10"/>
        <v>7541.1999999999989</v>
      </c>
      <c r="U72" s="370">
        <v>1.2</v>
      </c>
      <c r="V72" s="731"/>
      <c r="W72" s="732"/>
    </row>
    <row r="73" spans="1:23" ht="15" customHeight="1">
      <c r="A73" s="5">
        <f t="shared" si="11"/>
        <v>70</v>
      </c>
      <c r="B73" s="5" t="s">
        <v>1584</v>
      </c>
      <c r="C73" s="5" t="s">
        <v>1019</v>
      </c>
      <c r="D73" s="5"/>
      <c r="E73" s="5"/>
      <c r="F73" s="5">
        <v>63</v>
      </c>
      <c r="G73" s="5">
        <v>388</v>
      </c>
      <c r="H73" s="5">
        <f t="shared" si="12"/>
        <v>6554.4000000000005</v>
      </c>
      <c r="I73" s="5">
        <v>1.06</v>
      </c>
      <c r="J73" s="499"/>
      <c r="K73" s="501"/>
      <c r="M73" s="12">
        <f t="shared" si="13"/>
        <v>70</v>
      </c>
      <c r="N73" s="12" t="s">
        <v>906</v>
      </c>
      <c r="O73" s="12" t="s">
        <v>107</v>
      </c>
      <c r="P73" s="12"/>
      <c r="Q73" s="12"/>
      <c r="R73" s="12">
        <v>200</v>
      </c>
      <c r="S73" s="12">
        <v>68.5</v>
      </c>
      <c r="T73" s="12">
        <f t="shared" si="10"/>
        <v>7609.6999999999989</v>
      </c>
      <c r="U73" s="370">
        <v>1.2</v>
      </c>
      <c r="V73" s="731"/>
      <c r="W73" s="732"/>
    </row>
    <row r="74" spans="1:23" ht="15" customHeight="1">
      <c r="A74" s="5">
        <f t="shared" si="11"/>
        <v>71</v>
      </c>
      <c r="B74" s="5" t="s">
        <v>1019</v>
      </c>
      <c r="C74" s="5" t="s">
        <v>1585</v>
      </c>
      <c r="D74" s="5"/>
      <c r="E74" s="5"/>
      <c r="F74" s="5">
        <v>63</v>
      </c>
      <c r="G74" s="5">
        <v>185</v>
      </c>
      <c r="H74" s="5">
        <f t="shared" si="12"/>
        <v>6739.4000000000005</v>
      </c>
      <c r="I74" s="5">
        <v>1.06</v>
      </c>
      <c r="J74" s="499"/>
      <c r="K74" s="501"/>
      <c r="M74" s="12">
        <f t="shared" si="13"/>
        <v>71</v>
      </c>
      <c r="N74" s="12" t="s">
        <v>107</v>
      </c>
      <c r="O74" s="12" t="s">
        <v>106</v>
      </c>
      <c r="P74" s="12"/>
      <c r="Q74" s="12"/>
      <c r="R74" s="12">
        <v>200</v>
      </c>
      <c r="S74" s="12">
        <v>191.2</v>
      </c>
      <c r="T74" s="12">
        <f t="shared" si="10"/>
        <v>7800.8999999999987</v>
      </c>
      <c r="U74" s="370">
        <v>1.2</v>
      </c>
      <c r="V74" s="731"/>
      <c r="W74" s="732"/>
    </row>
    <row r="75" spans="1:23">
      <c r="A75" s="5">
        <f t="shared" si="11"/>
        <v>72</v>
      </c>
      <c r="B75" s="5" t="s">
        <v>1019</v>
      </c>
      <c r="C75" s="5" t="s">
        <v>1586</v>
      </c>
      <c r="D75" s="5" t="s">
        <v>193</v>
      </c>
      <c r="E75" s="370">
        <v>0.36</v>
      </c>
      <c r="F75" s="5">
        <v>63</v>
      </c>
      <c r="G75" s="5">
        <v>3.3</v>
      </c>
      <c r="H75" s="5">
        <f t="shared" si="12"/>
        <v>6742.7000000000007</v>
      </c>
      <c r="I75" s="5">
        <v>1.06</v>
      </c>
      <c r="J75" s="499"/>
      <c r="K75" s="501"/>
      <c r="M75" s="12">
        <f t="shared" si="13"/>
        <v>72</v>
      </c>
      <c r="N75" s="12" t="s">
        <v>107</v>
      </c>
      <c r="O75" s="12" t="s">
        <v>106</v>
      </c>
      <c r="P75" s="12" t="s">
        <v>102</v>
      </c>
      <c r="Q75" s="12">
        <v>0.5</v>
      </c>
      <c r="R75" s="12">
        <v>200</v>
      </c>
      <c r="S75" s="12">
        <v>5</v>
      </c>
      <c r="T75" s="12">
        <f t="shared" si="10"/>
        <v>7805.8999999999987</v>
      </c>
      <c r="U75" s="370">
        <v>1.2</v>
      </c>
      <c r="V75" s="731"/>
      <c r="W75" s="732"/>
    </row>
    <row r="76" spans="1:23">
      <c r="A76" s="5">
        <f t="shared" si="11"/>
        <v>73</v>
      </c>
      <c r="B76" s="5" t="s">
        <v>1019</v>
      </c>
      <c r="C76" s="5" t="s">
        <v>1586</v>
      </c>
      <c r="D76" s="5"/>
      <c r="E76" s="5"/>
      <c r="F76" s="5">
        <v>63</v>
      </c>
      <c r="G76" s="5">
        <v>113.6</v>
      </c>
      <c r="H76" s="5">
        <f t="shared" si="12"/>
        <v>6856.3000000000011</v>
      </c>
      <c r="I76" s="5">
        <v>1.06</v>
      </c>
      <c r="J76" s="499"/>
      <c r="K76" s="501"/>
      <c r="M76" s="12">
        <f t="shared" si="13"/>
        <v>73</v>
      </c>
      <c r="N76" s="12" t="s">
        <v>106</v>
      </c>
      <c r="O76" s="12" t="s">
        <v>105</v>
      </c>
      <c r="P76" s="12" t="s">
        <v>102</v>
      </c>
      <c r="Q76" s="12">
        <v>0.5</v>
      </c>
      <c r="R76" s="12">
        <v>200</v>
      </c>
      <c r="S76" s="12">
        <v>25.1</v>
      </c>
      <c r="T76" s="12">
        <f t="shared" si="10"/>
        <v>7830.9999999999991</v>
      </c>
      <c r="U76" s="370">
        <v>1.2</v>
      </c>
      <c r="V76" s="731"/>
      <c r="W76" s="732"/>
    </row>
    <row r="77" spans="1:23">
      <c r="A77" s="5">
        <f t="shared" si="11"/>
        <v>74</v>
      </c>
      <c r="B77" s="5" t="s">
        <v>1586</v>
      </c>
      <c r="C77" s="5" t="s">
        <v>1103</v>
      </c>
      <c r="D77" s="5"/>
      <c r="E77" s="5"/>
      <c r="F77" s="5">
        <v>63</v>
      </c>
      <c r="G77" s="5">
        <v>74.5</v>
      </c>
      <c r="H77" s="5">
        <f t="shared" si="12"/>
        <v>6930.8000000000011</v>
      </c>
      <c r="I77" s="5">
        <v>1.06</v>
      </c>
      <c r="J77" s="499"/>
      <c r="K77" s="501"/>
      <c r="M77" s="12">
        <f t="shared" si="13"/>
        <v>74</v>
      </c>
      <c r="N77" s="12" t="s">
        <v>105</v>
      </c>
      <c r="O77" s="12" t="s">
        <v>76</v>
      </c>
      <c r="P77" s="12" t="s">
        <v>102</v>
      </c>
      <c r="Q77" s="12">
        <v>0.5</v>
      </c>
      <c r="R77" s="12">
        <v>200</v>
      </c>
      <c r="S77" s="12">
        <v>92.7</v>
      </c>
      <c r="T77" s="12">
        <f t="shared" si="10"/>
        <v>7923.6999999999989</v>
      </c>
      <c r="U77" s="370">
        <v>1.2</v>
      </c>
      <c r="V77" s="731"/>
      <c r="W77" s="732"/>
    </row>
    <row r="78" spans="1:23">
      <c r="A78" s="5">
        <f t="shared" si="11"/>
        <v>75</v>
      </c>
      <c r="B78" s="5" t="s">
        <v>1586</v>
      </c>
      <c r="C78" s="5" t="s">
        <v>957</v>
      </c>
      <c r="D78" s="5"/>
      <c r="E78" s="5"/>
      <c r="F78" s="5">
        <v>63</v>
      </c>
      <c r="G78" s="5">
        <v>47.1</v>
      </c>
      <c r="H78" s="5">
        <f t="shared" si="12"/>
        <v>6977.9000000000015</v>
      </c>
      <c r="I78" s="5">
        <v>1.06</v>
      </c>
      <c r="J78" s="499"/>
      <c r="K78" s="501"/>
      <c r="M78" s="12">
        <f t="shared" si="13"/>
        <v>75</v>
      </c>
      <c r="N78" s="12" t="s">
        <v>76</v>
      </c>
      <c r="O78" s="12" t="s">
        <v>132</v>
      </c>
      <c r="P78" s="12" t="s">
        <v>102</v>
      </c>
      <c r="Q78" s="12">
        <v>0.5</v>
      </c>
      <c r="R78" s="12">
        <v>200</v>
      </c>
      <c r="S78" s="12">
        <v>119.5</v>
      </c>
      <c r="T78" s="12">
        <f t="shared" si="10"/>
        <v>8043.1999999999989</v>
      </c>
      <c r="U78" s="370">
        <v>1.2</v>
      </c>
      <c r="V78" s="731"/>
      <c r="W78" s="732"/>
    </row>
    <row r="79" spans="1:23">
      <c r="A79" s="5">
        <f t="shared" si="11"/>
        <v>76</v>
      </c>
      <c r="B79" s="5" t="s">
        <v>957</v>
      </c>
      <c r="C79" s="5" t="s">
        <v>1587</v>
      </c>
      <c r="D79" s="5"/>
      <c r="E79" s="5"/>
      <c r="F79" s="5">
        <v>63</v>
      </c>
      <c r="G79" s="5">
        <v>36</v>
      </c>
      <c r="H79" s="5">
        <f t="shared" si="12"/>
        <v>7013.9000000000015</v>
      </c>
      <c r="I79" s="5">
        <v>1.06</v>
      </c>
      <c r="J79" s="499"/>
      <c r="K79" s="501"/>
      <c r="M79" s="12">
        <f t="shared" si="13"/>
        <v>76</v>
      </c>
      <c r="N79" s="12" t="s">
        <v>76</v>
      </c>
      <c r="O79" s="12" t="s">
        <v>127</v>
      </c>
      <c r="P79" s="12" t="s">
        <v>102</v>
      </c>
      <c r="Q79" s="12">
        <v>0.5</v>
      </c>
      <c r="R79" s="12">
        <v>200</v>
      </c>
      <c r="S79" s="12">
        <v>85.1</v>
      </c>
      <c r="T79" s="12">
        <f t="shared" si="10"/>
        <v>8128.2999999999993</v>
      </c>
      <c r="U79" s="370">
        <v>1.2</v>
      </c>
      <c r="V79" s="731"/>
      <c r="W79" s="732"/>
    </row>
    <row r="80" spans="1:23">
      <c r="A80" s="5">
        <f t="shared" si="11"/>
        <v>77</v>
      </c>
      <c r="B80" s="5" t="s">
        <v>1587</v>
      </c>
      <c r="C80" s="5" t="s">
        <v>1588</v>
      </c>
      <c r="D80" s="5"/>
      <c r="E80" s="5"/>
      <c r="F80" s="5">
        <v>63</v>
      </c>
      <c r="G80" s="5">
        <v>29.2</v>
      </c>
      <c r="H80" s="5">
        <f t="shared" si="12"/>
        <v>7043.1000000000013</v>
      </c>
      <c r="I80" s="5">
        <v>1.06</v>
      </c>
      <c r="J80" s="499"/>
      <c r="K80" s="501"/>
      <c r="M80" s="12">
        <f t="shared" si="13"/>
        <v>77</v>
      </c>
      <c r="N80" s="12" t="s">
        <v>127</v>
      </c>
      <c r="O80" s="12" t="s">
        <v>56</v>
      </c>
      <c r="P80" s="12" t="s">
        <v>102</v>
      </c>
      <c r="Q80" s="12">
        <v>0.5</v>
      </c>
      <c r="R80" s="12">
        <v>200</v>
      </c>
      <c r="S80" s="12">
        <v>133.5</v>
      </c>
      <c r="T80" s="12">
        <f t="shared" si="10"/>
        <v>8261.7999999999993</v>
      </c>
      <c r="U80" s="370">
        <v>1.2</v>
      </c>
      <c r="V80" s="731"/>
      <c r="W80" s="732"/>
    </row>
    <row r="81" spans="1:23">
      <c r="A81" s="5">
        <f t="shared" si="11"/>
        <v>78</v>
      </c>
      <c r="B81" s="5" t="s">
        <v>1587</v>
      </c>
      <c r="C81" s="5" t="s">
        <v>1116</v>
      </c>
      <c r="D81" s="5"/>
      <c r="E81" s="5"/>
      <c r="F81" s="5">
        <v>63</v>
      </c>
      <c r="G81" s="5">
        <v>162.1</v>
      </c>
      <c r="H81" s="5">
        <f t="shared" si="12"/>
        <v>7205.2000000000016</v>
      </c>
      <c r="I81" s="5">
        <v>1.06</v>
      </c>
      <c r="J81" s="499"/>
      <c r="K81" s="501"/>
      <c r="M81" s="12">
        <f t="shared" si="13"/>
        <v>78</v>
      </c>
      <c r="N81" s="12" t="s">
        <v>56</v>
      </c>
      <c r="O81" s="12" t="s">
        <v>832</v>
      </c>
      <c r="P81" s="12" t="s">
        <v>102</v>
      </c>
      <c r="Q81" s="12">
        <v>0.5</v>
      </c>
      <c r="R81" s="12">
        <v>200</v>
      </c>
      <c r="S81" s="12">
        <v>212.3</v>
      </c>
      <c r="T81" s="12">
        <f t="shared" si="10"/>
        <v>8474.0999999999985</v>
      </c>
      <c r="U81" s="370">
        <v>1.2</v>
      </c>
      <c r="V81" s="731"/>
      <c r="W81" s="732"/>
    </row>
    <row r="82" spans="1:23">
      <c r="A82" s="5">
        <f t="shared" si="11"/>
        <v>79</v>
      </c>
      <c r="B82" s="5" t="s">
        <v>1589</v>
      </c>
      <c r="C82" s="5" t="s">
        <v>1590</v>
      </c>
      <c r="D82" s="5"/>
      <c r="E82" s="5"/>
      <c r="F82" s="5">
        <v>63</v>
      </c>
      <c r="G82" s="5">
        <v>41.2</v>
      </c>
      <c r="H82" s="5">
        <f t="shared" si="12"/>
        <v>7246.4000000000015</v>
      </c>
      <c r="I82" s="5">
        <v>1.06</v>
      </c>
      <c r="J82" s="499"/>
      <c r="K82" s="501"/>
      <c r="M82" s="12">
        <f t="shared" si="13"/>
        <v>79</v>
      </c>
      <c r="N82" s="12" t="s">
        <v>832</v>
      </c>
      <c r="O82" s="12" t="s">
        <v>154</v>
      </c>
      <c r="P82" s="12" t="s">
        <v>102</v>
      </c>
      <c r="Q82" s="12">
        <v>0.5</v>
      </c>
      <c r="R82" s="12">
        <v>200</v>
      </c>
      <c r="S82" s="12">
        <v>61</v>
      </c>
      <c r="T82" s="12">
        <f t="shared" si="10"/>
        <v>8535.0999999999985</v>
      </c>
      <c r="U82" s="370">
        <v>1.2</v>
      </c>
      <c r="V82" s="731"/>
      <c r="W82" s="732"/>
    </row>
    <row r="83" spans="1:23" ht="15" customHeight="1">
      <c r="A83" s="5">
        <f t="shared" si="11"/>
        <v>80</v>
      </c>
      <c r="B83" s="5" t="s">
        <v>957</v>
      </c>
      <c r="C83" s="5" t="s">
        <v>1591</v>
      </c>
      <c r="D83" s="5" t="s">
        <v>193</v>
      </c>
      <c r="E83" s="370">
        <v>0.36</v>
      </c>
      <c r="F83" s="5">
        <v>63</v>
      </c>
      <c r="G83" s="5">
        <v>2.5</v>
      </c>
      <c r="H83" s="5">
        <f t="shared" si="12"/>
        <v>7248.9000000000015</v>
      </c>
      <c r="I83" s="5">
        <v>1.06</v>
      </c>
      <c r="J83" s="499"/>
      <c r="K83" s="501"/>
      <c r="M83" s="12">
        <f t="shared" si="13"/>
        <v>80</v>
      </c>
      <c r="N83" s="12" t="s">
        <v>832</v>
      </c>
      <c r="O83" s="12" t="s">
        <v>154</v>
      </c>
      <c r="P83" s="12" t="s">
        <v>38</v>
      </c>
      <c r="Q83" s="12"/>
      <c r="R83" s="12">
        <v>200</v>
      </c>
      <c r="S83" s="12">
        <v>4.7</v>
      </c>
      <c r="T83" s="12">
        <f t="shared" si="10"/>
        <v>8539.7999999999993</v>
      </c>
      <c r="U83" s="370">
        <v>1.2</v>
      </c>
      <c r="V83" s="731"/>
      <c r="W83" s="732"/>
    </row>
    <row r="84" spans="1:23">
      <c r="A84" s="5">
        <f t="shared" si="11"/>
        <v>81</v>
      </c>
      <c r="B84" s="5" t="s">
        <v>957</v>
      </c>
      <c r="C84" s="5" t="s">
        <v>1591</v>
      </c>
      <c r="D84" s="5"/>
      <c r="E84" s="5"/>
      <c r="F84" s="5">
        <v>63</v>
      </c>
      <c r="G84" s="5">
        <v>421.6</v>
      </c>
      <c r="H84" s="5">
        <f t="shared" si="12"/>
        <v>7670.5000000000018</v>
      </c>
      <c r="I84" s="5">
        <v>1.06</v>
      </c>
      <c r="J84" s="499"/>
      <c r="K84" s="501"/>
      <c r="M84" s="12">
        <f t="shared" si="13"/>
        <v>81</v>
      </c>
      <c r="N84" s="12" t="s">
        <v>832</v>
      </c>
      <c r="O84" s="12" t="s">
        <v>154</v>
      </c>
      <c r="P84" s="12" t="s">
        <v>102</v>
      </c>
      <c r="Q84" s="12">
        <v>0.5</v>
      </c>
      <c r="R84" s="12">
        <v>200</v>
      </c>
      <c r="S84" s="12">
        <v>12.3</v>
      </c>
      <c r="T84" s="12">
        <f t="shared" si="10"/>
        <v>8552.0999999999985</v>
      </c>
      <c r="U84" s="370">
        <v>1.2</v>
      </c>
      <c r="V84" s="731"/>
      <c r="W84" s="732"/>
    </row>
    <row r="85" spans="1:23" ht="15" customHeight="1">
      <c r="A85" s="5">
        <f t="shared" si="11"/>
        <v>82</v>
      </c>
      <c r="B85" s="5" t="s">
        <v>1591</v>
      </c>
      <c r="C85" s="5" t="s">
        <v>1085</v>
      </c>
      <c r="D85" s="5"/>
      <c r="E85" s="5"/>
      <c r="F85" s="5">
        <v>63</v>
      </c>
      <c r="G85" s="5">
        <v>2.1</v>
      </c>
      <c r="H85" s="5">
        <f t="shared" si="12"/>
        <v>7672.6000000000022</v>
      </c>
      <c r="I85" s="5">
        <v>1.06</v>
      </c>
      <c r="J85" s="499"/>
      <c r="K85" s="501"/>
      <c r="M85" s="12">
        <f t="shared" si="13"/>
        <v>82</v>
      </c>
      <c r="N85" s="12" t="s">
        <v>1614</v>
      </c>
      <c r="O85" s="12" t="s">
        <v>1676</v>
      </c>
      <c r="P85" s="12" t="s">
        <v>45</v>
      </c>
      <c r="Q85" s="12">
        <v>0.5</v>
      </c>
      <c r="R85" s="12">
        <v>200</v>
      </c>
      <c r="S85" s="12">
        <v>19.2</v>
      </c>
      <c r="T85" s="12">
        <f t="shared" si="10"/>
        <v>8571.2999999999993</v>
      </c>
      <c r="U85" s="370">
        <v>1.2</v>
      </c>
      <c r="V85" s="731"/>
      <c r="W85" s="732"/>
    </row>
    <row r="86" spans="1:23" ht="15" customHeight="1">
      <c r="A86" s="5">
        <f t="shared" si="11"/>
        <v>83</v>
      </c>
      <c r="B86" s="5" t="s">
        <v>1085</v>
      </c>
      <c r="C86" s="5" t="s">
        <v>1584</v>
      </c>
      <c r="D86" s="5"/>
      <c r="E86" s="5"/>
      <c r="F86" s="5">
        <v>63</v>
      </c>
      <c r="G86" s="5">
        <v>237</v>
      </c>
      <c r="H86" s="5">
        <f t="shared" si="12"/>
        <v>7909.6000000000022</v>
      </c>
      <c r="I86" s="5">
        <v>1.06</v>
      </c>
      <c r="J86" s="499"/>
      <c r="K86" s="501"/>
      <c r="M86" s="12">
        <f t="shared" si="13"/>
        <v>83</v>
      </c>
      <c r="N86" s="12" t="s">
        <v>1676</v>
      </c>
      <c r="O86" s="12" t="s">
        <v>1558</v>
      </c>
      <c r="P86" s="12" t="s">
        <v>45</v>
      </c>
      <c r="Q86" s="12">
        <v>0.5</v>
      </c>
      <c r="R86" s="12">
        <v>200</v>
      </c>
      <c r="S86" s="12">
        <v>101</v>
      </c>
      <c r="T86" s="12">
        <f t="shared" si="10"/>
        <v>8672.2999999999993</v>
      </c>
      <c r="U86" s="370">
        <v>1.2</v>
      </c>
      <c r="V86" s="731"/>
      <c r="W86" s="732"/>
    </row>
    <row r="87" spans="1:23" ht="15" customHeight="1">
      <c r="A87" s="5">
        <f t="shared" si="11"/>
        <v>84</v>
      </c>
      <c r="B87" s="5" t="s">
        <v>983</v>
      </c>
      <c r="C87" s="5" t="s">
        <v>1592</v>
      </c>
      <c r="D87" s="5"/>
      <c r="E87" s="5"/>
      <c r="F87" s="5">
        <v>63</v>
      </c>
      <c r="G87" s="5">
        <v>218.4</v>
      </c>
      <c r="H87" s="5">
        <f t="shared" si="12"/>
        <v>8128.0000000000018</v>
      </c>
      <c r="I87" s="5">
        <v>1.06</v>
      </c>
      <c r="J87" s="499"/>
      <c r="K87" s="501"/>
      <c r="M87" s="12">
        <f t="shared" si="13"/>
        <v>84</v>
      </c>
      <c r="N87" s="12" t="s">
        <v>1558</v>
      </c>
      <c r="O87" s="12" t="s">
        <v>1138</v>
      </c>
      <c r="P87" s="12" t="s">
        <v>45</v>
      </c>
      <c r="Q87" s="12">
        <v>0.5</v>
      </c>
      <c r="R87" s="12">
        <v>200</v>
      </c>
      <c r="S87" s="12">
        <v>29.3</v>
      </c>
      <c r="T87" s="12">
        <f t="shared" si="10"/>
        <v>8701.5999999999985</v>
      </c>
      <c r="U87" s="370">
        <v>1.2</v>
      </c>
      <c r="V87" s="731"/>
      <c r="W87" s="732"/>
    </row>
    <row r="88" spans="1:23" ht="15" customHeight="1">
      <c r="A88" s="5">
        <f t="shared" si="11"/>
        <v>85</v>
      </c>
      <c r="B88" s="5" t="s">
        <v>1592</v>
      </c>
      <c r="C88" s="5" t="s">
        <v>1085</v>
      </c>
      <c r="D88" s="5"/>
      <c r="E88" s="5"/>
      <c r="F88" s="5">
        <v>63</v>
      </c>
      <c r="G88" s="5">
        <v>142.6</v>
      </c>
      <c r="H88" s="5">
        <f t="shared" si="12"/>
        <v>8270.6000000000022</v>
      </c>
      <c r="I88" s="5">
        <v>1.06</v>
      </c>
      <c r="J88" s="499"/>
      <c r="K88" s="501"/>
      <c r="M88" s="12">
        <f t="shared" si="13"/>
        <v>85</v>
      </c>
      <c r="N88" s="12" t="s">
        <v>1138</v>
      </c>
      <c r="O88" s="12" t="s">
        <v>1651</v>
      </c>
      <c r="P88" s="372"/>
      <c r="Q88" s="12">
        <v>0.5</v>
      </c>
      <c r="R88" s="12">
        <v>200</v>
      </c>
      <c r="S88" s="12">
        <v>45</v>
      </c>
      <c r="T88" s="12">
        <f t="shared" si="10"/>
        <v>8746.5999999999985</v>
      </c>
      <c r="U88" s="370">
        <v>1.2</v>
      </c>
      <c r="V88" s="731"/>
      <c r="W88" s="732"/>
    </row>
    <row r="89" spans="1:23" ht="15" customHeight="1">
      <c r="A89" s="5">
        <f t="shared" si="11"/>
        <v>86</v>
      </c>
      <c r="B89" s="5" t="s">
        <v>1592</v>
      </c>
      <c r="C89" s="5" t="s">
        <v>1038</v>
      </c>
      <c r="D89" s="5"/>
      <c r="E89" s="5"/>
      <c r="F89" s="5">
        <v>63</v>
      </c>
      <c r="G89" s="5">
        <v>51.4</v>
      </c>
      <c r="H89" s="5">
        <f t="shared" si="12"/>
        <v>8322.0000000000018</v>
      </c>
      <c r="I89" s="5">
        <v>1.06</v>
      </c>
      <c r="J89" s="499"/>
      <c r="K89" s="501"/>
      <c r="M89" s="12">
        <f t="shared" si="13"/>
        <v>86</v>
      </c>
      <c r="N89" s="12" t="s">
        <v>1651</v>
      </c>
      <c r="O89" s="12" t="s">
        <v>1772</v>
      </c>
      <c r="P89" s="12" t="s">
        <v>45</v>
      </c>
      <c r="Q89" s="12">
        <v>0.5</v>
      </c>
      <c r="R89" s="12">
        <v>200</v>
      </c>
      <c r="S89" s="12">
        <v>46.4</v>
      </c>
      <c r="T89" s="12">
        <f t="shared" si="10"/>
        <v>8792.9999999999982</v>
      </c>
      <c r="U89" s="370">
        <v>1.2</v>
      </c>
      <c r="V89" s="731"/>
      <c r="W89" s="732"/>
    </row>
    <row r="90" spans="1:23">
      <c r="A90" s="5">
        <f t="shared" si="11"/>
        <v>87</v>
      </c>
      <c r="B90" s="5" t="s">
        <v>1038</v>
      </c>
      <c r="C90" s="5" t="s">
        <v>1041</v>
      </c>
      <c r="D90" s="5"/>
      <c r="E90" s="5"/>
      <c r="F90" s="5">
        <v>63</v>
      </c>
      <c r="G90" s="5">
        <v>128</v>
      </c>
      <c r="H90" s="5">
        <f t="shared" si="12"/>
        <v>8450.0000000000018</v>
      </c>
      <c r="I90" s="5">
        <v>1.06</v>
      </c>
      <c r="J90" s="499"/>
      <c r="K90" s="501"/>
      <c r="M90" s="12">
        <f t="shared" si="13"/>
        <v>87</v>
      </c>
      <c r="N90" s="12" t="s">
        <v>1641</v>
      </c>
      <c r="O90" s="12" t="s">
        <v>1653</v>
      </c>
      <c r="P90" s="12" t="s">
        <v>102</v>
      </c>
      <c r="Q90" s="12">
        <v>0.5</v>
      </c>
      <c r="R90" s="12">
        <v>200</v>
      </c>
      <c r="S90" s="12">
        <v>65.8</v>
      </c>
      <c r="T90" s="12">
        <f t="shared" si="10"/>
        <v>8858.7999999999975</v>
      </c>
      <c r="U90" s="370">
        <v>1.2</v>
      </c>
      <c r="V90" s="731"/>
      <c r="W90" s="732"/>
    </row>
    <row r="91" spans="1:23">
      <c r="A91" s="5">
        <f t="shared" si="11"/>
        <v>88</v>
      </c>
      <c r="B91" s="5" t="s">
        <v>1041</v>
      </c>
      <c r="C91" s="5" t="s">
        <v>1491</v>
      </c>
      <c r="D91" s="5"/>
      <c r="E91" s="5"/>
      <c r="F91" s="5">
        <v>63</v>
      </c>
      <c r="G91" s="5">
        <v>38</v>
      </c>
      <c r="H91" s="5">
        <f t="shared" si="12"/>
        <v>8488.0000000000018</v>
      </c>
      <c r="I91" s="5">
        <v>1.06</v>
      </c>
      <c r="J91" s="499"/>
      <c r="K91" s="501"/>
      <c r="M91" s="12">
        <f t="shared" si="13"/>
        <v>88</v>
      </c>
      <c r="N91" s="12" t="s">
        <v>1653</v>
      </c>
      <c r="O91" s="12" t="s">
        <v>1652</v>
      </c>
      <c r="P91" s="12" t="s">
        <v>102</v>
      </c>
      <c r="Q91" s="12">
        <v>0.5</v>
      </c>
      <c r="R91" s="12">
        <v>200</v>
      </c>
      <c r="S91" s="12">
        <v>75.599999999999994</v>
      </c>
      <c r="T91" s="12">
        <f t="shared" si="10"/>
        <v>8934.3999999999978</v>
      </c>
      <c r="U91" s="370">
        <v>1.2</v>
      </c>
      <c r="V91" s="731"/>
      <c r="W91" s="732"/>
    </row>
    <row r="92" spans="1:23">
      <c r="A92" s="5">
        <f t="shared" si="11"/>
        <v>89</v>
      </c>
      <c r="B92" s="5" t="s">
        <v>1041</v>
      </c>
      <c r="C92" s="5" t="s">
        <v>1593</v>
      </c>
      <c r="D92" s="5"/>
      <c r="E92" s="5"/>
      <c r="F92" s="5">
        <v>63</v>
      </c>
      <c r="G92" s="5">
        <v>3.9</v>
      </c>
      <c r="H92" s="5">
        <f t="shared" si="12"/>
        <v>8491.9000000000015</v>
      </c>
      <c r="I92" s="5">
        <v>1.06</v>
      </c>
      <c r="J92" s="499"/>
      <c r="K92" s="501"/>
      <c r="M92" s="12">
        <f t="shared" si="13"/>
        <v>89</v>
      </c>
      <c r="N92" s="12" t="s">
        <v>1772</v>
      </c>
      <c r="O92" s="12" t="s">
        <v>1773</v>
      </c>
      <c r="P92" s="12" t="s">
        <v>102</v>
      </c>
      <c r="Q92" s="12">
        <v>0.5</v>
      </c>
      <c r="R92" s="12">
        <v>200</v>
      </c>
      <c r="S92" s="12">
        <v>57.3</v>
      </c>
      <c r="T92" s="12">
        <f t="shared" si="10"/>
        <v>8991.6999999999971</v>
      </c>
      <c r="U92" s="370">
        <v>1.2</v>
      </c>
      <c r="V92" s="731"/>
      <c r="W92" s="732"/>
    </row>
    <row r="93" spans="1:23" ht="15" customHeight="1">
      <c r="A93" s="5">
        <f t="shared" si="11"/>
        <v>90</v>
      </c>
      <c r="B93" s="5" t="s">
        <v>1041</v>
      </c>
      <c r="C93" s="5" t="s">
        <v>1593</v>
      </c>
      <c r="D93" s="5" t="s">
        <v>199</v>
      </c>
      <c r="E93" s="370">
        <v>0.36</v>
      </c>
      <c r="F93" s="5">
        <v>63</v>
      </c>
      <c r="G93" s="5">
        <v>5.4</v>
      </c>
      <c r="H93" s="5">
        <f t="shared" si="12"/>
        <v>8497.3000000000011</v>
      </c>
      <c r="I93" s="5">
        <v>1.06</v>
      </c>
      <c r="J93" s="499"/>
      <c r="K93" s="501"/>
      <c r="M93" s="12">
        <f t="shared" si="13"/>
        <v>90</v>
      </c>
      <c r="N93" s="12" t="s">
        <v>1647</v>
      </c>
      <c r="O93" s="12" t="s">
        <v>1650</v>
      </c>
      <c r="P93" s="372"/>
      <c r="Q93" s="12">
        <v>0.5</v>
      </c>
      <c r="R93" s="12">
        <v>200</v>
      </c>
      <c r="S93" s="12">
        <v>70.599999999999994</v>
      </c>
      <c r="T93" s="12">
        <f t="shared" si="10"/>
        <v>9062.2999999999975</v>
      </c>
      <c r="U93" s="370">
        <v>1.2</v>
      </c>
      <c r="V93" s="731"/>
      <c r="W93" s="732"/>
    </row>
    <row r="94" spans="1:23" ht="15" customHeight="1">
      <c r="A94" s="5">
        <f t="shared" si="11"/>
        <v>91</v>
      </c>
      <c r="B94" s="5" t="s">
        <v>1041</v>
      </c>
      <c r="C94" s="5" t="s">
        <v>1593</v>
      </c>
      <c r="D94" s="5"/>
      <c r="E94" s="5"/>
      <c r="F94" s="5">
        <v>63</v>
      </c>
      <c r="G94" s="5">
        <v>258.10000000000002</v>
      </c>
      <c r="H94" s="5">
        <f t="shared" si="12"/>
        <v>8755.4000000000015</v>
      </c>
      <c r="I94" s="5">
        <v>1.06</v>
      </c>
      <c r="J94" s="499"/>
      <c r="K94" s="501"/>
      <c r="M94" s="12">
        <f t="shared" si="13"/>
        <v>91</v>
      </c>
      <c r="N94" s="12" t="s">
        <v>1650</v>
      </c>
      <c r="O94" s="12" t="s">
        <v>1613</v>
      </c>
      <c r="P94" s="372"/>
      <c r="Q94" s="12">
        <v>0.5</v>
      </c>
      <c r="R94" s="12">
        <v>200</v>
      </c>
      <c r="S94" s="12">
        <v>98.8</v>
      </c>
      <c r="T94" s="12">
        <f t="shared" si="10"/>
        <v>9161.0999999999967</v>
      </c>
      <c r="U94" s="370">
        <v>1.2</v>
      </c>
      <c r="V94" s="731"/>
      <c r="W94" s="732"/>
    </row>
    <row r="95" spans="1:23" ht="15" customHeight="1">
      <c r="A95" s="5">
        <f t="shared" si="11"/>
        <v>92</v>
      </c>
      <c r="B95" s="5" t="s">
        <v>1079</v>
      </c>
      <c r="C95" s="5" t="s">
        <v>1594</v>
      </c>
      <c r="D95" s="5"/>
      <c r="E95" s="5"/>
      <c r="F95" s="5">
        <v>63</v>
      </c>
      <c r="G95" s="5">
        <v>103.1</v>
      </c>
      <c r="H95" s="5">
        <f t="shared" si="12"/>
        <v>8858.5000000000018</v>
      </c>
      <c r="I95" s="5">
        <v>1.06</v>
      </c>
      <c r="J95" s="499"/>
      <c r="K95" s="501"/>
      <c r="M95" s="12">
        <f t="shared" si="13"/>
        <v>92</v>
      </c>
      <c r="N95" s="12" t="s">
        <v>1613</v>
      </c>
      <c r="O95" s="12" t="s">
        <v>1709</v>
      </c>
      <c r="P95" s="372"/>
      <c r="Q95" s="12">
        <v>0.5</v>
      </c>
      <c r="R95" s="12">
        <v>200</v>
      </c>
      <c r="S95" s="12">
        <v>45.6</v>
      </c>
      <c r="T95" s="12">
        <f t="shared" si="10"/>
        <v>9206.6999999999971</v>
      </c>
      <c r="U95" s="370">
        <v>1.2</v>
      </c>
      <c r="V95" s="731"/>
      <c r="W95" s="732"/>
    </row>
    <row r="96" spans="1:23" ht="15" customHeight="1">
      <c r="A96" s="5">
        <f t="shared" si="11"/>
        <v>93</v>
      </c>
      <c r="B96" s="5" t="s">
        <v>1076</v>
      </c>
      <c r="C96" s="5" t="s">
        <v>1165</v>
      </c>
      <c r="D96" s="5"/>
      <c r="E96" s="5"/>
      <c r="F96" s="5">
        <v>63</v>
      </c>
      <c r="G96" s="5">
        <v>386.2</v>
      </c>
      <c r="H96" s="5">
        <f t="shared" si="12"/>
        <v>9244.7000000000025</v>
      </c>
      <c r="I96" s="5">
        <v>1.06</v>
      </c>
      <c r="J96" s="499"/>
      <c r="K96" s="501"/>
      <c r="M96" s="12">
        <f t="shared" si="13"/>
        <v>93</v>
      </c>
      <c r="N96" s="12" t="s">
        <v>1189</v>
      </c>
      <c r="O96" s="12" t="s">
        <v>1641</v>
      </c>
      <c r="P96" s="372"/>
      <c r="Q96" s="12">
        <v>0.46</v>
      </c>
      <c r="R96" s="12">
        <v>160</v>
      </c>
      <c r="S96" s="12">
        <v>87.8</v>
      </c>
      <c r="T96" s="12">
        <f t="shared" si="10"/>
        <v>9294.4999999999964</v>
      </c>
      <c r="U96" s="17">
        <v>1.1599999999999999</v>
      </c>
      <c r="V96" s="731"/>
      <c r="W96" s="732"/>
    </row>
    <row r="97" spans="1:23" ht="15" customHeight="1">
      <c r="A97" s="5">
        <f t="shared" si="11"/>
        <v>94</v>
      </c>
      <c r="B97" s="5" t="s">
        <v>1165</v>
      </c>
      <c r="C97" s="5" t="s">
        <v>1038</v>
      </c>
      <c r="D97" s="5"/>
      <c r="E97" s="5"/>
      <c r="F97" s="5">
        <v>63</v>
      </c>
      <c r="G97" s="5">
        <v>73.400000000000006</v>
      </c>
      <c r="H97" s="5">
        <f t="shared" si="12"/>
        <v>9318.1000000000022</v>
      </c>
      <c r="I97" s="5">
        <v>1.06</v>
      </c>
      <c r="J97" s="499"/>
      <c r="K97" s="501"/>
      <c r="M97" s="12">
        <f t="shared" si="13"/>
        <v>94</v>
      </c>
      <c r="N97" s="12" t="s">
        <v>1061</v>
      </c>
      <c r="O97" s="12" t="s">
        <v>1774</v>
      </c>
      <c r="P97" s="372"/>
      <c r="Q97" s="12">
        <v>0.46</v>
      </c>
      <c r="R97" s="12">
        <v>160</v>
      </c>
      <c r="S97" s="12">
        <v>167.8</v>
      </c>
      <c r="T97" s="12">
        <f t="shared" si="10"/>
        <v>9462.2999999999956</v>
      </c>
      <c r="U97" s="17">
        <v>1.1599999999999999</v>
      </c>
      <c r="V97" s="731"/>
      <c r="W97" s="732"/>
    </row>
    <row r="98" spans="1:23" ht="15" customHeight="1">
      <c r="A98" s="5">
        <f t="shared" si="11"/>
        <v>95</v>
      </c>
      <c r="B98" s="5" t="s">
        <v>1165</v>
      </c>
      <c r="C98" s="5" t="s">
        <v>1595</v>
      </c>
      <c r="D98" s="5"/>
      <c r="E98" s="5"/>
      <c r="F98" s="5">
        <v>63</v>
      </c>
      <c r="G98" s="5">
        <v>35.200000000000003</v>
      </c>
      <c r="H98" s="5">
        <f t="shared" si="12"/>
        <v>9353.3000000000029</v>
      </c>
      <c r="I98" s="5">
        <v>1.06</v>
      </c>
      <c r="J98" s="499"/>
      <c r="K98" s="501"/>
      <c r="M98" s="12">
        <f t="shared" si="13"/>
        <v>95</v>
      </c>
      <c r="N98" s="12" t="s">
        <v>1061</v>
      </c>
      <c r="O98" s="12" t="s">
        <v>1577</v>
      </c>
      <c r="P98" s="370" t="s">
        <v>45</v>
      </c>
      <c r="Q98" s="12">
        <v>0.46</v>
      </c>
      <c r="R98" s="12">
        <v>160</v>
      </c>
      <c r="S98" s="12">
        <v>27.1</v>
      </c>
      <c r="T98" s="12">
        <f t="shared" si="10"/>
        <v>9489.399999999996</v>
      </c>
      <c r="U98" s="17">
        <v>1.1599999999999999</v>
      </c>
      <c r="V98" s="731"/>
      <c r="W98" s="732"/>
    </row>
    <row r="99" spans="1:23" ht="15" customHeight="1">
      <c r="A99" s="5">
        <f t="shared" si="11"/>
        <v>96</v>
      </c>
      <c r="B99" s="5" t="s">
        <v>1591</v>
      </c>
      <c r="C99" s="5" t="s">
        <v>1493</v>
      </c>
      <c r="D99" s="5"/>
      <c r="E99" s="5"/>
      <c r="F99" s="5">
        <v>63</v>
      </c>
      <c r="G99" s="5">
        <v>163.69999999999999</v>
      </c>
      <c r="H99" s="5">
        <f t="shared" si="12"/>
        <v>9517.0000000000036</v>
      </c>
      <c r="I99" s="5">
        <v>1.06</v>
      </c>
      <c r="J99" s="499"/>
      <c r="K99" s="501"/>
      <c r="M99" s="12">
        <f t="shared" si="13"/>
        <v>96</v>
      </c>
      <c r="N99" s="12" t="s">
        <v>1708</v>
      </c>
      <c r="O99" s="12" t="s">
        <v>1615</v>
      </c>
      <c r="P99" s="370"/>
      <c r="Q99" s="12">
        <v>0.44</v>
      </c>
      <c r="R99" s="12">
        <v>140</v>
      </c>
      <c r="S99" s="12">
        <v>25.1</v>
      </c>
      <c r="T99" s="12">
        <f t="shared" si="10"/>
        <v>9514.4999999999964</v>
      </c>
      <c r="U99" s="17">
        <v>1.1399999999999999</v>
      </c>
      <c r="V99" s="731"/>
      <c r="W99" s="732"/>
    </row>
    <row r="100" spans="1:23" ht="15" customHeight="1">
      <c r="A100" s="5">
        <f t="shared" si="11"/>
        <v>97</v>
      </c>
      <c r="B100" s="5" t="s">
        <v>1493</v>
      </c>
      <c r="C100" s="5" t="s">
        <v>1037</v>
      </c>
      <c r="D100" s="5"/>
      <c r="E100" s="5"/>
      <c r="F100" s="5">
        <v>63</v>
      </c>
      <c r="G100" s="5">
        <v>109.1</v>
      </c>
      <c r="H100" s="5">
        <f t="shared" si="12"/>
        <v>9626.100000000004</v>
      </c>
      <c r="I100" s="5">
        <v>1.06</v>
      </c>
      <c r="J100" s="499"/>
      <c r="K100" s="501"/>
      <c r="M100" s="12">
        <f t="shared" si="13"/>
        <v>97</v>
      </c>
      <c r="N100" s="12" t="s">
        <v>1708</v>
      </c>
      <c r="O100" s="12" t="s">
        <v>1615</v>
      </c>
      <c r="P100" s="370" t="s">
        <v>149</v>
      </c>
      <c r="Q100" s="12">
        <v>0.46</v>
      </c>
      <c r="R100" s="12">
        <v>140</v>
      </c>
      <c r="S100" s="12">
        <v>152.80000000000001</v>
      </c>
      <c r="T100" s="12">
        <f t="shared" si="10"/>
        <v>9667.2999999999956</v>
      </c>
      <c r="U100" s="17">
        <v>1.1399999999999999</v>
      </c>
      <c r="V100" s="731"/>
      <c r="W100" s="732"/>
    </row>
    <row r="101" spans="1:23" ht="15" customHeight="1">
      <c r="A101" s="5">
        <f t="shared" si="11"/>
        <v>98</v>
      </c>
      <c r="B101" s="5" t="s">
        <v>1037</v>
      </c>
      <c r="C101" s="5" t="s">
        <v>954</v>
      </c>
      <c r="D101" s="5"/>
      <c r="E101" s="5"/>
      <c r="F101" s="5">
        <v>63</v>
      </c>
      <c r="G101" s="5">
        <v>90.7</v>
      </c>
      <c r="H101" s="5">
        <f t="shared" si="12"/>
        <v>9716.8000000000047</v>
      </c>
      <c r="I101" s="5">
        <v>1.06</v>
      </c>
      <c r="J101" s="499"/>
      <c r="K101" s="501"/>
      <c r="M101" s="12">
        <f t="shared" si="13"/>
        <v>98</v>
      </c>
      <c r="N101" s="12" t="s">
        <v>1576</v>
      </c>
      <c r="O101" s="12" t="s">
        <v>1577</v>
      </c>
      <c r="P101" s="370"/>
      <c r="Q101" s="372"/>
      <c r="R101" s="12">
        <v>140</v>
      </c>
      <c r="S101" s="12">
        <v>20</v>
      </c>
      <c r="T101" s="12">
        <f t="shared" si="10"/>
        <v>9687.2999999999956</v>
      </c>
      <c r="U101" s="17">
        <v>1.1399999999999999</v>
      </c>
      <c r="V101" s="731"/>
      <c r="W101" s="732"/>
    </row>
    <row r="102" spans="1:23" ht="15" customHeight="1">
      <c r="A102" s="5">
        <f t="shared" si="11"/>
        <v>99</v>
      </c>
      <c r="B102" s="5" t="s">
        <v>954</v>
      </c>
      <c r="C102" s="5" t="s">
        <v>1496</v>
      </c>
      <c r="D102" s="5"/>
      <c r="E102" s="5"/>
      <c r="F102" s="5">
        <v>63</v>
      </c>
      <c r="G102" s="5">
        <v>49.2</v>
      </c>
      <c r="H102" s="5">
        <f t="shared" si="12"/>
        <v>9766.0000000000055</v>
      </c>
      <c r="I102" s="5">
        <v>1.06</v>
      </c>
      <c r="J102" s="499"/>
      <c r="K102" s="501"/>
      <c r="M102" s="12">
        <f t="shared" si="13"/>
        <v>99</v>
      </c>
      <c r="N102" s="12" t="s">
        <v>1576</v>
      </c>
      <c r="O102" s="12" t="s">
        <v>1577</v>
      </c>
      <c r="P102" s="370" t="s">
        <v>45</v>
      </c>
      <c r="Q102" s="12">
        <v>0.44</v>
      </c>
      <c r="R102" s="12">
        <v>140</v>
      </c>
      <c r="S102" s="12">
        <v>52</v>
      </c>
      <c r="T102" s="12">
        <f t="shared" si="10"/>
        <v>9739.2999999999956</v>
      </c>
      <c r="U102" s="17">
        <v>1.1399999999999999</v>
      </c>
      <c r="V102" s="731"/>
      <c r="W102" s="732"/>
    </row>
    <row r="103" spans="1:23" ht="15" customHeight="1">
      <c r="A103" s="5">
        <f t="shared" si="11"/>
        <v>100</v>
      </c>
      <c r="B103" s="5" t="s">
        <v>954</v>
      </c>
      <c r="C103" s="5" t="s">
        <v>1596</v>
      </c>
      <c r="D103" s="5"/>
      <c r="E103" s="5"/>
      <c r="F103" s="5">
        <v>63</v>
      </c>
      <c r="G103" s="5">
        <v>52.1</v>
      </c>
      <c r="H103" s="5">
        <f t="shared" si="12"/>
        <v>9818.1000000000058</v>
      </c>
      <c r="I103" s="5">
        <v>1.06</v>
      </c>
      <c r="J103" s="499"/>
      <c r="K103" s="501"/>
      <c r="M103" s="12">
        <f t="shared" si="13"/>
        <v>100</v>
      </c>
      <c r="N103" s="12" t="s">
        <v>828</v>
      </c>
      <c r="O103" s="12" t="s">
        <v>119</v>
      </c>
      <c r="P103" s="372"/>
      <c r="Q103" s="12"/>
      <c r="R103" s="12">
        <v>110</v>
      </c>
      <c r="S103" s="12">
        <v>122.7</v>
      </c>
      <c r="T103" s="12">
        <f t="shared" si="10"/>
        <v>9861.9999999999964</v>
      </c>
      <c r="U103" s="17">
        <v>1.1000000000000001</v>
      </c>
      <c r="V103" s="731"/>
      <c r="W103" s="732"/>
    </row>
    <row r="104" spans="1:23" ht="15" customHeight="1">
      <c r="A104" s="5">
        <f t="shared" si="11"/>
        <v>101</v>
      </c>
      <c r="B104" s="5" t="s">
        <v>1596</v>
      </c>
      <c r="C104" s="5" t="s">
        <v>1117</v>
      </c>
      <c r="D104" s="5"/>
      <c r="E104" s="5"/>
      <c r="F104" s="5">
        <v>63</v>
      </c>
      <c r="G104" s="5">
        <v>38.200000000000003</v>
      </c>
      <c r="H104" s="5">
        <f t="shared" si="12"/>
        <v>9856.3000000000065</v>
      </c>
      <c r="I104" s="5">
        <v>1.06</v>
      </c>
      <c r="J104" s="499"/>
      <c r="K104" s="501"/>
      <c r="M104" s="12">
        <f t="shared" si="13"/>
        <v>101</v>
      </c>
      <c r="N104" s="12" t="s">
        <v>119</v>
      </c>
      <c r="O104" s="12" t="s">
        <v>140</v>
      </c>
      <c r="P104" s="372"/>
      <c r="Q104" s="372"/>
      <c r="R104" s="12">
        <v>110</v>
      </c>
      <c r="S104" s="12">
        <v>105.3</v>
      </c>
      <c r="T104" s="12">
        <f t="shared" si="10"/>
        <v>9967.2999999999956</v>
      </c>
      <c r="U104" s="17">
        <v>1.1000000000000001</v>
      </c>
      <c r="V104" s="731"/>
      <c r="W104" s="732"/>
    </row>
    <row r="105" spans="1:23" ht="15" customHeight="1">
      <c r="A105" s="5">
        <f t="shared" si="11"/>
        <v>102</v>
      </c>
      <c r="B105" s="5" t="s">
        <v>1596</v>
      </c>
      <c r="C105" s="5" t="s">
        <v>1149</v>
      </c>
      <c r="D105" s="5"/>
      <c r="E105" s="5"/>
      <c r="F105" s="5">
        <v>63</v>
      </c>
      <c r="G105" s="5">
        <v>20.6</v>
      </c>
      <c r="H105" s="5">
        <f t="shared" si="12"/>
        <v>9876.9000000000069</v>
      </c>
      <c r="I105" s="5">
        <v>1.06</v>
      </c>
      <c r="J105" s="499"/>
      <c r="K105" s="501"/>
      <c r="M105" s="12">
        <f t="shared" si="13"/>
        <v>102</v>
      </c>
      <c r="N105" s="12" t="s">
        <v>1363</v>
      </c>
      <c r="O105" s="12" t="s">
        <v>728</v>
      </c>
      <c r="P105" s="372"/>
      <c r="Q105" s="372"/>
      <c r="R105" s="12">
        <v>110</v>
      </c>
      <c r="S105" s="12">
        <v>77.8</v>
      </c>
      <c r="T105" s="12">
        <f t="shared" si="10"/>
        <v>10045.099999999995</v>
      </c>
      <c r="U105" s="17">
        <v>1.1000000000000001</v>
      </c>
      <c r="V105" s="731"/>
      <c r="W105" s="732"/>
    </row>
    <row r="106" spans="1:23" ht="15" customHeight="1">
      <c r="A106" s="5">
        <f t="shared" si="11"/>
        <v>103</v>
      </c>
      <c r="B106" s="5" t="s">
        <v>1149</v>
      </c>
      <c r="C106" s="5" t="s">
        <v>1161</v>
      </c>
      <c r="D106" s="5"/>
      <c r="E106" s="5"/>
      <c r="F106" s="5">
        <v>63</v>
      </c>
      <c r="G106" s="5">
        <v>68.2</v>
      </c>
      <c r="H106" s="5">
        <f t="shared" si="12"/>
        <v>9945.1000000000076</v>
      </c>
      <c r="I106" s="5">
        <v>1.06</v>
      </c>
      <c r="J106" s="499"/>
      <c r="K106" s="501"/>
      <c r="M106" s="12">
        <f t="shared" si="13"/>
        <v>103</v>
      </c>
      <c r="N106" s="12" t="s">
        <v>1363</v>
      </c>
      <c r="O106" s="12" t="s">
        <v>72</v>
      </c>
      <c r="P106" s="372"/>
      <c r="Q106" s="372"/>
      <c r="R106" s="12">
        <v>110</v>
      </c>
      <c r="S106" s="12">
        <v>74.8</v>
      </c>
      <c r="T106" s="12">
        <f t="shared" si="10"/>
        <v>10119.899999999994</v>
      </c>
      <c r="U106" s="17">
        <v>1.1000000000000001</v>
      </c>
      <c r="V106" s="731"/>
      <c r="W106" s="732"/>
    </row>
    <row r="107" spans="1:23" ht="15" customHeight="1">
      <c r="A107" s="5">
        <f t="shared" si="11"/>
        <v>104</v>
      </c>
      <c r="B107" s="5" t="s">
        <v>1149</v>
      </c>
      <c r="C107" s="5" t="s">
        <v>1091</v>
      </c>
      <c r="D107" s="5"/>
      <c r="E107" s="5"/>
      <c r="F107" s="5">
        <v>63</v>
      </c>
      <c r="G107" s="5">
        <v>120.2</v>
      </c>
      <c r="H107" s="5">
        <f t="shared" si="12"/>
        <v>10065.300000000008</v>
      </c>
      <c r="I107" s="5">
        <v>1.06</v>
      </c>
      <c r="J107" s="499"/>
      <c r="K107" s="501"/>
      <c r="M107" s="12">
        <f t="shared" si="13"/>
        <v>104</v>
      </c>
      <c r="N107" s="12" t="s">
        <v>1685</v>
      </c>
      <c r="O107" s="12" t="s">
        <v>1775</v>
      </c>
      <c r="P107" s="372"/>
      <c r="Q107" s="372"/>
      <c r="R107" s="12">
        <v>110</v>
      </c>
      <c r="S107" s="12">
        <v>106.4</v>
      </c>
      <c r="T107" s="12">
        <f t="shared" si="10"/>
        <v>10226.299999999994</v>
      </c>
      <c r="U107" s="17">
        <v>1.1000000000000001</v>
      </c>
      <c r="V107" s="731"/>
      <c r="W107" s="732"/>
    </row>
    <row r="108" spans="1:23" ht="15" customHeight="1">
      <c r="A108" s="5">
        <f t="shared" si="11"/>
        <v>105</v>
      </c>
      <c r="B108" s="5" t="s">
        <v>1091</v>
      </c>
      <c r="C108" s="5" t="s">
        <v>1102</v>
      </c>
      <c r="D108" s="5"/>
      <c r="E108" s="5"/>
      <c r="F108" s="5">
        <v>63</v>
      </c>
      <c r="G108" s="5">
        <v>153.6</v>
      </c>
      <c r="H108" s="5">
        <f t="shared" si="12"/>
        <v>10218.900000000009</v>
      </c>
      <c r="I108" s="5">
        <v>1.06</v>
      </c>
      <c r="J108" s="499"/>
      <c r="K108" s="501"/>
      <c r="M108" s="12">
        <f t="shared" si="13"/>
        <v>105</v>
      </c>
      <c r="N108" s="12" t="s">
        <v>72</v>
      </c>
      <c r="O108" s="12" t="s">
        <v>41</v>
      </c>
      <c r="P108" s="372"/>
      <c r="Q108" s="372"/>
      <c r="R108" s="12">
        <v>90</v>
      </c>
      <c r="S108" s="12">
        <v>79.2</v>
      </c>
      <c r="T108" s="12">
        <f t="shared" si="10"/>
        <v>10305.499999999995</v>
      </c>
      <c r="U108" s="17">
        <v>1.0900000000000001</v>
      </c>
      <c r="V108" s="731"/>
      <c r="W108" s="732"/>
    </row>
    <row r="109" spans="1:23" ht="15" customHeight="1">
      <c r="A109" s="5">
        <f t="shared" si="11"/>
        <v>106</v>
      </c>
      <c r="B109" s="5" t="s">
        <v>1102</v>
      </c>
      <c r="C109" s="5" t="s">
        <v>1161</v>
      </c>
      <c r="D109" s="5"/>
      <c r="E109" s="5"/>
      <c r="F109" s="5">
        <v>63</v>
      </c>
      <c r="G109" s="5">
        <v>51.3</v>
      </c>
      <c r="H109" s="5">
        <f t="shared" si="12"/>
        <v>10270.200000000008</v>
      </c>
      <c r="I109" s="5">
        <v>1.06</v>
      </c>
      <c r="J109" s="499"/>
      <c r="K109" s="501"/>
      <c r="M109" s="12">
        <f t="shared" si="13"/>
        <v>106</v>
      </c>
      <c r="N109" s="12" t="s">
        <v>1138</v>
      </c>
      <c r="O109" s="12" t="s">
        <v>1776</v>
      </c>
      <c r="P109" s="372"/>
      <c r="Q109" s="372"/>
      <c r="R109" s="12">
        <v>63</v>
      </c>
      <c r="S109" s="12">
        <v>32</v>
      </c>
      <c r="T109" s="12">
        <f t="shared" si="10"/>
        <v>10337.499999999995</v>
      </c>
      <c r="U109" s="17">
        <v>1.06</v>
      </c>
      <c r="V109" s="731"/>
      <c r="W109" s="732"/>
    </row>
    <row r="110" spans="1:23" ht="15" customHeight="1">
      <c r="A110" s="5">
        <f t="shared" si="11"/>
        <v>107</v>
      </c>
      <c r="B110" s="5" t="s">
        <v>1091</v>
      </c>
      <c r="C110" s="5" t="s">
        <v>1182</v>
      </c>
      <c r="D110" s="5"/>
      <c r="E110" s="5"/>
      <c r="F110" s="5">
        <v>63</v>
      </c>
      <c r="G110" s="5">
        <v>28.3</v>
      </c>
      <c r="H110" s="5">
        <f t="shared" si="12"/>
        <v>10298.500000000007</v>
      </c>
      <c r="I110" s="5">
        <v>1.06</v>
      </c>
      <c r="J110" s="499"/>
      <c r="K110" s="501"/>
      <c r="M110" s="12">
        <f t="shared" si="13"/>
        <v>107</v>
      </c>
      <c r="N110" s="12" t="s">
        <v>1564</v>
      </c>
      <c r="O110" s="12" t="s">
        <v>1565</v>
      </c>
      <c r="P110" s="372"/>
      <c r="Q110" s="372"/>
      <c r="R110" s="12">
        <v>63</v>
      </c>
      <c r="S110" s="12">
        <v>31</v>
      </c>
      <c r="T110" s="12">
        <f t="shared" si="10"/>
        <v>10368.499999999995</v>
      </c>
      <c r="U110" s="17">
        <v>1.06</v>
      </c>
      <c r="V110" s="731"/>
      <c r="W110" s="732"/>
    </row>
    <row r="111" spans="1:23" ht="15" customHeight="1">
      <c r="A111" s="5">
        <f t="shared" si="11"/>
        <v>108</v>
      </c>
      <c r="B111" s="5" t="s">
        <v>1182</v>
      </c>
      <c r="C111" s="5" t="s">
        <v>1597</v>
      </c>
      <c r="D111" s="5"/>
      <c r="E111" s="5"/>
      <c r="F111" s="5">
        <v>63</v>
      </c>
      <c r="G111" s="5">
        <v>89.3</v>
      </c>
      <c r="H111" s="5">
        <f t="shared" si="12"/>
        <v>10387.800000000007</v>
      </c>
      <c r="I111" s="5">
        <v>1.06</v>
      </c>
      <c r="J111" s="499"/>
      <c r="K111" s="501"/>
      <c r="M111" s="12">
        <f t="shared" si="13"/>
        <v>108</v>
      </c>
      <c r="N111" s="12" t="s">
        <v>913</v>
      </c>
      <c r="O111" s="12" t="s">
        <v>1197</v>
      </c>
      <c r="P111" s="372"/>
      <c r="Q111" s="372"/>
      <c r="R111" s="12">
        <v>63</v>
      </c>
      <c r="S111" s="12">
        <v>21.1</v>
      </c>
      <c r="T111" s="12">
        <f t="shared" si="10"/>
        <v>10389.599999999995</v>
      </c>
      <c r="U111" s="17">
        <v>1.06</v>
      </c>
      <c r="V111" s="731"/>
      <c r="W111" s="732"/>
    </row>
    <row r="112" spans="1:23" ht="15" customHeight="1">
      <c r="A112" s="5">
        <f t="shared" si="11"/>
        <v>109</v>
      </c>
      <c r="B112" s="5" t="s">
        <v>1182</v>
      </c>
      <c r="C112" s="5" t="s">
        <v>1094</v>
      </c>
      <c r="D112" s="5"/>
      <c r="E112" s="5"/>
      <c r="F112" s="5">
        <v>63</v>
      </c>
      <c r="G112" s="5">
        <v>45.2</v>
      </c>
      <c r="H112" s="5">
        <f t="shared" si="12"/>
        <v>10433.000000000007</v>
      </c>
      <c r="I112" s="5">
        <v>1.06</v>
      </c>
      <c r="J112" s="499"/>
      <c r="K112" s="501"/>
      <c r="M112" s="12">
        <f t="shared" si="13"/>
        <v>109</v>
      </c>
      <c r="N112" s="12" t="s">
        <v>37</v>
      </c>
      <c r="O112" s="12" t="s">
        <v>62</v>
      </c>
      <c r="P112" s="370" t="s">
        <v>149</v>
      </c>
      <c r="Q112" s="372">
        <v>0.46</v>
      </c>
      <c r="R112" s="12">
        <v>63</v>
      </c>
      <c r="S112" s="12">
        <v>97</v>
      </c>
      <c r="T112" s="12">
        <f t="shared" si="10"/>
        <v>10486.599999999995</v>
      </c>
      <c r="U112" s="17">
        <v>1.06</v>
      </c>
      <c r="V112" s="731"/>
      <c r="W112" s="732"/>
    </row>
    <row r="113" spans="1:23" ht="15" customHeight="1">
      <c r="A113" s="5">
        <f t="shared" si="11"/>
        <v>110</v>
      </c>
      <c r="B113" s="5" t="s">
        <v>1203</v>
      </c>
      <c r="C113" s="5" t="s">
        <v>1598</v>
      </c>
      <c r="D113" s="5"/>
      <c r="E113" s="5"/>
      <c r="F113" s="5">
        <v>63</v>
      </c>
      <c r="G113" s="5">
        <v>94.1</v>
      </c>
      <c r="H113" s="5">
        <f t="shared" si="12"/>
        <v>10527.100000000008</v>
      </c>
      <c r="I113" s="5">
        <v>1.06</v>
      </c>
      <c r="J113" s="499"/>
      <c r="K113" s="501"/>
      <c r="M113" s="12">
        <f t="shared" si="13"/>
        <v>110</v>
      </c>
      <c r="N113" s="12" t="s">
        <v>91</v>
      </c>
      <c r="O113" s="12" t="s">
        <v>104</v>
      </c>
      <c r="P113" s="370" t="s">
        <v>45</v>
      </c>
      <c r="Q113" s="370">
        <v>0.36</v>
      </c>
      <c r="R113" s="12">
        <v>63</v>
      </c>
      <c r="S113" s="12">
        <v>298.7</v>
      </c>
      <c r="T113" s="12">
        <f t="shared" si="10"/>
        <v>10785.299999999996</v>
      </c>
      <c r="U113" s="17">
        <v>1.06</v>
      </c>
      <c r="V113" s="731"/>
      <c r="W113" s="732"/>
    </row>
    <row r="114" spans="1:23" ht="15" customHeight="1">
      <c r="A114" s="5">
        <f t="shared" si="11"/>
        <v>111</v>
      </c>
      <c r="B114" s="5" t="s">
        <v>1598</v>
      </c>
      <c r="C114" s="5" t="s">
        <v>1557</v>
      </c>
      <c r="D114" s="5"/>
      <c r="E114" s="5"/>
      <c r="F114" s="5">
        <v>63</v>
      </c>
      <c r="G114" s="5">
        <v>63.3</v>
      </c>
      <c r="H114" s="5">
        <f t="shared" si="12"/>
        <v>10590.400000000007</v>
      </c>
      <c r="I114" s="5">
        <v>1.06</v>
      </c>
      <c r="J114" s="499"/>
      <c r="K114" s="501"/>
      <c r="M114" s="12">
        <f t="shared" si="13"/>
        <v>111</v>
      </c>
      <c r="N114" s="12" t="s">
        <v>164</v>
      </c>
      <c r="O114" s="12" t="s">
        <v>69</v>
      </c>
      <c r="P114" s="370" t="s">
        <v>149</v>
      </c>
      <c r="Q114" s="372">
        <v>0.46</v>
      </c>
      <c r="R114" s="12">
        <v>63</v>
      </c>
      <c r="S114" s="12">
        <v>133</v>
      </c>
      <c r="T114" s="12">
        <f t="shared" si="10"/>
        <v>10918.299999999996</v>
      </c>
      <c r="U114" s="17">
        <v>1.06</v>
      </c>
      <c r="V114" s="731"/>
      <c r="W114" s="732"/>
    </row>
    <row r="115" spans="1:23" ht="15" customHeight="1">
      <c r="A115" s="5">
        <f t="shared" si="11"/>
        <v>112</v>
      </c>
      <c r="B115" s="5" t="s">
        <v>1598</v>
      </c>
      <c r="C115" s="5" t="s">
        <v>1557</v>
      </c>
      <c r="D115" s="5" t="s">
        <v>199</v>
      </c>
      <c r="E115" s="370">
        <v>0.36</v>
      </c>
      <c r="F115" s="5">
        <v>63</v>
      </c>
      <c r="G115" s="5">
        <v>76.3</v>
      </c>
      <c r="H115" s="5">
        <f t="shared" si="12"/>
        <v>10666.700000000006</v>
      </c>
      <c r="I115" s="5">
        <v>1.06</v>
      </c>
      <c r="J115" s="499"/>
      <c r="K115" s="501"/>
      <c r="M115" s="12">
        <f t="shared" si="13"/>
        <v>112</v>
      </c>
      <c r="N115" s="12" t="s">
        <v>51</v>
      </c>
      <c r="O115" s="12" t="s">
        <v>67</v>
      </c>
      <c r="P115" s="370" t="s">
        <v>45</v>
      </c>
      <c r="Q115" s="370">
        <v>0.36</v>
      </c>
      <c r="R115" s="12">
        <v>63</v>
      </c>
      <c r="S115" s="12">
        <v>238.4</v>
      </c>
      <c r="T115" s="12">
        <f t="shared" si="10"/>
        <v>11156.699999999995</v>
      </c>
      <c r="U115" s="17">
        <v>1.06</v>
      </c>
      <c r="V115" s="731"/>
      <c r="W115" s="732"/>
    </row>
    <row r="116" spans="1:23" ht="15" customHeight="1">
      <c r="A116" s="5">
        <f t="shared" si="11"/>
        <v>113</v>
      </c>
      <c r="B116" s="5" t="s">
        <v>1557</v>
      </c>
      <c r="C116" s="5" t="s">
        <v>1599</v>
      </c>
      <c r="D116" s="5"/>
      <c r="E116" s="5"/>
      <c r="F116" s="5">
        <v>63</v>
      </c>
      <c r="G116" s="5">
        <v>64.5</v>
      </c>
      <c r="H116" s="5">
        <f t="shared" si="12"/>
        <v>10731.200000000006</v>
      </c>
      <c r="I116" s="5">
        <v>1.06</v>
      </c>
      <c r="J116" s="499"/>
      <c r="K116" s="501"/>
      <c r="M116" s="12">
        <f t="shared" si="13"/>
        <v>113</v>
      </c>
      <c r="N116" s="12" t="s">
        <v>67</v>
      </c>
      <c r="O116" s="12" t="s">
        <v>1418</v>
      </c>
      <c r="P116" s="370" t="s">
        <v>45</v>
      </c>
      <c r="Q116" s="370">
        <v>0.36</v>
      </c>
      <c r="R116" s="12">
        <v>63</v>
      </c>
      <c r="S116" s="12">
        <v>11.2</v>
      </c>
      <c r="T116" s="12">
        <f t="shared" si="10"/>
        <v>11167.899999999996</v>
      </c>
      <c r="U116" s="17">
        <v>1.06</v>
      </c>
      <c r="V116" s="731"/>
      <c r="W116" s="732"/>
    </row>
    <row r="117" spans="1:23" ht="15" customHeight="1">
      <c r="A117" s="5">
        <f t="shared" si="11"/>
        <v>114</v>
      </c>
      <c r="B117" s="5" t="s">
        <v>1599</v>
      </c>
      <c r="C117" s="5" t="s">
        <v>1598</v>
      </c>
      <c r="D117" s="5"/>
      <c r="E117" s="5"/>
      <c r="F117" s="5">
        <v>63</v>
      </c>
      <c r="G117" s="5">
        <v>90.6</v>
      </c>
      <c r="H117" s="5">
        <f t="shared" si="12"/>
        <v>10821.800000000007</v>
      </c>
      <c r="I117" s="5">
        <v>1.06</v>
      </c>
      <c r="J117" s="499"/>
      <c r="K117" s="501"/>
      <c r="M117" s="12">
        <f t="shared" si="13"/>
        <v>114</v>
      </c>
      <c r="N117" s="12" t="s">
        <v>1418</v>
      </c>
      <c r="O117" s="12" t="s">
        <v>124</v>
      </c>
      <c r="P117" s="370" t="s">
        <v>45</v>
      </c>
      <c r="Q117" s="370">
        <v>0.36</v>
      </c>
      <c r="R117" s="12">
        <v>63</v>
      </c>
      <c r="S117" s="12">
        <v>44.5</v>
      </c>
      <c r="T117" s="12">
        <f t="shared" si="10"/>
        <v>11212.399999999996</v>
      </c>
      <c r="U117" s="17">
        <v>1.06</v>
      </c>
      <c r="V117" s="731"/>
      <c r="W117" s="732"/>
    </row>
    <row r="118" spans="1:23" ht="15" customHeight="1">
      <c r="A118" s="5">
        <f t="shared" si="11"/>
        <v>115</v>
      </c>
      <c r="B118" s="5" t="s">
        <v>1599</v>
      </c>
      <c r="C118" s="5" t="s">
        <v>1600</v>
      </c>
      <c r="D118" s="5"/>
      <c r="E118" s="5"/>
      <c r="F118" s="5">
        <v>63</v>
      </c>
      <c r="G118" s="5">
        <v>152.5</v>
      </c>
      <c r="H118" s="5">
        <f t="shared" si="12"/>
        <v>10974.300000000007</v>
      </c>
      <c r="I118" s="5">
        <v>1.06</v>
      </c>
      <c r="J118" s="499"/>
      <c r="K118" s="501"/>
      <c r="M118" s="12">
        <f t="shared" si="13"/>
        <v>115</v>
      </c>
      <c r="N118" s="12" t="s">
        <v>124</v>
      </c>
      <c r="O118" s="12" t="s">
        <v>833</v>
      </c>
      <c r="P118" s="370" t="s">
        <v>45</v>
      </c>
      <c r="Q118" s="370">
        <v>0.36</v>
      </c>
      <c r="R118" s="12">
        <v>63</v>
      </c>
      <c r="S118" s="12">
        <v>45.5</v>
      </c>
      <c r="T118" s="12">
        <f t="shared" si="10"/>
        <v>11257.899999999996</v>
      </c>
      <c r="U118" s="17">
        <v>1.06</v>
      </c>
      <c r="V118" s="731"/>
      <c r="W118" s="732"/>
    </row>
    <row r="119" spans="1:23" ht="15" customHeight="1">
      <c r="A119" s="5">
        <f t="shared" si="11"/>
        <v>116</v>
      </c>
      <c r="B119" s="5" t="s">
        <v>1601</v>
      </c>
      <c r="C119" s="5" t="s">
        <v>1602</v>
      </c>
      <c r="D119" s="5"/>
      <c r="E119" s="5"/>
      <c r="F119" s="5">
        <v>63</v>
      </c>
      <c r="G119" s="5">
        <v>5.8</v>
      </c>
      <c r="H119" s="5">
        <f t="shared" si="12"/>
        <v>10980.100000000006</v>
      </c>
      <c r="I119" s="5">
        <v>1.06</v>
      </c>
      <c r="J119" s="499"/>
      <c r="K119" s="501"/>
      <c r="M119" s="12">
        <f t="shared" si="13"/>
        <v>116</v>
      </c>
      <c r="N119" s="12" t="s">
        <v>833</v>
      </c>
      <c r="O119" s="12" t="s">
        <v>74</v>
      </c>
      <c r="P119" s="370" t="s">
        <v>45</v>
      </c>
      <c r="Q119" s="370">
        <v>0.36</v>
      </c>
      <c r="R119" s="12">
        <v>63</v>
      </c>
      <c r="S119" s="12">
        <v>22.3</v>
      </c>
      <c r="T119" s="12">
        <f t="shared" si="10"/>
        <v>11280.199999999995</v>
      </c>
      <c r="U119" s="17">
        <v>1.06</v>
      </c>
      <c r="V119" s="731"/>
      <c r="W119" s="732"/>
    </row>
    <row r="120" spans="1:23">
      <c r="A120" s="5">
        <f t="shared" si="11"/>
        <v>117</v>
      </c>
      <c r="B120" s="5" t="s">
        <v>1601</v>
      </c>
      <c r="C120" s="5" t="s">
        <v>1602</v>
      </c>
      <c r="D120" s="5" t="s">
        <v>199</v>
      </c>
      <c r="E120" s="370">
        <v>0.36</v>
      </c>
      <c r="F120" s="5">
        <v>63</v>
      </c>
      <c r="G120" s="5">
        <v>210.7</v>
      </c>
      <c r="H120" s="5">
        <f t="shared" si="12"/>
        <v>11190.800000000007</v>
      </c>
      <c r="I120" s="5">
        <v>1.06</v>
      </c>
      <c r="J120" s="499"/>
      <c r="K120" s="501"/>
      <c r="M120" s="376">
        <f t="shared" si="13"/>
        <v>117</v>
      </c>
      <c r="N120" s="12" t="s">
        <v>1689</v>
      </c>
      <c r="O120" s="12" t="s">
        <v>1624</v>
      </c>
      <c r="P120" s="17" t="s">
        <v>102</v>
      </c>
      <c r="Q120" s="377">
        <v>0.44</v>
      </c>
      <c r="R120" s="12">
        <v>140</v>
      </c>
      <c r="S120" s="12">
        <v>6.2</v>
      </c>
      <c r="T120" s="12">
        <f t="shared" si="10"/>
        <v>11286.399999999996</v>
      </c>
      <c r="U120" s="17">
        <v>1.1399999999999999</v>
      </c>
      <c r="V120" s="731"/>
      <c r="W120" s="732"/>
    </row>
    <row r="121" spans="1:23" ht="15" customHeight="1">
      <c r="A121" s="5">
        <f t="shared" si="11"/>
        <v>118</v>
      </c>
      <c r="B121" s="5" t="s">
        <v>1603</v>
      </c>
      <c r="C121" s="5" t="s">
        <v>1604</v>
      </c>
      <c r="D121" s="5"/>
      <c r="E121" s="5"/>
      <c r="F121" s="5">
        <v>63</v>
      </c>
      <c r="G121" s="5">
        <v>225.7</v>
      </c>
      <c r="H121" s="5">
        <f t="shared" si="12"/>
        <v>11416.500000000007</v>
      </c>
      <c r="I121" s="5">
        <v>1.06</v>
      </c>
      <c r="J121" s="499"/>
      <c r="K121" s="501"/>
      <c r="M121" s="376">
        <f t="shared" si="13"/>
        <v>118</v>
      </c>
      <c r="N121" s="12" t="s">
        <v>1689</v>
      </c>
      <c r="O121" s="12" t="s">
        <v>1624</v>
      </c>
      <c r="P121" s="372"/>
      <c r="Q121" s="372"/>
      <c r="R121" s="12">
        <v>140</v>
      </c>
      <c r="S121" s="12">
        <v>29.7</v>
      </c>
      <c r="T121" s="12">
        <f t="shared" si="10"/>
        <v>11316.099999999997</v>
      </c>
      <c r="U121" s="17">
        <v>1.1399999999999999</v>
      </c>
      <c r="V121" s="731"/>
      <c r="W121" s="732"/>
    </row>
    <row r="122" spans="1:23" ht="15" customHeight="1">
      <c r="A122" s="5">
        <f t="shared" si="11"/>
        <v>119</v>
      </c>
      <c r="B122" s="5" t="s">
        <v>1605</v>
      </c>
      <c r="C122" s="5" t="s">
        <v>1606</v>
      </c>
      <c r="D122" s="5"/>
      <c r="E122" s="5"/>
      <c r="F122" s="5">
        <v>63</v>
      </c>
      <c r="G122" s="5">
        <v>34.799999999999997</v>
      </c>
      <c r="H122" s="5">
        <f t="shared" si="12"/>
        <v>11451.300000000007</v>
      </c>
      <c r="I122" s="5">
        <v>1.06</v>
      </c>
      <c r="J122" s="499"/>
      <c r="K122" s="501"/>
      <c r="M122" s="376">
        <f t="shared" si="13"/>
        <v>119</v>
      </c>
      <c r="N122" s="12" t="s">
        <v>1624</v>
      </c>
      <c r="O122" s="12" t="s">
        <v>1625</v>
      </c>
      <c r="P122" s="372"/>
      <c r="Q122" s="372"/>
      <c r="R122" s="12">
        <v>140</v>
      </c>
      <c r="S122" s="12">
        <v>34.299999999999997</v>
      </c>
      <c r="T122" s="12">
        <f t="shared" si="10"/>
        <v>11350.399999999996</v>
      </c>
      <c r="U122" s="17">
        <v>1.1399999999999999</v>
      </c>
      <c r="V122" s="731"/>
      <c r="W122" s="732"/>
    </row>
    <row r="123" spans="1:23" ht="15" customHeight="1">
      <c r="A123" s="5">
        <f t="shared" si="11"/>
        <v>120</v>
      </c>
      <c r="B123" s="5" t="s">
        <v>1606</v>
      </c>
      <c r="C123" s="5" t="s">
        <v>1053</v>
      </c>
      <c r="D123" s="5"/>
      <c r="E123" s="5"/>
      <c r="F123" s="5">
        <v>63</v>
      </c>
      <c r="G123" s="5">
        <v>52.3</v>
      </c>
      <c r="H123" s="5">
        <f t="shared" si="12"/>
        <v>11503.600000000006</v>
      </c>
      <c r="I123" s="5">
        <v>1.06</v>
      </c>
      <c r="J123" s="499"/>
      <c r="K123" s="501"/>
      <c r="M123" s="376">
        <f t="shared" si="13"/>
        <v>120</v>
      </c>
      <c r="N123" s="12" t="s">
        <v>1649</v>
      </c>
      <c r="O123" s="12" t="s">
        <v>1777</v>
      </c>
      <c r="P123" s="17" t="s">
        <v>1367</v>
      </c>
      <c r="Q123" s="370">
        <v>0.44</v>
      </c>
      <c r="R123" s="12">
        <v>140</v>
      </c>
      <c r="S123" s="12">
        <v>50.6</v>
      </c>
      <c r="T123" s="12">
        <f t="shared" si="10"/>
        <v>11400.999999999996</v>
      </c>
      <c r="U123" s="17">
        <v>1.1399999999999999</v>
      </c>
      <c r="V123" s="731"/>
      <c r="W123" s="732"/>
    </row>
    <row r="124" spans="1:23" ht="15" customHeight="1">
      <c r="A124" s="5">
        <f t="shared" si="11"/>
        <v>121</v>
      </c>
      <c r="B124" s="5" t="s">
        <v>1053</v>
      </c>
      <c r="C124" s="5" t="s">
        <v>1607</v>
      </c>
      <c r="D124" s="5"/>
      <c r="E124" s="5"/>
      <c r="F124" s="5">
        <v>63</v>
      </c>
      <c r="G124" s="5">
        <v>44.9</v>
      </c>
      <c r="H124" s="5">
        <f t="shared" si="12"/>
        <v>11548.500000000005</v>
      </c>
      <c r="I124" s="5">
        <v>1.06</v>
      </c>
      <c r="J124" s="499"/>
      <c r="K124" s="501"/>
      <c r="M124" s="376">
        <f t="shared" si="13"/>
        <v>121</v>
      </c>
      <c r="N124" s="12" t="s">
        <v>1617</v>
      </c>
      <c r="O124" s="12" t="s">
        <v>1618</v>
      </c>
      <c r="P124" s="17" t="s">
        <v>1367</v>
      </c>
      <c r="Q124" s="370">
        <v>0.36</v>
      </c>
      <c r="R124" s="12">
        <v>63</v>
      </c>
      <c r="S124" s="12">
        <v>6.5</v>
      </c>
      <c r="T124" s="12">
        <f t="shared" si="10"/>
        <v>11407.499999999996</v>
      </c>
      <c r="U124" s="370">
        <v>1.06</v>
      </c>
      <c r="V124" s="731"/>
      <c r="W124" s="732"/>
    </row>
    <row r="125" spans="1:23">
      <c r="A125" s="5">
        <f t="shared" si="11"/>
        <v>122</v>
      </c>
      <c r="B125" s="5" t="s">
        <v>1607</v>
      </c>
      <c r="C125" s="5" t="s">
        <v>1608</v>
      </c>
      <c r="D125" s="5"/>
      <c r="E125" s="5"/>
      <c r="F125" s="5">
        <v>63</v>
      </c>
      <c r="G125" s="5">
        <v>18.100000000000001</v>
      </c>
      <c r="H125" s="5">
        <f t="shared" si="12"/>
        <v>11566.600000000006</v>
      </c>
      <c r="I125" s="5">
        <v>1.06</v>
      </c>
      <c r="J125" s="499"/>
      <c r="K125" s="501"/>
      <c r="M125" s="376">
        <f t="shared" si="13"/>
        <v>122</v>
      </c>
      <c r="N125" s="12" t="s">
        <v>1328</v>
      </c>
      <c r="O125" s="12" t="s">
        <v>1709</v>
      </c>
      <c r="P125" s="17" t="s">
        <v>102</v>
      </c>
      <c r="Q125" s="372">
        <v>0.5</v>
      </c>
      <c r="R125" s="12">
        <v>200</v>
      </c>
      <c r="S125" s="12">
        <v>6.9</v>
      </c>
      <c r="T125" s="12">
        <f t="shared" si="10"/>
        <v>11414.399999999996</v>
      </c>
      <c r="U125" s="370">
        <v>1.2</v>
      </c>
      <c r="V125" s="731"/>
      <c r="W125" s="732"/>
    </row>
    <row r="126" spans="1:23">
      <c r="A126" s="5">
        <f t="shared" si="11"/>
        <v>123</v>
      </c>
      <c r="B126" s="5" t="s">
        <v>1607</v>
      </c>
      <c r="C126" s="5" t="s">
        <v>1609</v>
      </c>
      <c r="D126" s="5"/>
      <c r="E126" s="5"/>
      <c r="F126" s="5">
        <v>63</v>
      </c>
      <c r="G126" s="5">
        <v>29.7</v>
      </c>
      <c r="H126" s="5">
        <f t="shared" si="12"/>
        <v>11596.300000000007</v>
      </c>
      <c r="I126" s="5">
        <v>1.06</v>
      </c>
      <c r="J126" s="499"/>
      <c r="K126" s="501"/>
      <c r="M126" s="376">
        <f t="shared" si="13"/>
        <v>123</v>
      </c>
      <c r="N126" s="12" t="s">
        <v>1778</v>
      </c>
      <c r="O126" s="12" t="s">
        <v>1779</v>
      </c>
      <c r="P126" s="17" t="s">
        <v>102</v>
      </c>
      <c r="Q126" s="372">
        <v>0.36</v>
      </c>
      <c r="R126" s="12">
        <v>63</v>
      </c>
      <c r="S126" s="12">
        <v>3.5</v>
      </c>
      <c r="T126" s="12">
        <f t="shared" si="10"/>
        <v>11417.899999999996</v>
      </c>
      <c r="U126" s="370">
        <v>1.06</v>
      </c>
      <c r="V126" s="731"/>
      <c r="W126" s="732"/>
    </row>
    <row r="127" spans="1:23">
      <c r="A127" s="5">
        <f t="shared" si="11"/>
        <v>124</v>
      </c>
      <c r="B127" s="5" t="s">
        <v>1610</v>
      </c>
      <c r="C127" s="5" t="s">
        <v>889</v>
      </c>
      <c r="D127" s="5"/>
      <c r="E127" s="5"/>
      <c r="F127" s="5">
        <v>63</v>
      </c>
      <c r="G127" s="5">
        <v>51.6</v>
      </c>
      <c r="H127" s="5">
        <f t="shared" si="12"/>
        <v>11647.900000000007</v>
      </c>
      <c r="I127" s="5">
        <v>1.06</v>
      </c>
      <c r="J127" s="499"/>
      <c r="K127" s="501"/>
      <c r="M127" s="376">
        <f t="shared" si="13"/>
        <v>124</v>
      </c>
      <c r="N127" s="12" t="s">
        <v>1603</v>
      </c>
      <c r="O127" s="12" t="s">
        <v>1604</v>
      </c>
      <c r="P127" s="17" t="s">
        <v>102</v>
      </c>
      <c r="Q127" s="372">
        <v>0.36</v>
      </c>
      <c r="R127" s="12">
        <v>63</v>
      </c>
      <c r="S127" s="12">
        <v>7</v>
      </c>
      <c r="T127" s="12">
        <f t="shared" si="10"/>
        <v>11424.899999999996</v>
      </c>
      <c r="U127" s="370">
        <v>1.06</v>
      </c>
      <c r="V127" s="731"/>
      <c r="W127" s="732"/>
    </row>
    <row r="128" spans="1:23">
      <c r="A128" s="5">
        <f t="shared" si="11"/>
        <v>125</v>
      </c>
      <c r="B128" s="5" t="s">
        <v>889</v>
      </c>
      <c r="C128" s="5" t="s">
        <v>1053</v>
      </c>
      <c r="D128" s="5"/>
      <c r="E128" s="5"/>
      <c r="F128" s="5">
        <v>63</v>
      </c>
      <c r="G128" s="5">
        <v>10.1</v>
      </c>
      <c r="H128" s="5">
        <f t="shared" si="12"/>
        <v>11658.000000000007</v>
      </c>
      <c r="I128" s="5">
        <v>1.06</v>
      </c>
      <c r="J128" s="499"/>
      <c r="K128" s="501"/>
      <c r="M128" s="376">
        <f t="shared" si="13"/>
        <v>125</v>
      </c>
      <c r="N128" s="12" t="s">
        <v>1704</v>
      </c>
      <c r="O128" s="12" t="s">
        <v>1202</v>
      </c>
      <c r="P128" s="17" t="s">
        <v>102</v>
      </c>
      <c r="Q128" s="372">
        <v>0.36</v>
      </c>
      <c r="R128" s="12">
        <v>63</v>
      </c>
      <c r="S128" s="12">
        <v>6.5</v>
      </c>
      <c r="T128" s="12">
        <f t="shared" si="10"/>
        <v>11431.399999999996</v>
      </c>
      <c r="U128" s="370">
        <v>1.06</v>
      </c>
      <c r="V128" s="731"/>
      <c r="W128" s="732"/>
    </row>
    <row r="129" spans="1:23">
      <c r="A129" s="5">
        <f t="shared" si="11"/>
        <v>126</v>
      </c>
      <c r="B129" s="5" t="s">
        <v>889</v>
      </c>
      <c r="C129" s="5" t="s">
        <v>1611</v>
      </c>
      <c r="D129" s="5"/>
      <c r="E129" s="5"/>
      <c r="F129" s="5">
        <v>63</v>
      </c>
      <c r="G129" s="5">
        <v>29.7</v>
      </c>
      <c r="H129" s="5">
        <f t="shared" si="12"/>
        <v>11687.700000000008</v>
      </c>
      <c r="I129" s="5">
        <v>1.06</v>
      </c>
      <c r="J129" s="499"/>
      <c r="K129" s="501"/>
      <c r="M129" s="376">
        <f t="shared" si="13"/>
        <v>126</v>
      </c>
      <c r="N129" s="12" t="s">
        <v>1053</v>
      </c>
      <c r="O129" s="12" t="s">
        <v>889</v>
      </c>
      <c r="P129" s="17" t="s">
        <v>102</v>
      </c>
      <c r="Q129" s="372">
        <v>0.36</v>
      </c>
      <c r="R129" s="12">
        <v>63</v>
      </c>
      <c r="S129" s="12">
        <v>6.9</v>
      </c>
      <c r="T129" s="12">
        <f t="shared" si="10"/>
        <v>11438.299999999996</v>
      </c>
      <c r="U129" s="370">
        <v>1.06</v>
      </c>
      <c r="V129" s="731"/>
      <c r="W129" s="732"/>
    </row>
    <row r="130" spans="1:23" ht="15" customHeight="1">
      <c r="A130" s="5">
        <f t="shared" si="11"/>
        <v>127</v>
      </c>
      <c r="B130" s="5" t="s">
        <v>1606</v>
      </c>
      <c r="C130" s="5" t="s">
        <v>1612</v>
      </c>
      <c r="D130" s="5"/>
      <c r="E130" s="5"/>
      <c r="F130" s="5">
        <v>63</v>
      </c>
      <c r="G130" s="5">
        <v>141.1</v>
      </c>
      <c r="H130" s="5">
        <f t="shared" si="12"/>
        <v>11828.800000000008</v>
      </c>
      <c r="I130" s="5">
        <v>1.06</v>
      </c>
      <c r="J130" s="499"/>
      <c r="K130" s="501"/>
      <c r="M130" s="376">
        <f t="shared" si="13"/>
        <v>127</v>
      </c>
      <c r="N130" s="370" t="s">
        <v>144</v>
      </c>
      <c r="O130" s="370" t="s">
        <v>1780</v>
      </c>
      <c r="P130" s="370"/>
      <c r="Q130" s="370"/>
      <c r="R130" s="370">
        <v>63</v>
      </c>
      <c r="S130" s="373">
        <v>302</v>
      </c>
      <c r="T130" s="12">
        <f t="shared" si="10"/>
        <v>11740.299999999996</v>
      </c>
      <c r="U130" s="370">
        <v>1.06</v>
      </c>
      <c r="V130" s="731"/>
      <c r="W130" s="732"/>
    </row>
    <row r="131" spans="1:23" ht="15" customHeight="1">
      <c r="A131" s="5">
        <f t="shared" si="11"/>
        <v>128</v>
      </c>
      <c r="B131" s="5" t="s">
        <v>1613</v>
      </c>
      <c r="C131" s="5" t="s">
        <v>1614</v>
      </c>
      <c r="D131" s="5"/>
      <c r="E131" s="5"/>
      <c r="F131" s="5">
        <v>63</v>
      </c>
      <c r="G131" s="5">
        <v>292</v>
      </c>
      <c r="H131" s="5">
        <f t="shared" si="12"/>
        <v>12120.800000000008</v>
      </c>
      <c r="I131" s="5">
        <v>1.06</v>
      </c>
      <c r="J131" s="499"/>
      <c r="K131" s="501"/>
      <c r="P131" s="15">
        <v>63</v>
      </c>
      <c r="Q131" s="15">
        <v>90</v>
      </c>
      <c r="R131" s="15">
        <v>110</v>
      </c>
      <c r="S131" s="371">
        <v>140</v>
      </c>
      <c r="T131" s="15">
        <v>160</v>
      </c>
      <c r="U131" s="15">
        <v>200</v>
      </c>
    </row>
    <row r="132" spans="1:23" ht="15" customHeight="1">
      <c r="A132" s="5">
        <f t="shared" si="11"/>
        <v>129</v>
      </c>
      <c r="B132" s="5" t="s">
        <v>1615</v>
      </c>
      <c r="C132" s="5" t="s">
        <v>1616</v>
      </c>
      <c r="D132" s="5"/>
      <c r="E132" s="5"/>
      <c r="F132" s="5">
        <v>63</v>
      </c>
      <c r="G132" s="5">
        <v>134.19999999999999</v>
      </c>
      <c r="H132" s="5">
        <f t="shared" si="12"/>
        <v>12255.000000000009</v>
      </c>
      <c r="I132" s="5">
        <v>1.06</v>
      </c>
      <c r="J132" s="499"/>
      <c r="K132" s="501"/>
      <c r="P132" s="15">
        <f>+SUMIF($R$4:$R$130,P131,$S$4:$S$130)</f>
        <v>2611.4999999999995</v>
      </c>
      <c r="Q132" s="15">
        <f t="shared" ref="Q132:U132" si="14">+SUMIF($R$4:$R$130,Q131,$S$4:$S$130)</f>
        <v>258.09999999999997</v>
      </c>
      <c r="R132" s="15">
        <f t="shared" si="14"/>
        <v>858.69999999999982</v>
      </c>
      <c r="S132" s="15">
        <f t="shared" si="14"/>
        <v>1496.1999999999998</v>
      </c>
      <c r="T132" s="15">
        <f t="shared" si="14"/>
        <v>3547.3000000000006</v>
      </c>
      <c r="U132" s="15">
        <f t="shared" si="14"/>
        <v>2968.5000000000005</v>
      </c>
      <c r="V132" s="15">
        <f>+P132+Q132+R132+S132+T132+U132</f>
        <v>11740.3</v>
      </c>
    </row>
    <row r="133" spans="1:23" ht="15.75" customHeight="1">
      <c r="A133" s="5">
        <f t="shared" si="11"/>
        <v>130</v>
      </c>
      <c r="B133" s="5" t="s">
        <v>1615</v>
      </c>
      <c r="C133" s="5" t="s">
        <v>1616</v>
      </c>
      <c r="D133" s="5" t="s">
        <v>199</v>
      </c>
      <c r="E133" s="370">
        <v>0.36</v>
      </c>
      <c r="F133" s="5">
        <v>63</v>
      </c>
      <c r="G133" s="5">
        <v>323</v>
      </c>
      <c r="H133" s="5">
        <f t="shared" si="12"/>
        <v>12578.000000000009</v>
      </c>
      <c r="I133" s="5">
        <v>1.06</v>
      </c>
      <c r="J133" s="499"/>
      <c r="K133" s="501"/>
      <c r="M133" s="7" t="s">
        <v>365</v>
      </c>
      <c r="N133" s="372"/>
      <c r="O133" s="372"/>
      <c r="P133" s="372"/>
      <c r="Q133" s="372" t="s">
        <v>366</v>
      </c>
      <c r="R133" s="372"/>
      <c r="S133" s="372"/>
      <c r="T133" s="499" t="s">
        <v>367</v>
      </c>
      <c r="U133" s="500"/>
      <c r="V133" s="500"/>
      <c r="W133" s="501"/>
    </row>
    <row r="134" spans="1:23" ht="15.75">
      <c r="A134" s="5">
        <f t="shared" ref="A134:A197" si="15">1+A133</f>
        <v>131</v>
      </c>
      <c r="B134" s="5" t="s">
        <v>1617</v>
      </c>
      <c r="C134" s="5" t="s">
        <v>1618</v>
      </c>
      <c r="D134" s="5"/>
      <c r="E134" s="5"/>
      <c r="F134" s="5">
        <v>63</v>
      </c>
      <c r="G134" s="5">
        <v>182</v>
      </c>
      <c r="H134" s="5">
        <f t="shared" ref="H134:H197" si="16">+H133+G134</f>
        <v>12760.000000000009</v>
      </c>
      <c r="I134" s="5">
        <v>1.06</v>
      </c>
      <c r="J134" s="499"/>
      <c r="K134" s="501"/>
      <c r="M134" s="7" t="s">
        <v>368</v>
      </c>
      <c r="N134" s="369"/>
      <c r="O134" s="498"/>
      <c r="P134" s="498"/>
      <c r="Q134" s="369" t="s">
        <v>368</v>
      </c>
      <c r="R134" s="498"/>
      <c r="S134" s="498"/>
      <c r="T134" s="369" t="s">
        <v>368</v>
      </c>
      <c r="U134" s="498"/>
      <c r="V134" s="498"/>
      <c r="W134" s="498"/>
    </row>
    <row r="135" spans="1:23" ht="15.75">
      <c r="A135" s="5">
        <f t="shared" si="15"/>
        <v>132</v>
      </c>
      <c r="B135" s="5" t="s">
        <v>1618</v>
      </c>
      <c r="C135" s="5" t="s">
        <v>1619</v>
      </c>
      <c r="D135" s="5"/>
      <c r="E135" s="5"/>
      <c r="F135" s="5">
        <v>63</v>
      </c>
      <c r="G135" s="5">
        <v>52.8</v>
      </c>
      <c r="H135" s="5">
        <f t="shared" si="16"/>
        <v>12812.800000000008</v>
      </c>
      <c r="I135" s="5">
        <v>1.06</v>
      </c>
      <c r="J135" s="499"/>
      <c r="K135" s="501"/>
      <c r="M135" s="7" t="s">
        <v>369</v>
      </c>
      <c r="N135" s="498"/>
      <c r="O135" s="498"/>
      <c r="P135" s="498"/>
      <c r="Q135" s="369" t="s">
        <v>369</v>
      </c>
      <c r="R135" s="498"/>
      <c r="S135" s="498"/>
      <c r="T135" s="369" t="s">
        <v>369</v>
      </c>
      <c r="U135" s="498"/>
      <c r="V135" s="498"/>
      <c r="W135" s="498"/>
    </row>
    <row r="136" spans="1:23" ht="15.75">
      <c r="A136" s="5">
        <f t="shared" si="15"/>
        <v>133</v>
      </c>
      <c r="B136" s="5" t="s">
        <v>1619</v>
      </c>
      <c r="C136" s="5" t="s">
        <v>1620</v>
      </c>
      <c r="D136" s="5"/>
      <c r="E136" s="5"/>
      <c r="F136" s="5">
        <v>63</v>
      </c>
      <c r="G136" s="5">
        <v>30</v>
      </c>
      <c r="H136" s="5">
        <f t="shared" si="16"/>
        <v>12842.800000000008</v>
      </c>
      <c r="I136" s="5">
        <v>1.06</v>
      </c>
      <c r="J136" s="499"/>
      <c r="K136" s="501"/>
      <c r="M136" s="7" t="s">
        <v>370</v>
      </c>
      <c r="N136" s="369"/>
      <c r="O136" s="498"/>
      <c r="P136" s="498"/>
      <c r="Q136" s="369" t="s">
        <v>370</v>
      </c>
      <c r="R136" s="498"/>
      <c r="S136" s="498"/>
      <c r="T136" s="369" t="s">
        <v>370</v>
      </c>
      <c r="U136" s="498"/>
      <c r="V136" s="498"/>
      <c r="W136" s="498"/>
    </row>
    <row r="137" spans="1:23">
      <c r="A137" s="5">
        <f t="shared" si="15"/>
        <v>134</v>
      </c>
      <c r="B137" s="5" t="s">
        <v>1621</v>
      </c>
      <c r="C137" s="5" t="s">
        <v>1619</v>
      </c>
      <c r="D137" s="5"/>
      <c r="E137" s="5"/>
      <c r="F137" s="5">
        <v>63</v>
      </c>
      <c r="G137" s="5">
        <v>5.2</v>
      </c>
      <c r="H137" s="5">
        <f t="shared" si="16"/>
        <v>12848.000000000009</v>
      </c>
      <c r="I137" s="5">
        <v>1.06</v>
      </c>
      <c r="J137" s="499"/>
      <c r="K137" s="501"/>
    </row>
    <row r="138" spans="1:23">
      <c r="A138" s="5">
        <f t="shared" si="15"/>
        <v>135</v>
      </c>
      <c r="B138" s="5" t="s">
        <v>1621</v>
      </c>
      <c r="C138" s="5" t="s">
        <v>1622</v>
      </c>
      <c r="D138" s="5"/>
      <c r="E138" s="5"/>
      <c r="F138" s="5">
        <v>63</v>
      </c>
      <c r="G138" s="5">
        <v>24</v>
      </c>
      <c r="H138" s="5">
        <f t="shared" si="16"/>
        <v>12872.000000000009</v>
      </c>
      <c r="I138" s="5">
        <v>1.06</v>
      </c>
      <c r="J138" s="499"/>
      <c r="K138" s="501"/>
      <c r="U138">
        <f>11280.2+H257</f>
        <v>33727.700000000026</v>
      </c>
    </row>
    <row r="139" spans="1:23">
      <c r="A139" s="5">
        <f t="shared" si="15"/>
        <v>136</v>
      </c>
      <c r="B139" s="5" t="s">
        <v>1621</v>
      </c>
      <c r="C139" s="5" t="s">
        <v>1097</v>
      </c>
      <c r="D139" s="5"/>
      <c r="E139" s="5"/>
      <c r="F139" s="5">
        <v>63</v>
      </c>
      <c r="G139" s="5">
        <v>47</v>
      </c>
      <c r="H139" s="5">
        <f t="shared" si="16"/>
        <v>12919.000000000009</v>
      </c>
      <c r="I139" s="5">
        <v>1.06</v>
      </c>
      <c r="J139" s="499"/>
      <c r="K139" s="501"/>
      <c r="U139">
        <f>+V132+H257</f>
        <v>34187.800000000017</v>
      </c>
    </row>
    <row r="140" spans="1:23">
      <c r="A140" s="5">
        <f t="shared" si="15"/>
        <v>137</v>
      </c>
      <c r="B140" s="5" t="s">
        <v>1097</v>
      </c>
      <c r="C140" s="5" t="s">
        <v>1623</v>
      </c>
      <c r="D140" s="5"/>
      <c r="E140" s="5"/>
      <c r="F140" s="5">
        <v>63</v>
      </c>
      <c r="G140" s="5">
        <v>56</v>
      </c>
      <c r="H140" s="5">
        <f t="shared" si="16"/>
        <v>12975.000000000009</v>
      </c>
      <c r="I140" s="5">
        <v>1.06</v>
      </c>
      <c r="J140" s="499"/>
      <c r="K140" s="501"/>
    </row>
    <row r="141" spans="1:23">
      <c r="A141" s="5">
        <f t="shared" si="15"/>
        <v>138</v>
      </c>
      <c r="B141" s="5" t="s">
        <v>1624</v>
      </c>
      <c r="C141" s="5" t="s">
        <v>1130</v>
      </c>
      <c r="D141" s="5"/>
      <c r="E141" s="5"/>
      <c r="F141" s="5">
        <v>63</v>
      </c>
      <c r="G141" s="5">
        <v>49.8</v>
      </c>
      <c r="H141" s="5">
        <f t="shared" si="16"/>
        <v>13024.800000000008</v>
      </c>
      <c r="I141" s="5">
        <v>1.06</v>
      </c>
      <c r="J141" s="499"/>
      <c r="K141" s="501"/>
    </row>
    <row r="142" spans="1:23">
      <c r="A142" s="5">
        <f t="shared" si="15"/>
        <v>139</v>
      </c>
      <c r="B142" s="5" t="s">
        <v>1625</v>
      </c>
      <c r="C142" s="5" t="s">
        <v>1626</v>
      </c>
      <c r="D142" s="5"/>
      <c r="E142" s="5"/>
      <c r="F142" s="5">
        <v>63</v>
      </c>
      <c r="G142" s="5">
        <v>23.6</v>
      </c>
      <c r="H142" s="5">
        <f t="shared" si="16"/>
        <v>13048.400000000009</v>
      </c>
      <c r="I142" s="5">
        <v>1.06</v>
      </c>
      <c r="J142" s="499"/>
      <c r="K142" s="501"/>
    </row>
    <row r="143" spans="1:23">
      <c r="A143" s="5">
        <f t="shared" si="15"/>
        <v>140</v>
      </c>
      <c r="B143" s="5" t="s">
        <v>1625</v>
      </c>
      <c r="C143" s="5" t="s">
        <v>1627</v>
      </c>
      <c r="D143" s="5"/>
      <c r="E143" s="5"/>
      <c r="F143" s="5">
        <v>63</v>
      </c>
      <c r="G143" s="5">
        <v>28.3</v>
      </c>
      <c r="H143" s="5">
        <f t="shared" si="16"/>
        <v>13076.700000000008</v>
      </c>
      <c r="I143" s="5">
        <v>1.06</v>
      </c>
      <c r="J143" s="499"/>
      <c r="K143" s="501"/>
    </row>
    <row r="144" spans="1:23">
      <c r="A144" s="5">
        <f t="shared" si="15"/>
        <v>141</v>
      </c>
      <c r="B144" s="5" t="s">
        <v>1618</v>
      </c>
      <c r="C144" s="5" t="s">
        <v>1628</v>
      </c>
      <c r="D144" s="5"/>
      <c r="E144" s="5"/>
      <c r="F144" s="5">
        <v>63</v>
      </c>
      <c r="G144" s="5">
        <v>15</v>
      </c>
      <c r="H144" s="5">
        <f t="shared" si="16"/>
        <v>13091.700000000008</v>
      </c>
      <c r="I144" s="5">
        <v>1.06</v>
      </c>
      <c r="J144" s="499"/>
      <c r="K144" s="501"/>
      <c r="Q144">
        <f>1107.1*0.36</f>
        <v>398.55599999999993</v>
      </c>
    </row>
    <row r="145" spans="1:20">
      <c r="A145" s="5">
        <f t="shared" si="15"/>
        <v>142</v>
      </c>
      <c r="B145" s="5" t="s">
        <v>1618</v>
      </c>
      <c r="C145" s="5" t="s">
        <v>1628</v>
      </c>
      <c r="D145" s="5" t="s">
        <v>199</v>
      </c>
      <c r="E145" s="370">
        <v>0.36</v>
      </c>
      <c r="F145" s="5">
        <v>63</v>
      </c>
      <c r="G145" s="5">
        <v>3.9</v>
      </c>
      <c r="H145" s="5">
        <f t="shared" si="16"/>
        <v>13095.600000000008</v>
      </c>
      <c r="I145" s="5">
        <v>1.06</v>
      </c>
      <c r="J145" s="499"/>
      <c r="K145" s="501"/>
      <c r="Q145">
        <f>202.7*0.46</f>
        <v>93.242000000000004</v>
      </c>
      <c r="S145">
        <f>398.5+649.5</f>
        <v>1048</v>
      </c>
    </row>
    <row r="146" spans="1:20">
      <c r="A146" s="5">
        <f t="shared" si="15"/>
        <v>143</v>
      </c>
      <c r="B146" s="5" t="s">
        <v>1628</v>
      </c>
      <c r="C146" s="5" t="s">
        <v>1629</v>
      </c>
      <c r="D146" s="5"/>
      <c r="E146" s="5"/>
      <c r="F146" s="5">
        <v>63</v>
      </c>
      <c r="G146" s="5">
        <v>40</v>
      </c>
      <c r="H146" s="5">
        <f t="shared" si="16"/>
        <v>13135.600000000008</v>
      </c>
      <c r="I146" s="5">
        <v>1.06</v>
      </c>
      <c r="J146" s="499"/>
      <c r="K146" s="501"/>
      <c r="Q146">
        <f>83.5*0.36</f>
        <v>30.06</v>
      </c>
      <c r="S146">
        <f>93.2+340.07</f>
        <v>433.27</v>
      </c>
    </row>
    <row r="147" spans="1:20">
      <c r="A147" s="5">
        <f t="shared" si="15"/>
        <v>144</v>
      </c>
      <c r="B147" s="5" t="s">
        <v>1575</v>
      </c>
      <c r="C147" s="5" t="s">
        <v>1630</v>
      </c>
      <c r="D147" s="5"/>
      <c r="E147" s="5"/>
      <c r="F147" s="5">
        <v>63</v>
      </c>
      <c r="G147" s="5">
        <v>82.4</v>
      </c>
      <c r="H147" s="5">
        <f t="shared" si="16"/>
        <v>13218.000000000007</v>
      </c>
      <c r="I147" s="5">
        <v>1.06</v>
      </c>
      <c r="J147" s="499"/>
      <c r="K147" s="501"/>
      <c r="Q147">
        <f>1561.3*0.416</f>
        <v>649.50079999999991</v>
      </c>
      <c r="T147">
        <f>1109.212+30.06</f>
        <v>1139.2719999999999</v>
      </c>
    </row>
    <row r="148" spans="1:20">
      <c r="A148" s="5">
        <f t="shared" si="15"/>
        <v>145</v>
      </c>
      <c r="B148" s="5" t="s">
        <v>1630</v>
      </c>
      <c r="C148" s="5" t="s">
        <v>1631</v>
      </c>
      <c r="D148" s="5"/>
      <c r="E148" s="5"/>
      <c r="F148" s="5">
        <v>63</v>
      </c>
      <c r="G148" s="5">
        <v>49</v>
      </c>
      <c r="H148" s="5">
        <f t="shared" si="16"/>
        <v>13267.000000000007</v>
      </c>
      <c r="I148" s="5">
        <v>1.06</v>
      </c>
      <c r="J148" s="499"/>
      <c r="K148" s="501"/>
      <c r="Q148">
        <f>739.3*0.46</f>
        <v>340.07799999999997</v>
      </c>
    </row>
    <row r="149" spans="1:20">
      <c r="A149" s="5">
        <f t="shared" si="15"/>
        <v>146</v>
      </c>
      <c r="B149" s="5" t="s">
        <v>1630</v>
      </c>
      <c r="C149" s="5" t="s">
        <v>1632</v>
      </c>
      <c r="D149" s="5"/>
      <c r="E149" s="5"/>
      <c r="F149" s="5">
        <v>63</v>
      </c>
      <c r="G149" s="5">
        <v>80</v>
      </c>
      <c r="H149" s="5">
        <f t="shared" si="16"/>
        <v>13347.000000000007</v>
      </c>
      <c r="I149" s="5">
        <v>1.06</v>
      </c>
      <c r="J149" s="499"/>
      <c r="K149" s="501"/>
      <c r="Q149">
        <f>2443.2*0.454</f>
        <v>1109.2128</v>
      </c>
    </row>
    <row r="150" spans="1:20">
      <c r="A150" s="5">
        <f t="shared" si="15"/>
        <v>147</v>
      </c>
      <c r="B150" s="5" t="s">
        <v>1632</v>
      </c>
      <c r="C150" s="5" t="s">
        <v>1209</v>
      </c>
      <c r="D150" s="5"/>
      <c r="E150" s="5"/>
      <c r="F150" s="5">
        <v>63</v>
      </c>
      <c r="G150" s="5">
        <v>63.6</v>
      </c>
      <c r="H150" s="5">
        <f t="shared" si="16"/>
        <v>13410.600000000008</v>
      </c>
      <c r="I150" s="5">
        <v>1.06</v>
      </c>
      <c r="J150" s="499"/>
      <c r="K150" s="501"/>
      <c r="Q150">
        <f>715.5*0.36</f>
        <v>257.58</v>
      </c>
    </row>
    <row r="151" spans="1:20">
      <c r="A151" s="5">
        <f t="shared" si="15"/>
        <v>148</v>
      </c>
      <c r="B151" s="5" t="s">
        <v>1632</v>
      </c>
      <c r="C151" s="5" t="s">
        <v>1633</v>
      </c>
      <c r="D151" s="5"/>
      <c r="E151" s="5"/>
      <c r="F151" s="5">
        <v>63</v>
      </c>
      <c r="G151" s="5">
        <v>54.5</v>
      </c>
      <c r="H151" s="5">
        <f t="shared" si="16"/>
        <v>13465.100000000008</v>
      </c>
      <c r="I151" s="5">
        <v>1.06</v>
      </c>
      <c r="J151" s="499"/>
      <c r="K151" s="501"/>
    </row>
    <row r="152" spans="1:20">
      <c r="A152" s="5">
        <f t="shared" si="15"/>
        <v>149</v>
      </c>
      <c r="B152" s="5" t="s">
        <v>1633</v>
      </c>
      <c r="C152" s="5" t="s">
        <v>888</v>
      </c>
      <c r="D152" s="5"/>
      <c r="E152" s="5"/>
      <c r="F152" s="5">
        <v>63</v>
      </c>
      <c r="G152" s="5">
        <v>64</v>
      </c>
      <c r="H152" s="5">
        <f t="shared" si="16"/>
        <v>13529.100000000008</v>
      </c>
      <c r="I152" s="5">
        <v>1.06</v>
      </c>
      <c r="J152" s="499"/>
      <c r="K152" s="501"/>
    </row>
    <row r="153" spans="1:20">
      <c r="A153" s="5">
        <f t="shared" si="15"/>
        <v>150</v>
      </c>
      <c r="B153" s="5" t="s">
        <v>1633</v>
      </c>
      <c r="C153" s="5" t="s">
        <v>1634</v>
      </c>
      <c r="D153" s="5"/>
      <c r="E153" s="5"/>
      <c r="F153" s="5">
        <v>63</v>
      </c>
      <c r="G153" s="5">
        <v>30.6</v>
      </c>
      <c r="H153" s="5">
        <f t="shared" si="16"/>
        <v>13559.700000000008</v>
      </c>
      <c r="I153" s="5">
        <v>1.06</v>
      </c>
      <c r="J153" s="499"/>
      <c r="K153" s="501"/>
    </row>
    <row r="154" spans="1:20">
      <c r="A154" s="5">
        <f t="shared" si="15"/>
        <v>151</v>
      </c>
      <c r="B154" s="5" t="s">
        <v>1634</v>
      </c>
      <c r="C154" s="5" t="s">
        <v>1635</v>
      </c>
      <c r="D154" s="5"/>
      <c r="E154" s="5"/>
      <c r="F154" s="5">
        <v>63</v>
      </c>
      <c r="G154" s="5">
        <v>59.2</v>
      </c>
      <c r="H154" s="5">
        <f t="shared" si="16"/>
        <v>13618.900000000009</v>
      </c>
      <c r="I154" s="5">
        <v>1.06</v>
      </c>
      <c r="J154" s="499"/>
      <c r="K154" s="501"/>
    </row>
    <row r="155" spans="1:20">
      <c r="A155" s="5">
        <f t="shared" si="15"/>
        <v>152</v>
      </c>
      <c r="B155" s="5" t="s">
        <v>1635</v>
      </c>
      <c r="C155" s="5" t="s">
        <v>888</v>
      </c>
      <c r="D155" s="5"/>
      <c r="E155" s="5"/>
      <c r="F155" s="5">
        <v>63</v>
      </c>
      <c r="G155" s="5">
        <v>20.399999999999999</v>
      </c>
      <c r="H155" s="5">
        <f t="shared" si="16"/>
        <v>13639.300000000008</v>
      </c>
      <c r="I155" s="5">
        <v>1.06</v>
      </c>
      <c r="J155" s="499"/>
      <c r="K155" s="501"/>
    </row>
    <row r="156" spans="1:20">
      <c r="A156" s="5">
        <f t="shared" si="15"/>
        <v>153</v>
      </c>
      <c r="B156" s="5" t="s">
        <v>1635</v>
      </c>
      <c r="C156" s="5" t="s">
        <v>1636</v>
      </c>
      <c r="D156" s="5"/>
      <c r="E156" s="5"/>
      <c r="F156" s="5">
        <v>63</v>
      </c>
      <c r="G156" s="5">
        <v>28</v>
      </c>
      <c r="H156" s="5">
        <f t="shared" si="16"/>
        <v>13667.300000000008</v>
      </c>
      <c r="I156" s="5">
        <v>1.06</v>
      </c>
      <c r="J156" s="499"/>
      <c r="K156" s="501"/>
    </row>
    <row r="157" spans="1:20">
      <c r="A157" s="5">
        <f t="shared" si="15"/>
        <v>154</v>
      </c>
      <c r="B157" s="5" t="s">
        <v>1634</v>
      </c>
      <c r="C157" s="5" t="s">
        <v>1571</v>
      </c>
      <c r="D157" s="5"/>
      <c r="E157" s="5"/>
      <c r="F157" s="5">
        <v>63</v>
      </c>
      <c r="G157" s="5">
        <v>186</v>
      </c>
      <c r="H157" s="5">
        <f t="shared" si="16"/>
        <v>13853.300000000008</v>
      </c>
      <c r="I157" s="5">
        <v>1.06</v>
      </c>
      <c r="J157" s="499"/>
      <c r="K157" s="501"/>
    </row>
    <row r="158" spans="1:20">
      <c r="A158" s="5">
        <f t="shared" si="15"/>
        <v>155</v>
      </c>
      <c r="B158" s="5" t="s">
        <v>1571</v>
      </c>
      <c r="C158" s="5" t="s">
        <v>1637</v>
      </c>
      <c r="D158" s="5"/>
      <c r="E158" s="5"/>
      <c r="F158" s="5">
        <v>63</v>
      </c>
      <c r="G158" s="5">
        <v>175</v>
      </c>
      <c r="H158" s="5">
        <f t="shared" si="16"/>
        <v>14028.300000000008</v>
      </c>
      <c r="I158" s="5">
        <v>1.06</v>
      </c>
      <c r="J158" s="499"/>
      <c r="K158" s="501"/>
    </row>
    <row r="159" spans="1:20">
      <c r="A159" s="5">
        <f t="shared" si="15"/>
        <v>156</v>
      </c>
      <c r="B159" s="5" t="s">
        <v>1637</v>
      </c>
      <c r="C159" s="5" t="s">
        <v>1638</v>
      </c>
      <c r="D159" s="5"/>
      <c r="E159" s="5"/>
      <c r="F159" s="5">
        <v>63</v>
      </c>
      <c r="G159" s="5">
        <v>28.2</v>
      </c>
      <c r="H159" s="5">
        <f t="shared" si="16"/>
        <v>14056.500000000009</v>
      </c>
      <c r="I159" s="5">
        <v>1.06</v>
      </c>
      <c r="J159" s="499"/>
      <c r="K159" s="501"/>
    </row>
    <row r="160" spans="1:20">
      <c r="A160" s="5">
        <f t="shared" si="15"/>
        <v>157</v>
      </c>
      <c r="B160" s="5" t="s">
        <v>1638</v>
      </c>
      <c r="C160" s="5" t="s">
        <v>1639</v>
      </c>
      <c r="D160" s="5"/>
      <c r="E160" s="5"/>
      <c r="F160" s="5">
        <v>63</v>
      </c>
      <c r="G160" s="5">
        <v>27.1</v>
      </c>
      <c r="H160" s="5">
        <f t="shared" si="16"/>
        <v>14083.600000000009</v>
      </c>
      <c r="I160" s="5">
        <v>1.06</v>
      </c>
      <c r="J160" s="499"/>
      <c r="K160" s="501"/>
    </row>
    <row r="161" spans="1:11">
      <c r="A161" s="5">
        <f t="shared" si="15"/>
        <v>158</v>
      </c>
      <c r="B161" s="5" t="s">
        <v>1638</v>
      </c>
      <c r="C161" s="5" t="s">
        <v>1640</v>
      </c>
      <c r="D161" s="5"/>
      <c r="E161" s="5"/>
      <c r="F161" s="5">
        <v>63</v>
      </c>
      <c r="G161" s="5">
        <v>26.6</v>
      </c>
      <c r="H161" s="5">
        <f t="shared" si="16"/>
        <v>14110.20000000001</v>
      </c>
      <c r="I161" s="5">
        <v>1.06</v>
      </c>
      <c r="J161" s="499"/>
      <c r="K161" s="501"/>
    </row>
    <row r="162" spans="1:11">
      <c r="A162" s="5">
        <f t="shared" si="15"/>
        <v>159</v>
      </c>
      <c r="B162" s="5" t="s">
        <v>1641</v>
      </c>
      <c r="C162" s="5" t="s">
        <v>910</v>
      </c>
      <c r="D162" s="5"/>
      <c r="E162" s="5"/>
      <c r="F162" s="5">
        <v>63</v>
      </c>
      <c r="G162" s="5">
        <v>42.3</v>
      </c>
      <c r="H162" s="5">
        <f t="shared" si="16"/>
        <v>14152.500000000009</v>
      </c>
      <c r="I162" s="5">
        <v>1.06</v>
      </c>
      <c r="J162" s="499"/>
      <c r="K162" s="501"/>
    </row>
    <row r="163" spans="1:11">
      <c r="A163" s="5">
        <f t="shared" si="15"/>
        <v>160</v>
      </c>
      <c r="B163" s="5" t="s">
        <v>1641</v>
      </c>
      <c r="C163" s="5" t="s">
        <v>1642</v>
      </c>
      <c r="D163" s="5"/>
      <c r="E163" s="5"/>
      <c r="F163" s="5">
        <v>63</v>
      </c>
      <c r="G163" s="5">
        <v>197</v>
      </c>
      <c r="H163" s="5">
        <f t="shared" si="16"/>
        <v>14349.500000000009</v>
      </c>
      <c r="I163" s="5">
        <v>1.06</v>
      </c>
      <c r="J163" s="499"/>
      <c r="K163" s="501"/>
    </row>
    <row r="164" spans="1:11">
      <c r="A164" s="5">
        <f t="shared" si="15"/>
        <v>161</v>
      </c>
      <c r="B164" s="5" t="s">
        <v>1642</v>
      </c>
      <c r="C164" s="5" t="s">
        <v>1643</v>
      </c>
      <c r="D164" s="5"/>
      <c r="E164" s="5"/>
      <c r="F164" s="5">
        <v>63</v>
      </c>
      <c r="G164" s="5">
        <v>46.5</v>
      </c>
      <c r="H164" s="5">
        <f t="shared" si="16"/>
        <v>14396.000000000009</v>
      </c>
      <c r="I164" s="5">
        <v>1.06</v>
      </c>
      <c r="J164" s="499"/>
      <c r="K164" s="501"/>
    </row>
    <row r="165" spans="1:11">
      <c r="A165" s="5">
        <f t="shared" si="15"/>
        <v>162</v>
      </c>
      <c r="B165" s="5" t="s">
        <v>1643</v>
      </c>
      <c r="C165" s="5" t="s">
        <v>1644</v>
      </c>
      <c r="D165" s="5" t="s">
        <v>199</v>
      </c>
      <c r="E165" s="370">
        <v>0.36</v>
      </c>
      <c r="F165" s="5">
        <v>63</v>
      </c>
      <c r="G165" s="5">
        <v>12.2</v>
      </c>
      <c r="H165" s="5">
        <f t="shared" si="16"/>
        <v>14408.20000000001</v>
      </c>
      <c r="I165" s="5">
        <v>1.06</v>
      </c>
      <c r="J165" s="499"/>
      <c r="K165" s="501"/>
    </row>
    <row r="166" spans="1:11">
      <c r="A166" s="5">
        <f t="shared" si="15"/>
        <v>163</v>
      </c>
      <c r="B166" s="5" t="s">
        <v>1644</v>
      </c>
      <c r="C166" s="5" t="s">
        <v>1645</v>
      </c>
      <c r="D166" s="5" t="s">
        <v>199</v>
      </c>
      <c r="E166" s="370">
        <v>0.36</v>
      </c>
      <c r="F166" s="5">
        <v>63</v>
      </c>
      <c r="G166" s="5">
        <v>6.5</v>
      </c>
      <c r="H166" s="5">
        <f t="shared" si="16"/>
        <v>14414.70000000001</v>
      </c>
      <c r="I166" s="5">
        <v>1.06</v>
      </c>
      <c r="J166" s="499"/>
      <c r="K166" s="501"/>
    </row>
    <row r="167" spans="1:11">
      <c r="A167" s="5">
        <f t="shared" si="15"/>
        <v>164</v>
      </c>
      <c r="B167" s="5" t="s">
        <v>1644</v>
      </c>
      <c r="C167" s="5" t="s">
        <v>1645</v>
      </c>
      <c r="D167" s="5"/>
      <c r="E167" s="5"/>
      <c r="F167" s="5">
        <v>63</v>
      </c>
      <c r="G167" s="5">
        <v>14.2</v>
      </c>
      <c r="H167" s="5">
        <f t="shared" si="16"/>
        <v>14428.900000000011</v>
      </c>
      <c r="I167" s="5">
        <v>1.06</v>
      </c>
      <c r="J167" s="499"/>
      <c r="K167" s="501"/>
    </row>
    <row r="168" spans="1:11">
      <c r="A168" s="5">
        <f t="shared" si="15"/>
        <v>165</v>
      </c>
      <c r="B168" s="5" t="s">
        <v>1644</v>
      </c>
      <c r="C168" s="5" t="s">
        <v>1646</v>
      </c>
      <c r="D168" s="5"/>
      <c r="E168" s="5"/>
      <c r="F168" s="5">
        <v>63</v>
      </c>
      <c r="G168" s="5">
        <v>30.6</v>
      </c>
      <c r="H168" s="5">
        <f t="shared" si="16"/>
        <v>14459.500000000011</v>
      </c>
      <c r="I168" s="5">
        <v>1.06</v>
      </c>
      <c r="J168" s="499"/>
      <c r="K168" s="501"/>
    </row>
    <row r="169" spans="1:11">
      <c r="A169" s="5">
        <f t="shared" si="15"/>
        <v>166</v>
      </c>
      <c r="B169" s="5" t="s">
        <v>1643</v>
      </c>
      <c r="C169" s="5" t="s">
        <v>1647</v>
      </c>
      <c r="D169" s="5"/>
      <c r="E169" s="5"/>
      <c r="F169" s="5">
        <v>63</v>
      </c>
      <c r="G169" s="5">
        <v>40.9</v>
      </c>
      <c r="H169" s="5">
        <f t="shared" si="16"/>
        <v>14500.400000000011</v>
      </c>
      <c r="I169" s="5">
        <v>1.06</v>
      </c>
      <c r="J169" s="499"/>
      <c r="K169" s="501"/>
    </row>
    <row r="170" spans="1:11">
      <c r="A170" s="5">
        <f t="shared" si="15"/>
        <v>167</v>
      </c>
      <c r="B170" s="5" t="s">
        <v>1642</v>
      </c>
      <c r="C170" s="5" t="s">
        <v>1648</v>
      </c>
      <c r="D170" s="5"/>
      <c r="E170" s="5"/>
      <c r="F170" s="5">
        <v>63</v>
      </c>
      <c r="G170" s="5">
        <v>95.2</v>
      </c>
      <c r="H170" s="5">
        <f t="shared" si="16"/>
        <v>14595.600000000011</v>
      </c>
      <c r="I170" s="5">
        <v>1.06</v>
      </c>
      <c r="J170" s="499"/>
      <c r="K170" s="501"/>
    </row>
    <row r="171" spans="1:11">
      <c r="A171" s="5">
        <f t="shared" si="15"/>
        <v>168</v>
      </c>
      <c r="B171" s="5" t="s">
        <v>1648</v>
      </c>
      <c r="C171" s="5" t="s">
        <v>1649</v>
      </c>
      <c r="D171" s="5"/>
      <c r="E171" s="5"/>
      <c r="F171" s="5">
        <v>63</v>
      </c>
      <c r="G171" s="5">
        <v>94.4</v>
      </c>
      <c r="H171" s="5">
        <f t="shared" si="16"/>
        <v>14690.000000000011</v>
      </c>
      <c r="I171" s="5">
        <v>1.06</v>
      </c>
      <c r="J171" s="499"/>
      <c r="K171" s="501"/>
    </row>
    <row r="172" spans="1:11">
      <c r="A172" s="5">
        <f t="shared" si="15"/>
        <v>169</v>
      </c>
      <c r="B172" s="5" t="s">
        <v>1650</v>
      </c>
      <c r="C172" s="5" t="s">
        <v>1651</v>
      </c>
      <c r="D172" s="5"/>
      <c r="E172" s="5"/>
      <c r="F172" s="5">
        <v>63</v>
      </c>
      <c r="G172" s="5">
        <v>80.2</v>
      </c>
      <c r="H172" s="5">
        <f t="shared" si="16"/>
        <v>14770.200000000012</v>
      </c>
      <c r="I172" s="5">
        <v>1.06</v>
      </c>
      <c r="J172" s="499"/>
      <c r="K172" s="501"/>
    </row>
    <row r="173" spans="1:11">
      <c r="A173" s="5">
        <f t="shared" si="15"/>
        <v>170</v>
      </c>
      <c r="B173" s="5" t="s">
        <v>1651</v>
      </c>
      <c r="C173" s="5" t="s">
        <v>1650</v>
      </c>
      <c r="D173" s="5"/>
      <c r="E173" s="5"/>
      <c r="F173" s="5">
        <v>63</v>
      </c>
      <c r="G173" s="5">
        <v>51.2</v>
      </c>
      <c r="H173" s="5">
        <f t="shared" si="16"/>
        <v>14821.400000000012</v>
      </c>
      <c r="I173" s="5">
        <v>1.06</v>
      </c>
      <c r="J173" s="499"/>
      <c r="K173" s="501"/>
    </row>
    <row r="174" spans="1:11">
      <c r="A174" s="5">
        <f t="shared" si="15"/>
        <v>171</v>
      </c>
      <c r="B174" s="5" t="s">
        <v>1652</v>
      </c>
      <c r="C174" s="5" t="s">
        <v>1653</v>
      </c>
      <c r="D174" s="5"/>
      <c r="E174" s="5"/>
      <c r="F174" s="5">
        <v>63</v>
      </c>
      <c r="G174" s="5">
        <v>89.8</v>
      </c>
      <c r="H174" s="5">
        <f t="shared" si="16"/>
        <v>14911.200000000012</v>
      </c>
      <c r="I174" s="5">
        <v>1.06</v>
      </c>
      <c r="J174" s="499"/>
      <c r="K174" s="501"/>
    </row>
    <row r="175" spans="1:11">
      <c r="A175" s="5">
        <f t="shared" si="15"/>
        <v>172</v>
      </c>
      <c r="B175" s="5" t="s">
        <v>1189</v>
      </c>
      <c r="C175" s="5" t="s">
        <v>905</v>
      </c>
      <c r="D175" s="5"/>
      <c r="E175" s="5"/>
      <c r="F175" s="5">
        <v>63</v>
      </c>
      <c r="G175" s="5">
        <v>46.3</v>
      </c>
      <c r="H175" s="5">
        <f t="shared" si="16"/>
        <v>14957.500000000011</v>
      </c>
      <c r="I175" s="5">
        <v>1.06</v>
      </c>
      <c r="J175" s="499"/>
      <c r="K175" s="501"/>
    </row>
    <row r="176" spans="1:11">
      <c r="A176" s="5">
        <f t="shared" si="15"/>
        <v>173</v>
      </c>
      <c r="B176" s="5" t="s">
        <v>905</v>
      </c>
      <c r="C176" s="5" t="s">
        <v>1654</v>
      </c>
      <c r="D176" s="5"/>
      <c r="E176" s="5"/>
      <c r="F176" s="5">
        <v>63</v>
      </c>
      <c r="G176" s="5">
        <v>53.7</v>
      </c>
      <c r="H176" s="5">
        <f t="shared" si="16"/>
        <v>15011.200000000012</v>
      </c>
      <c r="I176" s="5">
        <v>1.06</v>
      </c>
      <c r="J176" s="499"/>
      <c r="K176" s="501"/>
    </row>
    <row r="177" spans="1:11">
      <c r="A177" s="5">
        <f t="shared" si="15"/>
        <v>174</v>
      </c>
      <c r="B177" s="5" t="s">
        <v>905</v>
      </c>
      <c r="C177" s="5" t="s">
        <v>1225</v>
      </c>
      <c r="D177" s="5"/>
      <c r="E177" s="5"/>
      <c r="F177" s="5">
        <v>63</v>
      </c>
      <c r="G177" s="5">
        <v>71.2</v>
      </c>
      <c r="H177" s="5">
        <f t="shared" si="16"/>
        <v>15082.400000000012</v>
      </c>
      <c r="I177" s="5">
        <v>1.06</v>
      </c>
      <c r="J177" s="499"/>
      <c r="K177" s="501"/>
    </row>
    <row r="178" spans="1:11">
      <c r="A178" s="5">
        <f t="shared" si="15"/>
        <v>175</v>
      </c>
      <c r="B178" s="5" t="s">
        <v>1189</v>
      </c>
      <c r="C178" s="5" t="s">
        <v>1655</v>
      </c>
      <c r="D178" s="5"/>
      <c r="E178" s="5"/>
      <c r="F178" s="5">
        <v>63</v>
      </c>
      <c r="G178" s="5">
        <v>45.2</v>
      </c>
      <c r="H178" s="5">
        <f t="shared" si="16"/>
        <v>15127.600000000013</v>
      </c>
      <c r="I178" s="5">
        <v>1.06</v>
      </c>
      <c r="J178" s="499"/>
      <c r="K178" s="501"/>
    </row>
    <row r="179" spans="1:11">
      <c r="A179" s="5">
        <f t="shared" si="15"/>
        <v>176</v>
      </c>
      <c r="B179" s="5" t="s">
        <v>1188</v>
      </c>
      <c r="C179" s="5" t="s">
        <v>1655</v>
      </c>
      <c r="D179" s="5"/>
      <c r="E179" s="5"/>
      <c r="F179" s="5">
        <v>63</v>
      </c>
      <c r="G179" s="5">
        <v>40.299999999999997</v>
      </c>
      <c r="H179" s="5">
        <f t="shared" si="16"/>
        <v>15167.900000000012</v>
      </c>
      <c r="I179" s="5">
        <v>1.06</v>
      </c>
      <c r="J179" s="499"/>
      <c r="K179" s="501"/>
    </row>
    <row r="180" spans="1:11">
      <c r="A180" s="5">
        <f t="shared" si="15"/>
        <v>177</v>
      </c>
      <c r="B180" s="5" t="s">
        <v>1656</v>
      </c>
      <c r="C180" s="5" t="s">
        <v>1657</v>
      </c>
      <c r="D180" s="5"/>
      <c r="E180" s="5"/>
      <c r="F180" s="5">
        <v>63</v>
      </c>
      <c r="G180" s="5">
        <v>28.2</v>
      </c>
      <c r="H180" s="5">
        <f t="shared" si="16"/>
        <v>15196.100000000013</v>
      </c>
      <c r="I180" s="5">
        <v>1.06</v>
      </c>
      <c r="J180" s="499"/>
      <c r="K180" s="501"/>
    </row>
    <row r="181" spans="1:11">
      <c r="A181" s="5">
        <f t="shared" si="15"/>
        <v>178</v>
      </c>
      <c r="B181" s="5" t="s">
        <v>1658</v>
      </c>
      <c r="C181" s="5" t="s">
        <v>1659</v>
      </c>
      <c r="D181" s="5"/>
      <c r="E181" s="5"/>
      <c r="F181" s="5">
        <v>63</v>
      </c>
      <c r="G181" s="5">
        <v>65.3</v>
      </c>
      <c r="H181" s="5">
        <f t="shared" si="16"/>
        <v>15261.400000000012</v>
      </c>
      <c r="I181" s="5">
        <v>1.06</v>
      </c>
      <c r="J181" s="499"/>
      <c r="K181" s="501"/>
    </row>
    <row r="182" spans="1:11">
      <c r="A182" s="5">
        <f t="shared" si="15"/>
        <v>179</v>
      </c>
      <c r="B182" s="5" t="s">
        <v>1659</v>
      </c>
      <c r="C182" s="5" t="s">
        <v>1660</v>
      </c>
      <c r="D182" s="5"/>
      <c r="E182" s="5"/>
      <c r="F182" s="5">
        <v>63</v>
      </c>
      <c r="G182" s="5">
        <v>14</v>
      </c>
      <c r="H182" s="5">
        <f t="shared" si="16"/>
        <v>15275.400000000012</v>
      </c>
      <c r="I182" s="5">
        <v>1.06</v>
      </c>
      <c r="J182" s="499"/>
      <c r="K182" s="501"/>
    </row>
    <row r="183" spans="1:11">
      <c r="A183" s="5">
        <f t="shared" si="15"/>
        <v>180</v>
      </c>
      <c r="B183" s="5" t="s">
        <v>1659</v>
      </c>
      <c r="C183" s="5" t="s">
        <v>1661</v>
      </c>
      <c r="D183" s="5"/>
      <c r="E183" s="5"/>
      <c r="F183" s="5">
        <v>63</v>
      </c>
      <c r="G183" s="5">
        <v>51.2</v>
      </c>
      <c r="H183" s="5">
        <f t="shared" si="16"/>
        <v>15326.600000000013</v>
      </c>
      <c r="I183" s="5">
        <v>1.06</v>
      </c>
      <c r="J183" s="499"/>
      <c r="K183" s="501"/>
    </row>
    <row r="184" spans="1:11">
      <c r="A184" s="5">
        <f t="shared" si="15"/>
        <v>181</v>
      </c>
      <c r="B184" s="5" t="s">
        <v>1659</v>
      </c>
      <c r="C184" s="5" t="s">
        <v>1660</v>
      </c>
      <c r="D184" s="5"/>
      <c r="E184" s="5"/>
      <c r="F184" s="5">
        <v>63</v>
      </c>
      <c r="G184" s="5">
        <v>23.4</v>
      </c>
      <c r="H184" s="5">
        <f t="shared" si="16"/>
        <v>15350.000000000013</v>
      </c>
      <c r="I184" s="5">
        <v>1.06</v>
      </c>
      <c r="J184" s="499"/>
      <c r="K184" s="501"/>
    </row>
    <row r="185" spans="1:11">
      <c r="A185" s="5">
        <f t="shared" si="15"/>
        <v>182</v>
      </c>
      <c r="B185" s="5" t="s">
        <v>1662</v>
      </c>
      <c r="C185" s="5" t="s">
        <v>1663</v>
      </c>
      <c r="D185" s="5" t="s">
        <v>199</v>
      </c>
      <c r="E185" s="370">
        <v>0.36</v>
      </c>
      <c r="F185" s="5">
        <v>63</v>
      </c>
      <c r="G185" s="5">
        <v>3.3</v>
      </c>
      <c r="H185" s="5">
        <f t="shared" si="16"/>
        <v>15353.300000000012</v>
      </c>
      <c r="I185" s="5">
        <v>1.06</v>
      </c>
      <c r="J185" s="499"/>
      <c r="K185" s="501"/>
    </row>
    <row r="186" spans="1:11">
      <c r="A186" s="5">
        <f t="shared" si="15"/>
        <v>183</v>
      </c>
      <c r="B186" s="5" t="s">
        <v>1662</v>
      </c>
      <c r="C186" s="5" t="s">
        <v>1663</v>
      </c>
      <c r="D186" s="5"/>
      <c r="E186" s="5"/>
      <c r="F186" s="5">
        <v>63</v>
      </c>
      <c r="G186" s="5">
        <v>173</v>
      </c>
      <c r="H186" s="5">
        <f t="shared" si="16"/>
        <v>15526.300000000012</v>
      </c>
      <c r="I186" s="5">
        <v>1.06</v>
      </c>
      <c r="J186" s="499"/>
      <c r="K186" s="501"/>
    </row>
    <row r="187" spans="1:11">
      <c r="A187" s="5">
        <f t="shared" si="15"/>
        <v>184</v>
      </c>
      <c r="B187" s="5" t="s">
        <v>1664</v>
      </c>
      <c r="C187" s="5" t="s">
        <v>1665</v>
      </c>
      <c r="D187" s="5"/>
      <c r="E187" s="5"/>
      <c r="F187" s="5">
        <v>63</v>
      </c>
      <c r="G187" s="5">
        <v>118</v>
      </c>
      <c r="H187" s="5">
        <f t="shared" si="16"/>
        <v>15644.300000000012</v>
      </c>
      <c r="I187" s="5">
        <v>1.06</v>
      </c>
      <c r="J187" s="499"/>
      <c r="K187" s="501"/>
    </row>
    <row r="188" spans="1:11">
      <c r="A188" s="5">
        <f t="shared" si="15"/>
        <v>185</v>
      </c>
      <c r="B188" s="5" t="s">
        <v>1664</v>
      </c>
      <c r="C188" s="5" t="s">
        <v>1665</v>
      </c>
      <c r="D188" s="5"/>
      <c r="E188" s="5"/>
      <c r="F188" s="5">
        <v>63</v>
      </c>
      <c r="G188" s="5">
        <v>2.5</v>
      </c>
      <c r="H188" s="5">
        <f t="shared" si="16"/>
        <v>15646.800000000012</v>
      </c>
      <c r="I188" s="5">
        <v>1.06</v>
      </c>
      <c r="J188" s="499"/>
      <c r="K188" s="501"/>
    </row>
    <row r="189" spans="1:11">
      <c r="A189" s="5">
        <f t="shared" si="15"/>
        <v>186</v>
      </c>
      <c r="B189" s="5" t="s">
        <v>1666</v>
      </c>
      <c r="C189" s="5" t="s">
        <v>1667</v>
      </c>
      <c r="D189" s="5"/>
      <c r="E189" s="5"/>
      <c r="F189" s="5">
        <v>63</v>
      </c>
      <c r="G189" s="5">
        <v>55.4</v>
      </c>
      <c r="H189" s="5">
        <f t="shared" si="16"/>
        <v>15702.200000000012</v>
      </c>
      <c r="I189" s="5">
        <v>1.06</v>
      </c>
      <c r="J189" s="499"/>
      <c r="K189" s="501"/>
    </row>
    <row r="190" spans="1:11">
      <c r="A190" s="5">
        <f t="shared" si="15"/>
        <v>187</v>
      </c>
      <c r="B190" s="5" t="s">
        <v>1668</v>
      </c>
      <c r="C190" s="5" t="s">
        <v>1669</v>
      </c>
      <c r="D190" s="5"/>
      <c r="E190" s="5"/>
      <c r="F190" s="5">
        <v>63</v>
      </c>
      <c r="G190" s="5">
        <v>35.700000000000003</v>
      </c>
      <c r="H190" s="5">
        <f t="shared" si="16"/>
        <v>15737.900000000012</v>
      </c>
      <c r="I190" s="5">
        <v>1.06</v>
      </c>
      <c r="J190" s="499"/>
      <c r="K190" s="501"/>
    </row>
    <row r="191" spans="1:11">
      <c r="A191" s="5">
        <f t="shared" si="15"/>
        <v>188</v>
      </c>
      <c r="B191" s="5" t="s">
        <v>1670</v>
      </c>
      <c r="C191" s="5" t="s">
        <v>1671</v>
      </c>
      <c r="D191" s="5"/>
      <c r="E191" s="5"/>
      <c r="F191" s="5">
        <v>63</v>
      </c>
      <c r="G191" s="5">
        <v>35.1</v>
      </c>
      <c r="H191" s="5">
        <f t="shared" si="16"/>
        <v>15773.000000000013</v>
      </c>
      <c r="I191" s="5">
        <v>1.06</v>
      </c>
      <c r="J191" s="499"/>
      <c r="K191" s="501"/>
    </row>
    <row r="192" spans="1:11">
      <c r="A192" s="5">
        <f t="shared" si="15"/>
        <v>189</v>
      </c>
      <c r="B192" s="5" t="s">
        <v>1672</v>
      </c>
      <c r="C192" s="5" t="s">
        <v>1673</v>
      </c>
      <c r="D192" s="5"/>
      <c r="E192" s="5"/>
      <c r="F192" s="5">
        <v>63</v>
      </c>
      <c r="G192" s="5">
        <v>21</v>
      </c>
      <c r="H192" s="5">
        <f t="shared" si="16"/>
        <v>15794.000000000013</v>
      </c>
      <c r="I192" s="5">
        <v>1.06</v>
      </c>
      <c r="J192" s="499"/>
      <c r="K192" s="501"/>
    </row>
    <row r="193" spans="1:11">
      <c r="A193" s="5">
        <f t="shared" si="15"/>
        <v>190</v>
      </c>
      <c r="B193" s="5" t="s">
        <v>1674</v>
      </c>
      <c r="C193" s="5" t="s">
        <v>1675</v>
      </c>
      <c r="D193" s="5"/>
      <c r="E193" s="5"/>
      <c r="F193" s="5">
        <v>63</v>
      </c>
      <c r="G193" s="5">
        <v>80.5</v>
      </c>
      <c r="H193" s="5">
        <f t="shared" si="16"/>
        <v>15874.500000000013</v>
      </c>
      <c r="I193" s="5">
        <v>1.06</v>
      </c>
      <c r="J193" s="499"/>
      <c r="K193" s="501"/>
    </row>
    <row r="194" spans="1:11">
      <c r="A194" s="5">
        <f t="shared" si="15"/>
        <v>191</v>
      </c>
      <c r="B194" s="5" t="s">
        <v>1676</v>
      </c>
      <c r="C194" s="5" t="s">
        <v>1677</v>
      </c>
      <c r="D194" s="5"/>
      <c r="E194" s="5"/>
      <c r="F194" s="5">
        <v>63</v>
      </c>
      <c r="G194" s="5">
        <v>68.900000000000006</v>
      </c>
      <c r="H194" s="5">
        <f t="shared" si="16"/>
        <v>15943.400000000012</v>
      </c>
      <c r="I194" s="5">
        <v>1.06</v>
      </c>
      <c r="J194" s="499"/>
      <c r="K194" s="501"/>
    </row>
    <row r="195" spans="1:11">
      <c r="A195" s="5">
        <f t="shared" si="15"/>
        <v>192</v>
      </c>
      <c r="B195" s="5" t="s">
        <v>1201</v>
      </c>
      <c r="C195" s="5" t="s">
        <v>1602</v>
      </c>
      <c r="D195" s="5" t="s">
        <v>149</v>
      </c>
      <c r="E195" s="5">
        <v>0.46</v>
      </c>
      <c r="F195" s="5">
        <v>63</v>
      </c>
      <c r="G195" s="5">
        <v>21.7</v>
      </c>
      <c r="H195" s="5">
        <f t="shared" si="16"/>
        <v>15965.100000000013</v>
      </c>
      <c r="I195" s="5">
        <v>1.06</v>
      </c>
      <c r="J195" s="499"/>
      <c r="K195" s="501"/>
    </row>
    <row r="196" spans="1:11">
      <c r="A196" s="5">
        <f t="shared" si="15"/>
        <v>193</v>
      </c>
      <c r="B196" s="5" t="s">
        <v>1602</v>
      </c>
      <c r="C196" s="5" t="s">
        <v>1678</v>
      </c>
      <c r="D196" s="5" t="s">
        <v>149</v>
      </c>
      <c r="E196" s="5">
        <v>0.46</v>
      </c>
      <c r="F196" s="5">
        <v>63</v>
      </c>
      <c r="G196" s="5">
        <v>181</v>
      </c>
      <c r="H196" s="5">
        <f t="shared" si="16"/>
        <v>16146.100000000013</v>
      </c>
      <c r="I196" s="5">
        <v>1.06</v>
      </c>
      <c r="J196" s="499"/>
      <c r="K196" s="501"/>
    </row>
    <row r="197" spans="1:11">
      <c r="A197" s="5">
        <f t="shared" si="15"/>
        <v>194</v>
      </c>
      <c r="B197" s="5" t="s">
        <v>1602</v>
      </c>
      <c r="C197" s="5" t="s">
        <v>1678</v>
      </c>
      <c r="D197" s="5"/>
      <c r="E197" s="5"/>
      <c r="F197" s="5">
        <v>63</v>
      </c>
      <c r="G197" s="5">
        <v>161.5</v>
      </c>
      <c r="H197" s="5">
        <f t="shared" si="16"/>
        <v>16307.600000000013</v>
      </c>
      <c r="I197" s="5">
        <v>1.06</v>
      </c>
      <c r="J197" s="499"/>
      <c r="K197" s="501"/>
    </row>
    <row r="198" spans="1:11">
      <c r="A198" s="5">
        <f>1+A196</f>
        <v>194</v>
      </c>
      <c r="B198" s="5" t="s">
        <v>1678</v>
      </c>
      <c r="C198" s="5" t="s">
        <v>1601</v>
      </c>
      <c r="D198" s="5" t="s">
        <v>199</v>
      </c>
      <c r="E198" s="370">
        <v>0.36</v>
      </c>
      <c r="F198" s="5">
        <v>63</v>
      </c>
      <c r="G198" s="5">
        <v>51.2</v>
      </c>
      <c r="H198" s="5">
        <f t="shared" ref="H198:H255" si="17">+H197+G198</f>
        <v>16358.800000000014</v>
      </c>
      <c r="I198" s="5">
        <v>1.06</v>
      </c>
      <c r="J198" s="499"/>
      <c r="K198" s="501"/>
    </row>
    <row r="199" spans="1:11">
      <c r="A199" s="5">
        <f t="shared" ref="A199:A250" si="18">1+A198</f>
        <v>195</v>
      </c>
      <c r="B199" s="5" t="s">
        <v>1678</v>
      </c>
      <c r="C199" s="5" t="s">
        <v>1679</v>
      </c>
      <c r="D199" s="5" t="s">
        <v>199</v>
      </c>
      <c r="E199" s="370">
        <v>0.36</v>
      </c>
      <c r="F199" s="5">
        <v>63</v>
      </c>
      <c r="G199" s="5">
        <v>53.2</v>
      </c>
      <c r="H199" s="5">
        <f t="shared" si="17"/>
        <v>16412.000000000015</v>
      </c>
      <c r="I199" s="5">
        <v>1.06</v>
      </c>
      <c r="J199" s="499"/>
      <c r="K199" s="501"/>
    </row>
    <row r="200" spans="1:11">
      <c r="A200" s="5">
        <f t="shared" si="18"/>
        <v>196</v>
      </c>
      <c r="B200" s="5" t="s">
        <v>1679</v>
      </c>
      <c r="C200" s="5" t="s">
        <v>1184</v>
      </c>
      <c r="D200" s="5"/>
      <c r="E200" s="5"/>
      <c r="F200" s="5">
        <v>63</v>
      </c>
      <c r="G200" s="5">
        <v>62.8</v>
      </c>
      <c r="H200" s="5">
        <f t="shared" si="17"/>
        <v>16474.800000000014</v>
      </c>
      <c r="I200" s="5">
        <v>1.06</v>
      </c>
      <c r="J200" s="499"/>
      <c r="K200" s="501"/>
    </row>
    <row r="201" spans="1:11">
      <c r="A201" s="5">
        <f t="shared" si="18"/>
        <v>197</v>
      </c>
      <c r="B201" s="5" t="s">
        <v>1679</v>
      </c>
      <c r="C201" s="5" t="s">
        <v>1059</v>
      </c>
      <c r="D201" s="5" t="s">
        <v>199</v>
      </c>
      <c r="E201" s="370">
        <v>0.36</v>
      </c>
      <c r="F201" s="5">
        <v>63</v>
      </c>
      <c r="G201" s="5">
        <v>21.7</v>
      </c>
      <c r="H201" s="5">
        <f t="shared" si="17"/>
        <v>16496.500000000015</v>
      </c>
      <c r="I201" s="5">
        <v>1.06</v>
      </c>
      <c r="J201" s="499"/>
      <c r="K201" s="501"/>
    </row>
    <row r="202" spans="1:11">
      <c r="A202" s="5">
        <f t="shared" si="18"/>
        <v>198</v>
      </c>
      <c r="B202" s="5" t="s">
        <v>1680</v>
      </c>
      <c r="C202" s="5" t="s">
        <v>1681</v>
      </c>
      <c r="D202" s="5"/>
      <c r="E202" s="5"/>
      <c r="F202" s="5">
        <v>63</v>
      </c>
      <c r="G202" s="5">
        <v>76.3</v>
      </c>
      <c r="H202" s="5">
        <f t="shared" si="17"/>
        <v>16572.800000000014</v>
      </c>
      <c r="I202" s="5">
        <v>1.06</v>
      </c>
      <c r="J202" s="499"/>
      <c r="K202" s="501"/>
    </row>
    <row r="203" spans="1:11">
      <c r="A203" s="5">
        <f t="shared" si="18"/>
        <v>199</v>
      </c>
      <c r="B203" s="5" t="s">
        <v>902</v>
      </c>
      <c r="C203" s="5" t="s">
        <v>1682</v>
      </c>
      <c r="D203" s="5"/>
      <c r="E203" s="5"/>
      <c r="F203" s="5">
        <v>63</v>
      </c>
      <c r="G203" s="5">
        <v>59.2</v>
      </c>
      <c r="H203" s="5">
        <f t="shared" si="17"/>
        <v>16632.000000000015</v>
      </c>
      <c r="I203" s="5">
        <v>1.06</v>
      </c>
      <c r="J203" s="499"/>
      <c r="K203" s="501"/>
    </row>
    <row r="204" spans="1:11">
      <c r="A204" s="5">
        <f t="shared" si="18"/>
        <v>200</v>
      </c>
      <c r="B204" s="5" t="s">
        <v>902</v>
      </c>
      <c r="C204" s="5" t="s">
        <v>1683</v>
      </c>
      <c r="D204" s="5"/>
      <c r="E204" s="5"/>
      <c r="F204" s="5">
        <v>63</v>
      </c>
      <c r="G204" s="5">
        <v>89.2</v>
      </c>
      <c r="H204" s="5">
        <f t="shared" si="17"/>
        <v>16721.200000000015</v>
      </c>
      <c r="I204" s="5">
        <v>1.06</v>
      </c>
      <c r="J204" s="499"/>
      <c r="K204" s="501"/>
    </row>
    <row r="205" spans="1:11">
      <c r="A205" s="5">
        <f t="shared" si="18"/>
        <v>201</v>
      </c>
      <c r="B205" s="5" t="s">
        <v>1052</v>
      </c>
      <c r="C205" s="5" t="s">
        <v>1684</v>
      </c>
      <c r="D205" s="5"/>
      <c r="E205" s="5"/>
      <c r="F205" s="5">
        <v>63</v>
      </c>
      <c r="G205" s="5">
        <v>30.2</v>
      </c>
      <c r="H205" s="5">
        <f t="shared" si="17"/>
        <v>16751.400000000016</v>
      </c>
      <c r="I205" s="5">
        <v>1.06</v>
      </c>
      <c r="J205" s="499"/>
      <c r="K205" s="501"/>
    </row>
    <row r="206" spans="1:11">
      <c r="A206" s="5">
        <f t="shared" si="18"/>
        <v>202</v>
      </c>
      <c r="B206" s="5" t="s">
        <v>1685</v>
      </c>
      <c r="C206" s="5" t="s">
        <v>1686</v>
      </c>
      <c r="D206" s="5"/>
      <c r="E206" s="5"/>
      <c r="F206" s="5">
        <v>63</v>
      </c>
      <c r="G206" s="5">
        <v>38</v>
      </c>
      <c r="H206" s="5">
        <f t="shared" si="17"/>
        <v>16789.400000000016</v>
      </c>
      <c r="I206" s="5">
        <v>1.06</v>
      </c>
      <c r="J206" s="499"/>
      <c r="K206" s="501"/>
    </row>
    <row r="207" spans="1:11">
      <c r="A207" s="5">
        <f t="shared" si="18"/>
        <v>203</v>
      </c>
      <c r="B207" s="5" t="s">
        <v>1687</v>
      </c>
      <c r="C207" s="5" t="s">
        <v>1688</v>
      </c>
      <c r="D207" s="5"/>
      <c r="E207" s="5"/>
      <c r="F207" s="5">
        <v>63</v>
      </c>
      <c r="G207" s="5">
        <v>41.5</v>
      </c>
      <c r="H207" s="5">
        <f t="shared" si="17"/>
        <v>16830.900000000016</v>
      </c>
      <c r="I207" s="5">
        <v>1.06</v>
      </c>
      <c r="J207" s="499"/>
      <c r="K207" s="501"/>
    </row>
    <row r="208" spans="1:11">
      <c r="A208" s="5">
        <f t="shared" si="18"/>
        <v>204</v>
      </c>
      <c r="B208" s="5" t="s">
        <v>1689</v>
      </c>
      <c r="C208" s="5" t="s">
        <v>1690</v>
      </c>
      <c r="D208" s="5" t="s">
        <v>193</v>
      </c>
      <c r="E208" s="370">
        <v>0.36</v>
      </c>
      <c r="F208" s="5">
        <v>63</v>
      </c>
      <c r="G208" s="5">
        <v>5</v>
      </c>
      <c r="H208" s="5">
        <f t="shared" si="17"/>
        <v>16835.900000000016</v>
      </c>
      <c r="I208" s="5">
        <v>1.06</v>
      </c>
      <c r="J208" s="499"/>
      <c r="K208" s="501"/>
    </row>
    <row r="209" spans="1:11">
      <c r="A209" s="5">
        <f t="shared" si="18"/>
        <v>205</v>
      </c>
      <c r="B209" s="5" t="s">
        <v>1691</v>
      </c>
      <c r="C209" s="5" t="s">
        <v>1692</v>
      </c>
      <c r="D209" s="5"/>
      <c r="E209" s="5"/>
      <c r="F209" s="5">
        <v>63</v>
      </c>
      <c r="G209" s="5">
        <v>32.200000000000003</v>
      </c>
      <c r="H209" s="5">
        <f t="shared" si="17"/>
        <v>16868.100000000017</v>
      </c>
      <c r="I209" s="5">
        <v>1.06</v>
      </c>
      <c r="J209" s="499"/>
      <c r="K209" s="501"/>
    </row>
    <row r="210" spans="1:11">
      <c r="A210" s="5">
        <f t="shared" si="18"/>
        <v>206</v>
      </c>
      <c r="B210" s="5" t="s">
        <v>1693</v>
      </c>
      <c r="C210" s="5" t="s">
        <v>1694</v>
      </c>
      <c r="D210" s="5" t="s">
        <v>38</v>
      </c>
      <c r="E210" s="5"/>
      <c r="F210" s="5">
        <v>63</v>
      </c>
      <c r="G210" s="5">
        <v>2.4</v>
      </c>
      <c r="H210" s="5">
        <f t="shared" si="17"/>
        <v>16870.500000000018</v>
      </c>
      <c r="I210" s="5">
        <v>1.06</v>
      </c>
      <c r="J210" s="499"/>
      <c r="K210" s="501"/>
    </row>
    <row r="211" spans="1:11">
      <c r="A211" s="5">
        <f t="shared" si="18"/>
        <v>207</v>
      </c>
      <c r="B211" s="5" t="s">
        <v>1693</v>
      </c>
      <c r="C211" s="5" t="s">
        <v>1694</v>
      </c>
      <c r="D211" s="5" t="s">
        <v>199</v>
      </c>
      <c r="E211" s="370">
        <v>0.36</v>
      </c>
      <c r="F211" s="5">
        <v>63</v>
      </c>
      <c r="G211" s="5">
        <v>95.5</v>
      </c>
      <c r="H211" s="5">
        <f t="shared" si="17"/>
        <v>16966.000000000018</v>
      </c>
      <c r="I211" s="5">
        <v>1.06</v>
      </c>
      <c r="J211" s="499"/>
      <c r="K211" s="501"/>
    </row>
    <row r="212" spans="1:11">
      <c r="A212" s="5">
        <f t="shared" si="18"/>
        <v>208</v>
      </c>
      <c r="B212" s="5" t="s">
        <v>1694</v>
      </c>
      <c r="C212" s="5" t="s">
        <v>1695</v>
      </c>
      <c r="D212" s="5" t="s">
        <v>199</v>
      </c>
      <c r="E212" s="370">
        <v>0.36</v>
      </c>
      <c r="F212" s="5">
        <v>63</v>
      </c>
      <c r="G212" s="5">
        <v>50.9</v>
      </c>
      <c r="H212" s="5">
        <f t="shared" si="17"/>
        <v>17016.90000000002</v>
      </c>
      <c r="I212" s="5">
        <v>1.06</v>
      </c>
      <c r="J212" s="499"/>
      <c r="K212" s="501"/>
    </row>
    <row r="213" spans="1:11">
      <c r="A213" s="5">
        <f t="shared" si="18"/>
        <v>209</v>
      </c>
      <c r="B213" s="5" t="s">
        <v>1695</v>
      </c>
      <c r="C213" s="5" t="s">
        <v>1696</v>
      </c>
      <c r="D213" s="5" t="s">
        <v>199</v>
      </c>
      <c r="E213" s="370">
        <v>0.36</v>
      </c>
      <c r="F213" s="5">
        <v>63</v>
      </c>
      <c r="G213" s="5">
        <v>2.2999999999999998</v>
      </c>
      <c r="H213" s="5">
        <f t="shared" si="17"/>
        <v>17019.200000000019</v>
      </c>
      <c r="I213" s="5">
        <v>1.06</v>
      </c>
      <c r="J213" s="499"/>
      <c r="K213" s="501"/>
    </row>
    <row r="214" spans="1:11">
      <c r="A214" s="5">
        <f t="shared" si="18"/>
        <v>210</v>
      </c>
      <c r="B214" s="5" t="s">
        <v>1695</v>
      </c>
      <c r="C214" s="5" t="s">
        <v>1696</v>
      </c>
      <c r="D214" s="5"/>
      <c r="E214" s="5"/>
      <c r="F214" s="5">
        <v>63</v>
      </c>
      <c r="G214" s="5">
        <v>33.299999999999997</v>
      </c>
      <c r="H214" s="5">
        <f t="shared" si="17"/>
        <v>17052.500000000018</v>
      </c>
      <c r="I214" s="5">
        <v>1.06</v>
      </c>
      <c r="J214" s="499"/>
      <c r="K214" s="501"/>
    </row>
    <row r="215" spans="1:11">
      <c r="A215" s="5">
        <f t="shared" si="18"/>
        <v>211</v>
      </c>
      <c r="B215" s="5" t="s">
        <v>1694</v>
      </c>
      <c r="C215" s="5" t="s">
        <v>1697</v>
      </c>
      <c r="D215" s="5" t="s">
        <v>199</v>
      </c>
      <c r="E215" s="370">
        <v>0.36</v>
      </c>
      <c r="F215" s="5">
        <v>63</v>
      </c>
      <c r="G215" s="5">
        <v>2.7</v>
      </c>
      <c r="H215" s="5">
        <f t="shared" si="17"/>
        <v>17055.200000000019</v>
      </c>
      <c r="I215" s="5">
        <v>1.06</v>
      </c>
      <c r="J215" s="499"/>
      <c r="K215" s="501"/>
    </row>
    <row r="216" spans="1:11">
      <c r="A216" s="5">
        <f t="shared" si="18"/>
        <v>212</v>
      </c>
      <c r="B216" s="5" t="s">
        <v>1694</v>
      </c>
      <c r="C216" s="5" t="s">
        <v>1697</v>
      </c>
      <c r="D216" s="5"/>
      <c r="E216" s="5"/>
      <c r="F216" s="5">
        <v>63</v>
      </c>
      <c r="G216" s="5">
        <v>63.3</v>
      </c>
      <c r="H216" s="5">
        <f t="shared" si="17"/>
        <v>17118.500000000018</v>
      </c>
      <c r="I216" s="5">
        <v>1.06</v>
      </c>
      <c r="J216" s="499"/>
      <c r="K216" s="501"/>
    </row>
    <row r="217" spans="1:11">
      <c r="A217" s="5">
        <f t="shared" si="18"/>
        <v>213</v>
      </c>
      <c r="B217" s="5" t="s">
        <v>1698</v>
      </c>
      <c r="C217" s="5" t="s">
        <v>1699</v>
      </c>
      <c r="D217" s="5" t="s">
        <v>199</v>
      </c>
      <c r="E217" s="370">
        <v>0.36</v>
      </c>
      <c r="F217" s="5">
        <v>63</v>
      </c>
      <c r="G217" s="5">
        <v>37.1</v>
      </c>
      <c r="H217" s="5">
        <f t="shared" si="17"/>
        <v>17155.600000000017</v>
      </c>
      <c r="I217" s="5">
        <v>1.06</v>
      </c>
      <c r="J217" s="499"/>
      <c r="K217" s="501"/>
    </row>
    <row r="218" spans="1:11">
      <c r="A218" s="5">
        <f t="shared" si="18"/>
        <v>214</v>
      </c>
      <c r="B218" s="5" t="s">
        <v>1228</v>
      </c>
      <c r="C218" s="5" t="s">
        <v>1693</v>
      </c>
      <c r="D218" s="5" t="s">
        <v>199</v>
      </c>
      <c r="E218" s="370">
        <v>0.36</v>
      </c>
      <c r="F218" s="5">
        <v>63</v>
      </c>
      <c r="G218" s="5">
        <v>32.200000000000003</v>
      </c>
      <c r="H218" s="5">
        <f t="shared" si="17"/>
        <v>17187.800000000017</v>
      </c>
      <c r="I218" s="5">
        <v>1.06</v>
      </c>
      <c r="J218" s="499"/>
      <c r="K218" s="501"/>
    </row>
    <row r="219" spans="1:11">
      <c r="A219" s="5">
        <f t="shared" si="18"/>
        <v>215</v>
      </c>
      <c r="B219" s="5" t="s">
        <v>1698</v>
      </c>
      <c r="C219" s="5" t="s">
        <v>1697</v>
      </c>
      <c r="D219" s="5" t="s">
        <v>199</v>
      </c>
      <c r="E219" s="370">
        <v>0.36</v>
      </c>
      <c r="F219" s="5">
        <v>63</v>
      </c>
      <c r="G219" s="5">
        <v>8.1</v>
      </c>
      <c r="H219" s="5">
        <f t="shared" si="17"/>
        <v>17195.900000000016</v>
      </c>
      <c r="I219" s="5">
        <v>1.06</v>
      </c>
      <c r="J219" s="499"/>
      <c r="K219" s="501"/>
    </row>
    <row r="220" spans="1:11">
      <c r="A220" s="5">
        <f t="shared" si="18"/>
        <v>216</v>
      </c>
      <c r="B220" s="5" t="s">
        <v>1697</v>
      </c>
      <c r="C220" s="5" t="s">
        <v>1700</v>
      </c>
      <c r="D220" s="5" t="s">
        <v>199</v>
      </c>
      <c r="E220" s="370">
        <v>0.36</v>
      </c>
      <c r="F220" s="5">
        <v>63</v>
      </c>
      <c r="G220" s="5">
        <v>23.7</v>
      </c>
      <c r="H220" s="5">
        <f t="shared" si="17"/>
        <v>17219.600000000017</v>
      </c>
      <c r="I220" s="5">
        <v>1.06</v>
      </c>
      <c r="J220" s="499"/>
      <c r="K220" s="501"/>
    </row>
    <row r="221" spans="1:11">
      <c r="A221" s="5">
        <f t="shared" si="18"/>
        <v>217</v>
      </c>
      <c r="B221" s="5" t="s">
        <v>1697</v>
      </c>
      <c r="C221" s="5" t="s">
        <v>1186</v>
      </c>
      <c r="D221" s="5"/>
      <c r="E221" s="5"/>
      <c r="F221" s="5">
        <v>63</v>
      </c>
      <c r="G221" s="5">
        <v>47.9</v>
      </c>
      <c r="H221" s="5">
        <f t="shared" si="17"/>
        <v>17267.500000000018</v>
      </c>
      <c r="I221" s="5">
        <v>1.06</v>
      </c>
      <c r="J221" s="499"/>
      <c r="K221" s="501"/>
    </row>
    <row r="222" spans="1:11">
      <c r="A222" s="5">
        <f t="shared" si="18"/>
        <v>218</v>
      </c>
      <c r="B222" s="5" t="s">
        <v>1186</v>
      </c>
      <c r="C222" s="5" t="s">
        <v>1701</v>
      </c>
      <c r="D222" s="5"/>
      <c r="E222" s="5"/>
      <c r="F222" s="5">
        <v>63</v>
      </c>
      <c r="G222" s="5">
        <v>3.9</v>
      </c>
      <c r="H222" s="5">
        <f t="shared" si="17"/>
        <v>17271.40000000002</v>
      </c>
      <c r="I222" s="5">
        <v>1.06</v>
      </c>
      <c r="J222" s="499"/>
      <c r="K222" s="501"/>
    </row>
    <row r="223" spans="1:11">
      <c r="A223" s="5">
        <f t="shared" si="18"/>
        <v>219</v>
      </c>
      <c r="B223" s="5" t="s">
        <v>1186</v>
      </c>
      <c r="C223" s="5" t="s">
        <v>1701</v>
      </c>
      <c r="D223" s="5" t="s">
        <v>199</v>
      </c>
      <c r="E223" s="370">
        <v>0.36</v>
      </c>
      <c r="F223" s="5">
        <v>63</v>
      </c>
      <c r="G223" s="5">
        <v>53.6</v>
      </c>
      <c r="H223" s="5">
        <f t="shared" si="17"/>
        <v>17325.000000000018</v>
      </c>
      <c r="I223" s="5">
        <v>1.06</v>
      </c>
      <c r="J223" s="499"/>
      <c r="K223" s="501"/>
    </row>
    <row r="224" spans="1:11">
      <c r="A224" s="5">
        <f t="shared" si="18"/>
        <v>220</v>
      </c>
      <c r="B224" s="5" t="s">
        <v>1186</v>
      </c>
      <c r="C224" s="5" t="s">
        <v>1701</v>
      </c>
      <c r="D224" s="5"/>
      <c r="E224" s="5"/>
      <c r="F224" s="5">
        <v>63</v>
      </c>
      <c r="G224" s="5">
        <v>24</v>
      </c>
      <c r="H224" s="5">
        <f t="shared" si="17"/>
        <v>17349.000000000018</v>
      </c>
      <c r="I224" s="5">
        <v>1.06</v>
      </c>
      <c r="J224" s="499"/>
      <c r="K224" s="501"/>
    </row>
    <row r="225" spans="1:11">
      <c r="A225" s="5">
        <f t="shared" si="18"/>
        <v>221</v>
      </c>
      <c r="B225" s="5" t="s">
        <v>1186</v>
      </c>
      <c r="C225" s="5" t="s">
        <v>1702</v>
      </c>
      <c r="D225" s="5"/>
      <c r="E225" s="5"/>
      <c r="F225" s="5">
        <v>63</v>
      </c>
      <c r="G225" s="5">
        <v>76.599999999999994</v>
      </c>
      <c r="H225" s="5">
        <f t="shared" si="17"/>
        <v>17425.600000000017</v>
      </c>
      <c r="I225" s="5">
        <v>1.06</v>
      </c>
      <c r="J225" s="499"/>
      <c r="K225" s="501"/>
    </row>
    <row r="226" spans="1:11">
      <c r="A226" s="5">
        <f t="shared" si="18"/>
        <v>222</v>
      </c>
      <c r="B226" s="5" t="s">
        <v>1702</v>
      </c>
      <c r="C226" s="5" t="s">
        <v>1703</v>
      </c>
      <c r="D226" s="5"/>
      <c r="E226" s="5"/>
      <c r="F226" s="5">
        <v>63</v>
      </c>
      <c r="G226" s="5">
        <v>99.4</v>
      </c>
      <c r="H226" s="5">
        <f t="shared" si="17"/>
        <v>17525.000000000018</v>
      </c>
      <c r="I226" s="5">
        <v>1.06</v>
      </c>
      <c r="J226" s="499"/>
      <c r="K226" s="501"/>
    </row>
    <row r="227" spans="1:11">
      <c r="A227" s="5">
        <f t="shared" si="18"/>
        <v>223</v>
      </c>
      <c r="B227" s="5" t="s">
        <v>1704</v>
      </c>
      <c r="C227" s="5" t="s">
        <v>1202</v>
      </c>
      <c r="D227" s="5"/>
      <c r="E227" s="5"/>
      <c r="F227" s="5">
        <v>63</v>
      </c>
      <c r="G227" s="5">
        <v>89.7</v>
      </c>
      <c r="H227" s="5">
        <f t="shared" si="17"/>
        <v>17614.700000000019</v>
      </c>
      <c r="I227" s="5">
        <v>1.06</v>
      </c>
      <c r="J227" s="499"/>
      <c r="K227" s="501"/>
    </row>
    <row r="228" spans="1:11">
      <c r="A228" s="5">
        <f t="shared" si="18"/>
        <v>224</v>
      </c>
      <c r="B228" s="5" t="s">
        <v>1604</v>
      </c>
      <c r="C228" s="5" t="s">
        <v>1191</v>
      </c>
      <c r="D228" s="5"/>
      <c r="E228" s="5"/>
      <c r="F228" s="5">
        <v>63</v>
      </c>
      <c r="G228" s="5">
        <v>29.2</v>
      </c>
      <c r="H228" s="5">
        <f t="shared" si="17"/>
        <v>17643.90000000002</v>
      </c>
      <c r="I228" s="5">
        <v>1.06</v>
      </c>
      <c r="J228" s="499"/>
      <c r="K228" s="501"/>
    </row>
    <row r="229" spans="1:11">
      <c r="A229" s="5">
        <f t="shared" si="18"/>
        <v>225</v>
      </c>
      <c r="B229" s="5" t="s">
        <v>1641</v>
      </c>
      <c r="C229" s="5" t="s">
        <v>1189</v>
      </c>
      <c r="D229" s="5"/>
      <c r="E229" s="5"/>
      <c r="F229" s="5">
        <v>63</v>
      </c>
      <c r="G229" s="5">
        <v>27</v>
      </c>
      <c r="H229" s="5">
        <f t="shared" si="17"/>
        <v>17670.90000000002</v>
      </c>
      <c r="I229" s="5">
        <v>1.06</v>
      </c>
      <c r="J229" s="499"/>
      <c r="K229" s="501"/>
    </row>
    <row r="230" spans="1:11">
      <c r="A230" s="5">
        <f t="shared" si="18"/>
        <v>226</v>
      </c>
      <c r="B230" s="6" t="s">
        <v>1685</v>
      </c>
      <c r="C230" s="6" t="s">
        <v>1212</v>
      </c>
      <c r="D230" s="6"/>
      <c r="E230" s="6"/>
      <c r="F230" s="6">
        <v>140</v>
      </c>
      <c r="G230" s="6">
        <v>149</v>
      </c>
      <c r="H230" s="5">
        <f t="shared" si="17"/>
        <v>17819.90000000002</v>
      </c>
      <c r="I230" s="5">
        <v>1.1399999999999999</v>
      </c>
      <c r="J230" s="499"/>
      <c r="K230" s="501"/>
    </row>
    <row r="231" spans="1:11">
      <c r="A231" s="5">
        <f t="shared" si="18"/>
        <v>227</v>
      </c>
      <c r="B231" s="6" t="s">
        <v>1212</v>
      </c>
      <c r="C231" s="6" t="s">
        <v>1213</v>
      </c>
      <c r="D231" s="6"/>
      <c r="E231" s="6"/>
      <c r="F231" s="6">
        <v>140</v>
      </c>
      <c r="G231" s="6">
        <v>197.6</v>
      </c>
      <c r="H231" s="5">
        <f t="shared" si="17"/>
        <v>18017.500000000018</v>
      </c>
      <c r="I231" s="5">
        <v>1.1399999999999999</v>
      </c>
      <c r="J231" s="499"/>
      <c r="K231" s="501"/>
    </row>
    <row r="232" spans="1:11">
      <c r="A232" s="5">
        <f t="shared" si="18"/>
        <v>228</v>
      </c>
      <c r="B232" s="6" t="s">
        <v>1573</v>
      </c>
      <c r="C232" s="6" t="s">
        <v>1058</v>
      </c>
      <c r="D232" s="6"/>
      <c r="E232" s="6"/>
      <c r="F232" s="6">
        <v>140</v>
      </c>
      <c r="G232" s="6">
        <v>243.6</v>
      </c>
      <c r="H232" s="5">
        <f t="shared" si="17"/>
        <v>18261.100000000017</v>
      </c>
      <c r="I232" s="5">
        <v>1.1399999999999999</v>
      </c>
      <c r="J232" s="499"/>
      <c r="K232" s="501"/>
    </row>
    <row r="233" spans="1:11">
      <c r="A233" s="5">
        <f t="shared" si="18"/>
        <v>229</v>
      </c>
      <c r="B233" s="6" t="s">
        <v>1058</v>
      </c>
      <c r="C233" s="6" t="s">
        <v>913</v>
      </c>
      <c r="D233" s="6"/>
      <c r="E233" s="6"/>
      <c r="F233" s="6">
        <v>140</v>
      </c>
      <c r="G233" s="6">
        <v>50.5</v>
      </c>
      <c r="H233" s="5">
        <f t="shared" si="17"/>
        <v>18311.600000000017</v>
      </c>
      <c r="I233" s="5">
        <v>1.1399999999999999</v>
      </c>
      <c r="J233" s="499"/>
      <c r="K233" s="501"/>
    </row>
    <row r="234" spans="1:11">
      <c r="A234" s="5">
        <f t="shared" si="18"/>
        <v>230</v>
      </c>
      <c r="B234" s="6" t="s">
        <v>1058</v>
      </c>
      <c r="C234" s="6" t="s">
        <v>1575</v>
      </c>
      <c r="D234" s="6"/>
      <c r="E234" s="6"/>
      <c r="F234" s="6">
        <v>140</v>
      </c>
      <c r="G234" s="6">
        <v>73</v>
      </c>
      <c r="H234" s="5">
        <f t="shared" si="17"/>
        <v>18384.600000000017</v>
      </c>
      <c r="I234" s="5">
        <v>1.1399999999999999</v>
      </c>
      <c r="J234" s="499"/>
      <c r="K234" s="501"/>
    </row>
    <row r="235" spans="1:11">
      <c r="A235" s="5">
        <f t="shared" si="18"/>
        <v>231</v>
      </c>
      <c r="B235" s="6" t="s">
        <v>1575</v>
      </c>
      <c r="C235" s="6" t="s">
        <v>1576</v>
      </c>
      <c r="D235" s="6"/>
      <c r="E235" s="6"/>
      <c r="F235" s="6">
        <v>140</v>
      </c>
      <c r="G235" s="6">
        <v>260</v>
      </c>
      <c r="H235" s="5">
        <f t="shared" si="17"/>
        <v>18644.600000000017</v>
      </c>
      <c r="I235" s="5">
        <v>1.1399999999999999</v>
      </c>
      <c r="J235" s="499"/>
      <c r="K235" s="501"/>
    </row>
    <row r="236" spans="1:11">
      <c r="A236" s="5">
        <f t="shared" si="18"/>
        <v>232</v>
      </c>
      <c r="B236" s="6" t="s">
        <v>1575</v>
      </c>
      <c r="C236" s="6" t="s">
        <v>1572</v>
      </c>
      <c r="D236" s="6"/>
      <c r="E236" s="6"/>
      <c r="F236" s="6">
        <v>140</v>
      </c>
      <c r="G236" s="6">
        <v>444</v>
      </c>
      <c r="H236" s="5">
        <f t="shared" si="17"/>
        <v>19088.600000000017</v>
      </c>
      <c r="I236" s="5">
        <v>1.1399999999999999</v>
      </c>
      <c r="J236" s="499"/>
      <c r="K236" s="501"/>
    </row>
    <row r="237" spans="1:11">
      <c r="A237" s="5">
        <f t="shared" si="18"/>
        <v>233</v>
      </c>
      <c r="B237" s="5" t="s">
        <v>1213</v>
      </c>
      <c r="C237" s="5" t="s">
        <v>1705</v>
      </c>
      <c r="D237" s="5"/>
      <c r="E237" s="5"/>
      <c r="F237" s="5">
        <v>160</v>
      </c>
      <c r="G237" s="5">
        <v>164</v>
      </c>
      <c r="H237" s="5">
        <f t="shared" si="17"/>
        <v>19252.600000000017</v>
      </c>
      <c r="I237" s="5">
        <v>1.1599999999999999</v>
      </c>
      <c r="J237" s="499"/>
      <c r="K237" s="501"/>
    </row>
    <row r="238" spans="1:11">
      <c r="A238" s="5">
        <f t="shared" si="18"/>
        <v>234</v>
      </c>
      <c r="B238" s="5" t="s">
        <v>1705</v>
      </c>
      <c r="C238" s="5" t="s">
        <v>1201</v>
      </c>
      <c r="D238" s="5"/>
      <c r="E238" s="5"/>
      <c r="F238" s="5">
        <v>160</v>
      </c>
      <c r="G238" s="5">
        <v>190</v>
      </c>
      <c r="H238" s="5">
        <f t="shared" si="17"/>
        <v>19442.600000000017</v>
      </c>
      <c r="I238" s="5">
        <v>1.1599999999999999</v>
      </c>
      <c r="J238" s="499"/>
      <c r="K238" s="501"/>
    </row>
    <row r="239" spans="1:11">
      <c r="A239" s="5">
        <f t="shared" si="18"/>
        <v>235</v>
      </c>
      <c r="B239" s="5" t="s">
        <v>1201</v>
      </c>
      <c r="C239" s="5" t="s">
        <v>1614</v>
      </c>
      <c r="D239" s="5"/>
      <c r="E239" s="5"/>
      <c r="F239" s="5">
        <v>160</v>
      </c>
      <c r="G239" s="5">
        <v>100.2</v>
      </c>
      <c r="H239" s="5">
        <f t="shared" si="17"/>
        <v>19542.800000000017</v>
      </c>
      <c r="I239" s="5">
        <v>1.1599999999999999</v>
      </c>
      <c r="J239" s="499"/>
      <c r="K239" s="501"/>
    </row>
    <row r="240" spans="1:11">
      <c r="A240" s="5">
        <f t="shared" si="18"/>
        <v>236</v>
      </c>
      <c r="B240" s="5" t="s">
        <v>1689</v>
      </c>
      <c r="C240" s="5" t="s">
        <v>1690</v>
      </c>
      <c r="D240" s="5"/>
      <c r="E240" s="5"/>
      <c r="F240" s="5">
        <v>160</v>
      </c>
      <c r="G240" s="5">
        <v>16.100000000000001</v>
      </c>
      <c r="H240" s="5">
        <f t="shared" si="17"/>
        <v>19558.900000000016</v>
      </c>
      <c r="I240" s="5">
        <v>1.1599999999999999</v>
      </c>
      <c r="J240" s="499"/>
      <c r="K240" s="501"/>
    </row>
    <row r="241" spans="1:11">
      <c r="A241" s="5">
        <f t="shared" si="18"/>
        <v>237</v>
      </c>
      <c r="B241" s="5" t="s">
        <v>1690</v>
      </c>
      <c r="C241" s="5" t="s">
        <v>1573</v>
      </c>
      <c r="D241" s="5"/>
      <c r="E241" s="5"/>
      <c r="F241" s="5">
        <v>160</v>
      </c>
      <c r="G241" s="5">
        <v>324.3</v>
      </c>
      <c r="H241" s="5">
        <f t="shared" si="17"/>
        <v>19883.200000000015</v>
      </c>
      <c r="I241" s="5">
        <v>1.1599999999999999</v>
      </c>
      <c r="J241" s="499"/>
      <c r="K241" s="501"/>
    </row>
    <row r="242" spans="1:11">
      <c r="A242" s="5">
        <f t="shared" si="18"/>
        <v>238</v>
      </c>
      <c r="B242" s="5" t="s">
        <v>1706</v>
      </c>
      <c r="C242" s="5" t="s">
        <v>1693</v>
      </c>
      <c r="D242" s="5"/>
      <c r="E242" s="5"/>
      <c r="F242" s="5">
        <v>160</v>
      </c>
      <c r="G242" s="5">
        <v>18.3</v>
      </c>
      <c r="H242" s="5">
        <f t="shared" si="17"/>
        <v>19901.500000000015</v>
      </c>
      <c r="I242" s="5">
        <v>1.1599999999999999</v>
      </c>
      <c r="J242" s="499"/>
      <c r="K242" s="501"/>
    </row>
    <row r="243" spans="1:11">
      <c r="A243" s="5">
        <f t="shared" si="18"/>
        <v>239</v>
      </c>
      <c r="B243" s="5" t="s">
        <v>1698</v>
      </c>
      <c r="C243" s="5" t="s">
        <v>1228</v>
      </c>
      <c r="D243" s="5"/>
      <c r="E243" s="5"/>
      <c r="F243" s="5">
        <v>160</v>
      </c>
      <c r="G243" s="5">
        <v>41.6</v>
      </c>
      <c r="H243" s="5">
        <f t="shared" si="17"/>
        <v>19943.100000000013</v>
      </c>
      <c r="I243" s="5">
        <v>1.1599999999999999</v>
      </c>
      <c r="J243" s="499"/>
      <c r="K243" s="501"/>
    </row>
    <row r="244" spans="1:11">
      <c r="A244" s="5">
        <f t="shared" si="18"/>
        <v>240</v>
      </c>
      <c r="B244" s="5" t="s">
        <v>1702</v>
      </c>
      <c r="C244" s="5" t="s">
        <v>1707</v>
      </c>
      <c r="D244" s="5"/>
      <c r="E244" s="5"/>
      <c r="F244" s="5">
        <v>160</v>
      </c>
      <c r="G244" s="5">
        <v>205.2</v>
      </c>
      <c r="H244" s="5">
        <f t="shared" si="17"/>
        <v>20148.300000000014</v>
      </c>
      <c r="I244" s="5">
        <v>1.1599999999999999</v>
      </c>
      <c r="J244" s="499"/>
      <c r="K244" s="501"/>
    </row>
    <row r="245" spans="1:11">
      <c r="A245" s="5">
        <f t="shared" si="18"/>
        <v>241</v>
      </c>
      <c r="B245" s="5" t="s">
        <v>1707</v>
      </c>
      <c r="C245" s="5" t="s">
        <v>1228</v>
      </c>
      <c r="D245" s="5"/>
      <c r="E245" s="5"/>
      <c r="F245" s="5">
        <v>160</v>
      </c>
      <c r="G245" s="5">
        <v>188.6</v>
      </c>
      <c r="H245" s="5">
        <f t="shared" si="17"/>
        <v>20336.900000000012</v>
      </c>
      <c r="I245" s="5">
        <v>1.1599999999999999</v>
      </c>
      <c r="J245" s="499"/>
      <c r="K245" s="501"/>
    </row>
    <row r="246" spans="1:11">
      <c r="A246" s="5">
        <f t="shared" si="18"/>
        <v>242</v>
      </c>
      <c r="B246" s="5" t="s">
        <v>1707</v>
      </c>
      <c r="C246" s="5" t="s">
        <v>1617</v>
      </c>
      <c r="D246" s="5"/>
      <c r="E246" s="5"/>
      <c r="F246" s="5">
        <v>160</v>
      </c>
      <c r="G246" s="5">
        <v>12.1</v>
      </c>
      <c r="H246" s="5">
        <f t="shared" si="17"/>
        <v>20349.000000000011</v>
      </c>
      <c r="I246" s="5">
        <v>1.1599999999999999</v>
      </c>
      <c r="J246" s="499"/>
      <c r="K246" s="501"/>
    </row>
    <row r="247" spans="1:11">
      <c r="A247" s="5">
        <f t="shared" si="18"/>
        <v>243</v>
      </c>
      <c r="B247" s="5" t="s">
        <v>1617</v>
      </c>
      <c r="C247" s="5" t="s">
        <v>1690</v>
      </c>
      <c r="D247" s="5"/>
      <c r="E247" s="5"/>
      <c r="F247" s="5">
        <v>160</v>
      </c>
      <c r="G247" s="5">
        <v>133.6</v>
      </c>
      <c r="H247" s="5">
        <f t="shared" si="17"/>
        <v>20482.600000000009</v>
      </c>
      <c r="I247" s="5">
        <v>1.1599999999999999</v>
      </c>
      <c r="J247" s="499"/>
      <c r="K247" s="501"/>
    </row>
    <row r="248" spans="1:11">
      <c r="A248" s="5">
        <f t="shared" si="18"/>
        <v>244</v>
      </c>
      <c r="B248" s="5" t="s">
        <v>1189</v>
      </c>
      <c r="C248" s="5" t="s">
        <v>903</v>
      </c>
      <c r="D248" s="5"/>
      <c r="E248" s="5"/>
      <c r="F248" s="5">
        <v>160</v>
      </c>
      <c r="G248" s="5">
        <v>105.3</v>
      </c>
      <c r="H248" s="5">
        <f t="shared" si="17"/>
        <v>20587.900000000009</v>
      </c>
      <c r="I248" s="5">
        <v>1.1599999999999999</v>
      </c>
      <c r="J248" s="499"/>
      <c r="K248" s="501"/>
    </row>
    <row r="249" spans="1:11">
      <c r="A249" s="5">
        <f t="shared" si="18"/>
        <v>245</v>
      </c>
      <c r="B249" s="5" t="s">
        <v>903</v>
      </c>
      <c r="C249" s="5" t="s">
        <v>1708</v>
      </c>
      <c r="D249" s="5"/>
      <c r="E249" s="5"/>
      <c r="F249" s="5">
        <v>160</v>
      </c>
      <c r="G249" s="5">
        <v>79.7</v>
      </c>
      <c r="H249" s="5">
        <f t="shared" si="17"/>
        <v>20667.600000000009</v>
      </c>
      <c r="I249" s="5">
        <v>1.1599999999999999</v>
      </c>
      <c r="J249" s="499"/>
      <c r="K249" s="501"/>
    </row>
    <row r="250" spans="1:11">
      <c r="A250" s="5">
        <f t="shared" si="18"/>
        <v>246</v>
      </c>
      <c r="B250" s="5" t="s">
        <v>1709</v>
      </c>
      <c r="C250" s="5" t="s">
        <v>1710</v>
      </c>
      <c r="D250" s="5"/>
      <c r="E250" s="5"/>
      <c r="F250" s="5">
        <v>200</v>
      </c>
      <c r="G250" s="5">
        <v>188.4</v>
      </c>
      <c r="H250" s="5">
        <f t="shared" si="17"/>
        <v>20856.000000000011</v>
      </c>
      <c r="I250" s="5">
        <v>1.2</v>
      </c>
      <c r="J250" s="499"/>
      <c r="K250" s="501"/>
    </row>
    <row r="251" spans="1:11">
      <c r="A251" s="5">
        <f t="shared" ref="A251:A255" si="19">1+A250</f>
        <v>247</v>
      </c>
      <c r="B251" s="5" t="s">
        <v>1709</v>
      </c>
      <c r="C251" s="5" t="s">
        <v>1710</v>
      </c>
      <c r="D251" s="5" t="s">
        <v>38</v>
      </c>
      <c r="E251" s="5"/>
      <c r="F251" s="5">
        <v>200</v>
      </c>
      <c r="G251" s="5">
        <v>14.3</v>
      </c>
      <c r="H251" s="5">
        <f t="shared" si="17"/>
        <v>20870.30000000001</v>
      </c>
      <c r="I251" s="5">
        <v>1.2</v>
      </c>
      <c r="J251" s="499"/>
      <c r="K251" s="501"/>
    </row>
    <row r="252" spans="1:11">
      <c r="A252" s="5">
        <f t="shared" si="19"/>
        <v>248</v>
      </c>
      <c r="B252" s="5" t="s">
        <v>1709</v>
      </c>
      <c r="C252" s="5" t="s">
        <v>1710</v>
      </c>
      <c r="D252" s="5"/>
      <c r="E252" s="5"/>
      <c r="F252" s="5">
        <v>200</v>
      </c>
      <c r="G252" s="5">
        <v>754</v>
      </c>
      <c r="H252" s="5">
        <f t="shared" si="17"/>
        <v>21624.30000000001</v>
      </c>
      <c r="I252" s="5">
        <v>1.2</v>
      </c>
      <c r="J252" s="499"/>
      <c r="K252" s="501"/>
    </row>
    <row r="253" spans="1:11">
      <c r="A253" s="5">
        <f t="shared" si="19"/>
        <v>249</v>
      </c>
      <c r="B253" s="5" t="s">
        <v>1710</v>
      </c>
      <c r="C253" s="5" t="s">
        <v>1711</v>
      </c>
      <c r="D253" s="5"/>
      <c r="E253" s="5"/>
      <c r="F253" s="5">
        <v>200</v>
      </c>
      <c r="G253" s="5">
        <v>503.7</v>
      </c>
      <c r="H253" s="5">
        <f t="shared" si="17"/>
        <v>22128.000000000011</v>
      </c>
      <c r="I253" s="5">
        <v>1.2</v>
      </c>
      <c r="J253" s="499"/>
      <c r="K253" s="501"/>
    </row>
    <row r="254" spans="1:11">
      <c r="A254" s="5">
        <f t="shared" si="19"/>
        <v>250</v>
      </c>
      <c r="B254" s="5" t="s">
        <v>1709</v>
      </c>
      <c r="C254" s="5" t="s">
        <v>1559</v>
      </c>
      <c r="D254" s="5"/>
      <c r="E254" s="5"/>
      <c r="F254" s="5">
        <v>200</v>
      </c>
      <c r="G254" s="5">
        <f>164+26.3</f>
        <v>190.3</v>
      </c>
      <c r="H254" s="5">
        <f t="shared" si="17"/>
        <v>22318.30000000001</v>
      </c>
      <c r="I254" s="5">
        <v>1.2</v>
      </c>
      <c r="J254" s="499"/>
      <c r="K254" s="501"/>
    </row>
    <row r="255" spans="1:11">
      <c r="A255" s="5">
        <f t="shared" si="19"/>
        <v>251</v>
      </c>
      <c r="B255" s="5" t="s">
        <v>1559</v>
      </c>
      <c r="C255" s="5" t="s">
        <v>1689</v>
      </c>
      <c r="D255" s="5"/>
      <c r="E255" s="5"/>
      <c r="F255" s="5">
        <v>200</v>
      </c>
      <c r="G255" s="5">
        <v>129.19999999999999</v>
      </c>
      <c r="H255" s="5">
        <f t="shared" si="17"/>
        <v>22447.500000000011</v>
      </c>
      <c r="I255" s="5">
        <v>1.2</v>
      </c>
      <c r="J255" s="499"/>
      <c r="K255" s="501"/>
    </row>
    <row r="256" spans="1:11">
      <c r="A256" s="8"/>
      <c r="B256" s="8"/>
      <c r="C256" s="8"/>
      <c r="D256" s="5">
        <v>63</v>
      </c>
      <c r="E256" s="5">
        <v>140</v>
      </c>
      <c r="F256" s="17">
        <v>160</v>
      </c>
      <c r="G256" s="17">
        <v>200</v>
      </c>
      <c r="H256" s="8"/>
      <c r="I256" s="8"/>
      <c r="J256" s="499"/>
      <c r="K256" s="501"/>
    </row>
    <row r="257" spans="1:14">
      <c r="A257" s="8"/>
      <c r="B257" s="8"/>
      <c r="C257" s="8"/>
      <c r="D257" s="18">
        <f>+SUMIF($F$4:$F$255,D256,$G$4:$G$255)</f>
        <v>17670.90000000002</v>
      </c>
      <c r="E257" s="18">
        <f>+SUMIF($F$4:$F$255,E256,$G$4:$G$255)</f>
        <v>1417.7</v>
      </c>
      <c r="F257" s="18">
        <f>+SUMIF($F$4:$F$255,F256,$G$4:$G$255)</f>
        <v>1578.9999999999998</v>
      </c>
      <c r="G257" s="18">
        <f>+SUMIF($F$4:$F$255,G256,$G$4:$G$255)</f>
        <v>1779.9</v>
      </c>
      <c r="H257" s="8">
        <f>+SUM(D257:G257)</f>
        <v>22447.500000000022</v>
      </c>
      <c r="I257" s="8"/>
      <c r="J257" s="499"/>
      <c r="K257" s="501"/>
    </row>
    <row r="258" spans="1:14" ht="15.75">
      <c r="A258" s="7" t="s">
        <v>365</v>
      </c>
      <c r="B258" s="8"/>
      <c r="C258" s="8"/>
      <c r="D258" s="8"/>
      <c r="E258" s="8" t="s">
        <v>366</v>
      </c>
      <c r="F258" s="8"/>
      <c r="G258" s="8"/>
      <c r="H258" s="498" t="s">
        <v>367</v>
      </c>
      <c r="I258" s="498"/>
      <c r="J258" s="498"/>
      <c r="K258" s="498"/>
    </row>
    <row r="259" spans="1:14" ht="15.75">
      <c r="A259" s="7" t="s">
        <v>368</v>
      </c>
      <c r="B259" s="8"/>
      <c r="C259" s="498"/>
      <c r="D259" s="498"/>
      <c r="E259" s="8" t="s">
        <v>368</v>
      </c>
      <c r="F259" s="498"/>
      <c r="G259" s="498"/>
      <c r="H259" s="8" t="s">
        <v>368</v>
      </c>
      <c r="I259" s="498"/>
      <c r="J259" s="498"/>
      <c r="K259" s="498"/>
    </row>
    <row r="260" spans="1:14" ht="15.75">
      <c r="A260" s="7" t="s">
        <v>369</v>
      </c>
      <c r="B260" s="498"/>
      <c r="C260" s="498"/>
      <c r="D260" s="498"/>
      <c r="E260" s="8" t="s">
        <v>369</v>
      </c>
      <c r="F260" s="498"/>
      <c r="G260" s="498"/>
      <c r="H260" s="8" t="s">
        <v>369</v>
      </c>
      <c r="I260" s="498"/>
      <c r="J260" s="498"/>
      <c r="K260" s="498"/>
    </row>
    <row r="261" spans="1:14" ht="15.75">
      <c r="A261" s="7" t="s">
        <v>370</v>
      </c>
      <c r="B261" s="8"/>
      <c r="C261" s="498"/>
      <c r="D261" s="498"/>
      <c r="E261" s="8" t="s">
        <v>370</v>
      </c>
      <c r="F261" s="498"/>
      <c r="G261" s="498"/>
      <c r="H261" s="8" t="s">
        <v>370</v>
      </c>
      <c r="I261" s="498"/>
      <c r="J261" s="498"/>
      <c r="K261" s="498"/>
      <c r="N261">
        <f>2611.5+17670.9</f>
        <v>20282.400000000001</v>
      </c>
    </row>
    <row r="262" spans="1:14">
      <c r="N262">
        <f>1496.2+1417.7</f>
        <v>2913.9</v>
      </c>
    </row>
    <row r="263" spans="1:14">
      <c r="N263">
        <f>3547.3+1579</f>
        <v>5126.3</v>
      </c>
    </row>
    <row r="264" spans="1:14">
      <c r="A264" s="378"/>
      <c r="B264" s="378"/>
      <c r="C264" s="378"/>
      <c r="D264" s="733" t="s">
        <v>1781</v>
      </c>
      <c r="E264" s="734"/>
      <c r="F264" s="734"/>
      <c r="G264" s="378"/>
      <c r="H264" s="378"/>
      <c r="I264" s="378"/>
      <c r="J264" s="378"/>
      <c r="K264" s="378"/>
      <c r="N264">
        <f>2968.5+1779.9</f>
        <v>4748.3999999999996</v>
      </c>
    </row>
    <row r="265" spans="1:14" ht="15.75">
      <c r="A265" s="392" t="s">
        <v>757</v>
      </c>
      <c r="B265" s="393">
        <v>63</v>
      </c>
      <c r="C265" s="393">
        <v>75</v>
      </c>
      <c r="D265" s="393">
        <v>90</v>
      </c>
      <c r="E265" s="393">
        <v>110</v>
      </c>
      <c r="F265" s="393">
        <v>140</v>
      </c>
      <c r="G265" s="393">
        <v>160</v>
      </c>
      <c r="H265" s="394">
        <v>200</v>
      </c>
      <c r="I265" s="394" t="s">
        <v>1782</v>
      </c>
      <c r="J265" s="393" t="s">
        <v>874</v>
      </c>
      <c r="K265" s="378"/>
      <c r="N265">
        <v>258.10000000000002</v>
      </c>
    </row>
    <row r="266" spans="1:14">
      <c r="A266" s="375" t="s">
        <v>199</v>
      </c>
      <c r="B266" s="395">
        <f>+SUMIFS($G$4:$G$255,$D$4:$D$255,$A$266,$F$4:$F$255,B265)</f>
        <v>1107.1000000000001</v>
      </c>
      <c r="C266" s="395">
        <f t="shared" ref="C266:H266" si="20">+SUMIFS($G$4:$G$255,$D$4:$D$255,$A$266,$F$4:$F$255,C265)</f>
        <v>0</v>
      </c>
      <c r="D266" s="395">
        <f t="shared" si="20"/>
        <v>0</v>
      </c>
      <c r="E266" s="395">
        <f t="shared" si="20"/>
        <v>0</v>
      </c>
      <c r="F266" s="395">
        <f t="shared" si="20"/>
        <v>0</v>
      </c>
      <c r="G266" s="395">
        <f t="shared" si="20"/>
        <v>0</v>
      </c>
      <c r="H266" s="395">
        <f t="shared" si="20"/>
        <v>0</v>
      </c>
      <c r="I266" s="385">
        <v>0.36</v>
      </c>
      <c r="J266" s="395">
        <f>+(B266+C266+D266+E266+F266+G266+H266)*I266</f>
        <v>398.55600000000004</v>
      </c>
      <c r="K266" s="378"/>
      <c r="M266">
        <f>23494.5-H257</f>
        <v>1046.9999999999782</v>
      </c>
      <c r="N266">
        <v>858.7</v>
      </c>
    </row>
    <row r="267" spans="1:14">
      <c r="A267" s="375" t="s">
        <v>193</v>
      </c>
      <c r="B267" s="395">
        <f>+SUMIFS($G$4:$G$255,$D$4:$D$255,$A$267,$F$4:$F$255,B265)</f>
        <v>83.5</v>
      </c>
      <c r="C267" s="395">
        <f t="shared" ref="C267:H267" si="21">+SUMIFS($G$4:$G$255,$D$4:$D$255,$A$267,$F$4:$F$255,C265)</f>
        <v>0</v>
      </c>
      <c r="D267" s="395">
        <f t="shared" si="21"/>
        <v>0</v>
      </c>
      <c r="E267" s="395">
        <f t="shared" si="21"/>
        <v>0</v>
      </c>
      <c r="F267" s="395">
        <f t="shared" si="21"/>
        <v>0</v>
      </c>
      <c r="G267" s="395">
        <f t="shared" si="21"/>
        <v>0</v>
      </c>
      <c r="H267" s="395">
        <f t="shared" si="21"/>
        <v>0</v>
      </c>
      <c r="I267" s="385">
        <v>0.36</v>
      </c>
      <c r="J267" s="395">
        <f t="shared" ref="J267:J269" si="22">+(B267+C267+D267+E267+F267+G267+H267)*I267</f>
        <v>30.06</v>
      </c>
      <c r="K267" s="378"/>
    </row>
    <row r="268" spans="1:14">
      <c r="A268" s="375" t="s">
        <v>149</v>
      </c>
      <c r="B268" s="395">
        <f>+SUMIFS($G$4:$G$255,$D$4:$D$255,$A$268,$F$4:$F$255,B265)</f>
        <v>202.7</v>
      </c>
      <c r="C268" s="395">
        <f t="shared" ref="C268:H268" si="23">+SUMIFS($G$4:$G$255,$D$4:$D$255,$A$268,$F$4:$F$255,C265)</f>
        <v>0</v>
      </c>
      <c r="D268" s="395">
        <f t="shared" si="23"/>
        <v>0</v>
      </c>
      <c r="E268" s="395">
        <f t="shared" si="23"/>
        <v>0</v>
      </c>
      <c r="F268" s="395">
        <f t="shared" si="23"/>
        <v>0</v>
      </c>
      <c r="G268" s="395">
        <f t="shared" si="23"/>
        <v>0</v>
      </c>
      <c r="H268" s="395">
        <f t="shared" si="23"/>
        <v>0</v>
      </c>
      <c r="I268" s="385">
        <v>0.46</v>
      </c>
      <c r="J268" s="395">
        <f t="shared" si="22"/>
        <v>93.242000000000004</v>
      </c>
      <c r="K268" s="378"/>
    </row>
    <row r="269" spans="1:14">
      <c r="A269" s="383" t="s">
        <v>147</v>
      </c>
      <c r="B269" s="395">
        <f>+SUMIFS($H$4:$H$130,$E$4:$E$130,$B$144,$G$4:$G$130,B265)</f>
        <v>0</v>
      </c>
      <c r="C269" s="395">
        <f t="shared" ref="C269:H269" si="24">+SUMIFS($H$4:$H$130,$E$4:$E$130,$B$144,$G$4:$G$130,C265)</f>
        <v>0</v>
      </c>
      <c r="D269" s="395">
        <f t="shared" si="24"/>
        <v>0</v>
      </c>
      <c r="E269" s="395">
        <f t="shared" si="24"/>
        <v>0</v>
      </c>
      <c r="F269" s="395">
        <f t="shared" si="24"/>
        <v>0</v>
      </c>
      <c r="G269" s="395">
        <f t="shared" si="24"/>
        <v>0</v>
      </c>
      <c r="H269" s="395">
        <f t="shared" si="24"/>
        <v>0</v>
      </c>
      <c r="I269" s="385"/>
      <c r="J269" s="395">
        <f t="shared" si="22"/>
        <v>0</v>
      </c>
      <c r="K269" s="378"/>
    </row>
    <row r="270" spans="1:14" ht="15.75">
      <c r="A270" s="391" t="s">
        <v>365</v>
      </c>
      <c r="B270" s="387"/>
      <c r="C270" s="387"/>
      <c r="D270" s="387"/>
      <c r="E270" s="387" t="s">
        <v>366</v>
      </c>
      <c r="F270" s="387"/>
      <c r="G270" s="387"/>
      <c r="H270" s="734" t="s">
        <v>367</v>
      </c>
      <c r="I270" s="734"/>
      <c r="J270" s="734"/>
      <c r="K270" s="734"/>
    </row>
    <row r="271" spans="1:14" ht="15.75">
      <c r="A271" s="391" t="s">
        <v>368</v>
      </c>
      <c r="B271" s="387"/>
      <c r="C271" s="734"/>
      <c r="D271" s="734"/>
      <c r="E271" s="387" t="s">
        <v>368</v>
      </c>
      <c r="F271" s="734"/>
      <c r="G271" s="734"/>
      <c r="H271" s="387" t="s">
        <v>368</v>
      </c>
      <c r="I271" s="734"/>
      <c r="J271" s="734"/>
      <c r="K271" s="734"/>
    </row>
    <row r="272" spans="1:14" ht="15.75">
      <c r="A272" s="391" t="s">
        <v>369</v>
      </c>
      <c r="B272" s="734"/>
      <c r="C272" s="734"/>
      <c r="D272" s="734"/>
      <c r="E272" s="387" t="s">
        <v>369</v>
      </c>
      <c r="F272" s="734"/>
      <c r="G272" s="734"/>
      <c r="H272" s="387" t="s">
        <v>369</v>
      </c>
      <c r="I272" s="734"/>
      <c r="J272" s="734"/>
      <c r="K272" s="734"/>
    </row>
    <row r="273" spans="1:11" ht="15.75">
      <c r="A273" s="391" t="s">
        <v>370</v>
      </c>
      <c r="B273" s="387"/>
      <c r="C273" s="734"/>
      <c r="D273" s="734"/>
      <c r="E273" s="387" t="s">
        <v>370</v>
      </c>
      <c r="F273" s="734"/>
      <c r="G273" s="734"/>
      <c r="H273" s="387" t="s">
        <v>370</v>
      </c>
      <c r="I273" s="734"/>
      <c r="J273" s="734"/>
      <c r="K273" s="734"/>
    </row>
    <row r="276" spans="1:11">
      <c r="J276">
        <f>3654.2+86.7+83.5</f>
        <v>3824.3999999999996</v>
      </c>
    </row>
    <row r="277" spans="1:11">
      <c r="J277">
        <f>800+404.4+1107.1</f>
        <v>2311.5</v>
      </c>
    </row>
    <row r="278" spans="1:11">
      <c r="J278">
        <f>606.3+66+202.7</f>
        <v>875</v>
      </c>
    </row>
  </sheetData>
  <autoFilter ref="A3:W261">
    <filterColumn colId="9" showButton="0"/>
    <filterColumn colId="21" showButton="0"/>
  </autoFilter>
  <mergeCells count="416">
    <mergeCell ref="D264:F264"/>
    <mergeCell ref="H270:K270"/>
    <mergeCell ref="C271:D271"/>
    <mergeCell ref="F271:G271"/>
    <mergeCell ref="I271:K271"/>
    <mergeCell ref="B272:D272"/>
    <mergeCell ref="F272:G272"/>
    <mergeCell ref="I272:K272"/>
    <mergeCell ref="C273:D273"/>
    <mergeCell ref="F273:G273"/>
    <mergeCell ref="I273:K273"/>
    <mergeCell ref="A2:K2"/>
    <mergeCell ref="M2:W2"/>
    <mergeCell ref="J3:K3"/>
    <mergeCell ref="V3:W3"/>
    <mergeCell ref="J4:K4"/>
    <mergeCell ref="J5:K5"/>
    <mergeCell ref="J6:K6"/>
    <mergeCell ref="J7:K7"/>
    <mergeCell ref="J8:K8"/>
    <mergeCell ref="V4:W4"/>
    <mergeCell ref="V5:W5"/>
    <mergeCell ref="V6:W6"/>
    <mergeCell ref="V7:W7"/>
    <mergeCell ref="V8:W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5:K155"/>
    <mergeCell ref="J156:K156"/>
    <mergeCell ref="J157:K157"/>
    <mergeCell ref="J158:K158"/>
    <mergeCell ref="J159:K159"/>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J177:K177"/>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3:K193"/>
    <mergeCell ref="J194:K194"/>
    <mergeCell ref="J195:K195"/>
    <mergeCell ref="J196:K196"/>
    <mergeCell ref="J197:K197"/>
    <mergeCell ref="J198:K198"/>
    <mergeCell ref="J199:K199"/>
    <mergeCell ref="J200:K200"/>
    <mergeCell ref="J201:K201"/>
    <mergeCell ref="J202:K202"/>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J221:K22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J241:K241"/>
    <mergeCell ref="J242:K242"/>
    <mergeCell ref="J243:K243"/>
    <mergeCell ref="J244:K244"/>
    <mergeCell ref="J245:K245"/>
    <mergeCell ref="J246:K246"/>
    <mergeCell ref="J247:K247"/>
    <mergeCell ref="J248:K248"/>
    <mergeCell ref="J249:K249"/>
    <mergeCell ref="J250:K250"/>
    <mergeCell ref="J251:K251"/>
    <mergeCell ref="B260:D260"/>
    <mergeCell ref="F260:G260"/>
    <mergeCell ref="I260:K260"/>
    <mergeCell ref="C261:D261"/>
    <mergeCell ref="F261:G261"/>
    <mergeCell ref="I261:K261"/>
    <mergeCell ref="J252:K252"/>
    <mergeCell ref="J253:K253"/>
    <mergeCell ref="J254:K254"/>
    <mergeCell ref="J255:K255"/>
    <mergeCell ref="J256:K256"/>
    <mergeCell ref="J257:K257"/>
    <mergeCell ref="H258:K258"/>
    <mergeCell ref="C259:D259"/>
    <mergeCell ref="F259:G259"/>
    <mergeCell ref="I259:K259"/>
    <mergeCell ref="T133:W133"/>
    <mergeCell ref="O134:P134"/>
    <mergeCell ref="R134:S134"/>
    <mergeCell ref="U134:W134"/>
    <mergeCell ref="N135:P135"/>
    <mergeCell ref="R135:S135"/>
    <mergeCell ref="U135:W135"/>
    <mergeCell ref="O136:P136"/>
    <mergeCell ref="R136:S136"/>
    <mergeCell ref="U136:W136"/>
    <mergeCell ref="V9:W9"/>
    <mergeCell ref="V10:W10"/>
    <mergeCell ref="V11:W11"/>
    <mergeCell ref="V12:W12"/>
    <mergeCell ref="V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27:W27"/>
    <mergeCell ref="V28:W28"/>
    <mergeCell ref="V29:W29"/>
    <mergeCell ref="V30:W30"/>
    <mergeCell ref="V31:W31"/>
    <mergeCell ref="V32:W32"/>
    <mergeCell ref="V33:W33"/>
    <mergeCell ref="V34:W34"/>
    <mergeCell ref="V35:W35"/>
    <mergeCell ref="V36:W36"/>
    <mergeCell ref="V37:W37"/>
    <mergeCell ref="V38:W38"/>
    <mergeCell ref="V39:W39"/>
    <mergeCell ref="V40:W40"/>
    <mergeCell ref="V41:W41"/>
    <mergeCell ref="V42:W42"/>
    <mergeCell ref="V43:W43"/>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V100:W100"/>
    <mergeCell ref="V101:W101"/>
    <mergeCell ref="V102:W102"/>
    <mergeCell ref="V103:W103"/>
    <mergeCell ref="V104:W104"/>
    <mergeCell ref="V105:W105"/>
    <mergeCell ref="V106:W106"/>
    <mergeCell ref="V107:W107"/>
    <mergeCell ref="V108:W108"/>
    <mergeCell ref="V109:W109"/>
    <mergeCell ref="V110:W110"/>
    <mergeCell ref="V111:W111"/>
    <mergeCell ref="V112:W112"/>
    <mergeCell ref="V113:W113"/>
    <mergeCell ref="V114:W114"/>
    <mergeCell ref="V115:W115"/>
    <mergeCell ref="V116:W116"/>
    <mergeCell ref="V126:W126"/>
    <mergeCell ref="V127:W127"/>
    <mergeCell ref="V128:W128"/>
    <mergeCell ref="V129:W129"/>
    <mergeCell ref="V130:W130"/>
    <mergeCell ref="V117:W117"/>
    <mergeCell ref="V118:W118"/>
    <mergeCell ref="V119:W119"/>
    <mergeCell ref="V120:W120"/>
    <mergeCell ref="V121:W121"/>
    <mergeCell ref="V122:W122"/>
    <mergeCell ref="V123:W123"/>
    <mergeCell ref="V124:W124"/>
    <mergeCell ref="V125:W12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78"/>
  <sheetViews>
    <sheetView tabSelected="1" topLeftCell="A160" workbookViewId="0">
      <selection activeCell="J177" sqref="J177:J178"/>
    </sheetView>
  </sheetViews>
  <sheetFormatPr defaultColWidth="9" defaultRowHeight="15"/>
  <cols>
    <col min="2" max="2" width="9.28515625" customWidth="1"/>
    <col min="3" max="3" width="13.7109375" customWidth="1"/>
    <col min="4" max="4" width="12.140625" customWidth="1"/>
    <col min="5" max="5" width="16" customWidth="1"/>
    <col min="6" max="6" width="15.42578125" customWidth="1"/>
    <col min="7" max="7" width="14.85546875" customWidth="1"/>
    <col min="8" max="8" width="12" customWidth="1"/>
    <col min="9" max="9" width="16.140625" customWidth="1"/>
    <col min="10" max="10" width="14.140625" customWidth="1"/>
  </cols>
  <sheetData>
    <row r="3" spans="2:12" ht="18.75">
      <c r="B3" s="581" t="s">
        <v>1556</v>
      </c>
      <c r="C3" s="581"/>
      <c r="D3" s="581"/>
      <c r="E3" s="581"/>
      <c r="F3" s="581"/>
      <c r="G3" s="581"/>
      <c r="H3" s="581"/>
      <c r="I3" s="581"/>
      <c r="J3" s="581"/>
      <c r="K3" s="581"/>
      <c r="L3" s="581"/>
    </row>
    <row r="4" spans="2:12" ht="56.25">
      <c r="B4" s="1" t="s">
        <v>448</v>
      </c>
      <c r="C4" s="1" t="s">
        <v>180</v>
      </c>
      <c r="D4" s="1" t="s">
        <v>13</v>
      </c>
      <c r="E4" s="1" t="s">
        <v>181</v>
      </c>
      <c r="F4" s="2" t="s">
        <v>449</v>
      </c>
      <c r="G4" s="3" t="s">
        <v>183</v>
      </c>
      <c r="H4" s="4" t="s">
        <v>184</v>
      </c>
      <c r="I4" s="3" t="s">
        <v>185</v>
      </c>
      <c r="J4" s="3" t="s">
        <v>186</v>
      </c>
      <c r="K4" s="636" t="s">
        <v>187</v>
      </c>
      <c r="L4" s="636"/>
    </row>
    <row r="5" spans="2:12">
      <c r="B5" s="5">
        <v>1</v>
      </c>
      <c r="C5" s="6" t="s">
        <v>1211</v>
      </c>
      <c r="D5" s="6" t="s">
        <v>1712</v>
      </c>
      <c r="E5" s="5"/>
      <c r="F5" s="5"/>
      <c r="G5" s="5">
        <v>63</v>
      </c>
      <c r="H5" s="5">
        <v>101</v>
      </c>
      <c r="I5" s="5">
        <f>+H5</f>
        <v>101</v>
      </c>
      <c r="J5" s="5"/>
      <c r="K5" s="498"/>
      <c r="L5" s="498"/>
    </row>
    <row r="6" spans="2:12">
      <c r="B6" s="5">
        <f>1+B5</f>
        <v>2</v>
      </c>
      <c r="C6" s="6" t="s">
        <v>1713</v>
      </c>
      <c r="D6" s="6" t="s">
        <v>1211</v>
      </c>
      <c r="E6" s="5"/>
      <c r="F6" s="5"/>
      <c r="G6" s="5">
        <v>63</v>
      </c>
      <c r="H6" s="5">
        <v>7.3</v>
      </c>
      <c r="I6" s="5">
        <f>+I5+H6</f>
        <v>108.3</v>
      </c>
      <c r="J6" s="5"/>
      <c r="K6" s="498"/>
      <c r="L6" s="498"/>
    </row>
    <row r="7" spans="2:12">
      <c r="B7" s="5">
        <f t="shared" ref="B7:B9" si="0">1+B6</f>
        <v>3</v>
      </c>
      <c r="C7" s="6" t="s">
        <v>1714</v>
      </c>
      <c r="D7" s="6" t="s">
        <v>1715</v>
      </c>
      <c r="E7" s="5"/>
      <c r="F7" s="5"/>
      <c r="G7" s="5">
        <v>63</v>
      </c>
      <c r="H7" s="5">
        <v>15.5</v>
      </c>
      <c r="I7" s="5">
        <f t="shared" ref="I7:I8" si="1">+I6+H7</f>
        <v>123.8</v>
      </c>
      <c r="J7" s="5"/>
      <c r="K7" s="498"/>
      <c r="L7" s="498"/>
    </row>
    <row r="8" spans="2:12">
      <c r="B8" s="5">
        <f t="shared" si="0"/>
        <v>4</v>
      </c>
      <c r="C8" s="6" t="s">
        <v>1713</v>
      </c>
      <c r="D8" s="6" t="s">
        <v>1716</v>
      </c>
      <c r="E8" s="5"/>
      <c r="F8" s="5"/>
      <c r="G8" s="5">
        <v>63</v>
      </c>
      <c r="H8" s="5">
        <v>56.2</v>
      </c>
      <c r="I8" s="5">
        <f t="shared" si="1"/>
        <v>180</v>
      </c>
      <c r="J8" s="5"/>
      <c r="K8" s="498"/>
      <c r="L8" s="498"/>
    </row>
    <row r="9" spans="2:12">
      <c r="B9" s="5">
        <f t="shared" si="0"/>
        <v>5</v>
      </c>
      <c r="C9" s="6" t="s">
        <v>1211</v>
      </c>
      <c r="D9" s="6" t="s">
        <v>1717</v>
      </c>
      <c r="E9" s="5"/>
      <c r="F9" s="5"/>
      <c r="G9" s="5">
        <v>63</v>
      </c>
      <c r="H9" s="5">
        <v>197.1</v>
      </c>
      <c r="I9" s="5">
        <f t="shared" ref="I9:I71" si="2">+I8+H9</f>
        <v>377.1</v>
      </c>
      <c r="J9" s="5"/>
      <c r="K9" s="498"/>
      <c r="L9" s="498"/>
    </row>
    <row r="10" spans="2:12">
      <c r="B10" s="5">
        <f t="shared" ref="B10:B71" si="3">1+B9</f>
        <v>6</v>
      </c>
      <c r="C10" s="6" t="s">
        <v>1211</v>
      </c>
      <c r="D10" s="6" t="s">
        <v>1717</v>
      </c>
      <c r="E10" s="5" t="s">
        <v>193</v>
      </c>
      <c r="F10" s="5"/>
      <c r="G10" s="5">
        <v>63</v>
      </c>
      <c r="H10" s="5">
        <v>19.3</v>
      </c>
      <c r="I10" s="5">
        <f t="shared" si="2"/>
        <v>396.40000000000003</v>
      </c>
      <c r="J10" s="5"/>
      <c r="K10" s="498"/>
      <c r="L10" s="498"/>
    </row>
    <row r="11" spans="2:12">
      <c r="B11" s="5">
        <f t="shared" si="3"/>
        <v>7</v>
      </c>
      <c r="C11" s="6" t="s">
        <v>1137</v>
      </c>
      <c r="D11" s="6" t="s">
        <v>1271</v>
      </c>
      <c r="E11" s="5"/>
      <c r="F11" s="5"/>
      <c r="G11" s="5">
        <v>63</v>
      </c>
      <c r="H11" s="5">
        <v>173.2</v>
      </c>
      <c r="I11" s="5">
        <f t="shared" si="2"/>
        <v>569.6</v>
      </c>
      <c r="J11" s="5"/>
      <c r="K11" s="498"/>
      <c r="L11" s="498"/>
    </row>
    <row r="12" spans="2:12">
      <c r="B12" s="5">
        <f t="shared" si="3"/>
        <v>8</v>
      </c>
      <c r="C12" s="6" t="s">
        <v>1271</v>
      </c>
      <c r="D12" s="6" t="s">
        <v>1003</v>
      </c>
      <c r="E12" s="5"/>
      <c r="F12" s="5"/>
      <c r="G12" s="5">
        <v>63</v>
      </c>
      <c r="H12" s="5">
        <v>152.69999999999999</v>
      </c>
      <c r="I12" s="5">
        <f t="shared" si="2"/>
        <v>722.3</v>
      </c>
      <c r="J12" s="5"/>
      <c r="K12" s="498"/>
      <c r="L12" s="498"/>
    </row>
    <row r="13" spans="2:12">
      <c r="B13" s="5">
        <f t="shared" si="3"/>
        <v>9</v>
      </c>
      <c r="C13" s="6" t="s">
        <v>1003</v>
      </c>
      <c r="D13" s="6" t="s">
        <v>1285</v>
      </c>
      <c r="E13" s="5"/>
      <c r="F13" s="5"/>
      <c r="G13" s="5">
        <v>63</v>
      </c>
      <c r="H13" s="5">
        <v>54.8</v>
      </c>
      <c r="I13" s="5">
        <f t="shared" si="2"/>
        <v>777.09999999999991</v>
      </c>
      <c r="J13" s="5"/>
      <c r="K13" s="498"/>
      <c r="L13" s="498"/>
    </row>
    <row r="14" spans="2:12">
      <c r="B14" s="5">
        <f t="shared" si="3"/>
        <v>10</v>
      </c>
      <c r="C14" s="6" t="s">
        <v>1003</v>
      </c>
      <c r="D14" s="6" t="s">
        <v>1025</v>
      </c>
      <c r="E14" s="5"/>
      <c r="F14" s="5"/>
      <c r="G14" s="5">
        <v>63</v>
      </c>
      <c r="H14" s="5">
        <v>150</v>
      </c>
      <c r="I14" s="5">
        <f t="shared" si="2"/>
        <v>927.09999999999991</v>
      </c>
      <c r="J14" s="5"/>
      <c r="K14" s="498"/>
      <c r="L14" s="498"/>
    </row>
    <row r="15" spans="2:12">
      <c r="B15" s="5">
        <f t="shared" si="3"/>
        <v>11</v>
      </c>
      <c r="C15" s="6" t="s">
        <v>1271</v>
      </c>
      <c r="D15" s="6" t="s">
        <v>1718</v>
      </c>
      <c r="E15" s="5" t="s">
        <v>193</v>
      </c>
      <c r="F15" s="5"/>
      <c r="G15" s="5">
        <v>63</v>
      </c>
      <c r="H15" s="5">
        <v>3.2</v>
      </c>
      <c r="I15" s="5">
        <f t="shared" si="2"/>
        <v>930.3</v>
      </c>
      <c r="J15" s="5"/>
      <c r="K15" s="498"/>
      <c r="L15" s="498"/>
    </row>
    <row r="16" spans="2:12">
      <c r="B16" s="5">
        <f t="shared" si="3"/>
        <v>12</v>
      </c>
      <c r="C16" s="6" t="s">
        <v>1271</v>
      </c>
      <c r="D16" s="6" t="s">
        <v>1718</v>
      </c>
      <c r="E16" s="5"/>
      <c r="F16" s="5"/>
      <c r="G16" s="5">
        <v>63</v>
      </c>
      <c r="H16" s="5">
        <v>127.6</v>
      </c>
      <c r="I16" s="5">
        <f t="shared" si="2"/>
        <v>1057.8999999999999</v>
      </c>
      <c r="J16" s="5"/>
      <c r="K16" s="498"/>
      <c r="L16" s="498"/>
    </row>
    <row r="17" spans="2:12">
      <c r="B17" s="5">
        <f t="shared" si="3"/>
        <v>13</v>
      </c>
      <c r="C17" s="6" t="s">
        <v>1718</v>
      </c>
      <c r="D17" s="6" t="s">
        <v>1272</v>
      </c>
      <c r="E17" s="5"/>
      <c r="F17" s="5"/>
      <c r="G17" s="5">
        <v>63</v>
      </c>
      <c r="H17" s="5">
        <v>125.5</v>
      </c>
      <c r="I17" s="5">
        <f t="shared" si="2"/>
        <v>1183.3999999999999</v>
      </c>
      <c r="J17" s="5"/>
      <c r="K17" s="498"/>
      <c r="L17" s="498"/>
    </row>
    <row r="18" spans="2:12">
      <c r="B18" s="5">
        <f t="shared" si="3"/>
        <v>14</v>
      </c>
      <c r="C18" s="6" t="s">
        <v>1475</v>
      </c>
      <c r="D18" s="6" t="s">
        <v>1479</v>
      </c>
      <c r="E18" s="5"/>
      <c r="F18" s="5"/>
      <c r="G18" s="5">
        <v>63</v>
      </c>
      <c r="H18" s="5">
        <v>123</v>
      </c>
      <c r="I18" s="5">
        <f t="shared" si="2"/>
        <v>1306.3999999999999</v>
      </c>
      <c r="J18" s="5"/>
      <c r="K18" s="498"/>
      <c r="L18" s="498"/>
    </row>
    <row r="19" spans="2:12">
      <c r="B19" s="5">
        <f t="shared" si="3"/>
        <v>15</v>
      </c>
      <c r="C19" s="6" t="s">
        <v>952</v>
      </c>
      <c r="D19" s="6" t="s">
        <v>1719</v>
      </c>
      <c r="E19" s="5"/>
      <c r="F19" s="5"/>
      <c r="G19" s="5">
        <v>63</v>
      </c>
      <c r="H19" s="5">
        <v>240</v>
      </c>
      <c r="I19" s="5">
        <f t="shared" si="2"/>
        <v>1546.3999999999999</v>
      </c>
      <c r="J19" s="5"/>
      <c r="K19" s="498"/>
      <c r="L19" s="498"/>
    </row>
    <row r="20" spans="2:12">
      <c r="B20" s="5">
        <f t="shared" si="3"/>
        <v>16</v>
      </c>
      <c r="C20" s="6" t="s">
        <v>1549</v>
      </c>
      <c r="D20" s="6" t="s">
        <v>1720</v>
      </c>
      <c r="E20" s="5"/>
      <c r="F20" s="5"/>
      <c r="G20" s="5">
        <v>63</v>
      </c>
      <c r="H20" s="5">
        <v>111.7</v>
      </c>
      <c r="I20" s="5">
        <f t="shared" si="2"/>
        <v>1658.1</v>
      </c>
      <c r="J20" s="5"/>
      <c r="K20" s="498"/>
      <c r="L20" s="498"/>
    </row>
    <row r="21" spans="2:12">
      <c r="B21" s="5">
        <f t="shared" si="3"/>
        <v>17</v>
      </c>
      <c r="C21" s="6" t="s">
        <v>1721</v>
      </c>
      <c r="D21" s="6" t="s">
        <v>1192</v>
      </c>
      <c r="E21" s="5"/>
      <c r="F21" s="5"/>
      <c r="G21" s="5">
        <v>63</v>
      </c>
      <c r="H21" s="5">
        <v>20.2</v>
      </c>
      <c r="I21" s="5">
        <f t="shared" si="2"/>
        <v>1678.3</v>
      </c>
      <c r="J21" s="5"/>
      <c r="K21" s="498"/>
      <c r="L21" s="498"/>
    </row>
    <row r="22" spans="2:12">
      <c r="B22" s="5">
        <f t="shared" si="3"/>
        <v>18</v>
      </c>
      <c r="C22" s="6" t="s">
        <v>1721</v>
      </c>
      <c r="D22" s="6" t="s">
        <v>1722</v>
      </c>
      <c r="E22" s="5"/>
      <c r="F22" s="5"/>
      <c r="G22" s="5">
        <v>63</v>
      </c>
      <c r="H22" s="5">
        <v>38.799999999999997</v>
      </c>
      <c r="I22" s="5">
        <f t="shared" si="2"/>
        <v>1717.1</v>
      </c>
      <c r="J22" s="5"/>
      <c r="K22" s="498"/>
      <c r="L22" s="498"/>
    </row>
    <row r="23" spans="2:12">
      <c r="B23" s="5">
        <f t="shared" si="3"/>
        <v>19</v>
      </c>
      <c r="C23" s="6" t="s">
        <v>1156</v>
      </c>
      <c r="D23" s="6" t="s">
        <v>1723</v>
      </c>
      <c r="E23" s="5"/>
      <c r="F23" s="5"/>
      <c r="G23" s="5">
        <v>63</v>
      </c>
      <c r="H23" s="5">
        <v>246</v>
      </c>
      <c r="I23" s="5">
        <f t="shared" si="2"/>
        <v>1963.1</v>
      </c>
      <c r="J23" s="5"/>
      <c r="K23" s="498"/>
      <c r="L23" s="498"/>
    </row>
    <row r="24" spans="2:12">
      <c r="B24" s="5">
        <f t="shared" si="3"/>
        <v>20</v>
      </c>
      <c r="C24" s="6" t="s">
        <v>1723</v>
      </c>
      <c r="D24" s="6" t="s">
        <v>1724</v>
      </c>
      <c r="E24" s="5"/>
      <c r="F24" s="5"/>
      <c r="G24" s="5">
        <v>63</v>
      </c>
      <c r="H24" s="5">
        <v>291.10000000000002</v>
      </c>
      <c r="I24" s="5">
        <f t="shared" si="2"/>
        <v>2254.1999999999998</v>
      </c>
      <c r="J24" s="5"/>
      <c r="K24" s="498"/>
      <c r="L24" s="498"/>
    </row>
    <row r="25" spans="2:12">
      <c r="B25" s="5">
        <f t="shared" si="3"/>
        <v>21</v>
      </c>
      <c r="C25" s="6" t="s">
        <v>1724</v>
      </c>
      <c r="D25" s="6" t="s">
        <v>901</v>
      </c>
      <c r="E25" s="5"/>
      <c r="F25" s="5"/>
      <c r="G25" s="5">
        <v>63</v>
      </c>
      <c r="H25" s="5">
        <v>245.2</v>
      </c>
      <c r="I25" s="5">
        <f t="shared" si="2"/>
        <v>2499.3999999999996</v>
      </c>
      <c r="J25" s="5"/>
      <c r="K25" s="498"/>
      <c r="L25" s="498"/>
    </row>
    <row r="26" spans="2:12">
      <c r="B26" s="5">
        <f t="shared" si="3"/>
        <v>22</v>
      </c>
      <c r="C26" s="6" t="s">
        <v>1724</v>
      </c>
      <c r="D26" s="6" t="s">
        <v>901</v>
      </c>
      <c r="E26" s="5" t="s">
        <v>45</v>
      </c>
      <c r="F26" s="5"/>
      <c r="G26" s="5">
        <v>63</v>
      </c>
      <c r="H26" s="5">
        <v>3.1</v>
      </c>
      <c r="I26" s="5">
        <f t="shared" si="2"/>
        <v>2502.4999999999995</v>
      </c>
      <c r="J26" s="5"/>
      <c r="K26" s="498"/>
      <c r="L26" s="498"/>
    </row>
    <row r="27" spans="2:12">
      <c r="B27" s="5">
        <f t="shared" si="3"/>
        <v>23</v>
      </c>
      <c r="C27" s="6" t="s">
        <v>901</v>
      </c>
      <c r="D27" s="6" t="s">
        <v>1725</v>
      </c>
      <c r="E27" s="5" t="s">
        <v>45</v>
      </c>
      <c r="F27" s="5"/>
      <c r="G27" s="5">
        <v>63</v>
      </c>
      <c r="H27" s="5">
        <v>40.200000000000003</v>
      </c>
      <c r="I27" s="5">
        <f t="shared" si="2"/>
        <v>2542.6999999999994</v>
      </c>
      <c r="J27" s="5"/>
      <c r="K27" s="498"/>
      <c r="L27" s="498"/>
    </row>
    <row r="28" spans="2:12">
      <c r="B28" s="5">
        <f t="shared" si="3"/>
        <v>24</v>
      </c>
      <c r="C28" s="6" t="s">
        <v>1725</v>
      </c>
      <c r="D28" s="6" t="s">
        <v>1726</v>
      </c>
      <c r="E28" s="5"/>
      <c r="F28" s="5"/>
      <c r="G28" s="5">
        <v>63</v>
      </c>
      <c r="H28" s="5">
        <v>61.1</v>
      </c>
      <c r="I28" s="5">
        <f t="shared" si="2"/>
        <v>2603.7999999999993</v>
      </c>
      <c r="J28" s="5"/>
      <c r="K28" s="498"/>
      <c r="L28" s="498"/>
    </row>
    <row r="29" spans="2:12">
      <c r="B29" s="5">
        <f t="shared" si="3"/>
        <v>25</v>
      </c>
      <c r="C29" s="6" t="s">
        <v>1725</v>
      </c>
      <c r="D29" s="6" t="s">
        <v>1727</v>
      </c>
      <c r="E29" s="5" t="s">
        <v>45</v>
      </c>
      <c r="F29" s="5"/>
      <c r="G29" s="5">
        <v>63</v>
      </c>
      <c r="H29" s="5">
        <v>115.1</v>
      </c>
      <c r="I29" s="5">
        <f t="shared" si="2"/>
        <v>2718.8999999999992</v>
      </c>
      <c r="J29" s="5"/>
      <c r="K29" s="498"/>
      <c r="L29" s="498"/>
    </row>
    <row r="30" spans="2:12">
      <c r="B30" s="5">
        <f t="shared" si="3"/>
        <v>26</v>
      </c>
      <c r="C30" s="6" t="s">
        <v>1725</v>
      </c>
      <c r="D30" s="6" t="s">
        <v>1727</v>
      </c>
      <c r="E30" s="5" t="s">
        <v>45</v>
      </c>
      <c r="F30" s="5"/>
      <c r="G30" s="5">
        <v>63</v>
      </c>
      <c r="H30" s="5">
        <v>4</v>
      </c>
      <c r="I30" s="5">
        <f t="shared" si="2"/>
        <v>2722.8999999999992</v>
      </c>
      <c r="J30" s="5"/>
      <c r="K30" s="498"/>
      <c r="L30" s="498"/>
    </row>
    <row r="31" spans="2:12">
      <c r="B31" s="5">
        <f t="shared" si="3"/>
        <v>27</v>
      </c>
      <c r="C31" s="6" t="s">
        <v>1727</v>
      </c>
      <c r="D31" s="6" t="s">
        <v>1728</v>
      </c>
      <c r="E31" s="5"/>
      <c r="F31" s="5"/>
      <c r="G31" s="5">
        <v>63</v>
      </c>
      <c r="H31" s="5">
        <v>24.1</v>
      </c>
      <c r="I31" s="5">
        <f t="shared" si="2"/>
        <v>2746.9999999999991</v>
      </c>
      <c r="J31" s="5"/>
      <c r="K31" s="498"/>
      <c r="L31" s="498"/>
    </row>
    <row r="32" spans="2:12">
      <c r="B32" s="5">
        <f t="shared" si="3"/>
        <v>28</v>
      </c>
      <c r="C32" s="6" t="s">
        <v>1727</v>
      </c>
      <c r="D32" s="6" t="s">
        <v>1729</v>
      </c>
      <c r="E32" s="5"/>
      <c r="F32" s="5"/>
      <c r="G32" s="5">
        <v>63</v>
      </c>
      <c r="H32" s="5">
        <v>15.6</v>
      </c>
      <c r="I32" s="5">
        <f t="shared" si="2"/>
        <v>2762.599999999999</v>
      </c>
      <c r="J32" s="5"/>
      <c r="K32" s="498"/>
      <c r="L32" s="498"/>
    </row>
    <row r="33" spans="2:12">
      <c r="B33" s="5">
        <f t="shared" si="3"/>
        <v>29</v>
      </c>
      <c r="C33" s="6" t="s">
        <v>1729</v>
      </c>
      <c r="D33" s="6" t="s">
        <v>1730</v>
      </c>
      <c r="E33" s="5" t="s">
        <v>45</v>
      </c>
      <c r="F33" s="5"/>
      <c r="G33" s="5">
        <v>63</v>
      </c>
      <c r="H33" s="5">
        <v>7.5</v>
      </c>
      <c r="I33" s="5">
        <f t="shared" si="2"/>
        <v>2770.099999999999</v>
      </c>
      <c r="J33" s="5"/>
      <c r="K33" s="498"/>
      <c r="L33" s="498"/>
    </row>
    <row r="34" spans="2:12">
      <c r="B34" s="5">
        <f t="shared" si="3"/>
        <v>30</v>
      </c>
      <c r="C34" s="6" t="s">
        <v>1729</v>
      </c>
      <c r="D34" s="6" t="s">
        <v>1730</v>
      </c>
      <c r="E34" s="5" t="s">
        <v>45</v>
      </c>
      <c r="F34" s="5"/>
      <c r="G34" s="5">
        <v>63</v>
      </c>
      <c r="H34" s="5">
        <v>32.1</v>
      </c>
      <c r="I34" s="5">
        <f t="shared" si="2"/>
        <v>2802.1999999999989</v>
      </c>
      <c r="J34" s="5"/>
      <c r="K34" s="498"/>
      <c r="L34" s="498"/>
    </row>
    <row r="35" spans="2:12">
      <c r="B35" s="5">
        <f t="shared" si="3"/>
        <v>31</v>
      </c>
      <c r="C35" s="6" t="s">
        <v>1729</v>
      </c>
      <c r="D35" s="6" t="s">
        <v>1730</v>
      </c>
      <c r="E35" s="5"/>
      <c r="F35" s="5"/>
      <c r="G35" s="5">
        <v>63</v>
      </c>
      <c r="H35" s="5">
        <v>70.2</v>
      </c>
      <c r="I35" s="5">
        <f t="shared" si="2"/>
        <v>2872.3999999999987</v>
      </c>
      <c r="J35" s="5"/>
      <c r="K35" s="498"/>
      <c r="L35" s="498"/>
    </row>
    <row r="36" spans="2:12">
      <c r="B36" s="5">
        <f t="shared" si="3"/>
        <v>32</v>
      </c>
      <c r="C36" s="6" t="s">
        <v>1729</v>
      </c>
      <c r="D36" s="6" t="s">
        <v>1731</v>
      </c>
      <c r="E36" s="5" t="s">
        <v>45</v>
      </c>
      <c r="F36" s="5"/>
      <c r="G36" s="5">
        <v>63</v>
      </c>
      <c r="H36" s="5">
        <v>8</v>
      </c>
      <c r="I36" s="5">
        <f t="shared" si="2"/>
        <v>2880.3999999999987</v>
      </c>
      <c r="J36" s="5"/>
      <c r="K36" s="498"/>
      <c r="L36" s="498"/>
    </row>
    <row r="37" spans="2:12">
      <c r="B37" s="5">
        <f t="shared" si="3"/>
        <v>33</v>
      </c>
      <c r="C37" s="6" t="s">
        <v>1729</v>
      </c>
      <c r="D37" s="6" t="s">
        <v>1731</v>
      </c>
      <c r="E37" s="5" t="s">
        <v>45</v>
      </c>
      <c r="F37" s="5"/>
      <c r="G37" s="5">
        <v>63</v>
      </c>
      <c r="H37" s="5">
        <v>20</v>
      </c>
      <c r="I37" s="5">
        <f t="shared" si="2"/>
        <v>2900.3999999999987</v>
      </c>
      <c r="J37" s="5"/>
      <c r="K37" s="498"/>
      <c r="L37" s="498"/>
    </row>
    <row r="38" spans="2:12">
      <c r="B38" s="5">
        <f t="shared" si="3"/>
        <v>34</v>
      </c>
      <c r="C38" s="6" t="s">
        <v>1729</v>
      </c>
      <c r="D38" s="6" t="s">
        <v>1731</v>
      </c>
      <c r="E38" s="5" t="s">
        <v>45</v>
      </c>
      <c r="F38" s="5"/>
      <c r="G38" s="5">
        <v>63</v>
      </c>
      <c r="H38" s="5">
        <v>3.2</v>
      </c>
      <c r="I38" s="5">
        <f t="shared" si="2"/>
        <v>2903.5999999999985</v>
      </c>
      <c r="J38" s="5"/>
      <c r="K38" s="498"/>
      <c r="L38" s="498"/>
    </row>
    <row r="39" spans="2:12">
      <c r="B39" s="5">
        <f t="shared" si="3"/>
        <v>35</v>
      </c>
      <c r="C39" s="6" t="s">
        <v>1731</v>
      </c>
      <c r="D39" s="6" t="s">
        <v>1732</v>
      </c>
      <c r="E39" s="5"/>
      <c r="F39" s="5"/>
      <c r="G39" s="5">
        <v>63</v>
      </c>
      <c r="H39" s="5">
        <v>75.5</v>
      </c>
      <c r="I39" s="5">
        <f t="shared" si="2"/>
        <v>2979.0999999999985</v>
      </c>
      <c r="J39" s="5"/>
      <c r="K39" s="498"/>
      <c r="L39" s="498"/>
    </row>
    <row r="40" spans="2:12">
      <c r="B40" s="5">
        <f t="shared" si="3"/>
        <v>36</v>
      </c>
      <c r="C40" s="6" t="s">
        <v>1731</v>
      </c>
      <c r="D40" s="6" t="s">
        <v>1733</v>
      </c>
      <c r="E40" s="5"/>
      <c r="F40" s="5"/>
      <c r="G40" s="5">
        <v>63</v>
      </c>
      <c r="H40" s="5">
        <v>40.5</v>
      </c>
      <c r="I40" s="5">
        <f t="shared" si="2"/>
        <v>3019.5999999999985</v>
      </c>
      <c r="J40" s="5"/>
      <c r="K40" s="498"/>
      <c r="L40" s="498"/>
    </row>
    <row r="41" spans="2:12">
      <c r="B41" s="5">
        <f t="shared" si="3"/>
        <v>37</v>
      </c>
      <c r="C41" s="6" t="s">
        <v>1733</v>
      </c>
      <c r="D41" s="6" t="s">
        <v>1734</v>
      </c>
      <c r="E41" s="5"/>
      <c r="F41" s="5"/>
      <c r="G41" s="5">
        <v>63</v>
      </c>
      <c r="H41" s="5">
        <v>36.1</v>
      </c>
      <c r="I41" s="5">
        <f t="shared" si="2"/>
        <v>3055.6999999999985</v>
      </c>
      <c r="J41" s="5"/>
      <c r="K41" s="498"/>
      <c r="L41" s="498"/>
    </row>
    <row r="42" spans="2:12">
      <c r="B42" s="5">
        <f t="shared" si="3"/>
        <v>38</v>
      </c>
      <c r="C42" s="6" t="s">
        <v>1735</v>
      </c>
      <c r="D42" s="6" t="s">
        <v>1734</v>
      </c>
      <c r="E42" s="5"/>
      <c r="F42" s="5"/>
      <c r="G42" s="5">
        <v>63</v>
      </c>
      <c r="H42" s="5">
        <v>14</v>
      </c>
      <c r="I42" s="5">
        <f t="shared" si="2"/>
        <v>3069.6999999999985</v>
      </c>
      <c r="J42" s="5"/>
      <c r="K42" s="498"/>
      <c r="L42" s="498"/>
    </row>
    <row r="43" spans="2:12">
      <c r="B43" s="5">
        <f t="shared" si="3"/>
        <v>39</v>
      </c>
      <c r="C43" s="6" t="s">
        <v>1734</v>
      </c>
      <c r="D43" s="6" t="s">
        <v>1736</v>
      </c>
      <c r="E43" s="5"/>
      <c r="F43" s="5"/>
      <c r="G43" s="5">
        <v>63</v>
      </c>
      <c r="H43" s="5">
        <v>22</v>
      </c>
      <c r="I43" s="5">
        <f t="shared" si="2"/>
        <v>3091.6999999999985</v>
      </c>
      <c r="J43" s="5"/>
      <c r="K43" s="498"/>
      <c r="L43" s="498"/>
    </row>
    <row r="44" spans="2:12">
      <c r="B44" s="5">
        <f t="shared" si="3"/>
        <v>40</v>
      </c>
      <c r="C44" s="6" t="s">
        <v>1733</v>
      </c>
      <c r="D44" s="6" t="s">
        <v>1737</v>
      </c>
      <c r="E44" s="5"/>
      <c r="F44" s="5"/>
      <c r="G44" s="5">
        <v>63</v>
      </c>
      <c r="H44" s="5">
        <v>93.2</v>
      </c>
      <c r="I44" s="5">
        <f t="shared" si="2"/>
        <v>3184.8999999999983</v>
      </c>
      <c r="J44" s="5"/>
      <c r="K44" s="498"/>
      <c r="L44" s="498"/>
    </row>
    <row r="45" spans="2:12">
      <c r="B45" s="5">
        <f t="shared" si="3"/>
        <v>41</v>
      </c>
      <c r="C45" s="6" t="s">
        <v>1737</v>
      </c>
      <c r="D45" s="6" t="s">
        <v>1738</v>
      </c>
      <c r="E45" s="5"/>
      <c r="F45" s="5"/>
      <c r="G45" s="5">
        <v>63</v>
      </c>
      <c r="H45" s="5">
        <v>104.5</v>
      </c>
      <c r="I45" s="5">
        <f t="shared" si="2"/>
        <v>3289.3999999999983</v>
      </c>
      <c r="J45" s="5"/>
      <c r="K45" s="498"/>
      <c r="L45" s="498"/>
    </row>
    <row r="46" spans="2:12">
      <c r="B46" s="5">
        <f t="shared" si="3"/>
        <v>42</v>
      </c>
      <c r="C46" s="6" t="s">
        <v>1738</v>
      </c>
      <c r="D46" s="6" t="s">
        <v>1739</v>
      </c>
      <c r="E46" s="5" t="s">
        <v>45</v>
      </c>
      <c r="F46" s="5"/>
      <c r="G46" s="5">
        <v>63</v>
      </c>
      <c r="H46" s="5">
        <v>55</v>
      </c>
      <c r="I46" s="5">
        <f t="shared" si="2"/>
        <v>3344.3999999999983</v>
      </c>
      <c r="J46" s="5"/>
      <c r="K46" s="498"/>
      <c r="L46" s="498"/>
    </row>
    <row r="47" spans="2:12">
      <c r="B47" s="5">
        <f t="shared" si="3"/>
        <v>43</v>
      </c>
      <c r="C47" s="6" t="s">
        <v>1738</v>
      </c>
      <c r="D47" s="6" t="s">
        <v>1739</v>
      </c>
      <c r="E47" s="5"/>
      <c r="F47" s="5"/>
      <c r="G47" s="5">
        <v>63</v>
      </c>
      <c r="H47" s="5">
        <v>11</v>
      </c>
      <c r="I47" s="5">
        <f t="shared" si="2"/>
        <v>3355.3999999999983</v>
      </c>
      <c r="J47" s="5"/>
      <c r="K47" s="498"/>
      <c r="L47" s="498"/>
    </row>
    <row r="48" spans="2:12">
      <c r="B48" s="5">
        <f t="shared" si="3"/>
        <v>44</v>
      </c>
      <c r="C48" s="6" t="s">
        <v>1738</v>
      </c>
      <c r="D48" s="6" t="s">
        <v>1740</v>
      </c>
      <c r="E48" s="5"/>
      <c r="F48" s="5"/>
      <c r="G48" s="5">
        <v>63</v>
      </c>
      <c r="H48" s="5">
        <v>10.5</v>
      </c>
      <c r="I48" s="5">
        <f t="shared" si="2"/>
        <v>3365.8999999999983</v>
      </c>
      <c r="J48" s="5"/>
      <c r="K48" s="498"/>
      <c r="L48" s="498"/>
    </row>
    <row r="49" spans="2:12">
      <c r="B49" s="5">
        <f t="shared" si="3"/>
        <v>45</v>
      </c>
      <c r="C49" s="6" t="s">
        <v>1740</v>
      </c>
      <c r="D49" s="6" t="s">
        <v>1741</v>
      </c>
      <c r="E49" s="5"/>
      <c r="F49" s="5"/>
      <c r="G49" s="5">
        <v>63</v>
      </c>
      <c r="H49" s="5">
        <v>15.5</v>
      </c>
      <c r="I49" s="5">
        <f t="shared" si="2"/>
        <v>3381.3999999999983</v>
      </c>
      <c r="J49" s="5"/>
      <c r="K49" s="498"/>
      <c r="L49" s="498"/>
    </row>
    <row r="50" spans="2:12">
      <c r="B50" s="5">
        <f t="shared" si="3"/>
        <v>46</v>
      </c>
      <c r="C50" s="6" t="s">
        <v>1741</v>
      </c>
      <c r="D50" s="6" t="s">
        <v>1742</v>
      </c>
      <c r="E50" s="5"/>
      <c r="F50" s="5"/>
      <c r="G50" s="5">
        <v>63</v>
      </c>
      <c r="H50" s="5">
        <v>88.3</v>
      </c>
      <c r="I50" s="5">
        <f t="shared" si="2"/>
        <v>3469.6999999999985</v>
      </c>
      <c r="J50" s="5"/>
      <c r="K50" s="498"/>
      <c r="L50" s="498"/>
    </row>
    <row r="51" spans="2:12">
      <c r="B51" s="5">
        <f t="shared" si="3"/>
        <v>47</v>
      </c>
      <c r="C51" s="6" t="s">
        <v>1737</v>
      </c>
      <c r="D51" s="6" t="s">
        <v>1743</v>
      </c>
      <c r="E51" s="5"/>
      <c r="F51" s="5"/>
      <c r="G51" s="5">
        <v>63</v>
      </c>
      <c r="H51" s="5">
        <v>171</v>
      </c>
      <c r="I51" s="5">
        <f t="shared" si="2"/>
        <v>3640.6999999999985</v>
      </c>
      <c r="J51" s="5"/>
      <c r="K51" s="498"/>
      <c r="L51" s="498"/>
    </row>
    <row r="52" spans="2:12">
      <c r="B52" s="5">
        <f t="shared" si="3"/>
        <v>48</v>
      </c>
      <c r="C52" s="6" t="s">
        <v>1744</v>
      </c>
      <c r="D52" s="6" t="s">
        <v>1330</v>
      </c>
      <c r="E52" s="5"/>
      <c r="F52" s="5"/>
      <c r="G52" s="5">
        <v>63</v>
      </c>
      <c r="H52" s="5">
        <v>340.1</v>
      </c>
      <c r="I52" s="5">
        <f t="shared" si="2"/>
        <v>3980.7999999999984</v>
      </c>
      <c r="J52" s="5"/>
      <c r="K52" s="498"/>
      <c r="L52" s="498"/>
    </row>
    <row r="53" spans="2:12">
      <c r="B53" s="5">
        <f t="shared" si="3"/>
        <v>49</v>
      </c>
      <c r="C53" s="6" t="s">
        <v>1330</v>
      </c>
      <c r="D53" s="6" t="s">
        <v>1745</v>
      </c>
      <c r="E53" s="5"/>
      <c r="F53" s="5"/>
      <c r="G53" s="5">
        <v>63</v>
      </c>
      <c r="H53" s="5">
        <v>61</v>
      </c>
      <c r="I53" s="5">
        <f t="shared" si="2"/>
        <v>4041.7999999999984</v>
      </c>
      <c r="J53" s="5"/>
      <c r="K53" s="498"/>
      <c r="L53" s="498"/>
    </row>
    <row r="54" spans="2:12">
      <c r="B54" s="5">
        <f t="shared" si="3"/>
        <v>50</v>
      </c>
      <c r="C54" s="6" t="s">
        <v>1746</v>
      </c>
      <c r="D54" s="6" t="s">
        <v>1747</v>
      </c>
      <c r="E54" s="5"/>
      <c r="F54" s="5"/>
      <c r="G54" s="5">
        <v>63</v>
      </c>
      <c r="H54" s="5">
        <v>12.9</v>
      </c>
      <c r="I54" s="5">
        <f t="shared" si="2"/>
        <v>4054.6999999999985</v>
      </c>
      <c r="J54" s="5"/>
      <c r="K54" s="498"/>
      <c r="L54" s="498"/>
    </row>
    <row r="55" spans="2:12">
      <c r="B55" s="5">
        <f t="shared" si="3"/>
        <v>51</v>
      </c>
      <c r="C55" s="6" t="s">
        <v>1330</v>
      </c>
      <c r="D55" s="6" t="s">
        <v>1748</v>
      </c>
      <c r="E55" s="5"/>
      <c r="F55" s="5"/>
      <c r="G55" s="5">
        <v>63</v>
      </c>
      <c r="H55" s="5">
        <v>29.2</v>
      </c>
      <c r="I55" s="5">
        <f t="shared" si="2"/>
        <v>4083.8999999999983</v>
      </c>
      <c r="J55" s="5"/>
      <c r="K55" s="498"/>
      <c r="L55" s="498"/>
    </row>
    <row r="56" spans="2:12">
      <c r="B56" s="5">
        <f t="shared" si="3"/>
        <v>52</v>
      </c>
      <c r="C56" s="6" t="s">
        <v>1744</v>
      </c>
      <c r="D56" s="6" t="s">
        <v>1120</v>
      </c>
      <c r="E56" s="5"/>
      <c r="F56" s="5"/>
      <c r="G56" s="5">
        <v>63</v>
      </c>
      <c r="H56" s="5">
        <v>216</v>
      </c>
      <c r="I56" s="5">
        <f t="shared" si="2"/>
        <v>4299.8999999999978</v>
      </c>
      <c r="J56" s="5"/>
      <c r="K56" s="498"/>
      <c r="L56" s="498"/>
    </row>
    <row r="57" spans="2:12">
      <c r="B57" s="5">
        <f t="shared" si="3"/>
        <v>53</v>
      </c>
      <c r="C57" s="6" t="s">
        <v>1120</v>
      </c>
      <c r="D57" s="6" t="s">
        <v>1749</v>
      </c>
      <c r="E57" s="5"/>
      <c r="F57" s="5"/>
      <c r="G57" s="5">
        <v>63</v>
      </c>
      <c r="H57" s="5">
        <v>219.1</v>
      </c>
      <c r="I57" s="5">
        <f t="shared" si="2"/>
        <v>4518.9999999999982</v>
      </c>
      <c r="J57" s="5"/>
      <c r="K57" s="498"/>
      <c r="L57" s="498"/>
    </row>
    <row r="58" spans="2:12">
      <c r="B58" s="5">
        <f t="shared" si="3"/>
        <v>54</v>
      </c>
      <c r="C58" s="6" t="s">
        <v>1749</v>
      </c>
      <c r="D58" s="6" t="s">
        <v>1750</v>
      </c>
      <c r="E58" s="5"/>
      <c r="F58" s="5"/>
      <c r="G58" s="5">
        <v>63</v>
      </c>
      <c r="H58" s="5">
        <v>35</v>
      </c>
      <c r="I58" s="5">
        <f t="shared" si="2"/>
        <v>4553.9999999999982</v>
      </c>
      <c r="J58" s="5"/>
      <c r="K58" s="498"/>
      <c r="L58" s="498"/>
    </row>
    <row r="59" spans="2:12">
      <c r="B59" s="5">
        <f t="shared" si="3"/>
        <v>55</v>
      </c>
      <c r="C59" s="6" t="s">
        <v>1749</v>
      </c>
      <c r="D59" s="6" t="s">
        <v>1317</v>
      </c>
      <c r="E59" s="5"/>
      <c r="F59" s="5"/>
      <c r="G59" s="5">
        <v>63</v>
      </c>
      <c r="H59" s="5">
        <v>50</v>
      </c>
      <c r="I59" s="5">
        <f t="shared" si="2"/>
        <v>4603.9999999999982</v>
      </c>
      <c r="J59" s="5"/>
      <c r="K59" s="498"/>
      <c r="L59" s="498"/>
    </row>
    <row r="60" spans="2:12">
      <c r="B60" s="5">
        <f t="shared" si="3"/>
        <v>56</v>
      </c>
      <c r="C60" s="6" t="s">
        <v>1317</v>
      </c>
      <c r="D60" s="6" t="s">
        <v>1313</v>
      </c>
      <c r="E60" s="5" t="s">
        <v>193</v>
      </c>
      <c r="F60" s="5"/>
      <c r="G60" s="5">
        <v>63</v>
      </c>
      <c r="H60" s="5">
        <v>3.8</v>
      </c>
      <c r="I60" s="5">
        <f t="shared" si="2"/>
        <v>4607.7999999999984</v>
      </c>
      <c r="J60" s="5"/>
      <c r="K60" s="498"/>
      <c r="L60" s="498"/>
    </row>
    <row r="61" spans="2:12">
      <c r="B61" s="5">
        <f t="shared" si="3"/>
        <v>57</v>
      </c>
      <c r="C61" s="6" t="s">
        <v>1317</v>
      </c>
      <c r="D61" s="6" t="s">
        <v>1313</v>
      </c>
      <c r="E61" s="5" t="s">
        <v>45</v>
      </c>
      <c r="F61" s="5"/>
      <c r="G61" s="5">
        <v>63</v>
      </c>
      <c r="H61" s="5">
        <v>6.2</v>
      </c>
      <c r="I61" s="5">
        <f t="shared" si="2"/>
        <v>4613.9999999999982</v>
      </c>
      <c r="J61" s="5"/>
      <c r="K61" s="498"/>
      <c r="L61" s="498"/>
    </row>
    <row r="62" spans="2:12">
      <c r="B62" s="5">
        <f t="shared" si="3"/>
        <v>58</v>
      </c>
      <c r="C62" s="6" t="s">
        <v>1313</v>
      </c>
      <c r="D62" s="6" t="s">
        <v>1751</v>
      </c>
      <c r="E62" s="5"/>
      <c r="F62" s="5"/>
      <c r="G62" s="5">
        <v>63</v>
      </c>
      <c r="H62" s="5">
        <v>118</v>
      </c>
      <c r="I62" s="5">
        <f t="shared" si="2"/>
        <v>4731.9999999999982</v>
      </c>
      <c r="J62" s="5"/>
      <c r="K62" s="498"/>
      <c r="L62" s="498"/>
    </row>
    <row r="63" spans="2:12">
      <c r="B63" s="5">
        <f t="shared" si="3"/>
        <v>59</v>
      </c>
      <c r="C63" s="6" t="s">
        <v>1313</v>
      </c>
      <c r="D63" s="6" t="s">
        <v>1752</v>
      </c>
      <c r="E63" s="5" t="s">
        <v>45</v>
      </c>
      <c r="F63" s="5"/>
      <c r="G63" s="5">
        <v>63</v>
      </c>
      <c r="H63" s="5">
        <v>64.099999999999994</v>
      </c>
      <c r="I63" s="5">
        <f t="shared" si="2"/>
        <v>4796.0999999999985</v>
      </c>
      <c r="J63" s="5"/>
      <c r="K63" s="498"/>
      <c r="L63" s="498"/>
    </row>
    <row r="64" spans="2:12">
      <c r="B64" s="5">
        <f t="shared" si="3"/>
        <v>60</v>
      </c>
      <c r="C64" s="6" t="s">
        <v>1752</v>
      </c>
      <c r="D64" s="6" t="s">
        <v>1318</v>
      </c>
      <c r="E64" s="5" t="s">
        <v>45</v>
      </c>
      <c r="F64" s="5"/>
      <c r="G64" s="5">
        <v>63</v>
      </c>
      <c r="H64" s="5">
        <v>17.2</v>
      </c>
      <c r="I64" s="5">
        <f t="shared" si="2"/>
        <v>4813.2999999999984</v>
      </c>
      <c r="J64" s="5"/>
      <c r="K64" s="498"/>
      <c r="L64" s="498"/>
    </row>
    <row r="65" spans="2:12">
      <c r="B65" s="5">
        <f t="shared" si="3"/>
        <v>61</v>
      </c>
      <c r="C65" s="6" t="s">
        <v>1752</v>
      </c>
      <c r="D65" s="6" t="s">
        <v>1318</v>
      </c>
      <c r="E65" s="5"/>
      <c r="F65" s="5"/>
      <c r="G65" s="5">
        <v>63</v>
      </c>
      <c r="H65" s="5">
        <v>15</v>
      </c>
      <c r="I65" s="5">
        <f t="shared" si="2"/>
        <v>4828.2999999999984</v>
      </c>
      <c r="J65" s="5"/>
      <c r="K65" s="498"/>
      <c r="L65" s="498"/>
    </row>
    <row r="66" spans="2:12">
      <c r="B66" s="5">
        <f t="shared" si="3"/>
        <v>62</v>
      </c>
      <c r="C66" s="6" t="s">
        <v>1752</v>
      </c>
      <c r="D66" s="6" t="s">
        <v>1314</v>
      </c>
      <c r="E66" s="5"/>
      <c r="F66" s="5"/>
      <c r="G66" s="5">
        <v>63</v>
      </c>
      <c r="H66" s="5">
        <v>13</v>
      </c>
      <c r="I66" s="5">
        <f t="shared" si="2"/>
        <v>4841.2999999999984</v>
      </c>
      <c r="J66" s="5"/>
      <c r="K66" s="498"/>
      <c r="L66" s="498"/>
    </row>
    <row r="67" spans="2:12">
      <c r="B67" s="5">
        <f t="shared" si="3"/>
        <v>63</v>
      </c>
      <c r="C67" s="6" t="s">
        <v>1314</v>
      </c>
      <c r="D67" s="6" t="s">
        <v>1316</v>
      </c>
      <c r="E67" s="5"/>
      <c r="F67" s="5"/>
      <c r="G67" s="5">
        <v>63</v>
      </c>
      <c r="H67" s="5">
        <v>116.1</v>
      </c>
      <c r="I67" s="5">
        <f t="shared" si="2"/>
        <v>4957.3999999999987</v>
      </c>
      <c r="J67" s="5"/>
      <c r="K67" s="498"/>
      <c r="L67" s="498"/>
    </row>
    <row r="68" spans="2:12">
      <c r="B68" s="5">
        <f t="shared" si="3"/>
        <v>64</v>
      </c>
      <c r="C68" s="6" t="s">
        <v>1314</v>
      </c>
      <c r="D68" s="6" t="s">
        <v>1376</v>
      </c>
      <c r="E68" s="5"/>
      <c r="F68" s="5"/>
      <c r="G68" s="5">
        <v>63</v>
      </c>
      <c r="H68" s="5">
        <v>58.2</v>
      </c>
      <c r="I68" s="5">
        <f t="shared" si="2"/>
        <v>5015.5999999999985</v>
      </c>
      <c r="J68" s="5"/>
      <c r="K68" s="498"/>
      <c r="L68" s="498"/>
    </row>
    <row r="69" spans="2:12">
      <c r="B69" s="5">
        <f t="shared" si="3"/>
        <v>65</v>
      </c>
      <c r="C69" s="6" t="s">
        <v>1314</v>
      </c>
      <c r="D69" s="6" t="s">
        <v>1376</v>
      </c>
      <c r="E69" s="5" t="s">
        <v>45</v>
      </c>
      <c r="F69" s="5"/>
      <c r="G69" s="5">
        <v>63</v>
      </c>
      <c r="H69" s="5">
        <v>25</v>
      </c>
      <c r="I69" s="5">
        <f t="shared" si="2"/>
        <v>5040.5999999999985</v>
      </c>
      <c r="J69" s="5"/>
      <c r="K69" s="498"/>
      <c r="L69" s="498"/>
    </row>
    <row r="70" spans="2:12">
      <c r="B70" s="5">
        <f t="shared" si="3"/>
        <v>66</v>
      </c>
      <c r="C70" s="6" t="s">
        <v>1314</v>
      </c>
      <c r="D70" s="6" t="s">
        <v>1376</v>
      </c>
      <c r="E70" s="5"/>
      <c r="F70" s="5"/>
      <c r="G70" s="5">
        <v>63</v>
      </c>
      <c r="H70" s="5">
        <v>94</v>
      </c>
      <c r="I70" s="5">
        <f t="shared" si="2"/>
        <v>5134.5999999999985</v>
      </c>
      <c r="J70" s="5"/>
      <c r="K70" s="498"/>
      <c r="L70" s="498"/>
    </row>
    <row r="71" spans="2:12">
      <c r="B71" s="5">
        <f t="shared" si="3"/>
        <v>67</v>
      </c>
      <c r="C71" s="6" t="s">
        <v>907</v>
      </c>
      <c r="D71" s="6" t="s">
        <v>1316</v>
      </c>
      <c r="E71" s="5"/>
      <c r="F71" s="5"/>
      <c r="G71" s="5">
        <v>63</v>
      </c>
      <c r="H71" s="5">
        <v>81</v>
      </c>
      <c r="I71" s="5">
        <f t="shared" si="2"/>
        <v>5215.5999999999985</v>
      </c>
      <c r="J71" s="5"/>
      <c r="K71" s="498"/>
      <c r="L71" s="498"/>
    </row>
    <row r="72" spans="2:12">
      <c r="B72" s="5">
        <f t="shared" ref="B72:B139" si="4">1+B71</f>
        <v>68</v>
      </c>
      <c r="C72" s="6" t="s">
        <v>1316</v>
      </c>
      <c r="D72" s="6" t="s">
        <v>1314</v>
      </c>
      <c r="E72" s="5"/>
      <c r="F72" s="5"/>
      <c r="G72" s="5">
        <v>63</v>
      </c>
      <c r="H72" s="5">
        <v>51</v>
      </c>
      <c r="I72" s="5">
        <f t="shared" ref="I72:I139" si="5">+I71+H72</f>
        <v>5266.5999999999985</v>
      </c>
      <c r="J72" s="5"/>
      <c r="K72" s="498"/>
      <c r="L72" s="498"/>
    </row>
    <row r="73" spans="2:12">
      <c r="B73" s="5">
        <f t="shared" si="4"/>
        <v>69</v>
      </c>
      <c r="C73" s="6" t="s">
        <v>1316</v>
      </c>
      <c r="D73" s="6" t="s">
        <v>1753</v>
      </c>
      <c r="E73" s="5"/>
      <c r="F73" s="5"/>
      <c r="G73" s="5">
        <v>63</v>
      </c>
      <c r="H73" s="5">
        <v>49.1</v>
      </c>
      <c r="I73" s="5">
        <f t="shared" si="5"/>
        <v>5315.6999999999989</v>
      </c>
      <c r="J73" s="5"/>
      <c r="K73" s="498"/>
      <c r="L73" s="498"/>
    </row>
    <row r="74" spans="2:12">
      <c r="B74" s="5">
        <f t="shared" si="4"/>
        <v>70</v>
      </c>
      <c r="C74" s="6" t="s">
        <v>1754</v>
      </c>
      <c r="D74" s="6" t="s">
        <v>1755</v>
      </c>
      <c r="E74" s="5"/>
      <c r="F74" s="5"/>
      <c r="G74" s="5">
        <v>63</v>
      </c>
      <c r="H74" s="5">
        <v>57</v>
      </c>
      <c r="I74" s="5">
        <f t="shared" si="5"/>
        <v>5372.6999999999989</v>
      </c>
      <c r="J74" s="5"/>
      <c r="K74" s="498"/>
      <c r="L74" s="498"/>
    </row>
    <row r="75" spans="2:12">
      <c r="B75" s="5">
        <f t="shared" si="4"/>
        <v>71</v>
      </c>
      <c r="C75" s="6" t="s">
        <v>1357</v>
      </c>
      <c r="D75" s="6" t="s">
        <v>1301</v>
      </c>
      <c r="E75" s="5"/>
      <c r="F75" s="5"/>
      <c r="G75" s="5">
        <v>63</v>
      </c>
      <c r="H75" s="5">
        <v>53.2</v>
      </c>
      <c r="I75" s="5">
        <f t="shared" si="5"/>
        <v>5425.8999999999987</v>
      </c>
      <c r="J75" s="5"/>
      <c r="K75" s="498"/>
      <c r="L75" s="498"/>
    </row>
    <row r="76" spans="2:12">
      <c r="B76" s="5">
        <f t="shared" si="4"/>
        <v>72</v>
      </c>
      <c r="C76" s="6" t="s">
        <v>1301</v>
      </c>
      <c r="D76" s="6" t="s">
        <v>1378</v>
      </c>
      <c r="E76" s="5"/>
      <c r="F76" s="5"/>
      <c r="G76" s="5">
        <v>63</v>
      </c>
      <c r="H76" s="5">
        <v>146.1</v>
      </c>
      <c r="I76" s="5">
        <f t="shared" si="5"/>
        <v>5571.9999999999991</v>
      </c>
      <c r="J76" s="5"/>
      <c r="K76" s="498"/>
      <c r="L76" s="498"/>
    </row>
    <row r="77" spans="2:12">
      <c r="B77" s="5">
        <f t="shared" si="4"/>
        <v>73</v>
      </c>
      <c r="C77" s="6" t="s">
        <v>1301</v>
      </c>
      <c r="D77" s="6" t="s">
        <v>1305</v>
      </c>
      <c r="E77" s="5" t="s">
        <v>193</v>
      </c>
      <c r="F77" s="5"/>
      <c r="G77" s="5">
        <v>63</v>
      </c>
      <c r="H77" s="5">
        <v>3.4</v>
      </c>
      <c r="I77" s="5">
        <f t="shared" si="5"/>
        <v>5575.3999999999987</v>
      </c>
      <c r="J77" s="5"/>
      <c r="K77" s="498"/>
      <c r="L77" s="498"/>
    </row>
    <row r="78" spans="2:12">
      <c r="B78" s="5">
        <f t="shared" si="4"/>
        <v>74</v>
      </c>
      <c r="C78" s="6" t="s">
        <v>1301</v>
      </c>
      <c r="D78" s="6" t="s">
        <v>1305</v>
      </c>
      <c r="E78" s="5"/>
      <c r="F78" s="5"/>
      <c r="G78" s="5">
        <v>63</v>
      </c>
      <c r="H78" s="5">
        <v>56.5</v>
      </c>
      <c r="I78" s="5">
        <f t="shared" si="5"/>
        <v>5631.8999999999987</v>
      </c>
      <c r="J78" s="5"/>
      <c r="K78" s="498"/>
      <c r="L78" s="498"/>
    </row>
    <row r="79" spans="2:12">
      <c r="B79" s="5">
        <f t="shared" si="4"/>
        <v>75</v>
      </c>
      <c r="C79" s="6" t="s">
        <v>1299</v>
      </c>
      <c r="D79" s="6" t="s">
        <v>1404</v>
      </c>
      <c r="E79" s="5"/>
      <c r="F79" s="5"/>
      <c r="G79" s="5">
        <v>63</v>
      </c>
      <c r="H79" s="5">
        <v>67</v>
      </c>
      <c r="I79" s="5">
        <f t="shared" si="5"/>
        <v>5698.8999999999987</v>
      </c>
      <c r="J79" s="5"/>
      <c r="K79" s="498"/>
      <c r="L79" s="498"/>
    </row>
    <row r="80" spans="2:12">
      <c r="B80" s="5">
        <f t="shared" si="4"/>
        <v>76</v>
      </c>
      <c r="C80" s="6" t="s">
        <v>1173</v>
      </c>
      <c r="D80" s="6" t="s">
        <v>1392</v>
      </c>
      <c r="E80" s="5"/>
      <c r="F80" s="5"/>
      <c r="G80" s="5">
        <v>63</v>
      </c>
      <c r="H80" s="5">
        <v>321.10000000000002</v>
      </c>
      <c r="I80" s="5">
        <f t="shared" si="5"/>
        <v>6019.9999999999991</v>
      </c>
      <c r="J80" s="5"/>
      <c r="K80" s="498"/>
      <c r="L80" s="498"/>
    </row>
    <row r="81" spans="2:12">
      <c r="B81" s="5">
        <f t="shared" si="4"/>
        <v>77</v>
      </c>
      <c r="C81" s="6" t="s">
        <v>96</v>
      </c>
      <c r="D81" s="6" t="s">
        <v>906</v>
      </c>
      <c r="E81" s="5"/>
      <c r="F81" s="5"/>
      <c r="G81" s="5">
        <v>63</v>
      </c>
      <c r="H81" s="5">
        <v>65.900000000000006</v>
      </c>
      <c r="I81" s="5">
        <f t="shared" si="5"/>
        <v>6085.8999999999987</v>
      </c>
      <c r="J81" s="5"/>
      <c r="K81" s="498"/>
      <c r="L81" s="498"/>
    </row>
    <row r="82" spans="2:12">
      <c r="B82" s="5">
        <f t="shared" si="4"/>
        <v>78</v>
      </c>
      <c r="C82" s="6" t="s">
        <v>96</v>
      </c>
      <c r="D82" s="6" t="s">
        <v>1312</v>
      </c>
      <c r="E82" s="5"/>
      <c r="F82" s="5"/>
      <c r="G82" s="5">
        <v>63</v>
      </c>
      <c r="H82" s="5">
        <v>78.5</v>
      </c>
      <c r="I82" s="5">
        <f t="shared" si="5"/>
        <v>6164.3999999999987</v>
      </c>
      <c r="J82" s="5"/>
      <c r="K82" s="498"/>
      <c r="L82" s="498"/>
    </row>
    <row r="83" spans="2:12">
      <c r="B83" s="5">
        <f t="shared" si="4"/>
        <v>79</v>
      </c>
      <c r="C83" s="6" t="s">
        <v>96</v>
      </c>
      <c r="D83" s="6" t="s">
        <v>80</v>
      </c>
      <c r="E83" s="5" t="s">
        <v>149</v>
      </c>
      <c r="F83" s="5"/>
      <c r="G83" s="5">
        <v>63</v>
      </c>
      <c r="H83" s="5">
        <v>21.5</v>
      </c>
      <c r="I83" s="5">
        <f t="shared" si="5"/>
        <v>6185.8999999999987</v>
      </c>
      <c r="J83" s="5"/>
      <c r="K83" s="498"/>
      <c r="L83" s="498"/>
    </row>
    <row r="84" spans="2:12">
      <c r="B84" s="5">
        <f t="shared" si="4"/>
        <v>80</v>
      </c>
      <c r="C84" s="6" t="s">
        <v>80</v>
      </c>
      <c r="D84" s="6" t="s">
        <v>83</v>
      </c>
      <c r="E84" s="5"/>
      <c r="F84" s="5"/>
      <c r="G84" s="5">
        <v>63</v>
      </c>
      <c r="H84" s="5">
        <v>48.5</v>
      </c>
      <c r="I84" s="5">
        <f t="shared" si="5"/>
        <v>6234.3999999999987</v>
      </c>
      <c r="J84" s="5"/>
      <c r="K84" s="498"/>
      <c r="L84" s="498"/>
    </row>
    <row r="85" spans="2:12">
      <c r="B85" s="5">
        <f t="shared" si="4"/>
        <v>81</v>
      </c>
      <c r="C85" s="6" t="s">
        <v>80</v>
      </c>
      <c r="D85" s="6" t="s">
        <v>79</v>
      </c>
      <c r="E85" s="5" t="s">
        <v>149</v>
      </c>
      <c r="F85" s="5"/>
      <c r="G85" s="5">
        <v>63</v>
      </c>
      <c r="H85" s="5">
        <v>5.4</v>
      </c>
      <c r="I85" s="5">
        <f t="shared" si="5"/>
        <v>6239.7999999999984</v>
      </c>
      <c r="J85" s="5"/>
      <c r="K85" s="498"/>
      <c r="L85" s="498"/>
    </row>
    <row r="86" spans="2:12">
      <c r="B86" s="5">
        <f t="shared" si="4"/>
        <v>82</v>
      </c>
      <c r="C86" s="6" t="s">
        <v>80</v>
      </c>
      <c r="D86" s="6" t="s">
        <v>79</v>
      </c>
      <c r="E86" s="5" t="s">
        <v>45</v>
      </c>
      <c r="F86" s="5"/>
      <c r="G86" s="5">
        <v>63</v>
      </c>
      <c r="H86" s="5">
        <v>3.7</v>
      </c>
      <c r="I86" s="5">
        <f t="shared" si="5"/>
        <v>6243.4999999999982</v>
      </c>
      <c r="J86" s="5"/>
      <c r="K86" s="498"/>
      <c r="L86" s="498"/>
    </row>
    <row r="87" spans="2:12">
      <c r="B87" s="5">
        <f t="shared" si="4"/>
        <v>83</v>
      </c>
      <c r="C87" s="6" t="s">
        <v>80</v>
      </c>
      <c r="D87" s="6" t="s">
        <v>79</v>
      </c>
      <c r="E87" s="5"/>
      <c r="F87" s="5"/>
      <c r="G87" s="5">
        <v>63</v>
      </c>
      <c r="H87" s="5">
        <v>22.4</v>
      </c>
      <c r="I87" s="5">
        <f t="shared" si="5"/>
        <v>6265.8999999999978</v>
      </c>
      <c r="J87" s="5"/>
      <c r="K87" s="498"/>
      <c r="L87" s="498"/>
    </row>
    <row r="88" spans="2:12">
      <c r="B88" s="5">
        <f t="shared" si="4"/>
        <v>84</v>
      </c>
      <c r="C88" s="6" t="s">
        <v>79</v>
      </c>
      <c r="D88" s="6" t="s">
        <v>81</v>
      </c>
      <c r="E88" s="5"/>
      <c r="F88" s="5"/>
      <c r="G88" s="5">
        <v>63</v>
      </c>
      <c r="H88" s="5">
        <v>55.3</v>
      </c>
      <c r="I88" s="5">
        <f t="shared" si="5"/>
        <v>6321.199999999998</v>
      </c>
      <c r="J88" s="5"/>
      <c r="K88" s="498"/>
      <c r="L88" s="498"/>
    </row>
    <row r="89" spans="2:12">
      <c r="B89" s="5">
        <f t="shared" si="4"/>
        <v>85</v>
      </c>
      <c r="C89" s="6" t="s">
        <v>79</v>
      </c>
      <c r="D89" s="6" t="s">
        <v>83</v>
      </c>
      <c r="E89" s="5"/>
      <c r="F89" s="5"/>
      <c r="G89" s="5">
        <v>63</v>
      </c>
      <c r="H89" s="5">
        <v>125.6</v>
      </c>
      <c r="I89" s="5">
        <f t="shared" si="5"/>
        <v>6446.7999999999984</v>
      </c>
      <c r="J89" s="5"/>
      <c r="K89" s="498"/>
      <c r="L89" s="498"/>
    </row>
    <row r="90" spans="2:12">
      <c r="B90" s="5">
        <f t="shared" si="4"/>
        <v>86</v>
      </c>
      <c r="C90" s="6" t="s">
        <v>107</v>
      </c>
      <c r="D90" s="6" t="s">
        <v>132</v>
      </c>
      <c r="E90" s="5"/>
      <c r="F90" s="5"/>
      <c r="G90" s="5">
        <v>63</v>
      </c>
      <c r="H90" s="5">
        <v>474</v>
      </c>
      <c r="I90" s="5">
        <f t="shared" si="5"/>
        <v>6920.7999999999984</v>
      </c>
      <c r="J90" s="5"/>
      <c r="K90" s="498"/>
      <c r="L90" s="498"/>
    </row>
    <row r="91" spans="2:12">
      <c r="B91" s="5">
        <f t="shared" si="4"/>
        <v>87</v>
      </c>
      <c r="C91" s="6" t="s">
        <v>94</v>
      </c>
      <c r="D91" s="6" t="s">
        <v>137</v>
      </c>
      <c r="E91" s="5"/>
      <c r="F91" s="5"/>
      <c r="G91" s="5">
        <v>63</v>
      </c>
      <c r="H91" s="5">
        <v>158.5</v>
      </c>
      <c r="I91" s="5">
        <f t="shared" si="5"/>
        <v>7079.2999999999984</v>
      </c>
      <c r="J91" s="5"/>
      <c r="K91" s="498"/>
      <c r="L91" s="498"/>
    </row>
    <row r="92" spans="2:12">
      <c r="B92" s="5">
        <f t="shared" si="4"/>
        <v>88</v>
      </c>
      <c r="C92" s="6" t="s">
        <v>105</v>
      </c>
      <c r="D92" s="6" t="s">
        <v>78</v>
      </c>
      <c r="E92" s="5"/>
      <c r="F92" s="5"/>
      <c r="G92" s="5">
        <v>63</v>
      </c>
      <c r="H92" s="5">
        <v>68.099999999999994</v>
      </c>
      <c r="I92" s="5">
        <f t="shared" si="5"/>
        <v>7147.3999999999987</v>
      </c>
      <c r="J92" s="5"/>
      <c r="K92" s="498"/>
      <c r="L92" s="498"/>
    </row>
    <row r="93" spans="2:12">
      <c r="B93" s="5">
        <f t="shared" si="4"/>
        <v>89</v>
      </c>
      <c r="C93" s="6" t="s">
        <v>78</v>
      </c>
      <c r="D93" s="6" t="s">
        <v>90</v>
      </c>
      <c r="E93" s="5"/>
      <c r="F93" s="5"/>
      <c r="G93" s="5">
        <v>63</v>
      </c>
      <c r="H93" s="5">
        <v>39</v>
      </c>
      <c r="I93" s="5">
        <f t="shared" si="5"/>
        <v>7186.3999999999987</v>
      </c>
      <c r="J93" s="5"/>
      <c r="K93" s="498"/>
      <c r="L93" s="498"/>
    </row>
    <row r="94" spans="2:12">
      <c r="B94" s="5">
        <f t="shared" si="4"/>
        <v>90</v>
      </c>
      <c r="C94" s="6" t="s">
        <v>78</v>
      </c>
      <c r="D94" s="6" t="s">
        <v>128</v>
      </c>
      <c r="E94" s="5"/>
      <c r="F94" s="5"/>
      <c r="G94" s="5">
        <v>63</v>
      </c>
      <c r="H94" s="5">
        <v>474.2</v>
      </c>
      <c r="I94" s="5">
        <f t="shared" si="5"/>
        <v>7660.5999999999985</v>
      </c>
      <c r="J94" s="5"/>
      <c r="K94" s="498"/>
      <c r="L94" s="498"/>
    </row>
    <row r="95" spans="2:12">
      <c r="B95" s="5">
        <f t="shared" si="4"/>
        <v>91</v>
      </c>
      <c r="C95" s="6" t="s">
        <v>78</v>
      </c>
      <c r="D95" s="6" t="s">
        <v>76</v>
      </c>
      <c r="E95" s="5"/>
      <c r="F95" s="5"/>
      <c r="G95" s="5">
        <v>63</v>
      </c>
      <c r="H95" s="5">
        <v>180</v>
      </c>
      <c r="I95" s="5">
        <f t="shared" si="5"/>
        <v>7840.5999999999985</v>
      </c>
      <c r="J95" s="5"/>
      <c r="K95" s="498"/>
      <c r="L95" s="498"/>
    </row>
    <row r="96" spans="2:12">
      <c r="B96" s="5">
        <f t="shared" si="4"/>
        <v>92</v>
      </c>
      <c r="C96" s="6" t="s">
        <v>911</v>
      </c>
      <c r="D96" s="6" t="s">
        <v>84</v>
      </c>
      <c r="E96" s="5"/>
      <c r="F96" s="5"/>
      <c r="G96" s="5">
        <v>63</v>
      </c>
      <c r="H96" s="5">
        <v>213</v>
      </c>
      <c r="I96" s="5">
        <f t="shared" si="5"/>
        <v>8053.5999999999985</v>
      </c>
      <c r="J96" s="5"/>
      <c r="K96" s="498"/>
      <c r="L96" s="498"/>
    </row>
    <row r="97" spans="2:12">
      <c r="B97" s="5">
        <f t="shared" si="4"/>
        <v>93</v>
      </c>
      <c r="C97" s="6" t="s">
        <v>125</v>
      </c>
      <c r="D97" s="6" t="s">
        <v>1352</v>
      </c>
      <c r="E97" s="5"/>
      <c r="F97" s="5"/>
      <c r="G97" s="5">
        <v>63</v>
      </c>
      <c r="H97" s="5">
        <v>116</v>
      </c>
      <c r="I97" s="5">
        <f t="shared" si="5"/>
        <v>8169.5999999999985</v>
      </c>
      <c r="J97" s="5"/>
      <c r="K97" s="498"/>
      <c r="L97" s="498"/>
    </row>
    <row r="98" spans="2:12">
      <c r="B98" s="5">
        <f t="shared" si="4"/>
        <v>94</v>
      </c>
      <c r="C98" s="6" t="s">
        <v>56</v>
      </c>
      <c r="D98" s="6" t="s">
        <v>58</v>
      </c>
      <c r="E98" s="5"/>
      <c r="F98" s="5"/>
      <c r="G98" s="5">
        <v>63</v>
      </c>
      <c r="H98" s="5">
        <v>78</v>
      </c>
      <c r="I98" s="5">
        <f t="shared" si="5"/>
        <v>8247.5999999999985</v>
      </c>
      <c r="J98" s="5"/>
      <c r="K98" s="498"/>
      <c r="L98" s="498"/>
    </row>
    <row r="99" spans="2:12">
      <c r="B99" s="5">
        <f t="shared" si="4"/>
        <v>95</v>
      </c>
      <c r="C99" s="6" t="s">
        <v>1756</v>
      </c>
      <c r="D99" s="6" t="s">
        <v>895</v>
      </c>
      <c r="E99" s="5"/>
      <c r="F99" s="5"/>
      <c r="G99" s="5">
        <v>63</v>
      </c>
      <c r="H99" s="5">
        <v>160</v>
      </c>
      <c r="I99" s="5">
        <f t="shared" si="5"/>
        <v>8407.5999999999985</v>
      </c>
      <c r="J99" s="5"/>
      <c r="K99" s="498"/>
      <c r="L99" s="498"/>
    </row>
    <row r="100" spans="2:12">
      <c r="B100" s="5">
        <f t="shared" si="4"/>
        <v>96</v>
      </c>
      <c r="C100" s="6" t="s">
        <v>895</v>
      </c>
      <c r="D100" s="6" t="s">
        <v>1757</v>
      </c>
      <c r="E100" s="5" t="s">
        <v>193</v>
      </c>
      <c r="F100" s="5"/>
      <c r="G100" s="5">
        <v>63</v>
      </c>
      <c r="H100" s="5">
        <v>3</v>
      </c>
      <c r="I100" s="5">
        <f t="shared" si="5"/>
        <v>8410.5999999999985</v>
      </c>
      <c r="J100" s="5"/>
      <c r="K100" s="498"/>
      <c r="L100" s="498"/>
    </row>
    <row r="101" spans="2:12">
      <c r="B101" s="5">
        <f t="shared" si="4"/>
        <v>97</v>
      </c>
      <c r="C101" s="6" t="s">
        <v>895</v>
      </c>
      <c r="D101" s="6" t="s">
        <v>1757</v>
      </c>
      <c r="E101" s="5"/>
      <c r="F101" s="5"/>
      <c r="G101" s="5">
        <v>63</v>
      </c>
      <c r="H101" s="5">
        <v>206</v>
      </c>
      <c r="I101" s="5">
        <f t="shared" si="5"/>
        <v>8616.5999999999985</v>
      </c>
      <c r="J101" s="5"/>
      <c r="K101" s="498"/>
      <c r="L101" s="498"/>
    </row>
    <row r="102" spans="2:12">
      <c r="B102" s="5">
        <f t="shared" si="4"/>
        <v>98</v>
      </c>
      <c r="C102" s="6" t="s">
        <v>895</v>
      </c>
      <c r="D102" s="6" t="s">
        <v>1758</v>
      </c>
      <c r="E102" s="5"/>
      <c r="F102" s="5"/>
      <c r="G102" s="5">
        <v>63</v>
      </c>
      <c r="H102" s="5">
        <v>32</v>
      </c>
      <c r="I102" s="5">
        <f t="shared" si="5"/>
        <v>8648.5999999999985</v>
      </c>
      <c r="J102" s="5"/>
      <c r="K102" s="498"/>
      <c r="L102" s="498"/>
    </row>
    <row r="103" spans="2:12">
      <c r="B103" s="5">
        <f t="shared" si="4"/>
        <v>99</v>
      </c>
      <c r="C103" s="6" t="s">
        <v>1758</v>
      </c>
      <c r="D103" s="6" t="s">
        <v>1759</v>
      </c>
      <c r="E103" s="5" t="s">
        <v>193</v>
      </c>
      <c r="F103" s="5"/>
      <c r="G103" s="5">
        <v>63</v>
      </c>
      <c r="H103" s="5">
        <v>3</v>
      </c>
      <c r="I103" s="5">
        <f t="shared" si="5"/>
        <v>8651.5999999999985</v>
      </c>
      <c r="J103" s="5"/>
      <c r="K103" s="498"/>
      <c r="L103" s="498"/>
    </row>
    <row r="104" spans="2:12">
      <c r="B104" s="5">
        <f t="shared" si="4"/>
        <v>100</v>
      </c>
      <c r="C104" s="6" t="s">
        <v>1758</v>
      </c>
      <c r="D104" s="6" t="s">
        <v>1759</v>
      </c>
      <c r="E104" s="5"/>
      <c r="F104" s="5"/>
      <c r="G104" s="5">
        <v>63</v>
      </c>
      <c r="H104" s="5">
        <v>81.2</v>
      </c>
      <c r="I104" s="5">
        <f t="shared" si="5"/>
        <v>8732.7999999999993</v>
      </c>
      <c r="J104" s="5"/>
      <c r="K104" s="498"/>
      <c r="L104" s="498"/>
    </row>
    <row r="105" spans="2:12">
      <c r="B105" s="5">
        <f t="shared" si="4"/>
        <v>101</v>
      </c>
      <c r="C105" s="6" t="s">
        <v>1758</v>
      </c>
      <c r="D105" s="6" t="s">
        <v>1760</v>
      </c>
      <c r="E105" s="5"/>
      <c r="F105" s="5"/>
      <c r="G105" s="5">
        <v>63</v>
      </c>
      <c r="H105" s="5">
        <v>134.5</v>
      </c>
      <c r="I105" s="5">
        <f t="shared" si="5"/>
        <v>8867.2999999999993</v>
      </c>
      <c r="J105" s="5"/>
      <c r="K105" s="498"/>
      <c r="L105" s="498"/>
    </row>
    <row r="106" spans="2:12">
      <c r="B106" s="5">
        <f t="shared" si="4"/>
        <v>102</v>
      </c>
      <c r="C106" s="6" t="s">
        <v>1761</v>
      </c>
      <c r="D106" s="6" t="s">
        <v>1762</v>
      </c>
      <c r="E106" s="5"/>
      <c r="F106" s="5"/>
      <c r="G106" s="5">
        <v>63</v>
      </c>
      <c r="H106" s="5">
        <v>18.8</v>
      </c>
      <c r="I106" s="5">
        <f t="shared" si="5"/>
        <v>8886.0999999999985</v>
      </c>
      <c r="J106" s="5"/>
      <c r="K106" s="498"/>
      <c r="L106" s="498"/>
    </row>
    <row r="107" spans="2:12">
      <c r="B107" s="5">
        <f t="shared" si="4"/>
        <v>103</v>
      </c>
      <c r="C107" s="6" t="s">
        <v>901</v>
      </c>
      <c r="D107" s="6" t="s">
        <v>1763</v>
      </c>
      <c r="E107" s="5"/>
      <c r="F107" s="5"/>
      <c r="G107" s="5">
        <v>63</v>
      </c>
      <c r="H107" s="5">
        <v>308.5</v>
      </c>
      <c r="I107" s="5">
        <f t="shared" si="5"/>
        <v>9194.5999999999985</v>
      </c>
      <c r="J107" s="5"/>
      <c r="K107" s="498"/>
      <c r="L107" s="498"/>
    </row>
    <row r="108" spans="2:12">
      <c r="B108" s="5">
        <f t="shared" si="4"/>
        <v>104</v>
      </c>
      <c r="C108" s="6" t="s">
        <v>901</v>
      </c>
      <c r="D108" s="6" t="s">
        <v>1763</v>
      </c>
      <c r="E108" s="5" t="s">
        <v>149</v>
      </c>
      <c r="F108" s="5"/>
      <c r="G108" s="5">
        <v>63</v>
      </c>
      <c r="H108" s="5">
        <v>36.200000000000003</v>
      </c>
      <c r="I108" s="5">
        <f t="shared" si="5"/>
        <v>9230.7999999999993</v>
      </c>
      <c r="J108" s="5"/>
      <c r="K108" s="498"/>
      <c r="L108" s="498"/>
    </row>
    <row r="109" spans="2:12">
      <c r="B109" s="5">
        <f t="shared" si="4"/>
        <v>105</v>
      </c>
      <c r="C109" s="6" t="s">
        <v>901</v>
      </c>
      <c r="D109" s="6" t="s">
        <v>1763</v>
      </c>
      <c r="E109" s="5"/>
      <c r="F109" s="5"/>
      <c r="G109" s="5">
        <v>63</v>
      </c>
      <c r="H109" s="5">
        <v>111.1</v>
      </c>
      <c r="I109" s="5">
        <f t="shared" si="5"/>
        <v>9341.9</v>
      </c>
      <c r="J109" s="5"/>
      <c r="K109" s="498"/>
      <c r="L109" s="498"/>
    </row>
    <row r="110" spans="2:12">
      <c r="B110" s="5">
        <f t="shared" si="4"/>
        <v>106</v>
      </c>
      <c r="C110" s="6" t="s">
        <v>1764</v>
      </c>
      <c r="D110" s="6" t="s">
        <v>1315</v>
      </c>
      <c r="E110" s="5"/>
      <c r="F110" s="5"/>
      <c r="G110" s="5">
        <v>63</v>
      </c>
      <c r="H110" s="5">
        <v>248</v>
      </c>
      <c r="I110" s="5">
        <f t="shared" si="5"/>
        <v>9589.9</v>
      </c>
      <c r="J110" s="5"/>
      <c r="K110" s="498"/>
      <c r="L110" s="498"/>
    </row>
    <row r="111" spans="2:12">
      <c r="B111" s="5">
        <f t="shared" si="4"/>
        <v>107</v>
      </c>
      <c r="C111" s="6" t="s">
        <v>1315</v>
      </c>
      <c r="D111" s="6" t="s">
        <v>1765</v>
      </c>
      <c r="E111" s="5"/>
      <c r="F111" s="5"/>
      <c r="G111" s="5">
        <v>63</v>
      </c>
      <c r="H111" s="5">
        <v>8.5</v>
      </c>
      <c r="I111" s="5">
        <f t="shared" si="5"/>
        <v>9598.4</v>
      </c>
      <c r="J111" s="5"/>
      <c r="K111" s="498"/>
      <c r="L111" s="498"/>
    </row>
    <row r="112" spans="2:12">
      <c r="B112" s="5">
        <f t="shared" si="4"/>
        <v>108</v>
      </c>
      <c r="C112" s="6" t="s">
        <v>1765</v>
      </c>
      <c r="D112" s="6" t="s">
        <v>1308</v>
      </c>
      <c r="E112" s="5"/>
      <c r="F112" s="5"/>
      <c r="G112" s="5">
        <v>63</v>
      </c>
      <c r="H112" s="5">
        <v>45.1</v>
      </c>
      <c r="I112" s="5">
        <f t="shared" si="5"/>
        <v>9643.5</v>
      </c>
      <c r="J112" s="5"/>
      <c r="K112" s="498"/>
      <c r="L112" s="498"/>
    </row>
    <row r="113" spans="2:15">
      <c r="B113" s="5">
        <f t="shared" si="4"/>
        <v>109</v>
      </c>
      <c r="C113" s="6" t="s">
        <v>1765</v>
      </c>
      <c r="D113" s="6" t="s">
        <v>1766</v>
      </c>
      <c r="E113" s="5"/>
      <c r="F113" s="5"/>
      <c r="G113" s="5">
        <v>63</v>
      </c>
      <c r="H113" s="5">
        <v>6.3</v>
      </c>
      <c r="I113" s="5">
        <f t="shared" si="5"/>
        <v>9649.7999999999993</v>
      </c>
      <c r="J113" s="5"/>
      <c r="K113" s="498"/>
      <c r="L113" s="498"/>
    </row>
    <row r="114" spans="2:15">
      <c r="B114" s="5">
        <f t="shared" si="4"/>
        <v>110</v>
      </c>
      <c r="C114" s="6" t="s">
        <v>1766</v>
      </c>
      <c r="D114" s="6" t="s">
        <v>1767</v>
      </c>
      <c r="E114" s="5"/>
      <c r="F114" s="5"/>
      <c r="G114" s="5">
        <v>63</v>
      </c>
      <c r="H114" s="5">
        <v>29.2</v>
      </c>
      <c r="I114" s="5">
        <f t="shared" si="5"/>
        <v>9679</v>
      </c>
      <c r="J114" s="5"/>
      <c r="K114" s="498"/>
      <c r="L114" s="498"/>
    </row>
    <row r="115" spans="2:15">
      <c r="B115" s="5">
        <f t="shared" si="4"/>
        <v>111</v>
      </c>
      <c r="C115" s="6" t="s">
        <v>1766</v>
      </c>
      <c r="D115" s="6" t="s">
        <v>1768</v>
      </c>
      <c r="E115" s="5"/>
      <c r="F115" s="5"/>
      <c r="G115" s="5">
        <v>63</v>
      </c>
      <c r="H115" s="5">
        <v>4.3</v>
      </c>
      <c r="I115" s="5">
        <f t="shared" si="5"/>
        <v>9683.2999999999993</v>
      </c>
      <c r="J115" s="5"/>
      <c r="K115" s="498"/>
      <c r="L115" s="498"/>
      <c r="O115">
        <f>11938+455.8</f>
        <v>12393.8</v>
      </c>
    </row>
    <row r="116" spans="2:15">
      <c r="B116" s="5">
        <f t="shared" si="4"/>
        <v>112</v>
      </c>
      <c r="C116" s="6" t="s">
        <v>1768</v>
      </c>
      <c r="D116" s="6" t="s">
        <v>1769</v>
      </c>
      <c r="E116" s="5"/>
      <c r="F116" s="5"/>
      <c r="G116" s="5">
        <v>63</v>
      </c>
      <c r="H116" s="5">
        <v>24.7</v>
      </c>
      <c r="I116" s="5">
        <f t="shared" si="5"/>
        <v>9708</v>
      </c>
      <c r="J116" s="5"/>
      <c r="K116" s="498"/>
      <c r="L116" s="498"/>
      <c r="O116">
        <f>14889+455.8</f>
        <v>15344.8</v>
      </c>
    </row>
    <row r="117" spans="2:15">
      <c r="B117" s="5">
        <f t="shared" si="4"/>
        <v>113</v>
      </c>
      <c r="C117" s="6" t="s">
        <v>1765</v>
      </c>
      <c r="D117" s="6" t="s">
        <v>1319</v>
      </c>
      <c r="E117" s="5"/>
      <c r="F117" s="5"/>
      <c r="G117" s="5">
        <v>63</v>
      </c>
      <c r="H117" s="5">
        <v>140.30000000000001</v>
      </c>
      <c r="I117" s="5">
        <f t="shared" si="5"/>
        <v>9848.2999999999993</v>
      </c>
      <c r="J117" s="5"/>
      <c r="K117" s="498"/>
      <c r="L117" s="498"/>
    </row>
    <row r="118" spans="2:15">
      <c r="B118" s="5">
        <f t="shared" si="4"/>
        <v>114</v>
      </c>
      <c r="C118" s="6" t="s">
        <v>1311</v>
      </c>
      <c r="D118" s="6" t="s">
        <v>1131</v>
      </c>
      <c r="E118" s="5"/>
      <c r="F118" s="5"/>
      <c r="G118" s="5">
        <v>63</v>
      </c>
      <c r="H118" s="5">
        <v>58</v>
      </c>
      <c r="I118" s="5">
        <f t="shared" si="5"/>
        <v>9906.2999999999993</v>
      </c>
      <c r="J118" s="5"/>
      <c r="K118" s="498"/>
      <c r="L118" s="498"/>
    </row>
    <row r="119" spans="2:15">
      <c r="B119" s="5">
        <f t="shared" si="4"/>
        <v>115</v>
      </c>
      <c r="C119" s="6" t="s">
        <v>1311</v>
      </c>
      <c r="D119" s="6" t="s">
        <v>1164</v>
      </c>
      <c r="E119" s="5"/>
      <c r="F119" s="5"/>
      <c r="G119" s="5">
        <v>63</v>
      </c>
      <c r="H119" s="5">
        <v>573.5</v>
      </c>
      <c r="I119" s="5">
        <f t="shared" si="5"/>
        <v>10479.799999999999</v>
      </c>
      <c r="J119" s="5"/>
      <c r="K119" s="498"/>
      <c r="L119" s="498"/>
    </row>
    <row r="120" spans="2:15">
      <c r="B120" s="5">
        <f t="shared" si="4"/>
        <v>116</v>
      </c>
      <c r="C120" s="6" t="s">
        <v>1311</v>
      </c>
      <c r="D120" s="6" t="s">
        <v>1379</v>
      </c>
      <c r="E120" s="5"/>
      <c r="F120" s="5"/>
      <c r="G120" s="5">
        <v>63</v>
      </c>
      <c r="H120" s="5">
        <v>469.1</v>
      </c>
      <c r="I120" s="5">
        <f t="shared" si="5"/>
        <v>10948.9</v>
      </c>
      <c r="J120" s="5"/>
      <c r="K120" s="498"/>
      <c r="L120" s="498"/>
    </row>
    <row r="121" spans="2:15">
      <c r="B121" s="5">
        <f t="shared" si="4"/>
        <v>117</v>
      </c>
      <c r="C121" s="6" t="s">
        <v>1379</v>
      </c>
      <c r="D121" s="6" t="s">
        <v>1366</v>
      </c>
      <c r="E121" s="5"/>
      <c r="F121" s="5"/>
      <c r="G121" s="5">
        <v>63</v>
      </c>
      <c r="H121" s="5">
        <v>107</v>
      </c>
      <c r="I121" s="5">
        <f t="shared" si="5"/>
        <v>11055.9</v>
      </c>
      <c r="J121" s="5"/>
      <c r="K121" s="498"/>
      <c r="L121" s="498"/>
    </row>
    <row r="122" spans="2:15">
      <c r="B122" s="5">
        <f t="shared" si="4"/>
        <v>118</v>
      </c>
      <c r="C122" s="6" t="s">
        <v>1379</v>
      </c>
      <c r="D122" s="6" t="s">
        <v>1375</v>
      </c>
      <c r="E122" s="5"/>
      <c r="F122" s="5"/>
      <c r="G122" s="5">
        <v>63</v>
      </c>
      <c r="H122" s="5">
        <v>116</v>
      </c>
      <c r="I122" s="5">
        <f t="shared" si="5"/>
        <v>11171.9</v>
      </c>
      <c r="J122" s="5"/>
      <c r="K122" s="498"/>
      <c r="L122" s="498"/>
    </row>
    <row r="123" spans="2:15">
      <c r="B123" s="5">
        <f t="shared" si="4"/>
        <v>119</v>
      </c>
      <c r="C123" s="6" t="s">
        <v>1375</v>
      </c>
      <c r="D123" s="6" t="s">
        <v>1327</v>
      </c>
      <c r="E123" s="5"/>
      <c r="F123" s="5"/>
      <c r="G123" s="5">
        <v>63</v>
      </c>
      <c r="H123" s="5">
        <v>176.6</v>
      </c>
      <c r="I123" s="5">
        <f t="shared" si="5"/>
        <v>11348.5</v>
      </c>
      <c r="J123" s="5"/>
      <c r="K123" s="498"/>
      <c r="L123" s="498"/>
    </row>
    <row r="124" spans="2:15">
      <c r="B124" s="5">
        <f t="shared" si="4"/>
        <v>120</v>
      </c>
      <c r="C124" s="6" t="s">
        <v>1375</v>
      </c>
      <c r="D124" s="6" t="s">
        <v>1382</v>
      </c>
      <c r="E124" s="5"/>
      <c r="F124" s="5"/>
      <c r="G124" s="5">
        <v>63</v>
      </c>
      <c r="H124" s="5">
        <v>183.1</v>
      </c>
      <c r="I124" s="5">
        <f t="shared" si="5"/>
        <v>11531.6</v>
      </c>
      <c r="J124" s="5"/>
      <c r="K124" s="498"/>
      <c r="L124" s="498"/>
    </row>
    <row r="125" spans="2:15">
      <c r="B125" s="5">
        <f t="shared" si="4"/>
        <v>121</v>
      </c>
      <c r="C125" s="6" t="s">
        <v>1382</v>
      </c>
      <c r="D125" s="6" t="s">
        <v>1763</v>
      </c>
      <c r="E125" s="5" t="s">
        <v>149</v>
      </c>
      <c r="F125" s="5"/>
      <c r="G125" s="5">
        <v>63</v>
      </c>
      <c r="H125" s="5">
        <v>3</v>
      </c>
      <c r="I125" s="5">
        <f t="shared" si="5"/>
        <v>11534.6</v>
      </c>
      <c r="J125" s="5"/>
      <c r="K125" s="498"/>
      <c r="L125" s="498"/>
    </row>
    <row r="126" spans="2:15">
      <c r="B126" s="5">
        <f t="shared" si="4"/>
        <v>122</v>
      </c>
      <c r="C126" s="6" t="s">
        <v>1382</v>
      </c>
      <c r="D126" s="6" t="s">
        <v>1763</v>
      </c>
      <c r="E126" s="5"/>
      <c r="F126" s="5"/>
      <c r="G126" s="5">
        <v>63</v>
      </c>
      <c r="H126" s="5">
        <v>247.4</v>
      </c>
      <c r="I126" s="5">
        <f t="shared" si="5"/>
        <v>11782</v>
      </c>
      <c r="J126" s="5"/>
      <c r="K126" s="498"/>
      <c r="L126" s="498"/>
    </row>
    <row r="127" spans="2:15">
      <c r="B127" s="5">
        <f t="shared" si="4"/>
        <v>123</v>
      </c>
      <c r="C127" s="6" t="s">
        <v>1724</v>
      </c>
      <c r="D127" s="6" t="s">
        <v>1185</v>
      </c>
      <c r="E127" s="5" t="s">
        <v>193</v>
      </c>
      <c r="F127" s="5"/>
      <c r="G127" s="5">
        <v>63</v>
      </c>
      <c r="H127" s="5">
        <v>3</v>
      </c>
      <c r="I127" s="5">
        <f t="shared" si="5"/>
        <v>11785</v>
      </c>
      <c r="J127" s="5"/>
      <c r="K127" s="498"/>
      <c r="L127" s="498"/>
    </row>
    <row r="128" spans="2:15">
      <c r="B128" s="5">
        <f t="shared" si="4"/>
        <v>124</v>
      </c>
      <c r="C128" s="6" t="s">
        <v>1724</v>
      </c>
      <c r="D128" s="6" t="s">
        <v>1185</v>
      </c>
      <c r="E128" s="5"/>
      <c r="F128" s="5"/>
      <c r="G128" s="5">
        <v>63</v>
      </c>
      <c r="H128" s="5">
        <v>170.1</v>
      </c>
      <c r="I128" s="5">
        <f t="shared" si="5"/>
        <v>11955.1</v>
      </c>
      <c r="J128" s="5"/>
      <c r="K128" s="498"/>
      <c r="L128" s="498"/>
    </row>
    <row r="129" spans="2:12">
      <c r="B129" s="5">
        <f t="shared" si="4"/>
        <v>125</v>
      </c>
      <c r="C129" s="6" t="s">
        <v>1724</v>
      </c>
      <c r="D129" s="6" t="s">
        <v>1185</v>
      </c>
      <c r="E129" s="5" t="s">
        <v>38</v>
      </c>
      <c r="F129" s="5"/>
      <c r="G129" s="5">
        <v>63</v>
      </c>
      <c r="H129" s="5">
        <v>12</v>
      </c>
      <c r="I129" s="5">
        <f t="shared" si="5"/>
        <v>11967.1</v>
      </c>
      <c r="J129" s="5"/>
      <c r="K129" s="498"/>
      <c r="L129" s="498"/>
    </row>
    <row r="130" spans="2:12">
      <c r="B130" s="5">
        <f t="shared" si="4"/>
        <v>126</v>
      </c>
      <c r="C130" s="6" t="s">
        <v>1724</v>
      </c>
      <c r="D130" s="6" t="s">
        <v>1185</v>
      </c>
      <c r="E130" s="5" t="s">
        <v>193</v>
      </c>
      <c r="F130" s="5"/>
      <c r="G130" s="5">
        <v>63</v>
      </c>
      <c r="H130" s="5">
        <v>12</v>
      </c>
      <c r="I130" s="5">
        <f t="shared" si="5"/>
        <v>11979.1</v>
      </c>
      <c r="J130" s="5"/>
      <c r="K130" s="498"/>
      <c r="L130" s="498"/>
    </row>
    <row r="131" spans="2:12">
      <c r="B131" s="5">
        <f t="shared" si="4"/>
        <v>127</v>
      </c>
      <c r="C131" s="6" t="s">
        <v>1724</v>
      </c>
      <c r="D131" s="6" t="s">
        <v>1185</v>
      </c>
      <c r="E131" s="5"/>
      <c r="F131" s="5"/>
      <c r="G131" s="5">
        <v>63</v>
      </c>
      <c r="H131" s="5">
        <v>656</v>
      </c>
      <c r="I131" s="5">
        <f t="shared" si="5"/>
        <v>12635.1</v>
      </c>
      <c r="J131" s="5"/>
      <c r="K131" s="498"/>
      <c r="L131" s="498"/>
    </row>
    <row r="132" spans="2:12">
      <c r="B132" s="5">
        <f t="shared" si="4"/>
        <v>128</v>
      </c>
      <c r="C132" s="6" t="s">
        <v>1744</v>
      </c>
      <c r="D132" s="6" t="s">
        <v>1156</v>
      </c>
      <c r="E132" s="5"/>
      <c r="F132" s="5"/>
      <c r="G132" s="5">
        <v>110</v>
      </c>
      <c r="H132" s="5">
        <v>65</v>
      </c>
      <c r="I132" s="5">
        <f t="shared" si="5"/>
        <v>12700.1</v>
      </c>
      <c r="J132" s="5"/>
      <c r="K132" s="498"/>
      <c r="L132" s="498"/>
    </row>
    <row r="133" spans="2:12">
      <c r="B133" s="5">
        <f t="shared" si="4"/>
        <v>129</v>
      </c>
      <c r="C133" s="6" t="s">
        <v>1714</v>
      </c>
      <c r="D133" s="6" t="s">
        <v>1715</v>
      </c>
      <c r="E133" s="5"/>
      <c r="F133" s="5"/>
      <c r="G133" s="5">
        <v>140</v>
      </c>
      <c r="H133" s="5">
        <v>67.7</v>
      </c>
      <c r="I133" s="5">
        <f t="shared" si="5"/>
        <v>12767.800000000001</v>
      </c>
      <c r="J133" s="5"/>
      <c r="K133" s="498"/>
      <c r="L133" s="498"/>
    </row>
    <row r="134" spans="2:12">
      <c r="B134" s="5">
        <f t="shared" si="4"/>
        <v>130</v>
      </c>
      <c r="C134" s="6" t="s">
        <v>1770</v>
      </c>
      <c r="D134" s="6" t="s">
        <v>1715</v>
      </c>
      <c r="E134" s="5" t="s">
        <v>193</v>
      </c>
      <c r="F134" s="5"/>
      <c r="G134" s="5">
        <v>140</v>
      </c>
      <c r="H134" s="5">
        <v>5.3</v>
      </c>
      <c r="I134" s="5">
        <f t="shared" si="5"/>
        <v>12773.1</v>
      </c>
      <c r="J134" s="5"/>
      <c r="K134" s="498"/>
      <c r="L134" s="498"/>
    </row>
    <row r="135" spans="2:12">
      <c r="B135" s="5">
        <f t="shared" si="4"/>
        <v>131</v>
      </c>
      <c r="C135" s="6" t="s">
        <v>1770</v>
      </c>
      <c r="D135" s="6" t="s">
        <v>1713</v>
      </c>
      <c r="E135" s="5"/>
      <c r="F135" s="5"/>
      <c r="G135" s="5">
        <v>140</v>
      </c>
      <c r="H135" s="5">
        <v>17.100000000000001</v>
      </c>
      <c r="I135" s="5">
        <f t="shared" si="5"/>
        <v>12790.2</v>
      </c>
      <c r="J135" s="5"/>
      <c r="K135" s="498"/>
      <c r="L135" s="498"/>
    </row>
    <row r="136" spans="2:12">
      <c r="B136" s="5">
        <f t="shared" si="4"/>
        <v>132</v>
      </c>
      <c r="C136" s="6" t="s">
        <v>1713</v>
      </c>
      <c r="D136" s="6" t="s">
        <v>1211</v>
      </c>
      <c r="E136" s="5"/>
      <c r="F136" s="5"/>
      <c r="G136" s="5">
        <v>140</v>
      </c>
      <c r="H136" s="5">
        <v>24.3</v>
      </c>
      <c r="I136" s="5">
        <f t="shared" si="5"/>
        <v>12814.5</v>
      </c>
      <c r="J136" s="5"/>
      <c r="K136" s="498"/>
      <c r="L136" s="498"/>
    </row>
    <row r="137" spans="2:12">
      <c r="B137" s="5">
        <f t="shared" si="4"/>
        <v>133</v>
      </c>
      <c r="C137" s="6" t="s">
        <v>1771</v>
      </c>
      <c r="D137" s="6" t="s">
        <v>1722</v>
      </c>
      <c r="E137" s="5"/>
      <c r="F137" s="5"/>
      <c r="G137" s="5">
        <v>140</v>
      </c>
      <c r="H137" s="5">
        <v>122.3</v>
      </c>
      <c r="I137" s="5">
        <f t="shared" si="5"/>
        <v>12936.8</v>
      </c>
      <c r="J137" s="5"/>
      <c r="K137" s="498"/>
      <c r="L137" s="498"/>
    </row>
    <row r="138" spans="2:12">
      <c r="B138" s="5">
        <f t="shared" si="4"/>
        <v>134</v>
      </c>
      <c r="C138" s="6" t="s">
        <v>1771</v>
      </c>
      <c r="D138" s="6" t="s">
        <v>1722</v>
      </c>
      <c r="E138" s="5" t="s">
        <v>193</v>
      </c>
      <c r="F138" s="5"/>
      <c r="G138" s="5">
        <v>140</v>
      </c>
      <c r="H138" s="5">
        <v>4</v>
      </c>
      <c r="I138" s="5">
        <f t="shared" si="5"/>
        <v>12940.8</v>
      </c>
      <c r="J138" s="5"/>
      <c r="K138" s="498"/>
      <c r="L138" s="498"/>
    </row>
    <row r="139" spans="2:12">
      <c r="B139" s="5">
        <f t="shared" si="4"/>
        <v>135</v>
      </c>
      <c r="C139" s="6" t="s">
        <v>1771</v>
      </c>
      <c r="D139" s="6" t="s">
        <v>1722</v>
      </c>
      <c r="E139" s="5"/>
      <c r="F139" s="5"/>
      <c r="G139" s="5">
        <v>140</v>
      </c>
      <c r="H139" s="5">
        <v>63</v>
      </c>
      <c r="I139" s="5">
        <f t="shared" si="5"/>
        <v>13003.8</v>
      </c>
      <c r="J139" s="5"/>
      <c r="K139" s="498"/>
      <c r="L139" s="498"/>
    </row>
    <row r="140" spans="2:12">
      <c r="B140" s="5">
        <f t="shared" ref="B140:B161" si="6">1+B139</f>
        <v>136</v>
      </c>
      <c r="C140" s="6" t="s">
        <v>1771</v>
      </c>
      <c r="D140" s="6" t="s">
        <v>1722</v>
      </c>
      <c r="E140" s="5"/>
      <c r="F140" s="5"/>
      <c r="G140" s="5">
        <v>140</v>
      </c>
      <c r="H140" s="5">
        <v>20.100000000000001</v>
      </c>
      <c r="I140" s="5">
        <f t="shared" ref="I140:I161" si="7">+I139+H140</f>
        <v>13023.9</v>
      </c>
      <c r="J140" s="5"/>
      <c r="K140" s="498"/>
      <c r="L140" s="498"/>
    </row>
    <row r="141" spans="2:12">
      <c r="B141" s="5">
        <f t="shared" si="6"/>
        <v>137</v>
      </c>
      <c r="C141" s="6" t="s">
        <v>1744</v>
      </c>
      <c r="D141" s="6" t="s">
        <v>1120</v>
      </c>
      <c r="E141" s="5"/>
      <c r="F141" s="5"/>
      <c r="G141" s="5">
        <v>140</v>
      </c>
      <c r="H141" s="5">
        <v>216</v>
      </c>
      <c r="I141" s="5">
        <f t="shared" si="7"/>
        <v>13239.9</v>
      </c>
      <c r="J141" s="5"/>
      <c r="K141" s="498"/>
      <c r="L141" s="498"/>
    </row>
    <row r="142" spans="2:12">
      <c r="B142" s="5">
        <f t="shared" si="6"/>
        <v>138</v>
      </c>
      <c r="C142" s="6" t="s">
        <v>1120</v>
      </c>
      <c r="D142" s="6" t="s">
        <v>907</v>
      </c>
      <c r="E142" s="5"/>
      <c r="F142" s="5"/>
      <c r="G142" s="5">
        <v>140</v>
      </c>
      <c r="H142" s="5">
        <v>79</v>
      </c>
      <c r="I142" s="5">
        <f t="shared" si="7"/>
        <v>13318.9</v>
      </c>
      <c r="J142" s="5"/>
      <c r="K142" s="498"/>
      <c r="L142" s="498"/>
    </row>
    <row r="143" spans="2:12">
      <c r="B143" s="5">
        <f t="shared" si="6"/>
        <v>139</v>
      </c>
      <c r="C143" s="6" t="s">
        <v>1120</v>
      </c>
      <c r="D143" s="6" t="s">
        <v>907</v>
      </c>
      <c r="E143" s="5" t="s">
        <v>193</v>
      </c>
      <c r="F143" s="5"/>
      <c r="G143" s="5">
        <v>140</v>
      </c>
      <c r="H143" s="5">
        <v>10.199999999999999</v>
      </c>
      <c r="I143" s="5">
        <f t="shared" si="7"/>
        <v>13329.1</v>
      </c>
      <c r="J143" s="5"/>
      <c r="K143" s="498"/>
      <c r="L143" s="498"/>
    </row>
    <row r="144" spans="2:12">
      <c r="B144" s="5">
        <f t="shared" si="6"/>
        <v>140</v>
      </c>
      <c r="C144" s="6" t="s">
        <v>1771</v>
      </c>
      <c r="D144" s="6" t="s">
        <v>1714</v>
      </c>
      <c r="E144" s="5"/>
      <c r="F144" s="5"/>
      <c r="G144" s="5">
        <v>160</v>
      </c>
      <c r="H144" s="5">
        <v>197.1</v>
      </c>
      <c r="I144" s="5">
        <f t="shared" si="7"/>
        <v>13526.2</v>
      </c>
      <c r="J144" s="5"/>
      <c r="K144" s="498"/>
      <c r="L144" s="498"/>
    </row>
    <row r="145" spans="2:15">
      <c r="B145" s="5">
        <f t="shared" si="6"/>
        <v>141</v>
      </c>
      <c r="C145" s="6" t="s">
        <v>1581</v>
      </c>
      <c r="D145" s="6" t="s">
        <v>1771</v>
      </c>
      <c r="E145" s="5"/>
      <c r="F145" s="5"/>
      <c r="G145" s="5">
        <v>160</v>
      </c>
      <c r="H145" s="5">
        <v>320</v>
      </c>
      <c r="I145" s="5">
        <f t="shared" si="7"/>
        <v>13846.2</v>
      </c>
      <c r="J145" s="5"/>
      <c r="K145" s="498"/>
      <c r="L145" s="498"/>
    </row>
    <row r="146" spans="2:15">
      <c r="B146" s="5">
        <f t="shared" si="6"/>
        <v>142</v>
      </c>
      <c r="C146" s="6" t="s">
        <v>1581</v>
      </c>
      <c r="D146" s="6" t="s">
        <v>1771</v>
      </c>
      <c r="E146" s="5" t="s">
        <v>38</v>
      </c>
      <c r="F146" s="5"/>
      <c r="G146" s="5">
        <v>160</v>
      </c>
      <c r="H146" s="5">
        <v>9.1</v>
      </c>
      <c r="I146" s="5">
        <f t="shared" si="7"/>
        <v>13855.300000000001</v>
      </c>
      <c r="J146" s="5"/>
      <c r="K146" s="498"/>
      <c r="L146" s="498"/>
      <c r="O146">
        <f>170.1+24.3+122.3</f>
        <v>316.7</v>
      </c>
    </row>
    <row r="147" spans="2:15">
      <c r="B147" s="5">
        <f t="shared" si="6"/>
        <v>143</v>
      </c>
      <c r="C147" s="6" t="s">
        <v>1581</v>
      </c>
      <c r="D147" s="6" t="s">
        <v>1771</v>
      </c>
      <c r="E147" s="5"/>
      <c r="F147" s="5"/>
      <c r="G147" s="5">
        <v>160</v>
      </c>
      <c r="H147" s="5">
        <v>400</v>
      </c>
      <c r="I147" s="5">
        <f t="shared" si="7"/>
        <v>14255.300000000001</v>
      </c>
      <c r="J147" s="5"/>
      <c r="K147" s="498"/>
      <c r="L147" s="498"/>
    </row>
    <row r="148" spans="2:15">
      <c r="B148" s="5">
        <f t="shared" si="6"/>
        <v>144</v>
      </c>
      <c r="C148" s="6" t="s">
        <v>907</v>
      </c>
      <c r="D148" s="6" t="s">
        <v>1131</v>
      </c>
      <c r="E148" s="5"/>
      <c r="F148" s="5"/>
      <c r="G148" s="5">
        <v>160</v>
      </c>
      <c r="H148" s="5">
        <v>121.4</v>
      </c>
      <c r="I148" s="5">
        <f t="shared" si="7"/>
        <v>14376.7</v>
      </c>
      <c r="J148" s="5"/>
      <c r="K148" s="498"/>
      <c r="L148" s="498"/>
    </row>
    <row r="149" spans="2:15">
      <c r="B149" s="5">
        <f t="shared" si="6"/>
        <v>145</v>
      </c>
      <c r="C149" s="6" t="s">
        <v>1131</v>
      </c>
      <c r="D149" s="6" t="s">
        <v>1376</v>
      </c>
      <c r="E149" s="5"/>
      <c r="F149" s="5"/>
      <c r="G149" s="5">
        <v>160</v>
      </c>
      <c r="H149" s="5">
        <v>144.4</v>
      </c>
      <c r="I149" s="5">
        <f t="shared" si="7"/>
        <v>14521.1</v>
      </c>
      <c r="J149" s="5"/>
      <c r="K149" s="498"/>
      <c r="L149" s="498"/>
    </row>
    <row r="150" spans="2:15">
      <c r="B150" s="5">
        <f t="shared" si="6"/>
        <v>146</v>
      </c>
      <c r="C150" s="6" t="s">
        <v>1376</v>
      </c>
      <c r="D150" s="6" t="s">
        <v>1357</v>
      </c>
      <c r="E150" s="5"/>
      <c r="F150" s="5"/>
      <c r="G150" s="5">
        <v>160</v>
      </c>
      <c r="H150" s="5">
        <v>56.1</v>
      </c>
      <c r="I150" s="5">
        <f t="shared" si="7"/>
        <v>14577.2</v>
      </c>
      <c r="J150" s="5"/>
      <c r="K150" s="498"/>
      <c r="L150" s="498"/>
    </row>
    <row r="151" spans="2:15">
      <c r="B151" s="5">
        <f t="shared" si="6"/>
        <v>147</v>
      </c>
      <c r="C151" s="6" t="s">
        <v>907</v>
      </c>
      <c r="D151" s="6" t="s">
        <v>1131</v>
      </c>
      <c r="E151" s="5"/>
      <c r="F151" s="5"/>
      <c r="G151" s="5">
        <v>160</v>
      </c>
      <c r="H151" s="5">
        <v>121.4</v>
      </c>
      <c r="I151" s="5">
        <f t="shared" si="7"/>
        <v>14698.6</v>
      </c>
      <c r="J151" s="5"/>
      <c r="K151" s="498"/>
      <c r="L151" s="498"/>
    </row>
    <row r="152" spans="2:15">
      <c r="B152" s="5">
        <f t="shared" si="6"/>
        <v>148</v>
      </c>
      <c r="C152" s="6" t="s">
        <v>1131</v>
      </c>
      <c r="D152" s="6" t="s">
        <v>1376</v>
      </c>
      <c r="E152" s="5"/>
      <c r="F152" s="5"/>
      <c r="G152" s="5">
        <v>160</v>
      </c>
      <c r="H152" s="5">
        <v>144.4</v>
      </c>
      <c r="I152" s="5">
        <f t="shared" si="7"/>
        <v>14843</v>
      </c>
      <c r="J152" s="5"/>
      <c r="K152" s="498"/>
      <c r="L152" s="498"/>
    </row>
    <row r="153" spans="2:15">
      <c r="B153" s="5">
        <f t="shared" si="6"/>
        <v>149</v>
      </c>
      <c r="C153" s="6" t="s">
        <v>1376</v>
      </c>
      <c r="D153" s="6" t="s">
        <v>1357</v>
      </c>
      <c r="E153" s="5"/>
      <c r="F153" s="5"/>
      <c r="G153" s="5">
        <v>160</v>
      </c>
      <c r="H153" s="5">
        <v>56.1</v>
      </c>
      <c r="I153" s="5">
        <f t="shared" si="7"/>
        <v>14899.1</v>
      </c>
      <c r="J153" s="5"/>
      <c r="K153" s="498"/>
      <c r="L153" s="498"/>
    </row>
    <row r="154" spans="2:15">
      <c r="B154" s="5">
        <f t="shared" si="6"/>
        <v>150</v>
      </c>
      <c r="C154" s="6" t="s">
        <v>1357</v>
      </c>
      <c r="D154" s="6" t="s">
        <v>1299</v>
      </c>
      <c r="E154" s="5" t="s">
        <v>193</v>
      </c>
      <c r="F154" s="5"/>
      <c r="G154" s="5">
        <v>160</v>
      </c>
      <c r="H154" s="5">
        <v>3.5</v>
      </c>
      <c r="I154" s="5">
        <f t="shared" si="7"/>
        <v>14902.6</v>
      </c>
      <c r="J154" s="5"/>
      <c r="K154" s="498"/>
      <c r="L154" s="498"/>
    </row>
    <row r="155" spans="2:15">
      <c r="B155" s="5">
        <f t="shared" si="6"/>
        <v>151</v>
      </c>
      <c r="C155" s="6" t="s">
        <v>1357</v>
      </c>
      <c r="D155" s="6" t="s">
        <v>1299</v>
      </c>
      <c r="E155" s="5"/>
      <c r="F155" s="5"/>
      <c r="G155" s="5">
        <v>160</v>
      </c>
      <c r="H155" s="5">
        <v>164</v>
      </c>
      <c r="I155" s="5">
        <f t="shared" si="7"/>
        <v>15066.6</v>
      </c>
      <c r="J155" s="5"/>
      <c r="K155" s="498"/>
      <c r="L155" s="498"/>
    </row>
    <row r="156" spans="2:15">
      <c r="B156" s="5">
        <f t="shared" si="6"/>
        <v>152</v>
      </c>
      <c r="C156" s="6" t="s">
        <v>1299</v>
      </c>
      <c r="D156" s="6" t="s">
        <v>1333</v>
      </c>
      <c r="E156" s="5"/>
      <c r="F156" s="5"/>
      <c r="G156" s="5">
        <v>160</v>
      </c>
      <c r="H156" s="5">
        <v>252</v>
      </c>
      <c r="I156" s="5">
        <f t="shared" si="7"/>
        <v>15318.6</v>
      </c>
      <c r="J156" s="5"/>
      <c r="K156" s="498"/>
      <c r="L156" s="498"/>
    </row>
    <row r="157" spans="2:15">
      <c r="B157" s="5">
        <f t="shared" si="6"/>
        <v>153</v>
      </c>
      <c r="C157" s="5" t="s">
        <v>1581</v>
      </c>
      <c r="D157" s="5" t="s">
        <v>1756</v>
      </c>
      <c r="E157" s="5" t="s">
        <v>193</v>
      </c>
      <c r="F157" s="5"/>
      <c r="G157" s="5">
        <v>160</v>
      </c>
      <c r="H157" s="5">
        <v>7</v>
      </c>
      <c r="I157" s="5">
        <f t="shared" si="7"/>
        <v>15325.6</v>
      </c>
      <c r="J157" s="5"/>
      <c r="K157" s="498"/>
      <c r="L157" s="498"/>
    </row>
    <row r="158" spans="2:15">
      <c r="B158" s="5">
        <f t="shared" si="6"/>
        <v>154</v>
      </c>
      <c r="C158" s="5" t="s">
        <v>1581</v>
      </c>
      <c r="D158" s="5" t="s">
        <v>1756</v>
      </c>
      <c r="E158" s="5"/>
      <c r="F158" s="5"/>
      <c r="G158" s="5">
        <v>160</v>
      </c>
      <c r="H158" s="5">
        <v>495.4</v>
      </c>
      <c r="I158" s="5">
        <f t="shared" si="7"/>
        <v>15821</v>
      </c>
      <c r="J158" s="5"/>
      <c r="K158" s="498"/>
      <c r="L158" s="498"/>
    </row>
    <row r="159" spans="2:15">
      <c r="B159" s="5">
        <f t="shared" si="6"/>
        <v>155</v>
      </c>
      <c r="C159" s="5" t="s">
        <v>1756</v>
      </c>
      <c r="D159" s="5" t="s">
        <v>1131</v>
      </c>
      <c r="E159" s="5" t="s">
        <v>193</v>
      </c>
      <c r="F159" s="5"/>
      <c r="G159" s="5">
        <v>160</v>
      </c>
      <c r="H159" s="5">
        <v>3</v>
      </c>
      <c r="I159" s="5">
        <f t="shared" si="7"/>
        <v>15824</v>
      </c>
      <c r="J159" s="5"/>
      <c r="K159" s="498"/>
      <c r="L159" s="498"/>
    </row>
    <row r="160" spans="2:15">
      <c r="B160" s="5">
        <f t="shared" si="6"/>
        <v>156</v>
      </c>
      <c r="C160" s="5" t="s">
        <v>1756</v>
      </c>
      <c r="D160" s="5" t="s">
        <v>1131</v>
      </c>
      <c r="E160" s="5"/>
      <c r="F160" s="5"/>
      <c r="G160" s="5">
        <v>160</v>
      </c>
      <c r="H160" s="5">
        <v>121</v>
      </c>
      <c r="I160" s="5">
        <f t="shared" si="7"/>
        <v>15945</v>
      </c>
      <c r="J160" s="5"/>
      <c r="K160" s="498"/>
      <c r="L160" s="498"/>
    </row>
    <row r="161" spans="2:12">
      <c r="B161" s="5">
        <f t="shared" si="6"/>
        <v>157</v>
      </c>
      <c r="C161" s="5" t="s">
        <v>1756</v>
      </c>
      <c r="D161" s="5" t="s">
        <v>1131</v>
      </c>
      <c r="E161" s="5" t="s">
        <v>193</v>
      </c>
      <c r="F161" s="5"/>
      <c r="G161" s="5">
        <v>160</v>
      </c>
      <c r="H161" s="5">
        <v>3</v>
      </c>
      <c r="I161" s="5">
        <f t="shared" si="7"/>
        <v>15948</v>
      </c>
      <c r="J161" s="5"/>
      <c r="K161" s="498"/>
      <c r="L161" s="498"/>
    </row>
    <row r="162" spans="2:12">
      <c r="B162" s="5"/>
      <c r="C162" s="5"/>
      <c r="D162" s="5"/>
      <c r="E162" s="5"/>
      <c r="F162" s="5"/>
      <c r="G162" s="5"/>
      <c r="H162" s="5"/>
      <c r="I162" s="5"/>
      <c r="J162" s="5"/>
      <c r="K162" s="498"/>
      <c r="L162" s="498"/>
    </row>
    <row r="163" spans="2:12">
      <c r="B163" s="5"/>
      <c r="C163" s="5"/>
      <c r="D163" s="5">
        <v>63</v>
      </c>
      <c r="E163" s="5">
        <v>110</v>
      </c>
      <c r="F163" s="5">
        <v>140</v>
      </c>
      <c r="G163" s="5">
        <v>160</v>
      </c>
      <c r="H163" s="5"/>
      <c r="I163" s="5"/>
      <c r="J163" s="5"/>
      <c r="K163" s="498"/>
      <c r="L163" s="498"/>
    </row>
    <row r="164" spans="2:12">
      <c r="B164" s="5"/>
      <c r="C164" s="5"/>
      <c r="D164" s="5">
        <f>+SUMIF($G$5:$G$161,D163,$H$5:$H$161)</f>
        <v>12635.1</v>
      </c>
      <c r="E164" s="5">
        <f t="shared" ref="E164:G164" si="8">+SUMIF($G$5:$G$161,E163,$H$5:$H$161)</f>
        <v>65</v>
      </c>
      <c r="F164" s="5">
        <f t="shared" si="8"/>
        <v>629</v>
      </c>
      <c r="G164" s="5">
        <f t="shared" si="8"/>
        <v>2618.9</v>
      </c>
      <c r="H164" s="5"/>
      <c r="I164" s="5">
        <f>+SUM(D164:G164)</f>
        <v>15948</v>
      </c>
      <c r="J164" s="5"/>
      <c r="K164" s="498"/>
      <c r="L164" s="498"/>
    </row>
    <row r="165" spans="2:12" ht="15.75">
      <c r="B165" s="7" t="s">
        <v>365</v>
      </c>
      <c r="C165" s="8"/>
      <c r="D165" s="8"/>
      <c r="E165" s="8"/>
      <c r="F165" s="8" t="s">
        <v>366</v>
      </c>
      <c r="G165" s="8"/>
      <c r="H165" s="8"/>
      <c r="I165" s="498" t="s">
        <v>367</v>
      </c>
      <c r="J165" s="498"/>
      <c r="K165" s="498"/>
      <c r="L165" s="498"/>
    </row>
    <row r="166" spans="2:12" ht="15.75">
      <c r="B166" s="7" t="s">
        <v>368</v>
      </c>
      <c r="C166" s="8"/>
      <c r="D166" s="498"/>
      <c r="E166" s="498"/>
      <c r="F166" s="8" t="s">
        <v>368</v>
      </c>
      <c r="G166" s="498"/>
      <c r="H166" s="498"/>
      <c r="I166" s="8" t="s">
        <v>368</v>
      </c>
      <c r="J166" s="498"/>
      <c r="K166" s="498"/>
      <c r="L166" s="498"/>
    </row>
    <row r="167" spans="2:12" ht="15.75">
      <c r="B167" s="7" t="s">
        <v>369</v>
      </c>
      <c r="C167" s="498"/>
      <c r="D167" s="498"/>
      <c r="E167" s="498"/>
      <c r="F167" s="8" t="s">
        <v>369</v>
      </c>
      <c r="G167" s="498"/>
      <c r="H167" s="498"/>
      <c r="I167" s="8" t="s">
        <v>369</v>
      </c>
      <c r="J167" s="498"/>
      <c r="K167" s="498"/>
      <c r="L167" s="498"/>
    </row>
    <row r="168" spans="2:12" ht="15.75">
      <c r="B168" s="7" t="s">
        <v>370</v>
      </c>
      <c r="C168" s="8"/>
      <c r="D168" s="498"/>
      <c r="E168" s="498"/>
      <c r="F168" s="8" t="s">
        <v>370</v>
      </c>
      <c r="G168" s="498"/>
      <c r="H168" s="498"/>
      <c r="I168" s="8" t="s">
        <v>370</v>
      </c>
      <c r="J168" s="498"/>
      <c r="K168" s="498"/>
      <c r="L168" s="498"/>
    </row>
    <row r="173" spans="2:12">
      <c r="G173">
        <f>12635.1-12456.8</f>
        <v>178.30000000000109</v>
      </c>
      <c r="H173">
        <f>629-479</f>
        <v>150</v>
      </c>
    </row>
    <row r="177" spans="10:12">
      <c r="J177">
        <f>+I164</f>
        <v>15948</v>
      </c>
      <c r="L177">
        <f>170.1+24.3+122.3</f>
        <v>316.7</v>
      </c>
    </row>
    <row r="178" spans="10:12">
      <c r="J178">
        <v>513.20000000000005</v>
      </c>
    </row>
  </sheetData>
  <autoFilter ref="B4:O161">
    <filterColumn colId="9" showButton="0"/>
  </autoFilter>
  <mergeCells count="172">
    <mergeCell ref="B3:L3"/>
    <mergeCell ref="K4:L4"/>
    <mergeCell ref="K5:L5"/>
    <mergeCell ref="K6:L6"/>
    <mergeCell ref="K7:L7"/>
    <mergeCell ref="K8:L8"/>
    <mergeCell ref="K9:L9"/>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K34:L34"/>
    <mergeCell ref="K35:L35"/>
    <mergeCell ref="K36:L36"/>
    <mergeCell ref="K37:L37"/>
    <mergeCell ref="K38:L38"/>
    <mergeCell ref="K39:L39"/>
    <mergeCell ref="K40:L40"/>
    <mergeCell ref="K41:L41"/>
    <mergeCell ref="K42:L42"/>
    <mergeCell ref="K43:L43"/>
    <mergeCell ref="K44:L44"/>
    <mergeCell ref="K45:L45"/>
    <mergeCell ref="K46:L46"/>
    <mergeCell ref="K47:L47"/>
    <mergeCell ref="K48:L48"/>
    <mergeCell ref="K49:L49"/>
    <mergeCell ref="K50:L50"/>
    <mergeCell ref="K51:L51"/>
    <mergeCell ref="K52:L52"/>
    <mergeCell ref="K53:L53"/>
    <mergeCell ref="K54:L54"/>
    <mergeCell ref="K55:L55"/>
    <mergeCell ref="K56:L56"/>
    <mergeCell ref="K57:L57"/>
    <mergeCell ref="K58:L58"/>
    <mergeCell ref="K59:L59"/>
    <mergeCell ref="K60:L60"/>
    <mergeCell ref="K61:L61"/>
    <mergeCell ref="K62:L62"/>
    <mergeCell ref="K63:L63"/>
    <mergeCell ref="K64:L64"/>
    <mergeCell ref="K65:L65"/>
    <mergeCell ref="K66:L66"/>
    <mergeCell ref="K67:L67"/>
    <mergeCell ref="K68:L68"/>
    <mergeCell ref="K69:L69"/>
    <mergeCell ref="K70:L70"/>
    <mergeCell ref="K71:L71"/>
    <mergeCell ref="K72:L72"/>
    <mergeCell ref="K73:L73"/>
    <mergeCell ref="K74:L74"/>
    <mergeCell ref="K75:L75"/>
    <mergeCell ref="K76:L76"/>
    <mergeCell ref="K77:L77"/>
    <mergeCell ref="K78:L78"/>
    <mergeCell ref="K79:L79"/>
    <mergeCell ref="K80:L80"/>
    <mergeCell ref="K81:L81"/>
    <mergeCell ref="K82:L82"/>
    <mergeCell ref="K83:L83"/>
    <mergeCell ref="K84:L84"/>
    <mergeCell ref="K85:L85"/>
    <mergeCell ref="K86:L86"/>
    <mergeCell ref="K87:L87"/>
    <mergeCell ref="K88:L88"/>
    <mergeCell ref="K89:L89"/>
    <mergeCell ref="K90:L90"/>
    <mergeCell ref="K91:L91"/>
    <mergeCell ref="K92:L92"/>
    <mergeCell ref="K93:L93"/>
    <mergeCell ref="K94:L94"/>
    <mergeCell ref="K95:L95"/>
    <mergeCell ref="K96:L96"/>
    <mergeCell ref="K97:L97"/>
    <mergeCell ref="K98:L98"/>
    <mergeCell ref="K99:L99"/>
    <mergeCell ref="K100:L100"/>
    <mergeCell ref="K101:L101"/>
    <mergeCell ref="K102:L102"/>
    <mergeCell ref="K103:L103"/>
    <mergeCell ref="K104:L104"/>
    <mergeCell ref="K105:L105"/>
    <mergeCell ref="K106:L106"/>
    <mergeCell ref="K107:L107"/>
    <mergeCell ref="K108:L108"/>
    <mergeCell ref="K109:L109"/>
    <mergeCell ref="K110:L110"/>
    <mergeCell ref="K111:L111"/>
    <mergeCell ref="K112:L112"/>
    <mergeCell ref="K113:L113"/>
    <mergeCell ref="K114:L114"/>
    <mergeCell ref="K115:L115"/>
    <mergeCell ref="K116:L116"/>
    <mergeCell ref="K117:L117"/>
    <mergeCell ref="K118:L118"/>
    <mergeCell ref="K119:L119"/>
    <mergeCell ref="K120:L120"/>
    <mergeCell ref="K121:L121"/>
    <mergeCell ref="K122:L122"/>
    <mergeCell ref="K123:L123"/>
    <mergeCell ref="K124:L124"/>
    <mergeCell ref="K125:L125"/>
    <mergeCell ref="K126:L126"/>
    <mergeCell ref="K127:L127"/>
    <mergeCell ref="K128:L128"/>
    <mergeCell ref="K129:L129"/>
    <mergeCell ref="K130:L130"/>
    <mergeCell ref="K131:L131"/>
    <mergeCell ref="K132:L132"/>
    <mergeCell ref="K133:L133"/>
    <mergeCell ref="K134:L134"/>
    <mergeCell ref="K135:L135"/>
    <mergeCell ref="K136:L136"/>
    <mergeCell ref="K137:L137"/>
    <mergeCell ref="K138:L138"/>
    <mergeCell ref="K139:L139"/>
    <mergeCell ref="K140:L140"/>
    <mergeCell ref="K141:L141"/>
    <mergeCell ref="K142:L142"/>
    <mergeCell ref="K143:L143"/>
    <mergeCell ref="K144:L144"/>
    <mergeCell ref="K145:L145"/>
    <mergeCell ref="K146:L146"/>
    <mergeCell ref="K147:L147"/>
    <mergeCell ref="K148:L148"/>
    <mergeCell ref="K149:L149"/>
    <mergeCell ref="K150:L150"/>
    <mergeCell ref="K151:L151"/>
    <mergeCell ref="K152:L152"/>
    <mergeCell ref="K153:L153"/>
    <mergeCell ref="K154:L154"/>
    <mergeCell ref="K155:L155"/>
    <mergeCell ref="K156:L156"/>
    <mergeCell ref="K157:L157"/>
    <mergeCell ref="K158:L158"/>
    <mergeCell ref="K159:L159"/>
    <mergeCell ref="K160:L160"/>
    <mergeCell ref="K161:L161"/>
    <mergeCell ref="K162:L162"/>
    <mergeCell ref="K163:L163"/>
    <mergeCell ref="K164:L164"/>
    <mergeCell ref="I165:L165"/>
    <mergeCell ref="D166:E166"/>
    <mergeCell ref="G166:H166"/>
    <mergeCell ref="J166:L166"/>
    <mergeCell ref="C167:E167"/>
    <mergeCell ref="G167:H167"/>
    <mergeCell ref="J167:L167"/>
    <mergeCell ref="D168:E168"/>
    <mergeCell ref="G168:H168"/>
    <mergeCell ref="J168:L16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workbookViewId="0">
      <selection activeCell="E12" sqref="E12:E13"/>
    </sheetView>
  </sheetViews>
  <sheetFormatPr defaultRowHeight="15"/>
  <cols>
    <col min="20" max="20" width="20.85546875" customWidth="1"/>
    <col min="21" max="21" width="19.28515625" customWidth="1"/>
    <col min="22" max="22" width="20.7109375" customWidth="1"/>
    <col min="23" max="23" width="23.28515625" customWidth="1"/>
    <col min="24" max="24" width="21.42578125" customWidth="1"/>
    <col min="25" max="25" width="26.85546875" customWidth="1"/>
    <col min="27" max="27" width="16.140625" customWidth="1"/>
    <col min="28" max="28" width="20.42578125" customWidth="1"/>
  </cols>
  <sheetData>
    <row r="1" spans="1:17" ht="21">
      <c r="A1" s="746" t="s">
        <v>0</v>
      </c>
      <c r="B1" s="746"/>
      <c r="C1" s="746"/>
      <c r="D1" s="746"/>
      <c r="E1" s="746"/>
      <c r="F1" s="746"/>
      <c r="G1" s="746"/>
      <c r="H1" s="746"/>
      <c r="I1" s="746"/>
      <c r="J1" s="746"/>
      <c r="K1" s="746"/>
      <c r="L1" s="746"/>
      <c r="M1" s="746"/>
      <c r="N1" s="746"/>
      <c r="O1" s="746"/>
      <c r="P1" s="746"/>
      <c r="Q1" s="746"/>
    </row>
    <row r="2" spans="1:17" ht="21">
      <c r="A2" s="746" t="s">
        <v>1</v>
      </c>
      <c r="B2" s="746"/>
      <c r="C2" s="746"/>
      <c r="D2" s="746"/>
      <c r="E2" s="746"/>
      <c r="F2" s="746"/>
      <c r="G2" s="746"/>
      <c r="H2" s="746"/>
      <c r="I2" s="746"/>
      <c r="J2" s="746"/>
      <c r="K2" s="746"/>
      <c r="L2" s="746"/>
      <c r="M2" s="746"/>
      <c r="N2" s="746"/>
      <c r="O2" s="746"/>
      <c r="P2" s="746"/>
      <c r="Q2" s="746"/>
    </row>
    <row r="3" spans="1:17" ht="21">
      <c r="A3" s="746" t="s">
        <v>2</v>
      </c>
      <c r="B3" s="746"/>
      <c r="C3" s="746"/>
      <c r="D3" s="746"/>
      <c r="E3" s="746"/>
      <c r="F3" s="746"/>
      <c r="G3" s="746"/>
      <c r="H3" s="746"/>
      <c r="I3" s="746"/>
      <c r="J3" s="746"/>
      <c r="K3" s="746"/>
      <c r="L3" s="746"/>
      <c r="M3" s="746"/>
      <c r="N3" s="746"/>
      <c r="O3" s="746"/>
      <c r="P3" s="746"/>
      <c r="Q3" s="746"/>
    </row>
    <row r="4" spans="1:17" ht="18.75">
      <c r="A4" s="747" t="s">
        <v>3</v>
      </c>
      <c r="B4" s="747"/>
      <c r="C4" s="747"/>
      <c r="D4" s="747"/>
      <c r="E4" s="747"/>
      <c r="F4" s="747"/>
      <c r="G4" s="747"/>
      <c r="H4" s="747"/>
      <c r="I4" s="747"/>
      <c r="J4" s="747"/>
      <c r="K4" s="747"/>
      <c r="L4" s="747"/>
      <c r="M4" s="747"/>
      <c r="N4" s="747"/>
      <c r="O4" s="747"/>
      <c r="P4" s="747"/>
      <c r="Q4" s="747"/>
    </row>
    <row r="5" spans="1:17" ht="21">
      <c r="A5" s="748" t="s">
        <v>4</v>
      </c>
      <c r="B5" s="748"/>
      <c r="C5" s="748"/>
      <c r="D5" s="748"/>
      <c r="E5" s="748"/>
      <c r="F5" s="748"/>
      <c r="G5" s="748"/>
      <c r="H5" s="748"/>
      <c r="I5" s="748"/>
      <c r="J5" s="748"/>
      <c r="K5" s="748"/>
      <c r="L5" s="748"/>
      <c r="M5" s="748"/>
      <c r="N5" s="748"/>
      <c r="O5" s="476"/>
      <c r="P5" s="476"/>
      <c r="Q5" s="476"/>
    </row>
    <row r="6" spans="1:17" ht="21" customHeight="1">
      <c r="A6" s="735" t="s">
        <v>5</v>
      </c>
      <c r="B6" s="735"/>
      <c r="C6" s="736" t="s">
        <v>1969</v>
      </c>
      <c r="D6" s="736"/>
      <c r="E6" s="736"/>
      <c r="F6" s="737"/>
      <c r="G6" s="738"/>
      <c r="H6" s="738"/>
      <c r="I6" s="738"/>
      <c r="J6" s="738"/>
      <c r="K6" s="738"/>
      <c r="L6" s="738"/>
      <c r="M6" s="738"/>
      <c r="N6" s="738"/>
      <c r="O6" s="738"/>
      <c r="P6" s="738"/>
      <c r="Q6" s="739"/>
    </row>
    <row r="7" spans="1:17" ht="21" customHeight="1">
      <c r="A7" s="735" t="s">
        <v>6</v>
      </c>
      <c r="B7" s="735"/>
      <c r="C7" s="736" t="s">
        <v>372</v>
      </c>
      <c r="D7" s="736"/>
      <c r="E7" s="736"/>
      <c r="F7" s="740"/>
      <c r="G7" s="741"/>
      <c r="H7" s="741"/>
      <c r="I7" s="741"/>
      <c r="J7" s="741"/>
      <c r="K7" s="741"/>
      <c r="L7" s="741"/>
      <c r="M7" s="741"/>
      <c r="N7" s="741"/>
      <c r="O7" s="741"/>
      <c r="P7" s="741"/>
      <c r="Q7" s="742"/>
    </row>
    <row r="8" spans="1:17" ht="21" customHeight="1">
      <c r="A8" s="735" t="s">
        <v>7</v>
      </c>
      <c r="B8" s="735"/>
      <c r="C8" s="736" t="s">
        <v>8</v>
      </c>
      <c r="D8" s="736"/>
      <c r="E8" s="736"/>
      <c r="F8" s="740"/>
      <c r="G8" s="741"/>
      <c r="H8" s="741"/>
      <c r="I8" s="741"/>
      <c r="J8" s="741"/>
      <c r="K8" s="741"/>
      <c r="L8" s="741"/>
      <c r="M8" s="741"/>
      <c r="N8" s="741"/>
      <c r="O8" s="741"/>
      <c r="P8" s="741"/>
      <c r="Q8" s="742"/>
    </row>
    <row r="9" spans="1:17" ht="21" customHeight="1">
      <c r="A9" s="735" t="s">
        <v>9</v>
      </c>
      <c r="B9" s="735"/>
      <c r="C9" s="736" t="s">
        <v>1928</v>
      </c>
      <c r="D9" s="736"/>
      <c r="E9" s="736"/>
      <c r="F9" s="740"/>
      <c r="G9" s="741"/>
      <c r="H9" s="741"/>
      <c r="I9" s="741"/>
      <c r="J9" s="741"/>
      <c r="K9" s="741"/>
      <c r="L9" s="741"/>
      <c r="M9" s="741"/>
      <c r="N9" s="741"/>
      <c r="O9" s="741"/>
      <c r="P9" s="741"/>
      <c r="Q9" s="742"/>
    </row>
    <row r="10" spans="1:17" ht="21" customHeight="1">
      <c r="A10" s="735" t="s">
        <v>10</v>
      </c>
      <c r="B10" s="735"/>
      <c r="C10" s="736" t="s">
        <v>8</v>
      </c>
      <c r="D10" s="736"/>
      <c r="E10" s="736"/>
      <c r="F10" s="743"/>
      <c r="G10" s="744"/>
      <c r="H10" s="744"/>
      <c r="I10" s="744"/>
      <c r="J10" s="744"/>
      <c r="K10" s="744"/>
      <c r="L10" s="744"/>
      <c r="M10" s="744"/>
      <c r="N10" s="744"/>
      <c r="O10" s="744"/>
      <c r="P10" s="744"/>
      <c r="Q10" s="745"/>
    </row>
    <row r="11" spans="1:17" ht="63">
      <c r="A11" s="474" t="s">
        <v>11</v>
      </c>
      <c r="B11" s="474" t="s">
        <v>12</v>
      </c>
      <c r="C11" s="474" t="s">
        <v>13</v>
      </c>
      <c r="D11" s="474" t="s">
        <v>14</v>
      </c>
      <c r="E11" s="474" t="s">
        <v>16</v>
      </c>
      <c r="F11" s="474" t="s">
        <v>374</v>
      </c>
      <c r="G11" s="474" t="s">
        <v>18</v>
      </c>
      <c r="H11" s="474" t="s">
        <v>19</v>
      </c>
      <c r="I11" s="474" t="s">
        <v>20</v>
      </c>
      <c r="J11" s="474" t="s">
        <v>21</v>
      </c>
      <c r="K11" s="474" t="s">
        <v>22</v>
      </c>
      <c r="L11" s="474" t="s">
        <v>23</v>
      </c>
      <c r="M11" s="474" t="s">
        <v>24</v>
      </c>
      <c r="N11" s="474" t="s">
        <v>25</v>
      </c>
      <c r="O11" s="474" t="s">
        <v>26</v>
      </c>
      <c r="P11" s="474" t="s">
        <v>27</v>
      </c>
      <c r="Q11" s="475" t="s">
        <v>28</v>
      </c>
    </row>
    <row r="12" spans="1:17">
      <c r="A12" s="467">
        <v>1</v>
      </c>
      <c r="B12" s="467" t="s">
        <v>1382</v>
      </c>
      <c r="C12" s="467" t="s">
        <v>1379</v>
      </c>
      <c r="D12" s="467">
        <v>63</v>
      </c>
      <c r="E12" s="467">
        <v>433.2</v>
      </c>
      <c r="F12" s="467"/>
      <c r="G12" s="467"/>
      <c r="H12" s="467"/>
      <c r="I12" s="467"/>
      <c r="J12" s="467"/>
      <c r="K12" s="467"/>
      <c r="L12" s="467"/>
      <c r="M12" s="467"/>
      <c r="N12" s="467"/>
      <c r="O12" s="467"/>
      <c r="P12" s="467"/>
      <c r="Q12" s="467"/>
    </row>
    <row r="13" spans="1:17">
      <c r="A13" s="472">
        <v>2</v>
      </c>
      <c r="B13" s="472" t="s">
        <v>35</v>
      </c>
      <c r="C13" s="472" t="s">
        <v>1987</v>
      </c>
      <c r="D13" s="472">
        <v>63</v>
      </c>
      <c r="E13" s="472">
        <v>80</v>
      </c>
      <c r="F13" s="472"/>
      <c r="G13" s="472"/>
      <c r="H13" s="472"/>
      <c r="I13" s="472"/>
      <c r="J13" s="472"/>
      <c r="K13" s="472"/>
      <c r="L13" s="472"/>
      <c r="M13" s="472"/>
      <c r="N13" s="472"/>
      <c r="O13" s="472"/>
      <c r="P13" s="472"/>
      <c r="Q13" s="472"/>
    </row>
    <row r="14" spans="1:17" ht="110.25" customHeight="1">
      <c r="A14" s="515" t="s">
        <v>175</v>
      </c>
      <c r="B14" s="513"/>
      <c r="C14" s="513"/>
      <c r="D14" s="513"/>
      <c r="E14" s="513"/>
      <c r="F14" s="513"/>
      <c r="G14" s="513"/>
      <c r="H14" s="513" t="s">
        <v>176</v>
      </c>
      <c r="I14" s="513"/>
      <c r="J14" s="513"/>
      <c r="K14" s="513"/>
      <c r="L14" s="513"/>
      <c r="M14" s="513" t="s">
        <v>177</v>
      </c>
      <c r="N14" s="513"/>
      <c r="O14" s="513"/>
      <c r="P14" s="513"/>
      <c r="Q14" s="513"/>
    </row>
    <row r="17" spans="19:28" ht="18.75">
      <c r="S17" s="610" t="s">
        <v>1970</v>
      </c>
      <c r="T17" s="610"/>
      <c r="U17" s="610" t="s">
        <v>1971</v>
      </c>
      <c r="V17" s="610"/>
      <c r="W17" s="610"/>
      <c r="X17" s="610"/>
      <c r="Y17" s="610"/>
      <c r="Z17" s="610"/>
      <c r="AA17" s="610"/>
      <c r="AB17" s="610"/>
    </row>
    <row r="18" spans="19:28" ht="18.75">
      <c r="S18" s="610" t="s">
        <v>1972</v>
      </c>
      <c r="T18" s="610"/>
      <c r="U18" s="610" t="s">
        <v>1973</v>
      </c>
      <c r="V18" s="610"/>
      <c r="W18" s="610"/>
      <c r="X18" s="610"/>
      <c r="Y18" s="610"/>
      <c r="Z18" s="610"/>
      <c r="AA18" s="610"/>
      <c r="AB18" s="610"/>
    </row>
    <row r="19" spans="19:28" ht="18.75">
      <c r="S19" s="610" t="s">
        <v>1974</v>
      </c>
      <c r="T19" s="610"/>
      <c r="U19" s="610" t="s">
        <v>1975</v>
      </c>
      <c r="V19" s="610"/>
      <c r="W19" s="610"/>
      <c r="X19" s="610"/>
      <c r="Y19" s="610"/>
      <c r="Z19" s="610"/>
      <c r="AA19" s="610"/>
      <c r="AB19" s="610"/>
    </row>
    <row r="20" spans="19:28" ht="18.75">
      <c r="S20" s="610" t="s">
        <v>1976</v>
      </c>
      <c r="T20" s="610"/>
      <c r="U20" s="610" t="s">
        <v>1977</v>
      </c>
      <c r="V20" s="610"/>
      <c r="W20" s="610"/>
      <c r="X20" s="610"/>
      <c r="Y20" s="610"/>
      <c r="Z20" s="610"/>
      <c r="AA20" s="610"/>
      <c r="AB20" s="610"/>
    </row>
    <row r="21" spans="19:28" ht="18.75">
      <c r="S21" s="610" t="s">
        <v>1978</v>
      </c>
      <c r="T21" s="610"/>
      <c r="U21" s="610" t="s">
        <v>933</v>
      </c>
      <c r="V21" s="610"/>
      <c r="W21" s="610"/>
      <c r="X21" s="610"/>
      <c r="Y21" s="610"/>
      <c r="Z21" s="610"/>
      <c r="AA21" s="610"/>
      <c r="AB21" s="610"/>
    </row>
    <row r="22" spans="19:28" ht="18.75">
      <c r="S22" s="610" t="s">
        <v>1979</v>
      </c>
      <c r="T22" s="610"/>
      <c r="U22" s="610" t="s">
        <v>1986</v>
      </c>
      <c r="V22" s="610"/>
      <c r="W22" s="610"/>
      <c r="X22" s="610"/>
      <c r="Y22" s="610"/>
      <c r="Z22" s="610"/>
      <c r="AA22" s="471" t="s">
        <v>743</v>
      </c>
      <c r="AB22" s="471"/>
    </row>
    <row r="23" spans="19:28" ht="60">
      <c r="S23" s="477" t="s">
        <v>448</v>
      </c>
      <c r="T23" s="477" t="s">
        <v>180</v>
      </c>
      <c r="U23" s="477" t="s">
        <v>13</v>
      </c>
      <c r="V23" s="477" t="s">
        <v>719</v>
      </c>
      <c r="W23" s="477" t="s">
        <v>184</v>
      </c>
      <c r="X23" s="477" t="s">
        <v>1980</v>
      </c>
      <c r="Y23" s="477" t="s">
        <v>1981</v>
      </c>
      <c r="Z23" s="478" t="s">
        <v>1982</v>
      </c>
      <c r="AA23" s="479" t="s">
        <v>1983</v>
      </c>
      <c r="AB23" s="477" t="s">
        <v>1984</v>
      </c>
    </row>
    <row r="24" spans="19:28">
      <c r="S24" s="466">
        <v>1</v>
      </c>
      <c r="T24" s="467" t="s">
        <v>1382</v>
      </c>
      <c r="U24" s="467" t="s">
        <v>1379</v>
      </c>
      <c r="V24" s="466">
        <v>63</v>
      </c>
      <c r="W24" s="466">
        <v>433.2</v>
      </c>
      <c r="X24" s="467">
        <v>6</v>
      </c>
      <c r="Y24" s="467">
        <v>3</v>
      </c>
      <c r="Z24" s="467">
        <v>1</v>
      </c>
      <c r="AA24" s="467">
        <v>4</v>
      </c>
      <c r="AB24" s="467" t="s">
        <v>1985</v>
      </c>
    </row>
    <row r="25" spans="19:28" ht="15.75">
      <c r="S25" s="480" t="s">
        <v>365</v>
      </c>
      <c r="T25" s="480"/>
      <c r="U25" s="480"/>
      <c r="V25" s="480"/>
      <c r="W25" s="469" t="s">
        <v>366</v>
      </c>
      <c r="X25" s="469"/>
      <c r="Y25" s="469"/>
      <c r="Z25" s="467"/>
      <c r="AA25" s="467" t="s">
        <v>367</v>
      </c>
      <c r="AB25" s="467"/>
    </row>
    <row r="26" spans="19:28" ht="15.75">
      <c r="S26" s="468" t="s">
        <v>368</v>
      </c>
      <c r="T26" s="468"/>
      <c r="U26" s="550"/>
      <c r="V26" s="552"/>
      <c r="W26" s="469" t="s">
        <v>368</v>
      </c>
      <c r="X26" s="499"/>
      <c r="Y26" s="501"/>
      <c r="Z26" s="469" t="s">
        <v>368</v>
      </c>
      <c r="AA26" s="499"/>
      <c r="AB26" s="501"/>
    </row>
    <row r="27" spans="19:28" ht="15.75">
      <c r="S27" s="468" t="s">
        <v>369</v>
      </c>
      <c r="T27" s="550"/>
      <c r="U27" s="551"/>
      <c r="V27" s="552"/>
      <c r="W27" s="469" t="s">
        <v>369</v>
      </c>
      <c r="X27" s="499"/>
      <c r="Y27" s="501"/>
      <c r="Z27" s="469" t="s">
        <v>369</v>
      </c>
      <c r="AA27" s="499"/>
      <c r="AB27" s="501"/>
    </row>
    <row r="28" spans="19:28" ht="15.75">
      <c r="S28" s="468" t="s">
        <v>370</v>
      </c>
      <c r="T28" s="468"/>
      <c r="U28" s="550"/>
      <c r="V28" s="552"/>
      <c r="W28" s="469" t="s">
        <v>370</v>
      </c>
      <c r="X28" s="499"/>
      <c r="Y28" s="501"/>
      <c r="Z28" s="469" t="s">
        <v>370</v>
      </c>
      <c r="AA28" s="499"/>
      <c r="AB28" s="501"/>
    </row>
  </sheetData>
  <mergeCells count="40">
    <mergeCell ref="A1:Q1"/>
    <mergeCell ref="A2:Q2"/>
    <mergeCell ref="A3:Q3"/>
    <mergeCell ref="A4:Q4"/>
    <mergeCell ref="A5:N5"/>
    <mergeCell ref="A10:B10"/>
    <mergeCell ref="C10:E10"/>
    <mergeCell ref="H14:L14"/>
    <mergeCell ref="M14:Q14"/>
    <mergeCell ref="A14:G14"/>
    <mergeCell ref="F6:Q10"/>
    <mergeCell ref="A7:B7"/>
    <mergeCell ref="C7:E7"/>
    <mergeCell ref="A8:B8"/>
    <mergeCell ref="C8:E8"/>
    <mergeCell ref="A9:B9"/>
    <mergeCell ref="C9:E9"/>
    <mergeCell ref="A6:B6"/>
    <mergeCell ref="C6:E6"/>
    <mergeCell ref="S17:T17"/>
    <mergeCell ref="U17:AB17"/>
    <mergeCell ref="S18:T18"/>
    <mergeCell ref="U18:AB18"/>
    <mergeCell ref="S19:T19"/>
    <mergeCell ref="U19:AB19"/>
    <mergeCell ref="S20:T20"/>
    <mergeCell ref="U20:AB20"/>
    <mergeCell ref="S21:T21"/>
    <mergeCell ref="U21:AB21"/>
    <mergeCell ref="S22:T22"/>
    <mergeCell ref="U22:Z22"/>
    <mergeCell ref="U28:V28"/>
    <mergeCell ref="X28:Y28"/>
    <mergeCell ref="AA28:AB28"/>
    <mergeCell ref="U26:V26"/>
    <mergeCell ref="X26:Y26"/>
    <mergeCell ref="AA26:AB26"/>
    <mergeCell ref="T27:V27"/>
    <mergeCell ref="X27:Y27"/>
    <mergeCell ref="AA27:AB27"/>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P149"/>
  <sheetViews>
    <sheetView workbookViewId="0">
      <selection activeCell="H11" sqref="H11:H128"/>
    </sheetView>
  </sheetViews>
  <sheetFormatPr defaultColWidth="9" defaultRowHeight="15"/>
  <cols>
    <col min="1" max="1" width="9" style="378"/>
    <col min="2" max="2" width="16.5703125" style="378" customWidth="1"/>
    <col min="3" max="3" width="13.7109375" style="378" customWidth="1"/>
    <col min="4" max="4" width="12.140625" style="378" customWidth="1"/>
    <col min="5" max="5" width="17.140625" style="378" customWidth="1"/>
    <col min="6" max="6" width="16.5703125" style="378" customWidth="1"/>
    <col min="7" max="7" width="20.28515625" style="378" customWidth="1"/>
    <col min="8" max="8" width="19.5703125" style="378" customWidth="1"/>
    <col min="9" max="9" width="15.7109375" style="378" customWidth="1"/>
    <col min="10" max="10" width="16.140625" style="378" customWidth="1"/>
    <col min="11" max="11" width="19.28515625" style="378" customWidth="1"/>
    <col min="12" max="12" width="12.42578125" style="378" customWidth="1"/>
    <col min="13" max="16384" width="9" style="378"/>
  </cols>
  <sheetData>
    <row r="2" spans="2:12" ht="18.75">
      <c r="B2" s="749" t="s">
        <v>1556</v>
      </c>
      <c r="C2" s="749"/>
      <c r="D2" s="749"/>
      <c r="E2" s="749"/>
      <c r="F2" s="749"/>
      <c r="G2" s="749"/>
      <c r="H2" s="749"/>
      <c r="I2" s="749"/>
      <c r="J2" s="749"/>
      <c r="K2" s="749"/>
      <c r="L2" s="749"/>
    </row>
    <row r="3" spans="2:12" ht="37.5">
      <c r="B3" s="379" t="s">
        <v>448</v>
      </c>
      <c r="C3" s="379" t="s">
        <v>180</v>
      </c>
      <c r="D3" s="379" t="s">
        <v>13</v>
      </c>
      <c r="E3" s="379" t="s">
        <v>181</v>
      </c>
      <c r="F3" s="380" t="s">
        <v>449</v>
      </c>
      <c r="G3" s="379" t="s">
        <v>183</v>
      </c>
      <c r="H3" s="381" t="s">
        <v>184</v>
      </c>
      <c r="I3" s="382" t="s">
        <v>185</v>
      </c>
      <c r="J3" s="382" t="s">
        <v>186</v>
      </c>
      <c r="K3" s="750" t="s">
        <v>187</v>
      </c>
      <c r="L3" s="750"/>
    </row>
    <row r="4" spans="2:12" hidden="1">
      <c r="B4" s="383">
        <v>1</v>
      </c>
      <c r="C4" s="383" t="s">
        <v>1557</v>
      </c>
      <c r="D4" s="383" t="s">
        <v>1558</v>
      </c>
      <c r="E4" s="383" t="s">
        <v>45</v>
      </c>
      <c r="F4" s="383">
        <v>0.36</v>
      </c>
      <c r="G4" s="383">
        <v>63</v>
      </c>
      <c r="H4" s="383">
        <v>100.7</v>
      </c>
      <c r="I4" s="384">
        <f>+H4</f>
        <v>100.7</v>
      </c>
      <c r="J4" s="385">
        <v>1.06</v>
      </c>
      <c r="K4" s="751"/>
      <c r="L4" s="752"/>
    </row>
    <row r="5" spans="2:12" hidden="1">
      <c r="B5" s="383">
        <f t="shared" ref="B5:B30" si="0">1+B4</f>
        <v>2</v>
      </c>
      <c r="C5" s="383" t="s">
        <v>1559</v>
      </c>
      <c r="D5" s="383" t="s">
        <v>890</v>
      </c>
      <c r="E5" s="383" t="s">
        <v>149</v>
      </c>
      <c r="F5" s="383">
        <v>0.46</v>
      </c>
      <c r="G5" s="383">
        <v>63</v>
      </c>
      <c r="H5" s="383">
        <v>125.8</v>
      </c>
      <c r="I5" s="383">
        <f t="shared" ref="I5:I68" si="1">+I4+H5</f>
        <v>226.5</v>
      </c>
      <c r="J5" s="385">
        <v>1.06</v>
      </c>
      <c r="K5" s="751"/>
      <c r="L5" s="752"/>
    </row>
    <row r="6" spans="2:12" hidden="1">
      <c r="B6" s="383">
        <f t="shared" si="0"/>
        <v>3</v>
      </c>
      <c r="C6" s="383" t="s">
        <v>890</v>
      </c>
      <c r="D6" s="383" t="s">
        <v>1560</v>
      </c>
      <c r="E6" s="383" t="s">
        <v>149</v>
      </c>
      <c r="F6" s="383">
        <v>0.46</v>
      </c>
      <c r="G6" s="383">
        <v>63</v>
      </c>
      <c r="H6" s="383">
        <v>25.2</v>
      </c>
      <c r="I6" s="383">
        <f t="shared" si="1"/>
        <v>251.7</v>
      </c>
      <c r="J6" s="385">
        <v>1.06</v>
      </c>
      <c r="K6" s="751"/>
      <c r="L6" s="752"/>
    </row>
    <row r="7" spans="2:12" hidden="1">
      <c r="B7" s="383">
        <f t="shared" si="0"/>
        <v>4</v>
      </c>
      <c r="C7" s="383" t="s">
        <v>1560</v>
      </c>
      <c r="D7" s="383" t="s">
        <v>1561</v>
      </c>
      <c r="E7" s="383" t="s">
        <v>149</v>
      </c>
      <c r="F7" s="383">
        <v>0.46</v>
      </c>
      <c r="G7" s="383">
        <v>63</v>
      </c>
      <c r="H7" s="383">
        <v>30.1</v>
      </c>
      <c r="I7" s="383">
        <f t="shared" si="1"/>
        <v>281.8</v>
      </c>
      <c r="J7" s="385">
        <v>1.06</v>
      </c>
      <c r="K7" s="751"/>
      <c r="L7" s="752"/>
    </row>
    <row r="8" spans="2:12" hidden="1">
      <c r="B8" s="383">
        <f t="shared" si="0"/>
        <v>5</v>
      </c>
      <c r="C8" s="383" t="s">
        <v>1561</v>
      </c>
      <c r="D8" s="383" t="s">
        <v>1097</v>
      </c>
      <c r="E8" s="383" t="s">
        <v>149</v>
      </c>
      <c r="F8" s="383">
        <v>0.46</v>
      </c>
      <c r="G8" s="383">
        <v>63</v>
      </c>
      <c r="H8" s="383">
        <v>57.2</v>
      </c>
      <c r="I8" s="383">
        <f t="shared" si="1"/>
        <v>339</v>
      </c>
      <c r="J8" s="385">
        <v>1.06</v>
      </c>
      <c r="K8" s="751"/>
      <c r="L8" s="752"/>
    </row>
    <row r="9" spans="2:12" hidden="1">
      <c r="B9" s="383">
        <f t="shared" si="0"/>
        <v>6</v>
      </c>
      <c r="C9" s="383" t="s">
        <v>1561</v>
      </c>
      <c r="D9" s="383" t="s">
        <v>1097</v>
      </c>
      <c r="E9" s="383"/>
      <c r="F9" s="383"/>
      <c r="G9" s="383">
        <v>63</v>
      </c>
      <c r="H9" s="383">
        <v>23.2</v>
      </c>
      <c r="I9" s="383">
        <f t="shared" si="1"/>
        <v>362.2</v>
      </c>
      <c r="J9" s="385">
        <v>1.06</v>
      </c>
      <c r="K9" s="751"/>
      <c r="L9" s="752"/>
    </row>
    <row r="10" spans="2:12" hidden="1">
      <c r="B10" s="383">
        <f t="shared" si="0"/>
        <v>7</v>
      </c>
      <c r="C10" s="383" t="s">
        <v>1559</v>
      </c>
      <c r="D10" s="383" t="s">
        <v>890</v>
      </c>
      <c r="E10" s="383" t="s">
        <v>38</v>
      </c>
      <c r="F10" s="383"/>
      <c r="G10" s="383">
        <v>63</v>
      </c>
      <c r="H10" s="383">
        <v>2</v>
      </c>
      <c r="I10" s="383">
        <f t="shared" si="1"/>
        <v>364.2</v>
      </c>
      <c r="J10" s="385">
        <v>1.06</v>
      </c>
      <c r="K10" s="751"/>
      <c r="L10" s="752"/>
    </row>
    <row r="11" spans="2:12" hidden="1">
      <c r="B11" s="383">
        <f t="shared" si="0"/>
        <v>8</v>
      </c>
      <c r="C11" s="383" t="s">
        <v>1559</v>
      </c>
      <c r="D11" s="383" t="s">
        <v>890</v>
      </c>
      <c r="E11" s="383" t="s">
        <v>102</v>
      </c>
      <c r="F11" s="383">
        <v>0.36</v>
      </c>
      <c r="G11" s="383">
        <v>63</v>
      </c>
      <c r="H11" s="383">
        <v>6.7</v>
      </c>
      <c r="I11" s="383">
        <f t="shared" si="1"/>
        <v>370.9</v>
      </c>
      <c r="J11" s="385">
        <v>1.06</v>
      </c>
      <c r="K11" s="751"/>
      <c r="L11" s="752"/>
    </row>
    <row r="12" spans="2:12" hidden="1">
      <c r="B12" s="383">
        <f t="shared" si="0"/>
        <v>9</v>
      </c>
      <c r="C12" s="383" t="s">
        <v>1564</v>
      </c>
      <c r="D12" s="383" t="s">
        <v>1565</v>
      </c>
      <c r="E12" s="383"/>
      <c r="F12" s="383"/>
      <c r="G12" s="383">
        <v>63</v>
      </c>
      <c r="H12" s="383">
        <v>10.199999999999999</v>
      </c>
      <c r="I12" s="383">
        <f t="shared" si="1"/>
        <v>381.09999999999997</v>
      </c>
      <c r="J12" s="385">
        <v>1.06</v>
      </c>
      <c r="K12" s="751"/>
      <c r="L12" s="752"/>
    </row>
    <row r="13" spans="2:12" hidden="1">
      <c r="B13" s="383">
        <f t="shared" si="0"/>
        <v>10</v>
      </c>
      <c r="C13" s="383" t="s">
        <v>86</v>
      </c>
      <c r="D13" s="383" t="s">
        <v>1418</v>
      </c>
      <c r="E13" s="383" t="s">
        <v>45</v>
      </c>
      <c r="F13" s="383">
        <v>0.36</v>
      </c>
      <c r="G13" s="383">
        <v>63</v>
      </c>
      <c r="H13" s="383">
        <v>25.1</v>
      </c>
      <c r="I13" s="383">
        <f t="shared" si="1"/>
        <v>406.2</v>
      </c>
      <c r="J13" s="385">
        <v>1.06</v>
      </c>
      <c r="K13" s="751"/>
      <c r="L13" s="752"/>
    </row>
    <row r="14" spans="2:12" hidden="1">
      <c r="B14" s="383">
        <f t="shared" si="0"/>
        <v>11</v>
      </c>
      <c r="C14" s="383" t="s">
        <v>151</v>
      </c>
      <c r="D14" s="383" t="s">
        <v>159</v>
      </c>
      <c r="E14" s="383" t="s">
        <v>102</v>
      </c>
      <c r="F14" s="383">
        <v>0.36</v>
      </c>
      <c r="G14" s="383">
        <v>63</v>
      </c>
      <c r="H14" s="383">
        <v>5</v>
      </c>
      <c r="I14" s="383">
        <f t="shared" si="1"/>
        <v>411.2</v>
      </c>
      <c r="J14" s="385">
        <v>1.06</v>
      </c>
      <c r="K14" s="751"/>
      <c r="L14" s="752"/>
    </row>
    <row r="15" spans="2:12">
      <c r="B15" s="383">
        <f t="shared" si="0"/>
        <v>12</v>
      </c>
      <c r="C15" s="383" t="s">
        <v>151</v>
      </c>
      <c r="D15" s="383" t="s">
        <v>159</v>
      </c>
      <c r="E15" s="383" t="s">
        <v>147</v>
      </c>
      <c r="F15" s="383">
        <v>0.36</v>
      </c>
      <c r="G15" s="383">
        <v>63</v>
      </c>
      <c r="H15" s="383">
        <v>103.1</v>
      </c>
      <c r="I15" s="383">
        <f t="shared" si="1"/>
        <v>514.29999999999995</v>
      </c>
      <c r="J15" s="385">
        <v>1.06</v>
      </c>
      <c r="K15" s="751"/>
      <c r="L15" s="752"/>
    </row>
    <row r="16" spans="2:12">
      <c r="B16" s="383">
        <f t="shared" si="0"/>
        <v>13</v>
      </c>
      <c r="C16" s="383" t="s">
        <v>69</v>
      </c>
      <c r="D16" s="383" t="s">
        <v>130</v>
      </c>
      <c r="E16" s="383" t="s">
        <v>147</v>
      </c>
      <c r="F16" s="383">
        <v>0.36</v>
      </c>
      <c r="G16" s="383">
        <v>63</v>
      </c>
      <c r="H16" s="383">
        <v>113.2</v>
      </c>
      <c r="I16" s="383">
        <f t="shared" si="1"/>
        <v>627.5</v>
      </c>
      <c r="J16" s="385">
        <v>1.06</v>
      </c>
      <c r="K16" s="751"/>
      <c r="L16" s="752"/>
    </row>
    <row r="17" spans="2:12">
      <c r="B17" s="383">
        <f t="shared" si="0"/>
        <v>14</v>
      </c>
      <c r="C17" s="383" t="s">
        <v>130</v>
      </c>
      <c r="D17" s="383" t="s">
        <v>68</v>
      </c>
      <c r="E17" s="383" t="s">
        <v>147</v>
      </c>
      <c r="F17" s="383">
        <v>0.36</v>
      </c>
      <c r="G17" s="383">
        <v>63</v>
      </c>
      <c r="H17" s="383">
        <v>54</v>
      </c>
      <c r="I17" s="383">
        <f t="shared" si="1"/>
        <v>681.5</v>
      </c>
      <c r="J17" s="385">
        <v>1.06</v>
      </c>
      <c r="K17" s="751"/>
      <c r="L17" s="752"/>
    </row>
    <row r="18" spans="2:12">
      <c r="B18" s="383">
        <f t="shared" si="0"/>
        <v>15</v>
      </c>
      <c r="C18" s="383" t="s">
        <v>130</v>
      </c>
      <c r="D18" s="383" t="s">
        <v>131</v>
      </c>
      <c r="E18" s="383" t="s">
        <v>147</v>
      </c>
      <c r="F18" s="383">
        <v>0.36</v>
      </c>
      <c r="G18" s="383">
        <v>63</v>
      </c>
      <c r="H18" s="383">
        <v>24.8</v>
      </c>
      <c r="I18" s="383">
        <f t="shared" si="1"/>
        <v>706.3</v>
      </c>
      <c r="J18" s="385">
        <v>1.06</v>
      </c>
      <c r="K18" s="751"/>
      <c r="L18" s="752"/>
    </row>
    <row r="19" spans="2:12" hidden="1">
      <c r="B19" s="383">
        <f t="shared" si="0"/>
        <v>16</v>
      </c>
      <c r="C19" s="383" t="s">
        <v>69</v>
      </c>
      <c r="D19" s="383" t="s">
        <v>128</v>
      </c>
      <c r="E19" s="383" t="s">
        <v>149</v>
      </c>
      <c r="F19" s="383">
        <v>0.46</v>
      </c>
      <c r="G19" s="383">
        <v>63</v>
      </c>
      <c r="H19" s="383">
        <v>85.1</v>
      </c>
      <c r="I19" s="383">
        <f t="shared" si="1"/>
        <v>791.4</v>
      </c>
      <c r="J19" s="385">
        <v>1.06</v>
      </c>
      <c r="K19" s="751"/>
      <c r="L19" s="752"/>
    </row>
    <row r="20" spans="2:12">
      <c r="B20" s="383">
        <f t="shared" si="0"/>
        <v>17</v>
      </c>
      <c r="C20" s="383" t="s">
        <v>128</v>
      </c>
      <c r="D20" s="383" t="s">
        <v>78</v>
      </c>
      <c r="E20" s="383" t="s">
        <v>147</v>
      </c>
      <c r="F20" s="383">
        <v>0.36</v>
      </c>
      <c r="G20" s="383">
        <v>63</v>
      </c>
      <c r="H20" s="383">
        <v>47.1</v>
      </c>
      <c r="I20" s="383">
        <f t="shared" si="1"/>
        <v>838.5</v>
      </c>
      <c r="J20" s="385">
        <v>1.06</v>
      </c>
      <c r="K20" s="751"/>
      <c r="L20" s="752"/>
    </row>
    <row r="21" spans="2:12">
      <c r="B21" s="383">
        <f t="shared" si="0"/>
        <v>18</v>
      </c>
      <c r="C21" s="383" t="s">
        <v>128</v>
      </c>
      <c r="D21" s="383" t="s">
        <v>73</v>
      </c>
      <c r="E21" s="383" t="s">
        <v>147</v>
      </c>
      <c r="F21" s="383">
        <v>0.36</v>
      </c>
      <c r="G21" s="383">
        <v>63</v>
      </c>
      <c r="H21" s="383">
        <v>78.3</v>
      </c>
      <c r="I21" s="383">
        <f t="shared" si="1"/>
        <v>916.8</v>
      </c>
      <c r="J21" s="385">
        <v>1.06</v>
      </c>
      <c r="K21" s="751"/>
      <c r="L21" s="752"/>
    </row>
    <row r="22" spans="2:12" hidden="1">
      <c r="B22" s="383">
        <f t="shared" si="0"/>
        <v>19</v>
      </c>
      <c r="C22" s="383" t="s">
        <v>155</v>
      </c>
      <c r="D22" s="383" t="s">
        <v>162</v>
      </c>
      <c r="E22" s="383" t="s">
        <v>102</v>
      </c>
      <c r="F22" s="383">
        <v>0.36</v>
      </c>
      <c r="G22" s="383">
        <v>63</v>
      </c>
      <c r="H22" s="383">
        <v>4</v>
      </c>
      <c r="I22" s="383">
        <f t="shared" si="1"/>
        <v>920.8</v>
      </c>
      <c r="J22" s="385">
        <v>1.06</v>
      </c>
      <c r="K22" s="751"/>
      <c r="L22" s="752"/>
    </row>
    <row r="23" spans="2:12" hidden="1">
      <c r="B23" s="383">
        <f t="shared" si="0"/>
        <v>20</v>
      </c>
      <c r="C23" s="383" t="s">
        <v>155</v>
      </c>
      <c r="D23" s="383" t="s">
        <v>162</v>
      </c>
      <c r="E23" s="383"/>
      <c r="F23" s="383"/>
      <c r="G23" s="383">
        <v>63</v>
      </c>
      <c r="H23" s="383">
        <v>15.3</v>
      </c>
      <c r="I23" s="383">
        <f t="shared" si="1"/>
        <v>936.09999999999991</v>
      </c>
      <c r="J23" s="385">
        <v>1.06</v>
      </c>
      <c r="K23" s="751"/>
      <c r="L23" s="752"/>
    </row>
    <row r="24" spans="2:12" hidden="1">
      <c r="B24" s="383">
        <f t="shared" si="0"/>
        <v>21</v>
      </c>
      <c r="C24" s="383" t="s">
        <v>155</v>
      </c>
      <c r="D24" s="383" t="s">
        <v>162</v>
      </c>
      <c r="E24" s="383" t="s">
        <v>149</v>
      </c>
      <c r="F24" s="383">
        <v>0.46</v>
      </c>
      <c r="G24" s="383">
        <v>63</v>
      </c>
      <c r="H24" s="383">
        <v>33.1</v>
      </c>
      <c r="I24" s="383">
        <f t="shared" si="1"/>
        <v>969.19999999999993</v>
      </c>
      <c r="J24" s="385">
        <v>1.06</v>
      </c>
      <c r="K24" s="751"/>
      <c r="L24" s="752"/>
    </row>
    <row r="25" spans="2:12">
      <c r="B25" s="383">
        <f t="shared" si="0"/>
        <v>22</v>
      </c>
      <c r="C25" s="383" t="s">
        <v>155</v>
      </c>
      <c r="D25" s="383" t="s">
        <v>162</v>
      </c>
      <c r="E25" s="383" t="s">
        <v>147</v>
      </c>
      <c r="F25" s="383">
        <v>0.36</v>
      </c>
      <c r="G25" s="383">
        <v>63</v>
      </c>
      <c r="H25" s="383">
        <v>93.5</v>
      </c>
      <c r="I25" s="383">
        <f t="shared" si="1"/>
        <v>1062.6999999999998</v>
      </c>
      <c r="J25" s="385">
        <v>1.06</v>
      </c>
      <c r="K25" s="751"/>
      <c r="L25" s="752"/>
    </row>
    <row r="26" spans="2:12">
      <c r="B26" s="383">
        <f t="shared" si="0"/>
        <v>23</v>
      </c>
      <c r="C26" s="383" t="s">
        <v>826</v>
      </c>
      <c r="D26" s="383" t="s">
        <v>162</v>
      </c>
      <c r="E26" s="383" t="s">
        <v>147</v>
      </c>
      <c r="F26" s="383">
        <v>0.36</v>
      </c>
      <c r="G26" s="383">
        <v>63</v>
      </c>
      <c r="H26" s="383">
        <v>47.6</v>
      </c>
      <c r="I26" s="383">
        <f t="shared" si="1"/>
        <v>1110.2999999999997</v>
      </c>
      <c r="J26" s="385">
        <v>1.06</v>
      </c>
      <c r="K26" s="751"/>
      <c r="L26" s="752"/>
    </row>
    <row r="27" spans="2:12">
      <c r="B27" s="383">
        <f t="shared" si="0"/>
        <v>24</v>
      </c>
      <c r="C27" s="383" t="s">
        <v>162</v>
      </c>
      <c r="D27" s="383" t="s">
        <v>148</v>
      </c>
      <c r="E27" s="383" t="s">
        <v>147</v>
      </c>
      <c r="F27" s="383">
        <v>0.36</v>
      </c>
      <c r="G27" s="383">
        <v>63</v>
      </c>
      <c r="H27" s="383">
        <v>80.8</v>
      </c>
      <c r="I27" s="383">
        <f t="shared" si="1"/>
        <v>1191.0999999999997</v>
      </c>
      <c r="J27" s="385">
        <v>1.06</v>
      </c>
      <c r="K27" s="751"/>
      <c r="L27" s="752"/>
    </row>
    <row r="28" spans="2:12" hidden="1">
      <c r="B28" s="383">
        <f t="shared" si="0"/>
        <v>25</v>
      </c>
      <c r="C28" s="383" t="s">
        <v>832</v>
      </c>
      <c r="D28" s="383" t="s">
        <v>1568</v>
      </c>
      <c r="E28" s="383"/>
      <c r="F28" s="383"/>
      <c r="G28" s="383">
        <v>63</v>
      </c>
      <c r="H28" s="383">
        <v>37.200000000000003</v>
      </c>
      <c r="I28" s="383">
        <f t="shared" si="1"/>
        <v>1228.2999999999997</v>
      </c>
      <c r="J28" s="385">
        <v>1.06</v>
      </c>
      <c r="K28" s="751"/>
      <c r="L28" s="752"/>
    </row>
    <row r="29" spans="2:12" hidden="1">
      <c r="B29" s="383">
        <f t="shared" si="0"/>
        <v>26</v>
      </c>
      <c r="C29" s="383" t="s">
        <v>832</v>
      </c>
      <c r="D29" s="383" t="s">
        <v>1568</v>
      </c>
      <c r="E29" s="383" t="s">
        <v>102</v>
      </c>
      <c r="F29" s="383">
        <v>0.36</v>
      </c>
      <c r="G29" s="383">
        <v>63</v>
      </c>
      <c r="H29" s="383">
        <v>3</v>
      </c>
      <c r="I29" s="383">
        <f t="shared" si="1"/>
        <v>1231.2999999999997</v>
      </c>
      <c r="J29" s="385">
        <v>1.06</v>
      </c>
      <c r="K29" s="751"/>
      <c r="L29" s="752"/>
    </row>
    <row r="30" spans="2:12">
      <c r="B30" s="383">
        <f t="shared" si="0"/>
        <v>27</v>
      </c>
      <c r="C30" s="383" t="s">
        <v>502</v>
      </c>
      <c r="D30" s="383" t="s">
        <v>503</v>
      </c>
      <c r="E30" s="383" t="s">
        <v>147</v>
      </c>
      <c r="F30" s="383">
        <v>0.36</v>
      </c>
      <c r="G30" s="383">
        <v>63</v>
      </c>
      <c r="H30" s="383">
        <v>73.099999999999994</v>
      </c>
      <c r="I30" s="383">
        <f t="shared" si="1"/>
        <v>1304.3999999999996</v>
      </c>
      <c r="J30" s="385">
        <v>1.06</v>
      </c>
      <c r="K30" s="751"/>
      <c r="L30" s="752"/>
    </row>
    <row r="31" spans="2:12" hidden="1">
      <c r="B31" s="383">
        <f>1+B30</f>
        <v>28</v>
      </c>
      <c r="C31" s="383" t="s">
        <v>29</v>
      </c>
      <c r="D31" s="383" t="s">
        <v>168</v>
      </c>
      <c r="E31" s="383"/>
      <c r="F31" s="383"/>
      <c r="G31" s="383">
        <v>90</v>
      </c>
      <c r="H31" s="383">
        <v>77.599999999999994</v>
      </c>
      <c r="I31" s="383">
        <f t="shared" si="1"/>
        <v>1381.9999999999995</v>
      </c>
      <c r="J31" s="385">
        <v>1.0900000000000001</v>
      </c>
      <c r="K31" s="751"/>
      <c r="L31" s="752"/>
    </row>
    <row r="32" spans="2:12" hidden="1">
      <c r="B32" s="383">
        <f t="shared" ref="B32:B95" si="2">1+B31</f>
        <v>29</v>
      </c>
      <c r="C32" s="383" t="s">
        <v>32</v>
      </c>
      <c r="D32" s="383" t="s">
        <v>37</v>
      </c>
      <c r="E32" s="383"/>
      <c r="F32" s="383"/>
      <c r="G32" s="383">
        <v>90</v>
      </c>
      <c r="H32" s="383">
        <v>101.3</v>
      </c>
      <c r="I32" s="383">
        <f t="shared" si="1"/>
        <v>1483.2999999999995</v>
      </c>
      <c r="J32" s="385">
        <v>1.0900000000000001</v>
      </c>
      <c r="K32" s="751"/>
      <c r="L32" s="752"/>
    </row>
    <row r="33" spans="2:12" hidden="1">
      <c r="B33" s="383">
        <f t="shared" si="2"/>
        <v>30</v>
      </c>
      <c r="C33" s="383" t="s">
        <v>54</v>
      </c>
      <c r="D33" s="383" t="s">
        <v>86</v>
      </c>
      <c r="E33" s="383" t="s">
        <v>45</v>
      </c>
      <c r="F33" s="383">
        <v>0.41</v>
      </c>
      <c r="G33" s="383">
        <v>110</v>
      </c>
      <c r="H33" s="383">
        <v>30.2</v>
      </c>
      <c r="I33" s="383">
        <f t="shared" si="1"/>
        <v>1513.4999999999995</v>
      </c>
      <c r="J33" s="385">
        <v>1.1000000000000001</v>
      </c>
      <c r="K33" s="751"/>
      <c r="L33" s="752"/>
    </row>
    <row r="34" spans="2:12" hidden="1">
      <c r="B34" s="383">
        <f t="shared" si="2"/>
        <v>31</v>
      </c>
      <c r="C34" s="383" t="s">
        <v>115</v>
      </c>
      <c r="D34" s="383" t="s">
        <v>141</v>
      </c>
      <c r="E34" s="383"/>
      <c r="F34" s="383"/>
      <c r="G34" s="383">
        <v>110</v>
      </c>
      <c r="H34" s="383">
        <v>195.6</v>
      </c>
      <c r="I34" s="383">
        <f t="shared" si="1"/>
        <v>1709.0999999999995</v>
      </c>
      <c r="J34" s="385">
        <v>1.1000000000000001</v>
      </c>
      <c r="K34" s="751"/>
      <c r="L34" s="752"/>
    </row>
    <row r="35" spans="2:12" hidden="1">
      <c r="B35" s="383">
        <f t="shared" si="2"/>
        <v>32</v>
      </c>
      <c r="C35" s="383" t="s">
        <v>115</v>
      </c>
      <c r="D35" s="383" t="s">
        <v>141</v>
      </c>
      <c r="E35" s="383" t="s">
        <v>102</v>
      </c>
      <c r="F35" s="383">
        <v>0.41</v>
      </c>
      <c r="G35" s="383">
        <v>110</v>
      </c>
      <c r="H35" s="383">
        <v>5</v>
      </c>
      <c r="I35" s="383">
        <f t="shared" si="1"/>
        <v>1714.0999999999995</v>
      </c>
      <c r="J35" s="385">
        <v>1.1000000000000001</v>
      </c>
      <c r="K35" s="751"/>
      <c r="L35" s="752"/>
    </row>
    <row r="36" spans="2:12" hidden="1">
      <c r="B36" s="383">
        <f t="shared" si="2"/>
        <v>33</v>
      </c>
      <c r="C36" s="383" t="s">
        <v>1570</v>
      </c>
      <c r="D36" s="383" t="s">
        <v>1571</v>
      </c>
      <c r="E36" s="383"/>
      <c r="F36" s="383"/>
      <c r="G36" s="383">
        <v>110</v>
      </c>
      <c r="H36" s="383">
        <v>140.9</v>
      </c>
      <c r="I36" s="383">
        <f t="shared" si="1"/>
        <v>1854.9999999999995</v>
      </c>
      <c r="J36" s="385">
        <v>1.1000000000000001</v>
      </c>
      <c r="K36" s="751"/>
      <c r="L36" s="752"/>
    </row>
    <row r="37" spans="2:12" hidden="1">
      <c r="B37" s="383">
        <f t="shared" si="2"/>
        <v>34</v>
      </c>
      <c r="C37" s="383" t="s">
        <v>1572</v>
      </c>
      <c r="D37" s="383" t="s">
        <v>1187</v>
      </c>
      <c r="E37" s="383"/>
      <c r="F37" s="383"/>
      <c r="G37" s="383">
        <v>140</v>
      </c>
      <c r="H37" s="383">
        <v>118.6</v>
      </c>
      <c r="I37" s="383">
        <f t="shared" si="1"/>
        <v>1973.5999999999995</v>
      </c>
      <c r="J37" s="385">
        <v>1.1399999999999999</v>
      </c>
      <c r="K37" s="751"/>
      <c r="L37" s="752"/>
    </row>
    <row r="38" spans="2:12" hidden="1">
      <c r="B38" s="383">
        <f t="shared" si="2"/>
        <v>35</v>
      </c>
      <c r="C38" s="383" t="s">
        <v>1573</v>
      </c>
      <c r="D38" s="383" t="s">
        <v>1574</v>
      </c>
      <c r="E38" s="383"/>
      <c r="F38" s="383"/>
      <c r="G38" s="383">
        <v>140</v>
      </c>
      <c r="H38" s="383">
        <v>91.3</v>
      </c>
      <c r="I38" s="383">
        <f t="shared" si="1"/>
        <v>2064.8999999999996</v>
      </c>
      <c r="J38" s="385">
        <v>1.1399999999999999</v>
      </c>
      <c r="K38" s="751"/>
      <c r="L38" s="752"/>
    </row>
    <row r="39" spans="2:12" hidden="1">
      <c r="B39" s="383">
        <f t="shared" si="2"/>
        <v>36</v>
      </c>
      <c r="C39" s="383" t="s">
        <v>1574</v>
      </c>
      <c r="D39" s="383" t="s">
        <v>1570</v>
      </c>
      <c r="E39" s="383"/>
      <c r="F39" s="383"/>
      <c r="G39" s="383">
        <v>140</v>
      </c>
      <c r="H39" s="383">
        <v>110.1</v>
      </c>
      <c r="I39" s="383">
        <f t="shared" si="1"/>
        <v>2174.9999999999995</v>
      </c>
      <c r="J39" s="385">
        <v>1.1399999999999999</v>
      </c>
      <c r="K39" s="751"/>
      <c r="L39" s="752"/>
    </row>
    <row r="40" spans="2:12" hidden="1">
      <c r="B40" s="383">
        <f t="shared" si="2"/>
        <v>37</v>
      </c>
      <c r="C40" s="383" t="s">
        <v>1575</v>
      </c>
      <c r="D40" s="383" t="s">
        <v>1576</v>
      </c>
      <c r="E40" s="383"/>
      <c r="F40" s="383"/>
      <c r="G40" s="383">
        <v>140</v>
      </c>
      <c r="H40" s="383">
        <v>44.2</v>
      </c>
      <c r="I40" s="383">
        <f t="shared" si="1"/>
        <v>2219.1999999999994</v>
      </c>
      <c r="J40" s="385">
        <v>1.1399999999999999</v>
      </c>
      <c r="K40" s="751"/>
      <c r="L40" s="752"/>
    </row>
    <row r="41" spans="2:12" hidden="1">
      <c r="B41" s="383">
        <f t="shared" si="2"/>
        <v>38</v>
      </c>
      <c r="C41" s="383" t="s">
        <v>168</v>
      </c>
      <c r="D41" s="383" t="s">
        <v>167</v>
      </c>
      <c r="E41" s="383"/>
      <c r="F41" s="383"/>
      <c r="G41" s="383">
        <v>140</v>
      </c>
      <c r="H41" s="383">
        <v>189.7</v>
      </c>
      <c r="I41" s="383">
        <f t="shared" si="1"/>
        <v>2408.8999999999992</v>
      </c>
      <c r="J41" s="385">
        <v>1.1399999999999999</v>
      </c>
      <c r="K41" s="751"/>
      <c r="L41" s="752"/>
    </row>
    <row r="42" spans="2:12" hidden="1">
      <c r="B42" s="383">
        <f t="shared" si="2"/>
        <v>39</v>
      </c>
      <c r="C42" s="383" t="s">
        <v>164</v>
      </c>
      <c r="D42" s="383" t="s">
        <v>32</v>
      </c>
      <c r="E42" s="383"/>
      <c r="F42" s="383"/>
      <c r="G42" s="383">
        <v>140</v>
      </c>
      <c r="H42" s="383">
        <v>291.10000000000002</v>
      </c>
      <c r="I42" s="383">
        <f t="shared" si="1"/>
        <v>2699.9999999999991</v>
      </c>
      <c r="J42" s="385">
        <v>1.1399999999999999</v>
      </c>
      <c r="K42" s="751"/>
      <c r="L42" s="752"/>
    </row>
    <row r="43" spans="2:12" hidden="1">
      <c r="B43" s="383">
        <f t="shared" si="2"/>
        <v>40</v>
      </c>
      <c r="C43" s="383" t="s">
        <v>725</v>
      </c>
      <c r="D43" s="383" t="s">
        <v>838</v>
      </c>
      <c r="E43" s="383" t="s">
        <v>45</v>
      </c>
      <c r="F43" s="383">
        <v>0.44</v>
      </c>
      <c r="G43" s="383">
        <v>140</v>
      </c>
      <c r="H43" s="383">
        <v>26.2</v>
      </c>
      <c r="I43" s="383">
        <f t="shared" si="1"/>
        <v>2726.1999999999989</v>
      </c>
      <c r="J43" s="385">
        <v>1.1399999999999999</v>
      </c>
      <c r="K43" s="751"/>
      <c r="L43" s="752"/>
    </row>
    <row r="44" spans="2:12" hidden="1">
      <c r="B44" s="383">
        <f t="shared" si="2"/>
        <v>41</v>
      </c>
      <c r="C44" s="383" t="s">
        <v>838</v>
      </c>
      <c r="D44" s="383" t="s">
        <v>54</v>
      </c>
      <c r="E44" s="383" t="s">
        <v>45</v>
      </c>
      <c r="F44" s="383">
        <v>0.44</v>
      </c>
      <c r="G44" s="383">
        <v>140</v>
      </c>
      <c r="H44" s="383">
        <v>48.1</v>
      </c>
      <c r="I44" s="383">
        <f t="shared" si="1"/>
        <v>2774.2999999999988</v>
      </c>
      <c r="J44" s="385">
        <v>1.1399999999999999</v>
      </c>
      <c r="K44" s="751"/>
      <c r="L44" s="752"/>
    </row>
    <row r="45" spans="2:12" hidden="1">
      <c r="B45" s="383">
        <f t="shared" si="2"/>
        <v>42</v>
      </c>
      <c r="C45" s="383" t="s">
        <v>1363</v>
      </c>
      <c r="D45" s="383" t="s">
        <v>65</v>
      </c>
      <c r="E45" s="383" t="s">
        <v>102</v>
      </c>
      <c r="F45" s="383">
        <v>0.44</v>
      </c>
      <c r="G45" s="383">
        <v>140</v>
      </c>
      <c r="H45" s="383">
        <v>206.2</v>
      </c>
      <c r="I45" s="383">
        <f t="shared" si="1"/>
        <v>2980.4999999999986</v>
      </c>
      <c r="J45" s="385">
        <v>1.1399999999999999</v>
      </c>
      <c r="K45" s="751"/>
      <c r="L45" s="752"/>
    </row>
    <row r="46" spans="2:12" hidden="1">
      <c r="B46" s="383">
        <f t="shared" si="2"/>
        <v>43</v>
      </c>
      <c r="C46" s="383" t="s">
        <v>1577</v>
      </c>
      <c r="D46" s="383" t="s">
        <v>1572</v>
      </c>
      <c r="E46" s="383"/>
      <c r="F46" s="383"/>
      <c r="G46" s="383">
        <v>160</v>
      </c>
      <c r="H46" s="383">
        <v>167.5</v>
      </c>
      <c r="I46" s="383">
        <f t="shared" si="1"/>
        <v>3147.9999999999986</v>
      </c>
      <c r="J46" s="385">
        <v>1.1599999999999999</v>
      </c>
      <c r="K46" s="751"/>
      <c r="L46" s="752"/>
    </row>
    <row r="47" spans="2:12" hidden="1">
      <c r="B47" s="383">
        <f t="shared" si="2"/>
        <v>44</v>
      </c>
      <c r="C47" s="383" t="s">
        <v>167</v>
      </c>
      <c r="D47" s="383" t="s">
        <v>110</v>
      </c>
      <c r="E47" s="383"/>
      <c r="F47" s="383"/>
      <c r="G47" s="383">
        <v>160</v>
      </c>
      <c r="H47" s="383">
        <v>215</v>
      </c>
      <c r="I47" s="383">
        <f t="shared" si="1"/>
        <v>3362.9999999999986</v>
      </c>
      <c r="J47" s="385">
        <v>1.1599999999999999</v>
      </c>
      <c r="K47" s="751"/>
      <c r="L47" s="752"/>
    </row>
    <row r="48" spans="2:12" hidden="1">
      <c r="B48" s="383">
        <f t="shared" si="2"/>
        <v>45</v>
      </c>
      <c r="C48" s="383" t="s">
        <v>110</v>
      </c>
      <c r="D48" s="383" t="s">
        <v>164</v>
      </c>
      <c r="E48" s="383"/>
      <c r="F48" s="383"/>
      <c r="G48" s="383">
        <v>160</v>
      </c>
      <c r="H48" s="383">
        <v>701.1</v>
      </c>
      <c r="I48" s="383">
        <f t="shared" si="1"/>
        <v>4064.0999999999985</v>
      </c>
      <c r="J48" s="385">
        <v>1.1599999999999999</v>
      </c>
      <c r="K48" s="751"/>
      <c r="L48" s="752"/>
    </row>
    <row r="49" spans="2:12" hidden="1">
      <c r="B49" s="383">
        <f t="shared" si="2"/>
        <v>46</v>
      </c>
      <c r="C49" s="383" t="s">
        <v>110</v>
      </c>
      <c r="D49" s="383" t="s">
        <v>164</v>
      </c>
      <c r="E49" s="383" t="s">
        <v>38</v>
      </c>
      <c r="F49" s="383"/>
      <c r="G49" s="383">
        <v>160</v>
      </c>
      <c r="H49" s="383">
        <v>3</v>
      </c>
      <c r="I49" s="383">
        <f t="shared" si="1"/>
        <v>4067.0999999999985</v>
      </c>
      <c r="J49" s="385">
        <v>1.1599999999999999</v>
      </c>
      <c r="K49" s="751"/>
      <c r="L49" s="752"/>
    </row>
    <row r="50" spans="2:12" hidden="1">
      <c r="B50" s="383">
        <f t="shared" si="2"/>
        <v>47</v>
      </c>
      <c r="C50" s="383" t="s">
        <v>164</v>
      </c>
      <c r="D50" s="383" t="s">
        <v>151</v>
      </c>
      <c r="E50" s="383"/>
      <c r="F50" s="383"/>
      <c r="G50" s="383">
        <v>160</v>
      </c>
      <c r="H50" s="383">
        <v>206</v>
      </c>
      <c r="I50" s="383">
        <f t="shared" si="1"/>
        <v>4273.0999999999985</v>
      </c>
      <c r="J50" s="385">
        <v>1.1599999999999999</v>
      </c>
      <c r="K50" s="751"/>
      <c r="L50" s="752"/>
    </row>
    <row r="51" spans="2:12" hidden="1">
      <c r="B51" s="383">
        <f t="shared" si="2"/>
        <v>48</v>
      </c>
      <c r="C51" s="383" t="s">
        <v>151</v>
      </c>
      <c r="D51" s="383" t="s">
        <v>502</v>
      </c>
      <c r="E51" s="383"/>
      <c r="F51" s="383"/>
      <c r="G51" s="383">
        <v>160</v>
      </c>
      <c r="H51" s="383">
        <v>90</v>
      </c>
      <c r="I51" s="383">
        <f t="shared" si="1"/>
        <v>4363.0999999999985</v>
      </c>
      <c r="J51" s="385">
        <v>1.1599999999999999</v>
      </c>
      <c r="K51" s="751"/>
      <c r="L51" s="752"/>
    </row>
    <row r="52" spans="2:12" hidden="1">
      <c r="B52" s="383">
        <f t="shared" si="2"/>
        <v>49</v>
      </c>
      <c r="C52" s="383" t="s">
        <v>502</v>
      </c>
      <c r="D52" s="383" t="s">
        <v>829</v>
      </c>
      <c r="E52" s="383"/>
      <c r="F52" s="383"/>
      <c r="G52" s="383">
        <v>160</v>
      </c>
      <c r="H52" s="383">
        <v>15</v>
      </c>
      <c r="I52" s="383">
        <f t="shared" si="1"/>
        <v>4378.0999999999985</v>
      </c>
      <c r="J52" s="385">
        <v>1.1599999999999999</v>
      </c>
      <c r="K52" s="751"/>
      <c r="L52" s="752"/>
    </row>
    <row r="53" spans="2:12" hidden="1">
      <c r="B53" s="383">
        <f t="shared" si="2"/>
        <v>50</v>
      </c>
      <c r="C53" s="383" t="s">
        <v>829</v>
      </c>
      <c r="D53" s="383" t="s">
        <v>155</v>
      </c>
      <c r="E53" s="383"/>
      <c r="F53" s="383"/>
      <c r="G53" s="383">
        <v>160</v>
      </c>
      <c r="H53" s="383">
        <v>168</v>
      </c>
      <c r="I53" s="383">
        <f t="shared" si="1"/>
        <v>4546.0999999999985</v>
      </c>
      <c r="J53" s="385">
        <v>1.1599999999999999</v>
      </c>
      <c r="K53" s="751"/>
      <c r="L53" s="752"/>
    </row>
    <row r="54" spans="2:12" hidden="1">
      <c r="B54" s="383">
        <f t="shared" si="2"/>
        <v>51</v>
      </c>
      <c r="C54" s="383" t="s">
        <v>155</v>
      </c>
      <c r="D54" s="383" t="s">
        <v>828</v>
      </c>
      <c r="E54" s="383"/>
      <c r="F54" s="383"/>
      <c r="G54" s="383">
        <v>160</v>
      </c>
      <c r="H54" s="383">
        <v>54.9</v>
      </c>
      <c r="I54" s="383">
        <f t="shared" si="1"/>
        <v>4600.9999999999982</v>
      </c>
      <c r="J54" s="385">
        <v>1.1599999999999999</v>
      </c>
      <c r="K54" s="751"/>
      <c r="L54" s="752"/>
    </row>
    <row r="55" spans="2:12" hidden="1">
      <c r="B55" s="383">
        <f t="shared" si="2"/>
        <v>52</v>
      </c>
      <c r="C55" s="383" t="s">
        <v>828</v>
      </c>
      <c r="D55" s="383" t="s">
        <v>154</v>
      </c>
      <c r="E55" s="383"/>
      <c r="F55" s="383"/>
      <c r="G55" s="383">
        <v>160</v>
      </c>
      <c r="H55" s="383">
        <v>88.8</v>
      </c>
      <c r="I55" s="383">
        <f t="shared" si="1"/>
        <v>4689.7999999999984</v>
      </c>
      <c r="J55" s="385">
        <v>1.1599999999999999</v>
      </c>
      <c r="K55" s="751"/>
      <c r="L55" s="752"/>
    </row>
    <row r="56" spans="2:12" hidden="1">
      <c r="B56" s="383">
        <f t="shared" si="2"/>
        <v>53</v>
      </c>
      <c r="C56" s="383" t="s">
        <v>828</v>
      </c>
      <c r="D56" s="383" t="s">
        <v>154</v>
      </c>
      <c r="E56" s="383" t="s">
        <v>102</v>
      </c>
      <c r="F56" s="383">
        <v>0.46</v>
      </c>
      <c r="G56" s="383">
        <v>160</v>
      </c>
      <c r="H56" s="383">
        <v>7.2</v>
      </c>
      <c r="I56" s="383">
        <f t="shared" si="1"/>
        <v>4696.9999999999982</v>
      </c>
      <c r="J56" s="385">
        <v>1.1599999999999999</v>
      </c>
      <c r="K56" s="751"/>
      <c r="L56" s="752"/>
    </row>
    <row r="57" spans="2:12" hidden="1">
      <c r="B57" s="383">
        <f t="shared" si="2"/>
        <v>54</v>
      </c>
      <c r="C57" s="383" t="s">
        <v>1579</v>
      </c>
      <c r="D57" s="383" t="s">
        <v>729</v>
      </c>
      <c r="E57" s="383"/>
      <c r="F57" s="383"/>
      <c r="G57" s="383">
        <v>160</v>
      </c>
      <c r="H57" s="383">
        <v>127.2</v>
      </c>
      <c r="I57" s="383">
        <f t="shared" si="1"/>
        <v>4824.199999999998</v>
      </c>
      <c r="J57" s="385">
        <v>1.1599999999999999</v>
      </c>
      <c r="K57" s="751"/>
      <c r="L57" s="752"/>
    </row>
    <row r="58" spans="2:12" hidden="1">
      <c r="B58" s="383">
        <f t="shared" si="2"/>
        <v>55</v>
      </c>
      <c r="C58" s="383" t="s">
        <v>729</v>
      </c>
      <c r="D58" s="383" t="s">
        <v>156</v>
      </c>
      <c r="E58" s="383"/>
      <c r="F58" s="383"/>
      <c r="G58" s="383">
        <v>160</v>
      </c>
      <c r="H58" s="383">
        <v>7.7</v>
      </c>
      <c r="I58" s="383">
        <f t="shared" si="1"/>
        <v>4831.8999999999978</v>
      </c>
      <c r="J58" s="385">
        <v>1.1599999999999999</v>
      </c>
      <c r="K58" s="751"/>
      <c r="L58" s="752"/>
    </row>
    <row r="59" spans="2:12" hidden="1">
      <c r="B59" s="383">
        <f t="shared" si="2"/>
        <v>56</v>
      </c>
      <c r="C59" s="383" t="s">
        <v>156</v>
      </c>
      <c r="D59" s="383" t="s">
        <v>113</v>
      </c>
      <c r="E59" s="383"/>
      <c r="F59" s="383"/>
      <c r="G59" s="383">
        <v>160</v>
      </c>
      <c r="H59" s="383">
        <v>195.7</v>
      </c>
      <c r="I59" s="383">
        <f t="shared" si="1"/>
        <v>5027.5999999999976</v>
      </c>
      <c r="J59" s="385">
        <v>1.1599999999999999</v>
      </c>
      <c r="K59" s="751"/>
      <c r="L59" s="752"/>
    </row>
    <row r="60" spans="2:12" hidden="1">
      <c r="B60" s="383">
        <f t="shared" si="2"/>
        <v>57</v>
      </c>
      <c r="C60" s="383" t="s">
        <v>113</v>
      </c>
      <c r="D60" s="383" t="s">
        <v>65</v>
      </c>
      <c r="E60" s="383"/>
      <c r="F60" s="383"/>
      <c r="G60" s="383">
        <v>160</v>
      </c>
      <c r="H60" s="383">
        <v>234.1</v>
      </c>
      <c r="I60" s="383">
        <f t="shared" si="1"/>
        <v>5261.699999999998</v>
      </c>
      <c r="J60" s="385">
        <v>1.1599999999999999</v>
      </c>
      <c r="K60" s="751"/>
      <c r="L60" s="752"/>
    </row>
    <row r="61" spans="2:12" hidden="1">
      <c r="B61" s="383">
        <f t="shared" si="2"/>
        <v>58</v>
      </c>
      <c r="C61" s="383" t="s">
        <v>65</v>
      </c>
      <c r="D61" s="383" t="s">
        <v>732</v>
      </c>
      <c r="E61" s="383"/>
      <c r="F61" s="383"/>
      <c r="G61" s="383">
        <v>160</v>
      </c>
      <c r="H61" s="383">
        <v>165.3</v>
      </c>
      <c r="I61" s="383">
        <f t="shared" si="1"/>
        <v>5426.9999999999982</v>
      </c>
      <c r="J61" s="385">
        <v>1.1599999999999999</v>
      </c>
      <c r="K61" s="751"/>
      <c r="L61" s="752"/>
    </row>
    <row r="62" spans="2:12" hidden="1">
      <c r="B62" s="383">
        <f t="shared" si="2"/>
        <v>59</v>
      </c>
      <c r="C62" s="383" t="s">
        <v>65</v>
      </c>
      <c r="D62" s="383" t="s">
        <v>732</v>
      </c>
      <c r="E62" s="383" t="s">
        <v>102</v>
      </c>
      <c r="F62" s="383">
        <v>0.46</v>
      </c>
      <c r="G62" s="383">
        <v>160</v>
      </c>
      <c r="H62" s="383">
        <v>4.5999999999999996</v>
      </c>
      <c r="I62" s="383">
        <f t="shared" si="1"/>
        <v>5431.5999999999985</v>
      </c>
      <c r="J62" s="385">
        <v>1.1599999999999999</v>
      </c>
      <c r="K62" s="751"/>
      <c r="L62" s="752"/>
    </row>
    <row r="63" spans="2:12" hidden="1">
      <c r="B63" s="383">
        <f t="shared" si="2"/>
        <v>60</v>
      </c>
      <c r="C63" s="383" t="s">
        <v>56</v>
      </c>
      <c r="D63" s="383" t="s">
        <v>57</v>
      </c>
      <c r="E63" s="383"/>
      <c r="F63" s="383"/>
      <c r="G63" s="383">
        <v>160</v>
      </c>
      <c r="H63" s="383">
        <v>60</v>
      </c>
      <c r="I63" s="383">
        <f t="shared" si="1"/>
        <v>5491.5999999999985</v>
      </c>
      <c r="J63" s="385">
        <v>1.1599999999999999</v>
      </c>
      <c r="K63" s="751"/>
      <c r="L63" s="752"/>
    </row>
    <row r="64" spans="2:12" hidden="1">
      <c r="B64" s="383">
        <f t="shared" si="2"/>
        <v>61</v>
      </c>
      <c r="C64" s="383" t="s">
        <v>57</v>
      </c>
      <c r="D64" s="383" t="s">
        <v>725</v>
      </c>
      <c r="E64" s="383" t="s">
        <v>45</v>
      </c>
      <c r="F64" s="383">
        <v>0.46</v>
      </c>
      <c r="G64" s="383">
        <v>160</v>
      </c>
      <c r="H64" s="383">
        <v>338.3</v>
      </c>
      <c r="I64" s="383">
        <f t="shared" si="1"/>
        <v>5829.8999999999987</v>
      </c>
      <c r="J64" s="385">
        <v>1.1599999999999999</v>
      </c>
      <c r="K64" s="751"/>
      <c r="L64" s="752"/>
    </row>
    <row r="65" spans="2:16" hidden="1">
      <c r="B65" s="383">
        <f t="shared" si="2"/>
        <v>62</v>
      </c>
      <c r="C65" s="383" t="s">
        <v>1173</v>
      </c>
      <c r="D65" s="383" t="s">
        <v>1333</v>
      </c>
      <c r="E65" s="383"/>
      <c r="F65" s="383"/>
      <c r="G65" s="383">
        <v>160</v>
      </c>
      <c r="H65" s="383">
        <v>263.10000000000002</v>
      </c>
      <c r="I65" s="383">
        <f t="shared" si="1"/>
        <v>6092.9999999999991</v>
      </c>
      <c r="J65" s="385">
        <v>1.1599999999999999</v>
      </c>
      <c r="K65" s="751"/>
      <c r="L65" s="752"/>
    </row>
    <row r="66" spans="2:16" hidden="1">
      <c r="B66" s="383">
        <f t="shared" si="2"/>
        <v>63</v>
      </c>
      <c r="C66" s="386" t="s">
        <v>106</v>
      </c>
      <c r="D66" s="386" t="s">
        <v>94</v>
      </c>
      <c r="E66" s="385"/>
      <c r="F66" s="385"/>
      <c r="G66" s="383">
        <v>160</v>
      </c>
      <c r="H66" s="386">
        <v>152.1</v>
      </c>
      <c r="I66" s="383">
        <f t="shared" si="1"/>
        <v>6245.0999999999995</v>
      </c>
      <c r="J66" s="385">
        <v>1.1599999999999999</v>
      </c>
      <c r="K66" s="751"/>
      <c r="L66" s="752"/>
    </row>
    <row r="67" spans="2:16" hidden="1">
      <c r="B67" s="383">
        <f t="shared" si="2"/>
        <v>64</v>
      </c>
      <c r="C67" s="383" t="s">
        <v>1328</v>
      </c>
      <c r="D67" s="383" t="s">
        <v>1581</v>
      </c>
      <c r="E67" s="383" t="s">
        <v>102</v>
      </c>
      <c r="F67" s="383">
        <v>0.5</v>
      </c>
      <c r="G67" s="383">
        <v>200</v>
      </c>
      <c r="H67" s="383">
        <v>270.7</v>
      </c>
      <c r="I67" s="383">
        <f t="shared" si="1"/>
        <v>6515.7999999999993</v>
      </c>
      <c r="J67" s="385">
        <v>1.2</v>
      </c>
      <c r="K67" s="751"/>
      <c r="L67" s="752"/>
    </row>
    <row r="68" spans="2:16" hidden="1">
      <c r="B68" s="383">
        <f t="shared" si="2"/>
        <v>65</v>
      </c>
      <c r="C68" s="383" t="s">
        <v>1328</v>
      </c>
      <c r="D68" s="383" t="s">
        <v>1335</v>
      </c>
      <c r="E68" s="383" t="s">
        <v>102</v>
      </c>
      <c r="F68" s="383">
        <v>0.5</v>
      </c>
      <c r="G68" s="383">
        <v>200</v>
      </c>
      <c r="H68" s="383">
        <v>119.7</v>
      </c>
      <c r="I68" s="383">
        <f t="shared" si="1"/>
        <v>6635.4999999999991</v>
      </c>
      <c r="J68" s="385">
        <v>1.2</v>
      </c>
      <c r="K68" s="751"/>
      <c r="L68" s="752"/>
    </row>
    <row r="69" spans="2:16" hidden="1">
      <c r="B69" s="383">
        <f t="shared" si="2"/>
        <v>66</v>
      </c>
      <c r="C69" s="383" t="s">
        <v>1335</v>
      </c>
      <c r="D69" s="383" t="s">
        <v>914</v>
      </c>
      <c r="E69" s="383" t="s">
        <v>102</v>
      </c>
      <c r="F69" s="383">
        <v>0.5</v>
      </c>
      <c r="G69" s="383">
        <v>200</v>
      </c>
      <c r="H69" s="383">
        <v>223.2</v>
      </c>
      <c r="I69" s="383">
        <f t="shared" ref="I69:I130" si="3">+I68+H69</f>
        <v>6858.6999999999989</v>
      </c>
      <c r="J69" s="385">
        <v>1.2</v>
      </c>
      <c r="K69" s="751"/>
      <c r="L69" s="752"/>
    </row>
    <row r="70" spans="2:16" hidden="1">
      <c r="B70" s="383">
        <f t="shared" si="2"/>
        <v>67</v>
      </c>
      <c r="C70" s="383" t="s">
        <v>914</v>
      </c>
      <c r="D70" s="383" t="s">
        <v>1173</v>
      </c>
      <c r="E70" s="383" t="s">
        <v>102</v>
      </c>
      <c r="F70" s="383">
        <v>0.5</v>
      </c>
      <c r="G70" s="383">
        <v>200</v>
      </c>
      <c r="H70" s="383">
        <v>248.5</v>
      </c>
      <c r="I70" s="383">
        <f t="shared" si="3"/>
        <v>7107.1999999999989</v>
      </c>
      <c r="J70" s="385">
        <v>1.2</v>
      </c>
      <c r="K70" s="751"/>
      <c r="L70" s="752"/>
    </row>
    <row r="71" spans="2:16" hidden="1">
      <c r="B71" s="383">
        <f t="shared" si="2"/>
        <v>68</v>
      </c>
      <c r="C71" s="383" t="s">
        <v>1173</v>
      </c>
      <c r="D71" s="383" t="s">
        <v>906</v>
      </c>
      <c r="E71" s="383" t="s">
        <v>102</v>
      </c>
      <c r="F71" s="383">
        <v>0.5</v>
      </c>
      <c r="G71" s="383">
        <v>200</v>
      </c>
      <c r="H71" s="383">
        <v>357.2</v>
      </c>
      <c r="I71" s="383">
        <f t="shared" si="3"/>
        <v>7464.3999999999987</v>
      </c>
      <c r="J71" s="385">
        <v>1.2</v>
      </c>
      <c r="K71" s="751"/>
      <c r="L71" s="752"/>
    </row>
    <row r="72" spans="2:16" hidden="1">
      <c r="B72" s="383">
        <f t="shared" si="2"/>
        <v>69</v>
      </c>
      <c r="C72" s="383" t="s">
        <v>1173</v>
      </c>
      <c r="D72" s="383" t="s">
        <v>906</v>
      </c>
      <c r="E72" s="383" t="s">
        <v>102</v>
      </c>
      <c r="F72" s="383">
        <v>0.5</v>
      </c>
      <c r="G72" s="383">
        <v>200</v>
      </c>
      <c r="H72" s="383">
        <v>76.8</v>
      </c>
      <c r="I72" s="383">
        <f t="shared" si="3"/>
        <v>7541.1999999999989</v>
      </c>
      <c r="J72" s="385">
        <v>1.2</v>
      </c>
      <c r="K72" s="751"/>
      <c r="L72" s="752"/>
    </row>
    <row r="73" spans="2:16" hidden="1">
      <c r="B73" s="383">
        <f t="shared" si="2"/>
        <v>70</v>
      </c>
      <c r="C73" s="383" t="s">
        <v>906</v>
      </c>
      <c r="D73" s="383" t="s">
        <v>107</v>
      </c>
      <c r="E73" s="383" t="s">
        <v>102</v>
      </c>
      <c r="F73" s="383">
        <v>0.5</v>
      </c>
      <c r="G73" s="383">
        <v>200</v>
      </c>
      <c r="H73" s="383">
        <v>68.5</v>
      </c>
      <c r="I73" s="383">
        <f t="shared" si="3"/>
        <v>7609.6999999999989</v>
      </c>
      <c r="J73" s="385">
        <v>1.2</v>
      </c>
      <c r="K73" s="751"/>
      <c r="L73" s="752"/>
    </row>
    <row r="74" spans="2:16" hidden="1">
      <c r="B74" s="383">
        <f t="shared" si="2"/>
        <v>71</v>
      </c>
      <c r="C74" s="383" t="s">
        <v>107</v>
      </c>
      <c r="D74" s="383" t="s">
        <v>106</v>
      </c>
      <c r="E74" s="383" t="s">
        <v>102</v>
      </c>
      <c r="F74" s="383">
        <v>0.5</v>
      </c>
      <c r="G74" s="383">
        <v>200</v>
      </c>
      <c r="H74" s="383">
        <v>191.2</v>
      </c>
      <c r="I74" s="383">
        <f t="shared" si="3"/>
        <v>7800.8999999999987</v>
      </c>
      <c r="J74" s="385">
        <v>1.2</v>
      </c>
      <c r="K74" s="751"/>
      <c r="L74" s="752"/>
    </row>
    <row r="75" spans="2:16" hidden="1">
      <c r="B75" s="383">
        <f t="shared" si="2"/>
        <v>72</v>
      </c>
      <c r="C75" s="383" t="s">
        <v>107</v>
      </c>
      <c r="D75" s="383" t="s">
        <v>106</v>
      </c>
      <c r="E75" s="383" t="s">
        <v>102</v>
      </c>
      <c r="F75" s="383">
        <v>0.5</v>
      </c>
      <c r="G75" s="383">
        <v>200</v>
      </c>
      <c r="H75" s="383">
        <v>5</v>
      </c>
      <c r="I75" s="383">
        <f t="shared" si="3"/>
        <v>7805.8999999999987</v>
      </c>
      <c r="J75" s="385">
        <v>1.2</v>
      </c>
      <c r="K75" s="751"/>
      <c r="L75" s="752"/>
    </row>
    <row r="76" spans="2:16" hidden="1">
      <c r="B76" s="383">
        <f t="shared" si="2"/>
        <v>73</v>
      </c>
      <c r="C76" s="383" t="s">
        <v>106</v>
      </c>
      <c r="D76" s="383" t="s">
        <v>105</v>
      </c>
      <c r="E76" s="383" t="s">
        <v>102</v>
      </c>
      <c r="F76" s="383">
        <v>0.5</v>
      </c>
      <c r="G76" s="383">
        <v>200</v>
      </c>
      <c r="H76" s="383">
        <v>25.1</v>
      </c>
      <c r="I76" s="383">
        <f t="shared" si="3"/>
        <v>7830.9999999999991</v>
      </c>
      <c r="J76" s="385">
        <v>1.2</v>
      </c>
      <c r="K76" s="751"/>
      <c r="L76" s="752"/>
    </row>
    <row r="77" spans="2:16" hidden="1">
      <c r="B77" s="383">
        <f t="shared" si="2"/>
        <v>74</v>
      </c>
      <c r="C77" s="383" t="s">
        <v>105</v>
      </c>
      <c r="D77" s="383" t="s">
        <v>76</v>
      </c>
      <c r="E77" s="383" t="s">
        <v>102</v>
      </c>
      <c r="F77" s="383">
        <v>0.5</v>
      </c>
      <c r="G77" s="383">
        <v>200</v>
      </c>
      <c r="H77" s="383">
        <v>92.7</v>
      </c>
      <c r="I77" s="383">
        <f t="shared" si="3"/>
        <v>7923.6999999999989</v>
      </c>
      <c r="J77" s="385">
        <v>1.2</v>
      </c>
      <c r="K77" s="751"/>
      <c r="L77" s="752"/>
    </row>
    <row r="78" spans="2:16" hidden="1">
      <c r="B78" s="383">
        <f t="shared" si="2"/>
        <v>75</v>
      </c>
      <c r="C78" s="383" t="s">
        <v>76</v>
      </c>
      <c r="D78" s="383" t="s">
        <v>132</v>
      </c>
      <c r="E78" s="383" t="s">
        <v>102</v>
      </c>
      <c r="F78" s="383">
        <v>0.5</v>
      </c>
      <c r="G78" s="383">
        <v>200</v>
      </c>
      <c r="H78" s="383">
        <v>119.5</v>
      </c>
      <c r="I78" s="383">
        <f t="shared" si="3"/>
        <v>8043.1999999999989</v>
      </c>
      <c r="J78" s="385">
        <v>1.2</v>
      </c>
      <c r="K78" s="751"/>
      <c r="L78" s="752"/>
    </row>
    <row r="79" spans="2:16" hidden="1">
      <c r="B79" s="383">
        <f t="shared" si="2"/>
        <v>76</v>
      </c>
      <c r="C79" s="383" t="s">
        <v>76</v>
      </c>
      <c r="D79" s="383" t="s">
        <v>127</v>
      </c>
      <c r="E79" s="383" t="s">
        <v>102</v>
      </c>
      <c r="F79" s="383">
        <v>0.5</v>
      </c>
      <c r="G79" s="383">
        <v>200</v>
      </c>
      <c r="H79" s="383">
        <v>85.1</v>
      </c>
      <c r="I79" s="383">
        <f t="shared" si="3"/>
        <v>8128.2999999999993</v>
      </c>
      <c r="J79" s="385">
        <v>1.2</v>
      </c>
      <c r="K79" s="751"/>
      <c r="L79" s="752"/>
    </row>
    <row r="80" spans="2:16" hidden="1">
      <c r="B80" s="383">
        <f t="shared" si="2"/>
        <v>77</v>
      </c>
      <c r="C80" s="383" t="s">
        <v>127</v>
      </c>
      <c r="D80" s="383" t="s">
        <v>56</v>
      </c>
      <c r="E80" s="383" t="s">
        <v>102</v>
      </c>
      <c r="F80" s="383">
        <v>0.5</v>
      </c>
      <c r="G80" s="383">
        <v>200</v>
      </c>
      <c r="H80" s="383">
        <v>133.5</v>
      </c>
      <c r="I80" s="383">
        <f t="shared" si="3"/>
        <v>8261.7999999999993</v>
      </c>
      <c r="J80" s="385">
        <v>1.2</v>
      </c>
      <c r="K80" s="751"/>
      <c r="L80" s="752"/>
      <c r="P80" s="378">
        <f>2507.9*0.5</f>
        <v>1253.95</v>
      </c>
    </row>
    <row r="81" spans="2:16" hidden="1">
      <c r="B81" s="383">
        <f t="shared" si="2"/>
        <v>78</v>
      </c>
      <c r="C81" s="383" t="s">
        <v>56</v>
      </c>
      <c r="D81" s="383" t="s">
        <v>832</v>
      </c>
      <c r="E81" s="383" t="s">
        <v>102</v>
      </c>
      <c r="F81" s="383">
        <v>0.5</v>
      </c>
      <c r="G81" s="383">
        <v>200</v>
      </c>
      <c r="H81" s="383">
        <v>212.3</v>
      </c>
      <c r="I81" s="383">
        <f t="shared" si="3"/>
        <v>8474.0999999999985</v>
      </c>
      <c r="J81" s="385">
        <v>1.2</v>
      </c>
      <c r="K81" s="751"/>
      <c r="L81" s="752"/>
      <c r="P81" s="378">
        <f>359*0.39</f>
        <v>140.01</v>
      </c>
    </row>
    <row r="82" spans="2:16" hidden="1">
      <c r="B82" s="383">
        <f t="shared" si="2"/>
        <v>79</v>
      </c>
      <c r="C82" s="383" t="s">
        <v>832</v>
      </c>
      <c r="D82" s="383" t="s">
        <v>154</v>
      </c>
      <c r="E82" s="383" t="s">
        <v>102</v>
      </c>
      <c r="F82" s="383">
        <v>0.5</v>
      </c>
      <c r="G82" s="383">
        <v>200</v>
      </c>
      <c r="H82" s="383">
        <v>61</v>
      </c>
      <c r="I82" s="383">
        <f t="shared" si="3"/>
        <v>8535.0999999999985</v>
      </c>
      <c r="J82" s="385">
        <v>1.2</v>
      </c>
      <c r="K82" s="751"/>
      <c r="L82" s="752"/>
    </row>
    <row r="83" spans="2:16" hidden="1">
      <c r="B83" s="383">
        <f t="shared" si="2"/>
        <v>80</v>
      </c>
      <c r="C83" s="383" t="s">
        <v>832</v>
      </c>
      <c r="D83" s="383" t="s">
        <v>154</v>
      </c>
      <c r="E83" s="383" t="s">
        <v>38</v>
      </c>
      <c r="F83" s="383"/>
      <c r="G83" s="383">
        <v>200</v>
      </c>
      <c r="H83" s="383">
        <v>4.7</v>
      </c>
      <c r="I83" s="383">
        <f t="shared" si="3"/>
        <v>8539.7999999999993</v>
      </c>
      <c r="J83" s="385">
        <v>1.2</v>
      </c>
      <c r="K83" s="751"/>
      <c r="L83" s="752"/>
    </row>
    <row r="84" spans="2:16" hidden="1">
      <c r="B84" s="383">
        <f t="shared" si="2"/>
        <v>81</v>
      </c>
      <c r="C84" s="383" t="s">
        <v>832</v>
      </c>
      <c r="D84" s="383" t="s">
        <v>154</v>
      </c>
      <c r="E84" s="383" t="s">
        <v>102</v>
      </c>
      <c r="F84" s="383">
        <v>0.5</v>
      </c>
      <c r="G84" s="383">
        <v>200</v>
      </c>
      <c r="H84" s="383">
        <v>12.3</v>
      </c>
      <c r="I84" s="383">
        <f t="shared" si="3"/>
        <v>8552.0999999999985</v>
      </c>
      <c r="J84" s="385">
        <v>1.2</v>
      </c>
      <c r="K84" s="751"/>
      <c r="L84" s="752"/>
    </row>
    <row r="85" spans="2:16" hidden="1">
      <c r="B85" s="383">
        <f t="shared" si="2"/>
        <v>82</v>
      </c>
      <c r="C85" s="383" t="s">
        <v>1614</v>
      </c>
      <c r="D85" s="383" t="s">
        <v>1676</v>
      </c>
      <c r="E85" s="383" t="s">
        <v>45</v>
      </c>
      <c r="F85" s="383">
        <v>0.5</v>
      </c>
      <c r="G85" s="383">
        <v>200</v>
      </c>
      <c r="H85" s="383">
        <v>19.2</v>
      </c>
      <c r="I85" s="383">
        <f t="shared" si="3"/>
        <v>8571.2999999999993</v>
      </c>
      <c r="J85" s="385">
        <v>1.2</v>
      </c>
      <c r="K85" s="751"/>
      <c r="L85" s="752"/>
    </row>
    <row r="86" spans="2:16" hidden="1">
      <c r="B86" s="383">
        <f t="shared" si="2"/>
        <v>83</v>
      </c>
      <c r="C86" s="383" t="s">
        <v>1676</v>
      </c>
      <c r="D86" s="383" t="s">
        <v>1558</v>
      </c>
      <c r="E86" s="383" t="s">
        <v>45</v>
      </c>
      <c r="F86" s="383">
        <v>0.5</v>
      </c>
      <c r="G86" s="383">
        <v>200</v>
      </c>
      <c r="H86" s="383">
        <v>101</v>
      </c>
      <c r="I86" s="383">
        <f t="shared" si="3"/>
        <v>8672.2999999999993</v>
      </c>
      <c r="J86" s="385">
        <v>1.2</v>
      </c>
      <c r="K86" s="751"/>
      <c r="L86" s="752"/>
    </row>
    <row r="87" spans="2:16" hidden="1">
      <c r="B87" s="383">
        <f t="shared" si="2"/>
        <v>84</v>
      </c>
      <c r="C87" s="383" t="s">
        <v>1558</v>
      </c>
      <c r="D87" s="383" t="s">
        <v>1138</v>
      </c>
      <c r="E87" s="383" t="s">
        <v>45</v>
      </c>
      <c r="F87" s="383">
        <v>0.5</v>
      </c>
      <c r="G87" s="383">
        <v>200</v>
      </c>
      <c r="H87" s="383">
        <v>29.3</v>
      </c>
      <c r="I87" s="383">
        <f t="shared" si="3"/>
        <v>8701.5999999999985</v>
      </c>
      <c r="J87" s="385">
        <v>1.2</v>
      </c>
      <c r="K87" s="751"/>
      <c r="L87" s="752"/>
    </row>
    <row r="88" spans="2:16" hidden="1">
      <c r="B88" s="383">
        <f t="shared" si="2"/>
        <v>85</v>
      </c>
      <c r="C88" s="383" t="s">
        <v>1138</v>
      </c>
      <c r="D88" s="383" t="s">
        <v>1651</v>
      </c>
      <c r="E88" s="387"/>
      <c r="F88" s="383"/>
      <c r="G88" s="383">
        <v>200</v>
      </c>
      <c r="H88" s="383">
        <v>45</v>
      </c>
      <c r="I88" s="383">
        <f t="shared" si="3"/>
        <v>8746.5999999999985</v>
      </c>
      <c r="J88" s="385">
        <v>1.2</v>
      </c>
      <c r="K88" s="751"/>
      <c r="L88" s="752"/>
    </row>
    <row r="89" spans="2:16" hidden="1">
      <c r="B89" s="383">
        <f t="shared" si="2"/>
        <v>86</v>
      </c>
      <c r="C89" s="383" t="s">
        <v>1651</v>
      </c>
      <c r="D89" s="383" t="s">
        <v>1772</v>
      </c>
      <c r="E89" s="383" t="s">
        <v>45</v>
      </c>
      <c r="F89" s="383">
        <v>0.5</v>
      </c>
      <c r="G89" s="383">
        <v>200</v>
      </c>
      <c r="H89" s="383">
        <v>46.4</v>
      </c>
      <c r="I89" s="383">
        <f t="shared" si="3"/>
        <v>8792.9999999999982</v>
      </c>
      <c r="J89" s="385">
        <v>1.2</v>
      </c>
      <c r="K89" s="751"/>
      <c r="L89" s="752"/>
    </row>
    <row r="90" spans="2:16" hidden="1">
      <c r="B90" s="383">
        <f t="shared" si="2"/>
        <v>87</v>
      </c>
      <c r="C90" s="383" t="s">
        <v>1641</v>
      </c>
      <c r="D90" s="383" t="s">
        <v>1653</v>
      </c>
      <c r="E90" s="383" t="s">
        <v>102</v>
      </c>
      <c r="F90" s="383">
        <v>0.5</v>
      </c>
      <c r="G90" s="383">
        <v>200</v>
      </c>
      <c r="H90" s="383">
        <v>65.8</v>
      </c>
      <c r="I90" s="383">
        <f t="shared" si="3"/>
        <v>8858.7999999999975</v>
      </c>
      <c r="J90" s="385">
        <v>1.2</v>
      </c>
      <c r="K90" s="751"/>
      <c r="L90" s="752"/>
    </row>
    <row r="91" spans="2:16" hidden="1">
      <c r="B91" s="383">
        <f t="shared" si="2"/>
        <v>88</v>
      </c>
      <c r="C91" s="383" t="s">
        <v>1653</v>
      </c>
      <c r="D91" s="383" t="s">
        <v>1652</v>
      </c>
      <c r="E91" s="383" t="s">
        <v>102</v>
      </c>
      <c r="F91" s="383">
        <v>0.5</v>
      </c>
      <c r="G91" s="383">
        <v>200</v>
      </c>
      <c r="H91" s="383">
        <v>75.599999999999994</v>
      </c>
      <c r="I91" s="383">
        <f t="shared" si="3"/>
        <v>8934.3999999999978</v>
      </c>
      <c r="J91" s="385">
        <v>1.2</v>
      </c>
      <c r="K91" s="751"/>
      <c r="L91" s="752"/>
      <c r="O91" s="378">
        <f>2867.5*0.458</f>
        <v>1313.3150000000001</v>
      </c>
    </row>
    <row r="92" spans="2:16" hidden="1">
      <c r="B92" s="383">
        <f t="shared" si="2"/>
        <v>89</v>
      </c>
      <c r="C92" s="383" t="s">
        <v>1772</v>
      </c>
      <c r="D92" s="383" t="s">
        <v>1773</v>
      </c>
      <c r="E92" s="383" t="s">
        <v>102</v>
      </c>
      <c r="F92" s="383">
        <v>0.5</v>
      </c>
      <c r="G92" s="383">
        <v>200</v>
      </c>
      <c r="H92" s="383">
        <v>57.3</v>
      </c>
      <c r="I92" s="383">
        <f t="shared" si="3"/>
        <v>8991.6999999999971</v>
      </c>
      <c r="J92" s="385">
        <v>1.2</v>
      </c>
      <c r="K92" s="751"/>
      <c r="L92" s="752"/>
    </row>
    <row r="93" spans="2:16" hidden="1">
      <c r="B93" s="383">
        <f t="shared" si="2"/>
        <v>90</v>
      </c>
      <c r="C93" s="383" t="s">
        <v>1647</v>
      </c>
      <c r="D93" s="383" t="s">
        <v>1650</v>
      </c>
      <c r="E93" s="387"/>
      <c r="F93" s="383">
        <v>0.5</v>
      </c>
      <c r="G93" s="383">
        <v>200</v>
      </c>
      <c r="H93" s="383">
        <v>70.599999999999994</v>
      </c>
      <c r="I93" s="383">
        <f t="shared" si="3"/>
        <v>9062.2999999999975</v>
      </c>
      <c r="J93" s="385">
        <v>1.2</v>
      </c>
      <c r="K93" s="751"/>
      <c r="L93" s="752"/>
    </row>
    <row r="94" spans="2:16" hidden="1">
      <c r="B94" s="383">
        <f t="shared" si="2"/>
        <v>91</v>
      </c>
      <c r="C94" s="383" t="s">
        <v>1650</v>
      </c>
      <c r="D94" s="383" t="s">
        <v>1613</v>
      </c>
      <c r="E94" s="387"/>
      <c r="F94" s="383">
        <v>0.5</v>
      </c>
      <c r="G94" s="383">
        <v>200</v>
      </c>
      <c r="H94" s="383">
        <v>98.8</v>
      </c>
      <c r="I94" s="383">
        <f t="shared" si="3"/>
        <v>9161.0999999999967</v>
      </c>
      <c r="J94" s="385">
        <v>1.2</v>
      </c>
      <c r="K94" s="751"/>
      <c r="L94" s="752"/>
    </row>
    <row r="95" spans="2:16" hidden="1">
      <c r="B95" s="383">
        <f t="shared" si="2"/>
        <v>92</v>
      </c>
      <c r="C95" s="383" t="s">
        <v>1613</v>
      </c>
      <c r="D95" s="383" t="s">
        <v>1709</v>
      </c>
      <c r="E95" s="387"/>
      <c r="F95" s="383">
        <v>0.5</v>
      </c>
      <c r="G95" s="383">
        <v>200</v>
      </c>
      <c r="H95" s="383">
        <v>45.6</v>
      </c>
      <c r="I95" s="383">
        <f t="shared" si="3"/>
        <v>9206.6999999999971</v>
      </c>
      <c r="J95" s="385">
        <v>1.2</v>
      </c>
      <c r="K95" s="751"/>
      <c r="L95" s="752"/>
    </row>
    <row r="96" spans="2:16" hidden="1">
      <c r="B96" s="383">
        <f t="shared" ref="B96:B130" si="4">1+B95</f>
        <v>93</v>
      </c>
      <c r="C96" s="383" t="s">
        <v>1189</v>
      </c>
      <c r="D96" s="383" t="s">
        <v>1641</v>
      </c>
      <c r="E96" s="385" t="s">
        <v>102</v>
      </c>
      <c r="F96" s="383">
        <v>0.46</v>
      </c>
      <c r="G96" s="383">
        <v>160</v>
      </c>
      <c r="H96" s="383">
        <v>87.8</v>
      </c>
      <c r="I96" s="383">
        <f t="shared" si="3"/>
        <v>9294.4999999999964</v>
      </c>
      <c r="J96" s="388">
        <v>1.1599999999999999</v>
      </c>
      <c r="K96" s="751"/>
      <c r="L96" s="752"/>
    </row>
    <row r="97" spans="2:12" hidden="1">
      <c r="B97" s="383">
        <f t="shared" si="4"/>
        <v>94</v>
      </c>
      <c r="C97" s="383" t="s">
        <v>1061</v>
      </c>
      <c r="D97" s="383" t="s">
        <v>1774</v>
      </c>
      <c r="E97" s="387"/>
      <c r="F97" s="383"/>
      <c r="G97" s="383">
        <v>160</v>
      </c>
      <c r="H97" s="383">
        <v>167.8</v>
      </c>
      <c r="I97" s="383">
        <f t="shared" si="3"/>
        <v>9462.2999999999956</v>
      </c>
      <c r="J97" s="388">
        <v>1.1599999999999999</v>
      </c>
      <c r="K97" s="751"/>
      <c r="L97" s="752"/>
    </row>
    <row r="98" spans="2:12" hidden="1">
      <c r="B98" s="383">
        <f t="shared" si="4"/>
        <v>95</v>
      </c>
      <c r="C98" s="383" t="s">
        <v>1061</v>
      </c>
      <c r="D98" s="383" t="s">
        <v>1577</v>
      </c>
      <c r="E98" s="385" t="s">
        <v>45</v>
      </c>
      <c r="F98" s="383">
        <v>0.46</v>
      </c>
      <c r="G98" s="383">
        <v>160</v>
      </c>
      <c r="H98" s="383">
        <v>27.1</v>
      </c>
      <c r="I98" s="383">
        <f t="shared" si="3"/>
        <v>9489.399999999996</v>
      </c>
      <c r="J98" s="388">
        <v>1.1599999999999999</v>
      </c>
      <c r="K98" s="751"/>
      <c r="L98" s="752"/>
    </row>
    <row r="99" spans="2:12" hidden="1">
      <c r="B99" s="383">
        <f t="shared" si="4"/>
        <v>96</v>
      </c>
      <c r="C99" s="383" t="s">
        <v>1708</v>
      </c>
      <c r="D99" s="383" t="s">
        <v>1615</v>
      </c>
      <c r="E99" s="385"/>
      <c r="F99" s="383">
        <v>0.44</v>
      </c>
      <c r="G99" s="383">
        <v>140</v>
      </c>
      <c r="H99" s="383">
        <v>25.1</v>
      </c>
      <c r="I99" s="383">
        <f t="shared" si="3"/>
        <v>9514.4999999999964</v>
      </c>
      <c r="J99" s="388">
        <v>1.1399999999999999</v>
      </c>
      <c r="K99" s="751"/>
      <c r="L99" s="752"/>
    </row>
    <row r="100" spans="2:12" hidden="1">
      <c r="B100" s="383">
        <f t="shared" si="4"/>
        <v>97</v>
      </c>
      <c r="C100" s="383" t="s">
        <v>1708</v>
      </c>
      <c r="D100" s="383" t="s">
        <v>1615</v>
      </c>
      <c r="E100" s="385" t="s">
        <v>149</v>
      </c>
      <c r="F100" s="383">
        <v>0.46</v>
      </c>
      <c r="G100" s="383">
        <v>140</v>
      </c>
      <c r="H100" s="383">
        <v>152.80000000000001</v>
      </c>
      <c r="I100" s="383">
        <f t="shared" si="3"/>
        <v>9667.2999999999956</v>
      </c>
      <c r="J100" s="388">
        <v>1.1399999999999999</v>
      </c>
      <c r="K100" s="751"/>
      <c r="L100" s="752"/>
    </row>
    <row r="101" spans="2:12" hidden="1">
      <c r="B101" s="383">
        <f t="shared" si="4"/>
        <v>98</v>
      </c>
      <c r="C101" s="383" t="s">
        <v>1576</v>
      </c>
      <c r="D101" s="383" t="s">
        <v>1577</v>
      </c>
      <c r="E101" s="385"/>
      <c r="F101" s="387"/>
      <c r="G101" s="383">
        <v>140</v>
      </c>
      <c r="H101" s="383">
        <v>20</v>
      </c>
      <c r="I101" s="383">
        <f t="shared" si="3"/>
        <v>9687.2999999999956</v>
      </c>
      <c r="J101" s="388">
        <v>1.1399999999999999</v>
      </c>
      <c r="K101" s="751"/>
      <c r="L101" s="752"/>
    </row>
    <row r="102" spans="2:12" hidden="1">
      <c r="B102" s="383">
        <f t="shared" si="4"/>
        <v>99</v>
      </c>
      <c r="C102" s="383" t="s">
        <v>1576</v>
      </c>
      <c r="D102" s="383" t="s">
        <v>1577</v>
      </c>
      <c r="E102" s="385" t="s">
        <v>45</v>
      </c>
      <c r="F102" s="383">
        <v>0.44</v>
      </c>
      <c r="G102" s="383">
        <v>140</v>
      </c>
      <c r="H102" s="383">
        <v>52</v>
      </c>
      <c r="I102" s="383">
        <f t="shared" si="3"/>
        <v>9739.2999999999956</v>
      </c>
      <c r="J102" s="388">
        <v>1.1399999999999999</v>
      </c>
      <c r="K102" s="751"/>
      <c r="L102" s="752"/>
    </row>
    <row r="103" spans="2:12" hidden="1">
      <c r="B103" s="383">
        <f t="shared" si="4"/>
        <v>100</v>
      </c>
      <c r="C103" s="383" t="s">
        <v>828</v>
      </c>
      <c r="D103" s="383" t="s">
        <v>119</v>
      </c>
      <c r="E103" s="387"/>
      <c r="F103" s="383"/>
      <c r="G103" s="383">
        <v>110</v>
      </c>
      <c r="H103" s="383">
        <v>122.7</v>
      </c>
      <c r="I103" s="383">
        <f t="shared" si="3"/>
        <v>9861.9999999999964</v>
      </c>
      <c r="J103" s="388">
        <v>1.1000000000000001</v>
      </c>
      <c r="K103" s="751"/>
      <c r="L103" s="752"/>
    </row>
    <row r="104" spans="2:12" hidden="1">
      <c r="B104" s="383">
        <f t="shared" si="4"/>
        <v>101</v>
      </c>
      <c r="C104" s="383" t="s">
        <v>119</v>
      </c>
      <c r="D104" s="383" t="s">
        <v>140</v>
      </c>
      <c r="E104" s="387"/>
      <c r="F104" s="387"/>
      <c r="G104" s="383">
        <v>110</v>
      </c>
      <c r="H104" s="383">
        <v>105.3</v>
      </c>
      <c r="I104" s="383">
        <f t="shared" si="3"/>
        <v>9967.2999999999956</v>
      </c>
      <c r="J104" s="388">
        <v>1.1000000000000001</v>
      </c>
      <c r="K104" s="751"/>
      <c r="L104" s="752"/>
    </row>
    <row r="105" spans="2:12" hidden="1">
      <c r="B105" s="383">
        <f t="shared" si="4"/>
        <v>102</v>
      </c>
      <c r="C105" s="383" t="s">
        <v>1363</v>
      </c>
      <c r="D105" s="383" t="s">
        <v>728</v>
      </c>
      <c r="E105" s="387"/>
      <c r="F105" s="387"/>
      <c r="G105" s="383">
        <v>110</v>
      </c>
      <c r="H105" s="383">
        <v>77.8</v>
      </c>
      <c r="I105" s="383">
        <f t="shared" si="3"/>
        <v>10045.099999999995</v>
      </c>
      <c r="J105" s="388">
        <v>1.1000000000000001</v>
      </c>
      <c r="K105" s="751"/>
      <c r="L105" s="752"/>
    </row>
    <row r="106" spans="2:12" hidden="1">
      <c r="B106" s="383">
        <f t="shared" si="4"/>
        <v>103</v>
      </c>
      <c r="C106" s="383" t="s">
        <v>1363</v>
      </c>
      <c r="D106" s="383" t="s">
        <v>72</v>
      </c>
      <c r="E106" s="387"/>
      <c r="F106" s="387"/>
      <c r="G106" s="383">
        <v>110</v>
      </c>
      <c r="H106" s="383">
        <v>74.8</v>
      </c>
      <c r="I106" s="383">
        <f t="shared" si="3"/>
        <v>10119.899999999994</v>
      </c>
      <c r="J106" s="388">
        <v>1.1000000000000001</v>
      </c>
      <c r="K106" s="751"/>
      <c r="L106" s="752"/>
    </row>
    <row r="107" spans="2:12" hidden="1">
      <c r="B107" s="383">
        <f t="shared" si="4"/>
        <v>104</v>
      </c>
      <c r="C107" s="383" t="s">
        <v>1685</v>
      </c>
      <c r="D107" s="383" t="s">
        <v>1775</v>
      </c>
      <c r="E107" s="387"/>
      <c r="F107" s="387"/>
      <c r="G107" s="383">
        <v>110</v>
      </c>
      <c r="H107" s="383">
        <v>106.4</v>
      </c>
      <c r="I107" s="383">
        <f t="shared" si="3"/>
        <v>10226.299999999994</v>
      </c>
      <c r="J107" s="388">
        <v>1.1000000000000001</v>
      </c>
      <c r="K107" s="751"/>
      <c r="L107" s="752"/>
    </row>
    <row r="108" spans="2:12" hidden="1">
      <c r="B108" s="383">
        <f t="shared" si="4"/>
        <v>105</v>
      </c>
      <c r="C108" s="383" t="s">
        <v>72</v>
      </c>
      <c r="D108" s="383" t="s">
        <v>41</v>
      </c>
      <c r="E108" s="387"/>
      <c r="F108" s="387"/>
      <c r="G108" s="383">
        <v>90</v>
      </c>
      <c r="H108" s="383">
        <v>79.2</v>
      </c>
      <c r="I108" s="383">
        <f t="shared" si="3"/>
        <v>10305.499999999995</v>
      </c>
      <c r="J108" s="388">
        <v>1.0900000000000001</v>
      </c>
      <c r="K108" s="751"/>
      <c r="L108" s="752"/>
    </row>
    <row r="109" spans="2:12" hidden="1">
      <c r="B109" s="383">
        <f t="shared" si="4"/>
        <v>106</v>
      </c>
      <c r="C109" s="383" t="s">
        <v>1138</v>
      </c>
      <c r="D109" s="383" t="s">
        <v>1776</v>
      </c>
      <c r="E109" s="387"/>
      <c r="F109" s="387"/>
      <c r="G109" s="383">
        <v>63</v>
      </c>
      <c r="H109" s="383">
        <v>32</v>
      </c>
      <c r="I109" s="383">
        <f t="shared" si="3"/>
        <v>10337.499999999995</v>
      </c>
      <c r="J109" s="388">
        <v>1.06</v>
      </c>
      <c r="K109" s="751"/>
      <c r="L109" s="752"/>
    </row>
    <row r="110" spans="2:12" hidden="1">
      <c r="B110" s="383">
        <f t="shared" si="4"/>
        <v>107</v>
      </c>
      <c r="C110" s="383" t="s">
        <v>1564</v>
      </c>
      <c r="D110" s="383" t="s">
        <v>1565</v>
      </c>
      <c r="E110" s="387"/>
      <c r="F110" s="387"/>
      <c r="G110" s="383">
        <v>63</v>
      </c>
      <c r="H110" s="383">
        <v>31</v>
      </c>
      <c r="I110" s="383">
        <f t="shared" si="3"/>
        <v>10368.499999999995</v>
      </c>
      <c r="J110" s="388">
        <v>1.06</v>
      </c>
      <c r="K110" s="751"/>
      <c r="L110" s="752"/>
    </row>
    <row r="111" spans="2:12" hidden="1">
      <c r="B111" s="383">
        <f t="shared" si="4"/>
        <v>108</v>
      </c>
      <c r="C111" s="383" t="s">
        <v>913</v>
      </c>
      <c r="D111" s="383" t="s">
        <v>1197</v>
      </c>
      <c r="E111" s="387"/>
      <c r="F111" s="387"/>
      <c r="G111" s="383">
        <v>63</v>
      </c>
      <c r="H111" s="383">
        <v>21.1</v>
      </c>
      <c r="I111" s="383">
        <f t="shared" si="3"/>
        <v>10389.599999999995</v>
      </c>
      <c r="J111" s="388">
        <v>1.06</v>
      </c>
      <c r="K111" s="751"/>
      <c r="L111" s="752"/>
    </row>
    <row r="112" spans="2:12" hidden="1">
      <c r="B112" s="383">
        <f t="shared" si="4"/>
        <v>109</v>
      </c>
      <c r="C112" s="383" t="s">
        <v>37</v>
      </c>
      <c r="D112" s="383" t="s">
        <v>62</v>
      </c>
      <c r="E112" s="385" t="s">
        <v>149</v>
      </c>
      <c r="F112" s="385">
        <v>0.46</v>
      </c>
      <c r="G112" s="383">
        <v>63</v>
      </c>
      <c r="H112" s="383">
        <v>97</v>
      </c>
      <c r="I112" s="383">
        <f t="shared" si="3"/>
        <v>10486.599999999995</v>
      </c>
      <c r="J112" s="388">
        <v>1.06</v>
      </c>
      <c r="K112" s="751"/>
      <c r="L112" s="752"/>
    </row>
    <row r="113" spans="2:12" hidden="1">
      <c r="B113" s="383">
        <f t="shared" si="4"/>
        <v>110</v>
      </c>
      <c r="C113" s="383" t="s">
        <v>91</v>
      </c>
      <c r="D113" s="383" t="s">
        <v>104</v>
      </c>
      <c r="E113" s="396" t="s">
        <v>102</v>
      </c>
      <c r="F113" s="385">
        <v>0.36</v>
      </c>
      <c r="G113" s="383">
        <v>63</v>
      </c>
      <c r="H113" s="383">
        <v>298.7</v>
      </c>
      <c r="I113" s="383">
        <f t="shared" si="3"/>
        <v>10785.299999999996</v>
      </c>
      <c r="J113" s="388">
        <v>1.06</v>
      </c>
      <c r="K113" s="751"/>
      <c r="L113" s="752"/>
    </row>
    <row r="114" spans="2:12" hidden="1">
      <c r="B114" s="383">
        <f t="shared" si="4"/>
        <v>111</v>
      </c>
      <c r="C114" s="383" t="s">
        <v>164</v>
      </c>
      <c r="D114" s="383" t="s">
        <v>69</v>
      </c>
      <c r="E114" s="396" t="s">
        <v>102</v>
      </c>
      <c r="F114" s="385">
        <v>0.36</v>
      </c>
      <c r="G114" s="383">
        <v>63</v>
      </c>
      <c r="H114" s="383">
        <v>133</v>
      </c>
      <c r="I114" s="383">
        <f t="shared" si="3"/>
        <v>10918.299999999996</v>
      </c>
      <c r="J114" s="388">
        <v>1.06</v>
      </c>
      <c r="K114" s="751"/>
      <c r="L114" s="752"/>
    </row>
    <row r="115" spans="2:12" hidden="1">
      <c r="B115" s="383">
        <f t="shared" si="4"/>
        <v>112</v>
      </c>
      <c r="C115" s="383" t="s">
        <v>51</v>
      </c>
      <c r="D115" s="383" t="s">
        <v>67</v>
      </c>
      <c r="E115" s="396" t="s">
        <v>102</v>
      </c>
      <c r="F115" s="385">
        <v>0.36</v>
      </c>
      <c r="G115" s="383">
        <v>63</v>
      </c>
      <c r="H115" s="383">
        <v>238.4</v>
      </c>
      <c r="I115" s="383">
        <f t="shared" si="3"/>
        <v>11156.699999999995</v>
      </c>
      <c r="J115" s="388">
        <v>1.06</v>
      </c>
      <c r="K115" s="751"/>
      <c r="L115" s="752"/>
    </row>
    <row r="116" spans="2:12" hidden="1">
      <c r="B116" s="383">
        <f t="shared" si="4"/>
        <v>113</v>
      </c>
      <c r="C116" s="383" t="s">
        <v>67</v>
      </c>
      <c r="D116" s="383" t="s">
        <v>1418</v>
      </c>
      <c r="E116" s="396" t="s">
        <v>102</v>
      </c>
      <c r="F116" s="385">
        <v>0.36</v>
      </c>
      <c r="G116" s="383">
        <v>63</v>
      </c>
      <c r="H116" s="383">
        <v>11.2</v>
      </c>
      <c r="I116" s="383">
        <f t="shared" si="3"/>
        <v>11167.899999999996</v>
      </c>
      <c r="J116" s="388">
        <v>1.06</v>
      </c>
      <c r="K116" s="751"/>
      <c r="L116" s="752"/>
    </row>
    <row r="117" spans="2:12" hidden="1">
      <c r="B117" s="383">
        <f t="shared" si="4"/>
        <v>114</v>
      </c>
      <c r="C117" s="383" t="s">
        <v>1418</v>
      </c>
      <c r="D117" s="383" t="s">
        <v>124</v>
      </c>
      <c r="E117" s="396" t="s">
        <v>102</v>
      </c>
      <c r="F117" s="385">
        <v>0.36</v>
      </c>
      <c r="G117" s="383">
        <v>63</v>
      </c>
      <c r="H117" s="383">
        <v>44.5</v>
      </c>
      <c r="I117" s="383">
        <f t="shared" si="3"/>
        <v>11212.399999999996</v>
      </c>
      <c r="J117" s="388">
        <v>1.06</v>
      </c>
      <c r="K117" s="751"/>
      <c r="L117" s="752"/>
    </row>
    <row r="118" spans="2:12" hidden="1">
      <c r="B118" s="383">
        <f t="shared" si="4"/>
        <v>115</v>
      </c>
      <c r="C118" s="383" t="s">
        <v>124</v>
      </c>
      <c r="D118" s="383" t="s">
        <v>833</v>
      </c>
      <c r="E118" s="396" t="s">
        <v>102</v>
      </c>
      <c r="F118" s="385">
        <v>0.36</v>
      </c>
      <c r="G118" s="383">
        <v>63</v>
      </c>
      <c r="H118" s="383">
        <v>45.5</v>
      </c>
      <c r="I118" s="383">
        <f t="shared" si="3"/>
        <v>11257.899999999996</v>
      </c>
      <c r="J118" s="388">
        <v>1.06</v>
      </c>
      <c r="K118" s="751"/>
      <c r="L118" s="752"/>
    </row>
    <row r="119" spans="2:12" hidden="1">
      <c r="B119" s="383">
        <f t="shared" si="4"/>
        <v>116</v>
      </c>
      <c r="C119" s="383" t="s">
        <v>833</v>
      </c>
      <c r="D119" s="383" t="s">
        <v>74</v>
      </c>
      <c r="E119" s="396" t="s">
        <v>102</v>
      </c>
      <c r="F119" s="385">
        <v>0.36</v>
      </c>
      <c r="G119" s="383">
        <v>63</v>
      </c>
      <c r="H119" s="383">
        <v>22.3</v>
      </c>
      <c r="I119" s="383">
        <f t="shared" si="3"/>
        <v>11280.199999999995</v>
      </c>
      <c r="J119" s="388">
        <v>1.06</v>
      </c>
      <c r="K119" s="751"/>
      <c r="L119" s="752"/>
    </row>
    <row r="120" spans="2:12" hidden="1">
      <c r="B120" s="389">
        <f t="shared" si="4"/>
        <v>117</v>
      </c>
      <c r="C120" s="383" t="s">
        <v>1689</v>
      </c>
      <c r="D120" s="383" t="s">
        <v>1624</v>
      </c>
      <c r="E120" s="388" t="s">
        <v>102</v>
      </c>
      <c r="F120" s="388">
        <v>0.44</v>
      </c>
      <c r="G120" s="383">
        <v>140</v>
      </c>
      <c r="H120" s="383">
        <v>6.2</v>
      </c>
      <c r="I120" s="383">
        <f t="shared" si="3"/>
        <v>11286.399999999996</v>
      </c>
      <c r="J120" s="388">
        <v>1.1399999999999999</v>
      </c>
      <c r="K120" s="751"/>
      <c r="L120" s="752"/>
    </row>
    <row r="121" spans="2:12" hidden="1">
      <c r="B121" s="389">
        <f t="shared" si="4"/>
        <v>118</v>
      </c>
      <c r="C121" s="383" t="s">
        <v>1689</v>
      </c>
      <c r="D121" s="383" t="s">
        <v>1624</v>
      </c>
      <c r="E121" s="387"/>
      <c r="F121" s="387"/>
      <c r="G121" s="383">
        <v>140</v>
      </c>
      <c r="H121" s="383">
        <v>29.7</v>
      </c>
      <c r="I121" s="383">
        <f t="shared" si="3"/>
        <v>11316.099999999997</v>
      </c>
      <c r="J121" s="388">
        <v>1.1399999999999999</v>
      </c>
      <c r="K121" s="751"/>
      <c r="L121" s="752"/>
    </row>
    <row r="122" spans="2:12" hidden="1">
      <c r="B122" s="389">
        <f t="shared" si="4"/>
        <v>119</v>
      </c>
      <c r="C122" s="383" t="s">
        <v>1624</v>
      </c>
      <c r="D122" s="383" t="s">
        <v>1625</v>
      </c>
      <c r="E122" s="387"/>
      <c r="F122" s="387"/>
      <c r="G122" s="383">
        <v>140</v>
      </c>
      <c r="H122" s="383">
        <v>34.299999999999997</v>
      </c>
      <c r="I122" s="383">
        <f t="shared" si="3"/>
        <v>11350.399999999996</v>
      </c>
      <c r="J122" s="388">
        <v>1.1399999999999999</v>
      </c>
      <c r="K122" s="751"/>
      <c r="L122" s="752"/>
    </row>
    <row r="123" spans="2:12" hidden="1">
      <c r="B123" s="389">
        <f t="shared" si="4"/>
        <v>120</v>
      </c>
      <c r="C123" s="383" t="s">
        <v>1649</v>
      </c>
      <c r="D123" s="383" t="s">
        <v>1777</v>
      </c>
      <c r="E123" s="388" t="s">
        <v>45</v>
      </c>
      <c r="F123" s="385">
        <v>0.44</v>
      </c>
      <c r="G123" s="383">
        <v>140</v>
      </c>
      <c r="H123" s="383">
        <v>50.6</v>
      </c>
      <c r="I123" s="383">
        <f t="shared" si="3"/>
        <v>11400.999999999996</v>
      </c>
      <c r="J123" s="388">
        <v>1.1399999999999999</v>
      </c>
      <c r="K123" s="751"/>
      <c r="L123" s="752"/>
    </row>
    <row r="124" spans="2:12" hidden="1">
      <c r="B124" s="389">
        <f t="shared" si="4"/>
        <v>121</v>
      </c>
      <c r="C124" s="383" t="s">
        <v>1617</v>
      </c>
      <c r="D124" s="383" t="s">
        <v>1618</v>
      </c>
      <c r="E124" s="388" t="s">
        <v>45</v>
      </c>
      <c r="F124" s="385">
        <v>0.36</v>
      </c>
      <c r="G124" s="383">
        <v>63</v>
      </c>
      <c r="H124" s="383">
        <v>6.5</v>
      </c>
      <c r="I124" s="383">
        <f t="shared" si="3"/>
        <v>11407.499999999996</v>
      </c>
      <c r="J124" s="385">
        <v>1.06</v>
      </c>
      <c r="K124" s="751"/>
      <c r="L124" s="752"/>
    </row>
    <row r="125" spans="2:12" hidden="1">
      <c r="B125" s="389">
        <f t="shared" si="4"/>
        <v>122</v>
      </c>
      <c r="C125" s="383" t="s">
        <v>1328</v>
      </c>
      <c r="D125" s="383" t="s">
        <v>1709</v>
      </c>
      <c r="E125" s="388" t="s">
        <v>102</v>
      </c>
      <c r="F125" s="385">
        <v>0.5</v>
      </c>
      <c r="G125" s="383">
        <v>200</v>
      </c>
      <c r="H125" s="383">
        <v>6.9</v>
      </c>
      <c r="I125" s="383">
        <f t="shared" si="3"/>
        <v>11414.399999999996</v>
      </c>
      <c r="J125" s="385">
        <v>1.2</v>
      </c>
      <c r="K125" s="751"/>
      <c r="L125" s="752"/>
    </row>
    <row r="126" spans="2:12" hidden="1">
      <c r="B126" s="389">
        <f t="shared" si="4"/>
        <v>123</v>
      </c>
      <c r="C126" s="383" t="s">
        <v>1778</v>
      </c>
      <c r="D126" s="383" t="s">
        <v>1779</v>
      </c>
      <c r="E126" s="388" t="s">
        <v>102</v>
      </c>
      <c r="F126" s="385">
        <v>0.36</v>
      </c>
      <c r="G126" s="383">
        <v>63</v>
      </c>
      <c r="H126" s="383">
        <v>3.5</v>
      </c>
      <c r="I126" s="383">
        <f t="shared" si="3"/>
        <v>11417.899999999996</v>
      </c>
      <c r="J126" s="385">
        <v>1.06</v>
      </c>
      <c r="K126" s="751"/>
      <c r="L126" s="752"/>
    </row>
    <row r="127" spans="2:12" hidden="1">
      <c r="B127" s="389">
        <f t="shared" si="4"/>
        <v>124</v>
      </c>
      <c r="C127" s="383" t="s">
        <v>1603</v>
      </c>
      <c r="D127" s="383" t="s">
        <v>1604</v>
      </c>
      <c r="E127" s="388" t="s">
        <v>102</v>
      </c>
      <c r="F127" s="385">
        <v>0.36</v>
      </c>
      <c r="G127" s="383">
        <v>63</v>
      </c>
      <c r="H127" s="383">
        <v>7</v>
      </c>
      <c r="I127" s="383">
        <f t="shared" si="3"/>
        <v>11424.899999999996</v>
      </c>
      <c r="J127" s="385">
        <v>1.06</v>
      </c>
      <c r="K127" s="751"/>
      <c r="L127" s="752"/>
    </row>
    <row r="128" spans="2:12" hidden="1">
      <c r="B128" s="389">
        <f t="shared" si="4"/>
        <v>125</v>
      </c>
      <c r="C128" s="383" t="s">
        <v>1704</v>
      </c>
      <c r="D128" s="383" t="s">
        <v>1202</v>
      </c>
      <c r="E128" s="388" t="s">
        <v>102</v>
      </c>
      <c r="F128" s="385">
        <v>0.36</v>
      </c>
      <c r="G128" s="383">
        <v>63</v>
      </c>
      <c r="H128" s="383">
        <v>6.5</v>
      </c>
      <c r="I128" s="383">
        <f t="shared" si="3"/>
        <v>11431.399999999996</v>
      </c>
      <c r="J128" s="385">
        <v>1.06</v>
      </c>
      <c r="K128" s="751"/>
      <c r="L128" s="752"/>
    </row>
    <row r="129" spans="2:12" hidden="1">
      <c r="B129" s="389">
        <f t="shared" si="4"/>
        <v>126</v>
      </c>
      <c r="C129" s="383" t="s">
        <v>1053</v>
      </c>
      <c r="D129" s="383" t="s">
        <v>889</v>
      </c>
      <c r="E129" s="388" t="s">
        <v>38</v>
      </c>
      <c r="F129" s="385">
        <v>0.36</v>
      </c>
      <c r="G129" s="383">
        <v>63</v>
      </c>
      <c r="H129" s="383">
        <v>6.9</v>
      </c>
      <c r="I129" s="383">
        <f t="shared" si="3"/>
        <v>11438.299999999996</v>
      </c>
      <c r="J129" s="385">
        <v>1.06</v>
      </c>
      <c r="K129" s="751"/>
      <c r="L129" s="752"/>
    </row>
    <row r="130" spans="2:12" hidden="1">
      <c r="B130" s="383">
        <f t="shared" si="4"/>
        <v>127</v>
      </c>
      <c r="C130" s="385" t="s">
        <v>144</v>
      </c>
      <c r="D130" s="385" t="s">
        <v>1780</v>
      </c>
      <c r="E130" s="385"/>
      <c r="F130" s="385"/>
      <c r="G130" s="385">
        <v>63</v>
      </c>
      <c r="H130" s="390">
        <v>302</v>
      </c>
      <c r="I130" s="383">
        <f t="shared" si="3"/>
        <v>11740.299999999996</v>
      </c>
      <c r="J130" s="385">
        <v>1.06</v>
      </c>
      <c r="K130" s="753"/>
      <c r="L130" s="753"/>
    </row>
    <row r="131" spans="2:12" hidden="1">
      <c r="B131" s="387"/>
      <c r="C131" s="387"/>
      <c r="D131" s="387"/>
      <c r="E131" s="383">
        <v>63</v>
      </c>
      <c r="F131" s="383">
        <v>90</v>
      </c>
      <c r="G131" s="383">
        <v>110</v>
      </c>
      <c r="H131" s="385">
        <v>140</v>
      </c>
      <c r="I131" s="383">
        <v>160</v>
      </c>
      <c r="J131" s="383">
        <v>200</v>
      </c>
      <c r="K131" s="753"/>
      <c r="L131" s="753"/>
    </row>
    <row r="132" spans="2:12" hidden="1">
      <c r="B132" s="387"/>
      <c r="C132" s="387"/>
      <c r="D132" s="387"/>
      <c r="E132" s="383">
        <f>+SUMIF($G$4:$G$130,E131,$H$4:$H$130)</f>
        <v>2611.4999999999995</v>
      </c>
      <c r="F132" s="383">
        <f t="shared" ref="F132:J132" si="5">+SUMIF($G$4:$G$130,F131,$H$4:$H$130)</f>
        <v>258.09999999999997</v>
      </c>
      <c r="G132" s="383">
        <f t="shared" si="5"/>
        <v>858.69999999999982</v>
      </c>
      <c r="H132" s="383">
        <f t="shared" si="5"/>
        <v>1496.1999999999998</v>
      </c>
      <c r="I132" s="383">
        <f t="shared" si="5"/>
        <v>3547.3000000000006</v>
      </c>
      <c r="J132" s="383">
        <f t="shared" si="5"/>
        <v>2968.5000000000005</v>
      </c>
      <c r="K132" s="751">
        <f>+E132+F132+G132+H132+I132+J132</f>
        <v>11740.3</v>
      </c>
      <c r="L132" s="752"/>
    </row>
    <row r="133" spans="2:12" ht="15.75" hidden="1">
      <c r="B133" s="391" t="s">
        <v>365</v>
      </c>
      <c r="C133" s="387"/>
      <c r="D133" s="387"/>
      <c r="E133" s="387"/>
      <c r="F133" s="387" t="s">
        <v>366</v>
      </c>
      <c r="G133" s="387"/>
      <c r="H133" s="387"/>
      <c r="I133" s="734" t="s">
        <v>367</v>
      </c>
      <c r="J133" s="734"/>
      <c r="K133" s="734"/>
      <c r="L133" s="734"/>
    </row>
    <row r="134" spans="2:12" ht="15.75" hidden="1">
      <c r="B134" s="391" t="s">
        <v>368</v>
      </c>
      <c r="C134" s="387"/>
      <c r="D134" s="734"/>
      <c r="E134" s="734"/>
      <c r="F134" s="387" t="s">
        <v>368</v>
      </c>
      <c r="G134" s="734"/>
      <c r="H134" s="734"/>
      <c r="I134" s="387" t="s">
        <v>368</v>
      </c>
      <c r="J134" s="734"/>
      <c r="K134" s="734"/>
      <c r="L134" s="734"/>
    </row>
    <row r="135" spans="2:12" ht="15.75" hidden="1">
      <c r="B135" s="391" t="s">
        <v>369</v>
      </c>
      <c r="C135" s="734"/>
      <c r="D135" s="734"/>
      <c r="E135" s="734"/>
      <c r="F135" s="387" t="s">
        <v>369</v>
      </c>
      <c r="G135" s="734"/>
      <c r="H135" s="734"/>
      <c r="I135" s="387" t="s">
        <v>369</v>
      </c>
      <c r="J135" s="734"/>
      <c r="K135" s="734"/>
      <c r="L135" s="734"/>
    </row>
    <row r="136" spans="2:12" ht="15.75" hidden="1">
      <c r="B136" s="391" t="s">
        <v>370</v>
      </c>
      <c r="C136" s="387"/>
      <c r="D136" s="734"/>
      <c r="E136" s="734"/>
      <c r="F136" s="387" t="s">
        <v>370</v>
      </c>
      <c r="G136" s="734"/>
      <c r="H136" s="734"/>
      <c r="I136" s="387" t="s">
        <v>370</v>
      </c>
      <c r="J136" s="734"/>
      <c r="K136" s="734"/>
      <c r="L136" s="734"/>
    </row>
    <row r="139" spans="2:12" hidden="1">
      <c r="E139" s="733" t="s">
        <v>1781</v>
      </c>
      <c r="F139" s="734"/>
      <c r="G139" s="734"/>
    </row>
    <row r="140" spans="2:12" ht="15.75" hidden="1">
      <c r="B140" s="392" t="s">
        <v>757</v>
      </c>
      <c r="C140" s="393">
        <v>63</v>
      </c>
      <c r="D140" s="393">
        <v>75</v>
      </c>
      <c r="E140" s="393">
        <v>90</v>
      </c>
      <c r="F140" s="393">
        <v>110</v>
      </c>
      <c r="G140" s="393">
        <v>140</v>
      </c>
      <c r="H140" s="393">
        <v>160</v>
      </c>
      <c r="I140" s="394">
        <v>200</v>
      </c>
      <c r="J140" s="394" t="s">
        <v>1782</v>
      </c>
      <c r="K140" s="393" t="s">
        <v>874</v>
      </c>
    </row>
    <row r="141" spans="2:12" hidden="1">
      <c r="B141" s="388" t="s">
        <v>45</v>
      </c>
      <c r="C141" s="395">
        <f>+SUMIFS($H$4:$H$130,$E$4:$E$130,$B$141,$G$4:$G$130,C140)</f>
        <v>132.30000000000001</v>
      </c>
      <c r="D141" s="395">
        <f t="shared" ref="D141:I141" si="6">+SUMIFS($H$4:$H$130,$E$4:$E$130,$B$141,$G$4:$G$130,D140)</f>
        <v>0</v>
      </c>
      <c r="E141" s="395">
        <f t="shared" si="6"/>
        <v>0</v>
      </c>
      <c r="F141" s="395">
        <f t="shared" si="6"/>
        <v>30.2</v>
      </c>
      <c r="G141" s="395">
        <f t="shared" si="6"/>
        <v>176.9</v>
      </c>
      <c r="H141" s="395">
        <f t="shared" si="6"/>
        <v>365.40000000000003</v>
      </c>
      <c r="I141" s="395">
        <f t="shared" si="6"/>
        <v>195.9</v>
      </c>
      <c r="J141" s="385">
        <v>0.41599999999999998</v>
      </c>
      <c r="K141" s="395">
        <f>+(C141+D141+E141+F141+G141+H141+I141)*J141</f>
        <v>374.69119999999998</v>
      </c>
    </row>
    <row r="142" spans="2:12" hidden="1">
      <c r="B142" s="388" t="s">
        <v>102</v>
      </c>
      <c r="C142" s="395">
        <f>+SUMIFS($H$4:$H$130,$E$4:$E$130,$B$142,$G$4:$G$130,C140)</f>
        <v>829.3</v>
      </c>
      <c r="D142" s="395">
        <f t="shared" ref="D142:I142" si="7">+SUMIFS($H$4:$H$130,$E$4:$E$130,$B$142,$G$4:$G$130,D140)</f>
        <v>0</v>
      </c>
      <c r="E142" s="395">
        <f t="shared" si="7"/>
        <v>0</v>
      </c>
      <c r="F142" s="395">
        <f t="shared" si="7"/>
        <v>5</v>
      </c>
      <c r="G142" s="395">
        <f t="shared" si="7"/>
        <v>212.39999999999998</v>
      </c>
      <c r="H142" s="395">
        <f t="shared" si="7"/>
        <v>99.6</v>
      </c>
      <c r="I142" s="395">
        <f t="shared" si="7"/>
        <v>2507.9000000000005</v>
      </c>
      <c r="J142" s="385">
        <v>0.46100000000000002</v>
      </c>
      <c r="K142" s="395">
        <f t="shared" ref="K142:K144" si="8">+(C142+D142+E142+F142+G142+H142+I142)*J142</f>
        <v>1684.5862000000002</v>
      </c>
    </row>
    <row r="143" spans="2:12" hidden="1">
      <c r="B143" s="385" t="s">
        <v>149</v>
      </c>
      <c r="C143" s="395">
        <f>+SUMIFS($H$4:$H$130,$E$4:$E$130,$B$143,$G$4:$G$130,C140)</f>
        <v>453.5</v>
      </c>
      <c r="D143" s="395">
        <f t="shared" ref="D143:I143" si="9">+SUMIFS($H$4:$H$130,$E$4:$E$130,$B$143,$G$4:$G$130,D140)</f>
        <v>0</v>
      </c>
      <c r="E143" s="395">
        <f t="shared" si="9"/>
        <v>0</v>
      </c>
      <c r="F143" s="395">
        <f t="shared" si="9"/>
        <v>0</v>
      </c>
      <c r="G143" s="395">
        <f t="shared" si="9"/>
        <v>152.80000000000001</v>
      </c>
      <c r="H143" s="395">
        <f t="shared" si="9"/>
        <v>0</v>
      </c>
      <c r="I143" s="395">
        <f t="shared" si="9"/>
        <v>0</v>
      </c>
      <c r="J143" s="385">
        <v>0.36</v>
      </c>
      <c r="K143" s="395">
        <f t="shared" si="8"/>
        <v>218.26799999999997</v>
      </c>
    </row>
    <row r="144" spans="2:12" hidden="1">
      <c r="B144" s="383" t="s">
        <v>147</v>
      </c>
      <c r="C144" s="395">
        <f>+SUMIFS($H$4:$H$130,$E$4:$E$130,$B$144,$G$4:$G$130,C140)</f>
        <v>715.5</v>
      </c>
      <c r="D144" s="395">
        <f t="shared" ref="D144:I144" si="10">+SUMIFS($H$4:$H$130,$E$4:$E$130,$B$144,$G$4:$G$130,D140)</f>
        <v>0</v>
      </c>
      <c r="E144" s="395">
        <f t="shared" si="10"/>
        <v>0</v>
      </c>
      <c r="F144" s="395">
        <f t="shared" si="10"/>
        <v>0</v>
      </c>
      <c r="G144" s="395">
        <f t="shared" si="10"/>
        <v>0</v>
      </c>
      <c r="H144" s="395">
        <f t="shared" si="10"/>
        <v>0</v>
      </c>
      <c r="I144" s="395">
        <f t="shared" si="10"/>
        <v>0</v>
      </c>
      <c r="J144" s="385">
        <v>0.46600000000000003</v>
      </c>
      <c r="K144" s="395">
        <f t="shared" si="8"/>
        <v>333.423</v>
      </c>
    </row>
    <row r="145" spans="2:12" ht="15.75" hidden="1">
      <c r="B145" s="391" t="s">
        <v>365</v>
      </c>
      <c r="C145" s="387"/>
      <c r="D145" s="387"/>
      <c r="E145" s="387"/>
      <c r="F145" s="387" t="s">
        <v>366</v>
      </c>
      <c r="G145" s="387"/>
      <c r="H145" s="387"/>
      <c r="I145" s="734" t="s">
        <v>367</v>
      </c>
      <c r="J145" s="734"/>
      <c r="K145" s="734"/>
      <c r="L145" s="734"/>
    </row>
    <row r="146" spans="2:12" ht="15.75" hidden="1">
      <c r="B146" s="391" t="s">
        <v>368</v>
      </c>
      <c r="C146" s="387"/>
      <c r="D146" s="734"/>
      <c r="E146" s="734"/>
      <c r="F146" s="387" t="s">
        <v>368</v>
      </c>
      <c r="G146" s="734"/>
      <c r="H146" s="734"/>
      <c r="I146" s="387" t="s">
        <v>368</v>
      </c>
      <c r="J146" s="734"/>
      <c r="K146" s="734"/>
      <c r="L146" s="734"/>
    </row>
    <row r="147" spans="2:12" ht="15.75" hidden="1">
      <c r="B147" s="391" t="s">
        <v>369</v>
      </c>
      <c r="C147" s="734"/>
      <c r="D147" s="734"/>
      <c r="E147" s="734"/>
      <c r="F147" s="387" t="s">
        <v>369</v>
      </c>
      <c r="G147" s="734"/>
      <c r="H147" s="734"/>
      <c r="I147" s="387" t="s">
        <v>369</v>
      </c>
      <c r="J147" s="734"/>
      <c r="K147" s="734"/>
      <c r="L147" s="734"/>
    </row>
    <row r="148" spans="2:12" ht="15.75" hidden="1">
      <c r="B148" s="391" t="s">
        <v>370</v>
      </c>
      <c r="C148" s="387"/>
      <c r="D148" s="734"/>
      <c r="E148" s="734"/>
      <c r="F148" s="387" t="s">
        <v>370</v>
      </c>
      <c r="G148" s="734"/>
      <c r="H148" s="734"/>
      <c r="I148" s="387" t="s">
        <v>370</v>
      </c>
      <c r="J148" s="734"/>
      <c r="K148" s="734"/>
      <c r="L148" s="734"/>
    </row>
    <row r="149" spans="2:12" hidden="1"/>
  </sheetData>
  <autoFilter ref="B3:P136">
    <filterColumn colId="3">
      <filters>
        <filter val="cc"/>
      </filters>
    </filterColumn>
    <filterColumn colId="9" showButton="0"/>
  </autoFilter>
  <mergeCells count="152">
    <mergeCell ref="C147:E147"/>
    <mergeCell ref="G147:H147"/>
    <mergeCell ref="J147:L147"/>
    <mergeCell ref="D148:E148"/>
    <mergeCell ref="G148:H148"/>
    <mergeCell ref="J148:L148"/>
    <mergeCell ref="D136:E136"/>
    <mergeCell ref="G136:H136"/>
    <mergeCell ref="J136:L136"/>
    <mergeCell ref="E139:G139"/>
    <mergeCell ref="I145:L145"/>
    <mergeCell ref="D146:E146"/>
    <mergeCell ref="G146:H146"/>
    <mergeCell ref="J146:L146"/>
    <mergeCell ref="D134:E134"/>
    <mergeCell ref="G134:H134"/>
    <mergeCell ref="J134:L134"/>
    <mergeCell ref="C135:E135"/>
    <mergeCell ref="G135:H135"/>
    <mergeCell ref="J135:L135"/>
    <mergeCell ref="K128:L128"/>
    <mergeCell ref="K129:L129"/>
    <mergeCell ref="K130:L130"/>
    <mergeCell ref="K131:L131"/>
    <mergeCell ref="K132:L132"/>
    <mergeCell ref="I133:L133"/>
    <mergeCell ref="K122:L122"/>
    <mergeCell ref="K123:L123"/>
    <mergeCell ref="K124:L124"/>
    <mergeCell ref="K125:L125"/>
    <mergeCell ref="K126:L126"/>
    <mergeCell ref="K127:L127"/>
    <mergeCell ref="K116:L116"/>
    <mergeCell ref="K117:L117"/>
    <mergeCell ref="K118:L118"/>
    <mergeCell ref="K119:L119"/>
    <mergeCell ref="K120:L120"/>
    <mergeCell ref="K121:L121"/>
    <mergeCell ref="K110:L110"/>
    <mergeCell ref="K111:L111"/>
    <mergeCell ref="K112:L112"/>
    <mergeCell ref="K113:L113"/>
    <mergeCell ref="K114:L114"/>
    <mergeCell ref="K115:L115"/>
    <mergeCell ref="K104:L104"/>
    <mergeCell ref="K105:L105"/>
    <mergeCell ref="K106:L106"/>
    <mergeCell ref="K107:L107"/>
    <mergeCell ref="K108:L108"/>
    <mergeCell ref="K109:L109"/>
    <mergeCell ref="K98:L98"/>
    <mergeCell ref="K99:L99"/>
    <mergeCell ref="K100:L100"/>
    <mergeCell ref="K101:L101"/>
    <mergeCell ref="K102:L102"/>
    <mergeCell ref="K103:L103"/>
    <mergeCell ref="K92:L92"/>
    <mergeCell ref="K93:L93"/>
    <mergeCell ref="K94:L94"/>
    <mergeCell ref="K95:L95"/>
    <mergeCell ref="K96:L96"/>
    <mergeCell ref="K97:L97"/>
    <mergeCell ref="K86:L86"/>
    <mergeCell ref="K87:L87"/>
    <mergeCell ref="K88:L88"/>
    <mergeCell ref="K89:L89"/>
    <mergeCell ref="K90:L90"/>
    <mergeCell ref="K91:L91"/>
    <mergeCell ref="K80:L80"/>
    <mergeCell ref="K81:L81"/>
    <mergeCell ref="K82:L82"/>
    <mergeCell ref="K83:L83"/>
    <mergeCell ref="K84:L84"/>
    <mergeCell ref="K85:L85"/>
    <mergeCell ref="K74:L74"/>
    <mergeCell ref="K75:L75"/>
    <mergeCell ref="K76:L76"/>
    <mergeCell ref="K77:L77"/>
    <mergeCell ref="K78:L78"/>
    <mergeCell ref="K79:L79"/>
    <mergeCell ref="K68:L68"/>
    <mergeCell ref="K69:L69"/>
    <mergeCell ref="K70:L70"/>
    <mergeCell ref="K71:L71"/>
    <mergeCell ref="K72:L72"/>
    <mergeCell ref="K73:L73"/>
    <mergeCell ref="K62:L62"/>
    <mergeCell ref="K63:L63"/>
    <mergeCell ref="K64:L64"/>
    <mergeCell ref="K65:L65"/>
    <mergeCell ref="K66:L66"/>
    <mergeCell ref="K67:L67"/>
    <mergeCell ref="K56:L56"/>
    <mergeCell ref="K57:L57"/>
    <mergeCell ref="K58:L58"/>
    <mergeCell ref="K59:L59"/>
    <mergeCell ref="K60:L60"/>
    <mergeCell ref="K61:L61"/>
    <mergeCell ref="K50:L50"/>
    <mergeCell ref="K51:L51"/>
    <mergeCell ref="K52:L52"/>
    <mergeCell ref="K53:L53"/>
    <mergeCell ref="K54:L54"/>
    <mergeCell ref="K55:L55"/>
    <mergeCell ref="K44:L44"/>
    <mergeCell ref="K45:L45"/>
    <mergeCell ref="K46:L46"/>
    <mergeCell ref="K47:L47"/>
    <mergeCell ref="K48:L48"/>
    <mergeCell ref="K49:L49"/>
    <mergeCell ref="K38:L38"/>
    <mergeCell ref="K39:L39"/>
    <mergeCell ref="K40:L40"/>
    <mergeCell ref="K41:L41"/>
    <mergeCell ref="K42:L42"/>
    <mergeCell ref="K43:L43"/>
    <mergeCell ref="K32:L32"/>
    <mergeCell ref="K33:L33"/>
    <mergeCell ref="K34:L34"/>
    <mergeCell ref="K35:L35"/>
    <mergeCell ref="K36:L36"/>
    <mergeCell ref="K37:L37"/>
    <mergeCell ref="K26:L26"/>
    <mergeCell ref="K27:L27"/>
    <mergeCell ref="K28:L28"/>
    <mergeCell ref="K29:L29"/>
    <mergeCell ref="K30:L30"/>
    <mergeCell ref="K31:L31"/>
    <mergeCell ref="K20:L20"/>
    <mergeCell ref="K21:L21"/>
    <mergeCell ref="K22:L22"/>
    <mergeCell ref="K23:L23"/>
    <mergeCell ref="K24:L24"/>
    <mergeCell ref="K25:L25"/>
    <mergeCell ref="K17:L17"/>
    <mergeCell ref="K18:L18"/>
    <mergeCell ref="K19:L19"/>
    <mergeCell ref="K8:L8"/>
    <mergeCell ref="K9:L9"/>
    <mergeCell ref="K10:L10"/>
    <mergeCell ref="K11:L11"/>
    <mergeCell ref="K12:L12"/>
    <mergeCell ref="K13:L13"/>
    <mergeCell ref="B2:L2"/>
    <mergeCell ref="K3:L3"/>
    <mergeCell ref="K4:L4"/>
    <mergeCell ref="K5:L5"/>
    <mergeCell ref="K6:L6"/>
    <mergeCell ref="K7:L7"/>
    <mergeCell ref="K14:L14"/>
    <mergeCell ref="K15:L15"/>
    <mergeCell ref="K16:L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U67"/>
  <sheetViews>
    <sheetView topLeftCell="A2" workbookViewId="0">
      <selection activeCell="G13" sqref="G13:G45"/>
    </sheetView>
  </sheetViews>
  <sheetFormatPr defaultRowHeight="15"/>
  <cols>
    <col min="2" max="2" width="14.42578125" customWidth="1"/>
    <col min="4" max="4" width="15.5703125" customWidth="1"/>
    <col min="11" max="11" width="16.42578125" customWidth="1"/>
  </cols>
  <sheetData>
    <row r="2" spans="2:19" ht="21">
      <c r="B2" s="510" t="s">
        <v>0</v>
      </c>
      <c r="C2" s="510"/>
      <c r="D2" s="510"/>
      <c r="E2" s="510"/>
      <c r="F2" s="510"/>
      <c r="G2" s="510"/>
      <c r="H2" s="510"/>
      <c r="I2" s="510"/>
      <c r="J2" s="510"/>
      <c r="K2" s="510"/>
      <c r="L2" s="510"/>
      <c r="M2" s="510"/>
      <c r="N2" s="510"/>
      <c r="O2" s="510"/>
      <c r="P2" s="510"/>
      <c r="Q2" s="510"/>
      <c r="R2" s="510"/>
      <c r="S2" s="510"/>
    </row>
    <row r="3" spans="2:19" ht="21">
      <c r="B3" s="510" t="s">
        <v>1</v>
      </c>
      <c r="C3" s="510"/>
      <c r="D3" s="510"/>
      <c r="E3" s="510"/>
      <c r="F3" s="510"/>
      <c r="G3" s="510"/>
      <c r="H3" s="510"/>
      <c r="I3" s="510"/>
      <c r="J3" s="510"/>
      <c r="K3" s="510"/>
      <c r="L3" s="510"/>
      <c r="M3" s="510"/>
      <c r="N3" s="510"/>
      <c r="O3" s="510"/>
      <c r="P3" s="510"/>
      <c r="Q3" s="510"/>
      <c r="R3" s="510"/>
      <c r="S3" s="510"/>
    </row>
    <row r="4" spans="2:19" ht="21">
      <c r="B4" s="510" t="s">
        <v>2</v>
      </c>
      <c r="C4" s="510"/>
      <c r="D4" s="510"/>
      <c r="E4" s="510"/>
      <c r="F4" s="510"/>
      <c r="G4" s="510"/>
      <c r="H4" s="510"/>
      <c r="I4" s="510"/>
      <c r="J4" s="510"/>
      <c r="K4" s="510"/>
      <c r="L4" s="510"/>
      <c r="M4" s="510"/>
      <c r="N4" s="510"/>
      <c r="O4" s="510"/>
      <c r="P4" s="510"/>
      <c r="Q4" s="510"/>
      <c r="R4" s="510"/>
      <c r="S4" s="510"/>
    </row>
    <row r="5" spans="2:19" ht="18.75">
      <c r="B5" s="511" t="s">
        <v>3</v>
      </c>
      <c r="C5" s="511"/>
      <c r="D5" s="511"/>
      <c r="E5" s="511"/>
      <c r="F5" s="511"/>
      <c r="G5" s="511"/>
      <c r="H5" s="511"/>
      <c r="I5" s="511"/>
      <c r="J5" s="511"/>
      <c r="K5" s="511"/>
      <c r="L5" s="511"/>
      <c r="M5" s="511"/>
      <c r="N5" s="511"/>
      <c r="O5" s="511"/>
      <c r="P5" s="511"/>
      <c r="Q5" s="511"/>
      <c r="R5" s="511"/>
      <c r="S5" s="511"/>
    </row>
    <row r="6" spans="2:19" ht="21">
      <c r="B6" s="496" t="s">
        <v>4</v>
      </c>
      <c r="C6" s="496"/>
      <c r="D6" s="496"/>
      <c r="E6" s="496"/>
      <c r="F6" s="496"/>
      <c r="G6" s="496"/>
      <c r="H6" s="496"/>
      <c r="I6" s="496"/>
      <c r="J6" s="496"/>
      <c r="K6" s="496"/>
      <c r="L6" s="496"/>
      <c r="M6" s="496"/>
      <c r="N6" s="496"/>
      <c r="O6" s="496"/>
      <c r="P6" s="496"/>
      <c r="Q6" s="432"/>
      <c r="R6" s="432"/>
      <c r="S6" s="432"/>
    </row>
    <row r="7" spans="2:19" ht="21">
      <c r="B7" s="514" t="s">
        <v>5</v>
      </c>
      <c r="C7" s="514"/>
      <c r="D7" s="512" t="s">
        <v>1884</v>
      </c>
      <c r="E7" s="512"/>
      <c r="F7" s="512"/>
      <c r="G7" s="512"/>
      <c r="H7" s="349"/>
      <c r="I7" s="349"/>
      <c r="J7" s="349"/>
      <c r="K7" s="349"/>
      <c r="L7" s="349"/>
      <c r="M7" s="349"/>
      <c r="N7" s="349"/>
      <c r="O7" s="349"/>
      <c r="P7" s="349"/>
      <c r="Q7" s="349"/>
      <c r="R7" s="349"/>
      <c r="S7" s="349"/>
    </row>
    <row r="8" spans="2:19" ht="21">
      <c r="B8" s="514" t="s">
        <v>6</v>
      </c>
      <c r="C8" s="514"/>
      <c r="D8" s="512" t="s">
        <v>1784</v>
      </c>
      <c r="E8" s="512"/>
      <c r="F8" s="512"/>
      <c r="G8" s="512"/>
      <c r="H8" s="349"/>
      <c r="I8" s="349"/>
      <c r="J8" s="349"/>
      <c r="K8" s="349"/>
      <c r="L8" s="349"/>
      <c r="M8" s="349"/>
      <c r="N8" s="349"/>
      <c r="O8" s="349"/>
      <c r="P8" s="349"/>
      <c r="Q8" s="349"/>
      <c r="R8" s="349"/>
      <c r="S8" s="349"/>
    </row>
    <row r="9" spans="2:19" ht="21">
      <c r="B9" s="514" t="s">
        <v>7</v>
      </c>
      <c r="C9" s="514"/>
      <c r="D9" s="512" t="s">
        <v>8</v>
      </c>
      <c r="E9" s="512"/>
      <c r="F9" s="512"/>
      <c r="G9" s="512"/>
      <c r="H9" s="349"/>
      <c r="I9" s="349"/>
      <c r="J9" s="349"/>
      <c r="K9" s="349"/>
      <c r="L9" s="349"/>
      <c r="M9" s="349"/>
      <c r="N9" s="349"/>
      <c r="O9" s="349"/>
      <c r="P9" s="349"/>
      <c r="Q9" s="349"/>
      <c r="R9" s="349"/>
      <c r="S9" s="349"/>
    </row>
    <row r="10" spans="2:19" ht="21">
      <c r="B10" s="514" t="s">
        <v>9</v>
      </c>
      <c r="C10" s="514"/>
      <c r="D10" s="512" t="s">
        <v>373</v>
      </c>
      <c r="E10" s="512"/>
      <c r="F10" s="512"/>
      <c r="G10" s="512"/>
      <c r="H10" s="349"/>
      <c r="I10" s="349"/>
      <c r="J10" s="349"/>
      <c r="K10" s="349"/>
      <c r="L10" s="349"/>
      <c r="M10" s="349"/>
      <c r="N10" s="349"/>
      <c r="O10" s="349"/>
      <c r="P10" s="349"/>
      <c r="Q10" s="349"/>
      <c r="R10" s="349"/>
      <c r="S10" s="349"/>
    </row>
    <row r="11" spans="2:19" ht="21">
      <c r="B11" s="514" t="s">
        <v>10</v>
      </c>
      <c r="C11" s="514"/>
      <c r="D11" s="512" t="s">
        <v>8</v>
      </c>
      <c r="E11" s="512"/>
      <c r="F11" s="512"/>
      <c r="G11" s="512"/>
      <c r="H11" s="349"/>
      <c r="I11" s="349"/>
      <c r="J11" s="349"/>
      <c r="K11" s="349"/>
      <c r="L11" s="349"/>
      <c r="M11" s="349"/>
      <c r="N11" s="349"/>
      <c r="O11" s="349"/>
      <c r="P11" s="349"/>
      <c r="Q11" s="349"/>
      <c r="R11" s="349"/>
      <c r="S11" s="349"/>
    </row>
    <row r="12" spans="2:19" ht="78.75">
      <c r="B12" s="350" t="s">
        <v>11</v>
      </c>
      <c r="C12" s="350" t="s">
        <v>12</v>
      </c>
      <c r="D12" s="350" t="s">
        <v>13</v>
      </c>
      <c r="E12" s="350" t="s">
        <v>14</v>
      </c>
      <c r="F12" s="350" t="s">
        <v>15</v>
      </c>
      <c r="G12" s="350" t="s">
        <v>16</v>
      </c>
      <c r="H12" s="350" t="s">
        <v>17</v>
      </c>
      <c r="I12" s="350" t="s">
        <v>18</v>
      </c>
      <c r="J12" s="350" t="s">
        <v>19</v>
      </c>
      <c r="K12" s="350" t="s">
        <v>20</v>
      </c>
      <c r="L12" s="350" t="s">
        <v>21</v>
      </c>
      <c r="M12" s="350" t="s">
        <v>22</v>
      </c>
      <c r="N12" s="350" t="s">
        <v>23</v>
      </c>
      <c r="O12" s="350" t="s">
        <v>24</v>
      </c>
      <c r="P12" s="350" t="s">
        <v>25</v>
      </c>
      <c r="Q12" s="350" t="s">
        <v>26</v>
      </c>
      <c r="R12" s="350" t="s">
        <v>27</v>
      </c>
      <c r="S12" s="355" t="s">
        <v>28</v>
      </c>
    </row>
    <row r="13" spans="2:19" hidden="1">
      <c r="B13" s="433">
        <v>1</v>
      </c>
      <c r="C13" s="433" t="s">
        <v>1881</v>
      </c>
      <c r="D13" s="433" t="s">
        <v>716</v>
      </c>
      <c r="E13" s="433">
        <v>63</v>
      </c>
      <c r="F13" s="433"/>
      <c r="G13" s="433">
        <v>3.5</v>
      </c>
      <c r="H13" s="433">
        <f>(E13/1000)+0.3</f>
        <v>0.36299999999999999</v>
      </c>
      <c r="I13" s="433">
        <f>E13/1000+1</f>
        <v>1.0629999999999999</v>
      </c>
      <c r="J13" s="433"/>
      <c r="K13" s="433" t="s">
        <v>1797</v>
      </c>
      <c r="L13" s="446">
        <f>+G13</f>
        <v>3.5</v>
      </c>
      <c r="M13" s="446">
        <f>+H13</f>
        <v>0.36299999999999999</v>
      </c>
      <c r="N13" s="433">
        <f>+L13*M13</f>
        <v>1.2705</v>
      </c>
      <c r="O13" s="446">
        <v>3.5</v>
      </c>
      <c r="P13" s="446">
        <v>0.36299999999999999</v>
      </c>
      <c r="Q13" s="446">
        <v>1.2705</v>
      </c>
      <c r="R13" s="433" t="s">
        <v>1930</v>
      </c>
      <c r="S13" s="433"/>
    </row>
    <row r="14" spans="2:19" hidden="1">
      <c r="B14" s="433">
        <f>1+B13</f>
        <v>2</v>
      </c>
      <c r="C14" s="433" t="s">
        <v>1881</v>
      </c>
      <c r="D14" s="433" t="s">
        <v>716</v>
      </c>
      <c r="E14" s="433">
        <v>63</v>
      </c>
      <c r="F14" s="433"/>
      <c r="G14" s="433">
        <v>89.1</v>
      </c>
      <c r="H14" s="446">
        <f t="shared" ref="H14:H59" si="0">(E14/1000)+0.3</f>
        <v>0.36299999999999999</v>
      </c>
      <c r="I14" s="446">
        <f t="shared" ref="I14:I59" si="1">E14/1000+1</f>
        <v>1.0629999999999999</v>
      </c>
      <c r="J14" s="433"/>
      <c r="K14" s="433" t="s">
        <v>45</v>
      </c>
      <c r="L14" s="446">
        <f t="shared" ref="L14:L48" si="2">+G14</f>
        <v>89.1</v>
      </c>
      <c r="M14" s="446">
        <f t="shared" ref="M14:M48" si="3">+H14</f>
        <v>0.36299999999999999</v>
      </c>
      <c r="N14" s="446">
        <f>+L14*M14</f>
        <v>32.343299999999999</v>
      </c>
      <c r="O14" s="446">
        <v>89.1</v>
      </c>
      <c r="P14" s="446">
        <v>0.36299999999999999</v>
      </c>
      <c r="Q14" s="446">
        <v>32.343299999999999</v>
      </c>
      <c r="R14" s="451" t="s">
        <v>1930</v>
      </c>
      <c r="S14" s="433"/>
    </row>
    <row r="15" spans="2:19" hidden="1">
      <c r="B15" s="433">
        <f t="shared" ref="B15:B47" si="4">1+B14</f>
        <v>3</v>
      </c>
      <c r="C15" s="433" t="s">
        <v>1881</v>
      </c>
      <c r="D15" s="433" t="s">
        <v>716</v>
      </c>
      <c r="E15" s="433">
        <v>63</v>
      </c>
      <c r="F15" s="433"/>
      <c r="G15" s="433">
        <v>105.3</v>
      </c>
      <c r="H15" s="446">
        <f t="shared" si="0"/>
        <v>0.36299999999999999</v>
      </c>
      <c r="I15" s="446">
        <f t="shared" si="1"/>
        <v>1.0629999999999999</v>
      </c>
      <c r="J15" s="433"/>
      <c r="K15" s="433"/>
      <c r="L15" s="446"/>
      <c r="M15" s="446"/>
      <c r="N15" s="433"/>
      <c r="O15" s="446"/>
      <c r="P15" s="446"/>
      <c r="Q15" s="446"/>
      <c r="R15" s="433"/>
      <c r="S15" s="433"/>
    </row>
    <row r="16" spans="2:19" hidden="1">
      <c r="B16" s="433">
        <f t="shared" si="4"/>
        <v>4</v>
      </c>
      <c r="C16" s="433" t="s">
        <v>1366</v>
      </c>
      <c r="D16" s="433" t="s">
        <v>1392</v>
      </c>
      <c r="E16" s="433">
        <v>63</v>
      </c>
      <c r="F16" s="433"/>
      <c r="G16" s="433">
        <v>61.1</v>
      </c>
      <c r="H16" s="446">
        <f t="shared" si="0"/>
        <v>0.36299999999999999</v>
      </c>
      <c r="I16" s="446">
        <f t="shared" si="1"/>
        <v>1.0629999999999999</v>
      </c>
      <c r="J16" s="433"/>
      <c r="K16" s="433"/>
      <c r="L16" s="446"/>
      <c r="M16" s="446"/>
      <c r="N16" s="433"/>
      <c r="O16" s="446"/>
      <c r="P16" s="446"/>
      <c r="Q16" s="446"/>
      <c r="R16" s="433"/>
      <c r="S16" s="433"/>
    </row>
    <row r="17" spans="2:19" hidden="1">
      <c r="B17" s="433">
        <f t="shared" si="4"/>
        <v>5</v>
      </c>
      <c r="C17" s="433" t="s">
        <v>1392</v>
      </c>
      <c r="D17" s="433" t="s">
        <v>1180</v>
      </c>
      <c r="E17" s="433">
        <v>63</v>
      </c>
      <c r="F17" s="433"/>
      <c r="G17" s="433">
        <v>27</v>
      </c>
      <c r="H17" s="446">
        <f t="shared" si="0"/>
        <v>0.36299999999999999</v>
      </c>
      <c r="I17" s="446">
        <f t="shared" si="1"/>
        <v>1.0629999999999999</v>
      </c>
      <c r="J17" s="433"/>
      <c r="K17" s="433" t="s">
        <v>45</v>
      </c>
      <c r="L17" s="446">
        <f t="shared" si="2"/>
        <v>27</v>
      </c>
      <c r="M17" s="446">
        <f t="shared" si="3"/>
        <v>0.36299999999999999</v>
      </c>
      <c r="N17" s="446">
        <f>+L17*M17</f>
        <v>9.8010000000000002</v>
      </c>
      <c r="O17" s="446">
        <v>27</v>
      </c>
      <c r="P17" s="446">
        <v>0.36299999999999999</v>
      </c>
      <c r="Q17" s="446">
        <v>9.8010000000000002</v>
      </c>
      <c r="R17" s="451" t="s">
        <v>1930</v>
      </c>
      <c r="S17" s="433"/>
    </row>
    <row r="18" spans="2:19" hidden="1">
      <c r="B18" s="433">
        <f t="shared" si="4"/>
        <v>6</v>
      </c>
      <c r="C18" s="433" t="s">
        <v>1180</v>
      </c>
      <c r="D18" s="433" t="s">
        <v>1297</v>
      </c>
      <c r="E18" s="433">
        <v>63</v>
      </c>
      <c r="F18" s="433"/>
      <c r="G18" s="433">
        <v>83.3</v>
      </c>
      <c r="H18" s="446">
        <f t="shared" si="0"/>
        <v>0.36299999999999999</v>
      </c>
      <c r="I18" s="446">
        <f t="shared" si="1"/>
        <v>1.0629999999999999</v>
      </c>
      <c r="J18" s="433"/>
      <c r="K18" s="433"/>
      <c r="L18" s="446"/>
      <c r="M18" s="446"/>
      <c r="N18" s="433"/>
      <c r="O18" s="446"/>
      <c r="P18" s="446"/>
      <c r="Q18" s="446"/>
      <c r="R18" s="433"/>
      <c r="S18" s="433"/>
    </row>
    <row r="19" spans="2:19" hidden="1">
      <c r="B19" s="433">
        <f t="shared" si="4"/>
        <v>7</v>
      </c>
      <c r="C19" s="433" t="s">
        <v>1828</v>
      </c>
      <c r="D19" s="433" t="s">
        <v>1750</v>
      </c>
      <c r="E19" s="433">
        <v>63</v>
      </c>
      <c r="F19" s="433"/>
      <c r="G19" s="433">
        <v>51.1</v>
      </c>
      <c r="H19" s="446">
        <f t="shared" si="0"/>
        <v>0.36299999999999999</v>
      </c>
      <c r="I19" s="446">
        <f t="shared" si="1"/>
        <v>1.0629999999999999</v>
      </c>
      <c r="J19" s="433"/>
      <c r="K19" s="433" t="s">
        <v>45</v>
      </c>
      <c r="L19" s="446">
        <f t="shared" si="2"/>
        <v>51.1</v>
      </c>
      <c r="M19" s="446">
        <f t="shared" si="3"/>
        <v>0.36299999999999999</v>
      </c>
      <c r="N19" s="446">
        <f>+L19*M19</f>
        <v>18.549299999999999</v>
      </c>
      <c r="O19" s="446">
        <v>51.1</v>
      </c>
      <c r="P19" s="446">
        <v>0.36299999999999999</v>
      </c>
      <c r="Q19" s="446">
        <v>18.549299999999999</v>
      </c>
      <c r="R19" s="451" t="s">
        <v>1930</v>
      </c>
      <c r="S19" s="433"/>
    </row>
    <row r="20" spans="2:19" hidden="1">
      <c r="B20" s="433">
        <f t="shared" si="4"/>
        <v>8</v>
      </c>
      <c r="C20" s="433" t="s">
        <v>1827</v>
      </c>
      <c r="D20" s="433">
        <v>286</v>
      </c>
      <c r="E20" s="433">
        <v>63</v>
      </c>
      <c r="F20" s="433"/>
      <c r="G20" s="433">
        <v>96.3</v>
      </c>
      <c r="H20" s="446">
        <f t="shared" si="0"/>
        <v>0.36299999999999999</v>
      </c>
      <c r="I20" s="446">
        <f t="shared" si="1"/>
        <v>1.0629999999999999</v>
      </c>
      <c r="J20" s="433"/>
      <c r="K20" s="433" t="s">
        <v>45</v>
      </c>
      <c r="L20" s="446">
        <f t="shared" si="2"/>
        <v>96.3</v>
      </c>
      <c r="M20" s="446">
        <f t="shared" si="3"/>
        <v>0.36299999999999999</v>
      </c>
      <c r="N20" s="446">
        <f>+L20*M20</f>
        <v>34.956899999999997</v>
      </c>
      <c r="O20" s="446">
        <v>96.3</v>
      </c>
      <c r="P20" s="446">
        <v>0.36299999999999999</v>
      </c>
      <c r="Q20" s="446">
        <v>34.956899999999997</v>
      </c>
      <c r="R20" s="451" t="s">
        <v>1930</v>
      </c>
      <c r="S20" s="433"/>
    </row>
    <row r="21" spans="2:19" hidden="1">
      <c r="B21" s="433">
        <f t="shared" si="4"/>
        <v>9</v>
      </c>
      <c r="C21" s="433" t="s">
        <v>1741</v>
      </c>
      <c r="D21" s="433" t="s">
        <v>1877</v>
      </c>
      <c r="E21" s="433">
        <v>63</v>
      </c>
      <c r="F21" s="433"/>
      <c r="G21" s="433">
        <v>35</v>
      </c>
      <c r="H21" s="446">
        <f t="shared" si="0"/>
        <v>0.36299999999999999</v>
      </c>
      <c r="I21" s="446">
        <f t="shared" si="1"/>
        <v>1.0629999999999999</v>
      </c>
      <c r="J21" s="433"/>
      <c r="K21" s="433"/>
      <c r="L21" s="446"/>
      <c r="M21" s="446"/>
      <c r="N21" s="433"/>
      <c r="O21" s="446"/>
      <c r="P21" s="446"/>
      <c r="Q21" s="446"/>
      <c r="R21" s="433"/>
      <c r="S21" s="433"/>
    </row>
    <row r="22" spans="2:19" hidden="1">
      <c r="B22" s="433">
        <f t="shared" si="4"/>
        <v>10</v>
      </c>
      <c r="C22" s="433" t="s">
        <v>1741</v>
      </c>
      <c r="D22" s="433" t="s">
        <v>1738</v>
      </c>
      <c r="E22" s="433">
        <v>63</v>
      </c>
      <c r="F22" s="433"/>
      <c r="G22" s="433">
        <v>36.1</v>
      </c>
      <c r="H22" s="446">
        <f t="shared" si="0"/>
        <v>0.36299999999999999</v>
      </c>
      <c r="I22" s="446">
        <f t="shared" si="1"/>
        <v>1.0629999999999999</v>
      </c>
      <c r="J22" s="433"/>
      <c r="K22" s="433"/>
      <c r="L22" s="446"/>
      <c r="M22" s="446"/>
      <c r="N22" s="433"/>
      <c r="O22" s="446"/>
      <c r="P22" s="446"/>
      <c r="Q22" s="446"/>
      <c r="R22" s="433"/>
      <c r="S22" s="433"/>
    </row>
    <row r="23" spans="2:19" hidden="1">
      <c r="B23" s="433">
        <f t="shared" si="4"/>
        <v>11</v>
      </c>
      <c r="C23" s="433" t="s">
        <v>1827</v>
      </c>
      <c r="D23" s="433" t="s">
        <v>107</v>
      </c>
      <c r="E23" s="433">
        <v>63</v>
      </c>
      <c r="F23" s="433"/>
      <c r="G23" s="433">
        <v>98.1</v>
      </c>
      <c r="H23" s="446">
        <f t="shared" si="0"/>
        <v>0.36299999999999999</v>
      </c>
      <c r="I23" s="446">
        <f t="shared" si="1"/>
        <v>1.0629999999999999</v>
      </c>
      <c r="J23" s="433"/>
      <c r="K23" s="433"/>
      <c r="L23" s="446"/>
      <c r="M23" s="446"/>
      <c r="N23" s="433"/>
      <c r="O23" s="446"/>
      <c r="P23" s="446"/>
      <c r="Q23" s="446"/>
      <c r="R23" s="433"/>
      <c r="S23" s="433"/>
    </row>
    <row r="24" spans="2:19" hidden="1">
      <c r="B24" s="433">
        <f t="shared" si="4"/>
        <v>12</v>
      </c>
      <c r="C24" s="433" t="s">
        <v>1357</v>
      </c>
      <c r="D24" s="433" t="s">
        <v>1756</v>
      </c>
      <c r="E24" s="433">
        <v>63</v>
      </c>
      <c r="F24" s="433"/>
      <c r="G24" s="433">
        <v>70.2</v>
      </c>
      <c r="H24" s="446">
        <f t="shared" si="0"/>
        <v>0.36299999999999999</v>
      </c>
      <c r="I24" s="446">
        <f t="shared" si="1"/>
        <v>1.0629999999999999</v>
      </c>
      <c r="J24" s="433"/>
      <c r="K24" s="433" t="s">
        <v>45</v>
      </c>
      <c r="L24" s="446">
        <f t="shared" si="2"/>
        <v>70.2</v>
      </c>
      <c r="M24" s="446">
        <f t="shared" si="3"/>
        <v>0.36299999999999999</v>
      </c>
      <c r="N24" s="446">
        <f>+L24*M24</f>
        <v>25.482600000000001</v>
      </c>
      <c r="O24" s="446">
        <v>70.2</v>
      </c>
      <c r="P24" s="446">
        <v>0.36299999999999999</v>
      </c>
      <c r="Q24" s="446">
        <v>25.482600000000001</v>
      </c>
      <c r="R24" s="451" t="s">
        <v>1930</v>
      </c>
      <c r="S24" s="433"/>
    </row>
    <row r="25" spans="2:19" hidden="1">
      <c r="B25" s="433">
        <f t="shared" si="4"/>
        <v>13</v>
      </c>
      <c r="C25" s="433" t="s">
        <v>81</v>
      </c>
      <c r="D25" s="433" t="s">
        <v>1756</v>
      </c>
      <c r="E25" s="433">
        <v>63</v>
      </c>
      <c r="F25" s="433"/>
      <c r="G25" s="433">
        <v>77.099999999999994</v>
      </c>
      <c r="H25" s="446">
        <f t="shared" si="0"/>
        <v>0.36299999999999999</v>
      </c>
      <c r="I25" s="446">
        <f t="shared" si="1"/>
        <v>1.0629999999999999</v>
      </c>
      <c r="J25" s="433"/>
      <c r="K25" s="433"/>
      <c r="L25" s="446"/>
      <c r="M25" s="446"/>
      <c r="N25" s="433"/>
      <c r="O25" s="446"/>
      <c r="P25" s="446"/>
      <c r="Q25" s="446"/>
      <c r="R25" s="433"/>
      <c r="S25" s="433"/>
    </row>
    <row r="26" spans="2:19" hidden="1">
      <c r="B26" s="433">
        <f t="shared" si="4"/>
        <v>14</v>
      </c>
      <c r="C26" s="433" t="s">
        <v>1357</v>
      </c>
      <c r="D26" s="433" t="s">
        <v>1756</v>
      </c>
      <c r="E26" s="433">
        <v>63</v>
      </c>
      <c r="F26" s="433"/>
      <c r="G26" s="433">
        <v>7</v>
      </c>
      <c r="H26" s="446">
        <f t="shared" si="0"/>
        <v>0.36299999999999999</v>
      </c>
      <c r="I26" s="446">
        <f t="shared" si="1"/>
        <v>1.0629999999999999</v>
      </c>
      <c r="J26" s="433"/>
      <c r="K26" s="433" t="s">
        <v>1794</v>
      </c>
      <c r="L26" s="446">
        <f t="shared" si="2"/>
        <v>7</v>
      </c>
      <c r="M26" s="446">
        <f t="shared" si="3"/>
        <v>0.36299999999999999</v>
      </c>
      <c r="N26" s="446">
        <f>+L26*M26</f>
        <v>2.5409999999999999</v>
      </c>
      <c r="O26" s="446">
        <v>7</v>
      </c>
      <c r="P26" s="446">
        <v>0.36299999999999999</v>
      </c>
      <c r="Q26" s="446">
        <v>2.5409999999999999</v>
      </c>
      <c r="R26" s="451" t="s">
        <v>1930</v>
      </c>
      <c r="S26" s="433"/>
    </row>
    <row r="27" spans="2:19" hidden="1">
      <c r="B27" s="433">
        <f t="shared" si="4"/>
        <v>15</v>
      </c>
      <c r="C27" s="433" t="s">
        <v>1756</v>
      </c>
      <c r="D27" s="433" t="s">
        <v>1308</v>
      </c>
      <c r="E27" s="433">
        <v>63</v>
      </c>
      <c r="F27" s="433"/>
      <c r="G27" s="433">
        <v>56</v>
      </c>
      <c r="H27" s="446">
        <f t="shared" si="0"/>
        <v>0.36299999999999999</v>
      </c>
      <c r="I27" s="446">
        <f t="shared" si="1"/>
        <v>1.0629999999999999</v>
      </c>
      <c r="J27" s="433"/>
      <c r="K27" s="433" t="s">
        <v>45</v>
      </c>
      <c r="L27" s="446">
        <f t="shared" si="2"/>
        <v>56</v>
      </c>
      <c r="M27" s="446">
        <f t="shared" si="3"/>
        <v>0.36299999999999999</v>
      </c>
      <c r="N27" s="446">
        <f>+L27*M27</f>
        <v>20.327999999999999</v>
      </c>
      <c r="O27" s="446">
        <v>56</v>
      </c>
      <c r="P27" s="446">
        <v>0.36299999999999999</v>
      </c>
      <c r="Q27" s="446">
        <v>20.327999999999999</v>
      </c>
      <c r="R27" s="451" t="s">
        <v>1930</v>
      </c>
      <c r="S27" s="433"/>
    </row>
    <row r="28" spans="2:19" hidden="1">
      <c r="B28" s="433">
        <f t="shared" si="4"/>
        <v>16</v>
      </c>
      <c r="C28" s="433" t="s">
        <v>1308</v>
      </c>
      <c r="D28" s="433" t="s">
        <v>1730</v>
      </c>
      <c r="E28" s="433">
        <v>63</v>
      </c>
      <c r="F28" s="433"/>
      <c r="G28" s="433">
        <v>30.9</v>
      </c>
      <c r="H28" s="446">
        <f t="shared" si="0"/>
        <v>0.36299999999999999</v>
      </c>
      <c r="I28" s="446">
        <f t="shared" si="1"/>
        <v>1.0629999999999999</v>
      </c>
      <c r="J28" s="433"/>
      <c r="K28" s="433"/>
      <c r="L28" s="446"/>
      <c r="M28" s="446"/>
      <c r="N28" s="433"/>
      <c r="O28" s="446"/>
      <c r="P28" s="446"/>
      <c r="Q28" s="446"/>
      <c r="R28" s="433"/>
      <c r="S28" s="433"/>
    </row>
    <row r="29" spans="2:19" hidden="1">
      <c r="B29" s="433">
        <f t="shared" si="4"/>
        <v>17</v>
      </c>
      <c r="C29" s="433" t="s">
        <v>1308</v>
      </c>
      <c r="D29" s="433" t="s">
        <v>1743</v>
      </c>
      <c r="E29" s="433">
        <v>63</v>
      </c>
      <c r="F29" s="433"/>
      <c r="G29" s="433">
        <v>9.6</v>
      </c>
      <c r="H29" s="446">
        <f t="shared" si="0"/>
        <v>0.36299999999999999</v>
      </c>
      <c r="I29" s="446">
        <f t="shared" si="1"/>
        <v>1.0629999999999999</v>
      </c>
      <c r="J29" s="433"/>
      <c r="K29" s="433"/>
      <c r="L29" s="446"/>
      <c r="M29" s="446"/>
      <c r="N29" s="433"/>
      <c r="O29" s="446"/>
      <c r="P29" s="446"/>
      <c r="Q29" s="446"/>
      <c r="R29" s="433"/>
      <c r="S29" s="433"/>
    </row>
    <row r="30" spans="2:19" hidden="1">
      <c r="B30" s="433">
        <f t="shared" si="4"/>
        <v>18</v>
      </c>
      <c r="C30" s="433" t="s">
        <v>1765</v>
      </c>
      <c r="D30" s="433" t="s">
        <v>1743</v>
      </c>
      <c r="E30" s="433">
        <v>63</v>
      </c>
      <c r="F30" s="433"/>
      <c r="G30" s="433">
        <v>246.3</v>
      </c>
      <c r="H30" s="446">
        <f t="shared" si="0"/>
        <v>0.36299999999999999</v>
      </c>
      <c r="I30" s="446">
        <f t="shared" si="1"/>
        <v>1.0629999999999999</v>
      </c>
      <c r="J30" s="433"/>
      <c r="K30" s="433"/>
      <c r="L30" s="446"/>
      <c r="M30" s="446"/>
      <c r="N30" s="433"/>
      <c r="O30" s="446"/>
      <c r="P30" s="446"/>
      <c r="Q30" s="446"/>
      <c r="R30" s="433"/>
      <c r="S30" s="433"/>
    </row>
    <row r="31" spans="2:19" hidden="1">
      <c r="B31" s="433">
        <f t="shared" si="4"/>
        <v>19</v>
      </c>
      <c r="C31" s="433" t="s">
        <v>1824</v>
      </c>
      <c r="D31" s="433" t="s">
        <v>61</v>
      </c>
      <c r="E31" s="433">
        <v>110</v>
      </c>
      <c r="F31" s="433"/>
      <c r="G31" s="433">
        <v>53.4</v>
      </c>
      <c r="H31" s="446">
        <f t="shared" si="0"/>
        <v>0.41</v>
      </c>
      <c r="I31" s="446">
        <f t="shared" si="1"/>
        <v>1.1100000000000001</v>
      </c>
      <c r="J31" s="433"/>
      <c r="K31" s="433"/>
      <c r="L31" s="446"/>
      <c r="M31" s="446"/>
      <c r="N31" s="433"/>
      <c r="O31" s="446"/>
      <c r="P31" s="446"/>
      <c r="Q31" s="446"/>
      <c r="R31" s="433"/>
      <c r="S31" s="433"/>
    </row>
    <row r="32" spans="2:19" hidden="1">
      <c r="B32" s="433">
        <f t="shared" si="4"/>
        <v>20</v>
      </c>
      <c r="C32" s="433" t="s">
        <v>1765</v>
      </c>
      <c r="D32" s="433" t="s">
        <v>1743</v>
      </c>
      <c r="E32" s="433">
        <v>63</v>
      </c>
      <c r="F32" s="433"/>
      <c r="G32" s="433">
        <v>5</v>
      </c>
      <c r="H32" s="446">
        <f t="shared" si="0"/>
        <v>0.36299999999999999</v>
      </c>
      <c r="I32" s="446">
        <f t="shared" si="1"/>
        <v>1.0629999999999999</v>
      </c>
      <c r="J32" s="433"/>
      <c r="K32" s="433" t="s">
        <v>1794</v>
      </c>
      <c r="L32" s="446">
        <f t="shared" si="2"/>
        <v>5</v>
      </c>
      <c r="M32" s="446">
        <f t="shared" si="3"/>
        <v>0.36299999999999999</v>
      </c>
      <c r="N32" s="446">
        <f>+L32*M32</f>
        <v>1.8149999999999999</v>
      </c>
      <c r="O32" s="446">
        <v>5</v>
      </c>
      <c r="P32" s="446">
        <v>0.36299999999999999</v>
      </c>
      <c r="Q32" s="446">
        <v>1.8149999999999999</v>
      </c>
      <c r="R32" s="451" t="s">
        <v>1930</v>
      </c>
      <c r="S32" s="433"/>
    </row>
    <row r="33" spans="2:21" hidden="1">
      <c r="B33" s="433">
        <f t="shared" si="4"/>
        <v>21</v>
      </c>
      <c r="C33" s="433" t="s">
        <v>1319</v>
      </c>
      <c r="D33" s="433" t="s">
        <v>96</v>
      </c>
      <c r="E33" s="433">
        <v>110</v>
      </c>
      <c r="F33" s="433"/>
      <c r="G33" s="433">
        <v>89.1</v>
      </c>
      <c r="H33" s="446">
        <f t="shared" si="0"/>
        <v>0.41</v>
      </c>
      <c r="I33" s="446">
        <f t="shared" si="1"/>
        <v>1.1100000000000001</v>
      </c>
      <c r="J33" s="433"/>
      <c r="K33" s="433" t="s">
        <v>45</v>
      </c>
      <c r="L33" s="446">
        <f t="shared" si="2"/>
        <v>89.1</v>
      </c>
      <c r="M33" s="446">
        <f t="shared" si="3"/>
        <v>0.41</v>
      </c>
      <c r="N33" s="446">
        <f>+L33*M33</f>
        <v>36.530999999999999</v>
      </c>
      <c r="O33" s="446">
        <v>89.1</v>
      </c>
      <c r="P33" s="446">
        <v>0.41</v>
      </c>
      <c r="Q33" s="446">
        <v>36.530999999999999</v>
      </c>
      <c r="R33" s="451" t="s">
        <v>1930</v>
      </c>
      <c r="S33" s="433"/>
    </row>
    <row r="34" spans="2:21" hidden="1">
      <c r="B34" s="433">
        <f t="shared" si="4"/>
        <v>22</v>
      </c>
      <c r="C34" s="433" t="s">
        <v>50</v>
      </c>
      <c r="D34" s="433" t="s">
        <v>911</v>
      </c>
      <c r="E34" s="433">
        <v>63</v>
      </c>
      <c r="F34" s="433"/>
      <c r="G34" s="433">
        <v>110.7</v>
      </c>
      <c r="H34" s="446">
        <f t="shared" si="0"/>
        <v>0.36299999999999999</v>
      </c>
      <c r="I34" s="446">
        <f t="shared" si="1"/>
        <v>1.0629999999999999</v>
      </c>
      <c r="J34" s="433"/>
      <c r="K34" s="433"/>
      <c r="L34" s="446"/>
      <c r="M34" s="446"/>
      <c r="N34" s="433"/>
      <c r="O34" s="446"/>
      <c r="P34" s="446"/>
      <c r="Q34" s="446"/>
      <c r="R34" s="433"/>
      <c r="S34" s="433"/>
    </row>
    <row r="35" spans="2:21" hidden="1">
      <c r="B35" s="433">
        <f t="shared" si="4"/>
        <v>23</v>
      </c>
      <c r="C35" s="433" t="s">
        <v>1099</v>
      </c>
      <c r="D35" s="433" t="s">
        <v>825</v>
      </c>
      <c r="E35" s="433">
        <v>63</v>
      </c>
      <c r="F35" s="433"/>
      <c r="G35" s="433">
        <v>29.3</v>
      </c>
      <c r="H35" s="446">
        <f t="shared" si="0"/>
        <v>0.36299999999999999</v>
      </c>
      <c r="I35" s="446">
        <f t="shared" si="1"/>
        <v>1.0629999999999999</v>
      </c>
      <c r="J35" s="433"/>
      <c r="K35" s="433"/>
      <c r="L35" s="446"/>
      <c r="M35" s="446"/>
      <c r="N35" s="433"/>
      <c r="O35" s="446"/>
      <c r="P35" s="446"/>
      <c r="Q35" s="446"/>
      <c r="R35" s="433"/>
      <c r="S35" s="433"/>
    </row>
    <row r="36" spans="2:21" hidden="1">
      <c r="B36" s="433">
        <f t="shared" si="4"/>
        <v>24</v>
      </c>
      <c r="C36" s="433" t="s">
        <v>825</v>
      </c>
      <c r="D36" s="433" t="s">
        <v>906</v>
      </c>
      <c r="E36" s="433">
        <v>63</v>
      </c>
      <c r="F36" s="433"/>
      <c r="G36" s="433">
        <v>11.2</v>
      </c>
      <c r="H36" s="446">
        <f t="shared" si="0"/>
        <v>0.36299999999999999</v>
      </c>
      <c r="I36" s="446">
        <f t="shared" si="1"/>
        <v>1.0629999999999999</v>
      </c>
      <c r="J36" s="433"/>
      <c r="K36" s="433" t="s">
        <v>45</v>
      </c>
      <c r="L36" s="446">
        <f t="shared" si="2"/>
        <v>11.2</v>
      </c>
      <c r="M36" s="446">
        <f t="shared" si="3"/>
        <v>0.36299999999999999</v>
      </c>
      <c r="N36" s="446">
        <f>+L36*M36</f>
        <v>4.0655999999999999</v>
      </c>
      <c r="O36" s="446">
        <v>11.2</v>
      </c>
      <c r="P36" s="446">
        <v>0.36299999999999999</v>
      </c>
      <c r="Q36" s="446">
        <v>4.0655999999999999</v>
      </c>
      <c r="R36" s="451" t="s">
        <v>1930</v>
      </c>
      <c r="S36" s="433"/>
    </row>
    <row r="37" spans="2:21" hidden="1">
      <c r="B37" s="433">
        <f t="shared" si="4"/>
        <v>25</v>
      </c>
      <c r="C37" s="433" t="s">
        <v>825</v>
      </c>
      <c r="D37" s="433" t="s">
        <v>906</v>
      </c>
      <c r="E37" s="433">
        <v>63</v>
      </c>
      <c r="F37" s="433"/>
      <c r="G37" s="433">
        <v>21.7</v>
      </c>
      <c r="H37" s="446">
        <f t="shared" si="0"/>
        <v>0.36299999999999999</v>
      </c>
      <c r="I37" s="446">
        <f t="shared" si="1"/>
        <v>1.0629999999999999</v>
      </c>
      <c r="J37" s="433"/>
      <c r="K37" s="433"/>
      <c r="L37" s="446"/>
      <c r="M37" s="446"/>
      <c r="N37" s="433"/>
      <c r="O37" s="446"/>
      <c r="P37" s="446"/>
      <c r="Q37" s="446"/>
      <c r="R37" s="433"/>
      <c r="S37" s="433"/>
    </row>
    <row r="38" spans="2:21" hidden="1">
      <c r="B38" s="433">
        <f t="shared" si="4"/>
        <v>26</v>
      </c>
      <c r="C38" s="433" t="s">
        <v>906</v>
      </c>
      <c r="D38" s="433" t="s">
        <v>1764</v>
      </c>
      <c r="E38" s="433">
        <v>63</v>
      </c>
      <c r="F38" s="433"/>
      <c r="G38" s="433">
        <v>62.2</v>
      </c>
      <c r="H38" s="446">
        <f t="shared" si="0"/>
        <v>0.36299999999999999</v>
      </c>
      <c r="I38" s="446">
        <f t="shared" si="1"/>
        <v>1.0629999999999999</v>
      </c>
      <c r="J38" s="433"/>
      <c r="K38" s="433" t="s">
        <v>45</v>
      </c>
      <c r="L38" s="446">
        <f t="shared" si="2"/>
        <v>62.2</v>
      </c>
      <c r="M38" s="446">
        <f t="shared" si="3"/>
        <v>0.36299999999999999</v>
      </c>
      <c r="N38" s="446">
        <f>+L38*M38</f>
        <v>22.578600000000002</v>
      </c>
      <c r="O38" s="446">
        <v>62.2</v>
      </c>
      <c r="P38" s="446">
        <v>0.36299999999999999</v>
      </c>
      <c r="Q38" s="446">
        <v>22.578600000000002</v>
      </c>
      <c r="R38" s="451" t="s">
        <v>1930</v>
      </c>
      <c r="S38" s="433"/>
    </row>
    <row r="39" spans="2:21" hidden="1">
      <c r="B39" s="433">
        <f t="shared" si="4"/>
        <v>27</v>
      </c>
      <c r="C39" s="433" t="s">
        <v>1764</v>
      </c>
      <c r="D39" s="433" t="s">
        <v>911</v>
      </c>
      <c r="E39" s="433">
        <v>63</v>
      </c>
      <c r="F39" s="433"/>
      <c r="G39" s="433">
        <v>19.3</v>
      </c>
      <c r="H39" s="446">
        <f t="shared" si="0"/>
        <v>0.36299999999999999</v>
      </c>
      <c r="I39" s="446">
        <f t="shared" si="1"/>
        <v>1.0629999999999999</v>
      </c>
      <c r="J39" s="433"/>
      <c r="K39" s="433"/>
      <c r="L39" s="446"/>
      <c r="M39" s="446"/>
      <c r="N39" s="433"/>
      <c r="O39" s="446"/>
      <c r="P39" s="446"/>
      <c r="Q39" s="446"/>
      <c r="R39" s="433"/>
      <c r="S39" s="433"/>
    </row>
    <row r="40" spans="2:21" hidden="1">
      <c r="B40" s="433">
        <f t="shared" si="4"/>
        <v>28</v>
      </c>
      <c r="C40" s="433" t="s">
        <v>1172</v>
      </c>
      <c r="D40" s="433" t="s">
        <v>1384</v>
      </c>
      <c r="E40" s="433">
        <v>140</v>
      </c>
      <c r="F40" s="433"/>
      <c r="G40" s="433">
        <v>39.1</v>
      </c>
      <c r="H40" s="446">
        <f t="shared" si="0"/>
        <v>0.44</v>
      </c>
      <c r="I40" s="446">
        <f t="shared" si="1"/>
        <v>1.1400000000000001</v>
      </c>
      <c r="J40" s="433"/>
      <c r="K40" s="433"/>
      <c r="L40" s="446"/>
      <c r="M40" s="446"/>
      <c r="N40" s="433"/>
      <c r="O40" s="446"/>
      <c r="P40" s="446"/>
      <c r="Q40" s="446"/>
      <c r="R40" s="433"/>
      <c r="S40" s="433"/>
    </row>
    <row r="41" spans="2:21" hidden="1">
      <c r="B41" s="433">
        <f t="shared" si="4"/>
        <v>29</v>
      </c>
      <c r="C41" s="433" t="s">
        <v>83</v>
      </c>
      <c r="D41" s="433" t="s">
        <v>1300</v>
      </c>
      <c r="E41" s="433">
        <v>63</v>
      </c>
      <c r="F41" s="433"/>
      <c r="G41" s="433">
        <v>55.3</v>
      </c>
      <c r="H41" s="446">
        <f t="shared" si="0"/>
        <v>0.36299999999999999</v>
      </c>
      <c r="I41" s="446">
        <f t="shared" si="1"/>
        <v>1.0629999999999999</v>
      </c>
      <c r="J41" s="433"/>
      <c r="K41" s="433"/>
      <c r="L41" s="446"/>
      <c r="M41" s="446"/>
      <c r="N41" s="433"/>
      <c r="O41" s="446"/>
      <c r="P41" s="446"/>
      <c r="Q41" s="446"/>
      <c r="R41" s="433"/>
      <c r="S41" s="433"/>
      <c r="U41">
        <f>177+47</f>
        <v>224</v>
      </c>
    </row>
    <row r="42" spans="2:21" hidden="1">
      <c r="B42" s="433">
        <f t="shared" si="4"/>
        <v>30</v>
      </c>
      <c r="C42" s="433" t="s">
        <v>128</v>
      </c>
      <c r="D42" s="433" t="s">
        <v>166</v>
      </c>
      <c r="E42" s="433">
        <v>63</v>
      </c>
      <c r="F42" s="433"/>
      <c r="G42" s="433">
        <v>56.3</v>
      </c>
      <c r="H42" s="446">
        <f t="shared" si="0"/>
        <v>0.36299999999999999</v>
      </c>
      <c r="I42" s="446">
        <f t="shared" si="1"/>
        <v>1.0629999999999999</v>
      </c>
      <c r="J42" s="433"/>
      <c r="K42" s="433"/>
      <c r="L42" s="446"/>
      <c r="M42" s="446"/>
      <c r="N42" s="433"/>
      <c r="O42" s="446"/>
      <c r="P42" s="446"/>
      <c r="Q42" s="446"/>
      <c r="R42" s="433"/>
      <c r="S42" s="433"/>
    </row>
    <row r="43" spans="2:21" hidden="1">
      <c r="B43" s="433">
        <f t="shared" si="4"/>
        <v>31</v>
      </c>
      <c r="C43" s="433" t="s">
        <v>76</v>
      </c>
      <c r="D43" s="433" t="s">
        <v>80</v>
      </c>
      <c r="E43" s="433">
        <v>63</v>
      </c>
      <c r="F43" s="433"/>
      <c r="G43" s="433">
        <v>66.8</v>
      </c>
      <c r="H43" s="446">
        <f t="shared" si="0"/>
        <v>0.36299999999999999</v>
      </c>
      <c r="I43" s="446">
        <f t="shared" si="1"/>
        <v>1.0629999999999999</v>
      </c>
      <c r="J43" s="433"/>
      <c r="K43" s="433"/>
      <c r="L43" s="446"/>
      <c r="M43" s="446"/>
      <c r="N43" s="433"/>
      <c r="O43" s="446"/>
      <c r="P43" s="446"/>
      <c r="Q43" s="446"/>
      <c r="R43" s="433"/>
      <c r="S43" s="433"/>
    </row>
    <row r="44" spans="2:21" hidden="1">
      <c r="B44" s="433">
        <f t="shared" si="4"/>
        <v>32</v>
      </c>
      <c r="C44" s="433" t="s">
        <v>1362</v>
      </c>
      <c r="D44" s="433" t="s">
        <v>77</v>
      </c>
      <c r="E44" s="433">
        <v>63</v>
      </c>
      <c r="F44" s="433"/>
      <c r="G44" s="433">
        <v>290.3</v>
      </c>
      <c r="H44" s="446">
        <f t="shared" si="0"/>
        <v>0.36299999999999999</v>
      </c>
      <c r="I44" s="446">
        <f t="shared" si="1"/>
        <v>1.0629999999999999</v>
      </c>
      <c r="J44" s="433"/>
      <c r="K44" s="433"/>
      <c r="L44" s="446"/>
      <c r="M44" s="446"/>
      <c r="N44" s="433"/>
      <c r="O44" s="446"/>
      <c r="P44" s="446"/>
      <c r="Q44" s="446"/>
      <c r="R44" s="433"/>
      <c r="S44" s="433"/>
    </row>
    <row r="45" spans="2:21" hidden="1">
      <c r="B45" s="433">
        <f t="shared" si="4"/>
        <v>33</v>
      </c>
      <c r="C45" s="433" t="s">
        <v>77</v>
      </c>
      <c r="D45" s="433" t="s">
        <v>106</v>
      </c>
      <c r="E45" s="433">
        <v>63</v>
      </c>
      <c r="F45" s="433"/>
      <c r="G45" s="433">
        <v>4.7</v>
      </c>
      <c r="H45" s="446">
        <f t="shared" si="0"/>
        <v>0.36299999999999999</v>
      </c>
      <c r="I45" s="446">
        <f t="shared" si="1"/>
        <v>1.0629999999999999</v>
      </c>
      <c r="J45" s="433"/>
      <c r="K45" s="433" t="s">
        <v>1794</v>
      </c>
      <c r="L45" s="446">
        <f t="shared" si="2"/>
        <v>4.7</v>
      </c>
      <c r="M45" s="446">
        <f t="shared" si="3"/>
        <v>0.36299999999999999</v>
      </c>
      <c r="N45" s="446">
        <f>+L45*M45</f>
        <v>1.7060999999999999</v>
      </c>
      <c r="O45" s="446">
        <v>4.7</v>
      </c>
      <c r="P45" s="446">
        <v>0.36299999999999999</v>
      </c>
      <c r="Q45" s="446">
        <v>1.7060999999999999</v>
      </c>
      <c r="R45" s="451" t="s">
        <v>1930</v>
      </c>
      <c r="S45" s="433"/>
    </row>
    <row r="46" spans="2:21" hidden="1">
      <c r="B46" s="433">
        <f t="shared" si="4"/>
        <v>34</v>
      </c>
      <c r="C46" s="433" t="s">
        <v>77</v>
      </c>
      <c r="D46" s="433" t="s">
        <v>106</v>
      </c>
      <c r="E46" s="433">
        <v>63</v>
      </c>
      <c r="F46" s="433"/>
      <c r="G46" s="433">
        <v>46</v>
      </c>
      <c r="H46" s="446">
        <f t="shared" si="0"/>
        <v>0.36299999999999999</v>
      </c>
      <c r="I46" s="446">
        <f t="shared" si="1"/>
        <v>1.0629999999999999</v>
      </c>
      <c r="J46" s="433"/>
      <c r="K46" s="433"/>
      <c r="L46" s="446"/>
      <c r="M46" s="446"/>
      <c r="N46" s="433"/>
      <c r="O46" s="446"/>
      <c r="P46" s="446"/>
      <c r="Q46" s="446"/>
      <c r="R46" s="433"/>
      <c r="S46" s="433"/>
    </row>
    <row r="47" spans="2:21" hidden="1">
      <c r="B47" s="433">
        <f t="shared" si="4"/>
        <v>35</v>
      </c>
      <c r="C47" s="433" t="s">
        <v>1780</v>
      </c>
      <c r="D47" s="433" t="s">
        <v>1885</v>
      </c>
      <c r="E47" s="433">
        <v>200</v>
      </c>
      <c r="F47" s="433"/>
      <c r="G47" s="433">
        <v>38.299999999999997</v>
      </c>
      <c r="H47" s="446">
        <f t="shared" si="0"/>
        <v>0.5</v>
      </c>
      <c r="I47" s="446">
        <f t="shared" si="1"/>
        <v>1.2</v>
      </c>
      <c r="J47" s="433"/>
      <c r="K47" s="433"/>
      <c r="L47" s="446"/>
      <c r="M47" s="446"/>
      <c r="N47" s="433"/>
      <c r="O47" s="446"/>
      <c r="P47" s="446"/>
      <c r="Q47" s="446"/>
      <c r="R47" s="433"/>
      <c r="S47" s="433"/>
    </row>
    <row r="48" spans="2:21">
      <c r="B48" s="433">
        <v>36</v>
      </c>
      <c r="C48" s="433" t="s">
        <v>128</v>
      </c>
      <c r="D48" s="433" t="s">
        <v>166</v>
      </c>
      <c r="E48" s="433">
        <v>63</v>
      </c>
      <c r="F48" s="433"/>
      <c r="G48" s="433">
        <v>4</v>
      </c>
      <c r="H48" s="446">
        <f t="shared" si="0"/>
        <v>0.36299999999999999</v>
      </c>
      <c r="I48" s="446">
        <f t="shared" si="1"/>
        <v>1.0629999999999999</v>
      </c>
      <c r="J48" s="433"/>
      <c r="K48" s="433" t="s">
        <v>1886</v>
      </c>
      <c r="L48" s="446">
        <f t="shared" si="2"/>
        <v>4</v>
      </c>
      <c r="M48" s="446">
        <f t="shared" si="3"/>
        <v>0.36299999999999999</v>
      </c>
      <c r="N48" s="446">
        <f>+L48*M48</f>
        <v>1.452</v>
      </c>
      <c r="O48" s="446">
        <v>4</v>
      </c>
      <c r="P48" s="446">
        <v>0.36299999999999999</v>
      </c>
      <c r="Q48" s="446">
        <v>1.452</v>
      </c>
      <c r="R48" s="451" t="s">
        <v>1930</v>
      </c>
      <c r="S48" s="433"/>
    </row>
    <row r="49" spans="2:21" hidden="1">
      <c r="B49" s="435">
        <v>37</v>
      </c>
      <c r="C49" s="163" t="s">
        <v>728</v>
      </c>
      <c r="D49" s="163" t="s">
        <v>1903</v>
      </c>
      <c r="E49" s="163">
        <v>63</v>
      </c>
      <c r="F49" s="436">
        <v>174</v>
      </c>
      <c r="G49" s="163">
        <v>157</v>
      </c>
      <c r="H49" s="446">
        <f t="shared" si="0"/>
        <v>0.36299999999999999</v>
      </c>
      <c r="I49" s="446">
        <f t="shared" si="1"/>
        <v>1.0629999999999999</v>
      </c>
      <c r="J49" s="437"/>
      <c r="K49" s="437"/>
      <c r="L49" s="437"/>
      <c r="M49" s="437"/>
      <c r="N49" s="437"/>
      <c r="O49" s="437"/>
      <c r="P49" s="437"/>
      <c r="Q49" s="437"/>
      <c r="R49" s="437"/>
      <c r="S49" s="437"/>
    </row>
    <row r="50" spans="2:21" hidden="1">
      <c r="B50" s="435">
        <v>38</v>
      </c>
      <c r="C50" s="163" t="s">
        <v>1904</v>
      </c>
      <c r="D50" s="163" t="s">
        <v>1905</v>
      </c>
      <c r="E50" s="163">
        <v>63</v>
      </c>
      <c r="F50" s="436"/>
      <c r="G50" s="163">
        <v>270</v>
      </c>
      <c r="H50" s="446">
        <f t="shared" si="0"/>
        <v>0.36299999999999999</v>
      </c>
      <c r="I50" s="446">
        <f t="shared" si="1"/>
        <v>1.0629999999999999</v>
      </c>
      <c r="J50" s="437"/>
      <c r="K50" s="437"/>
      <c r="L50" s="437"/>
      <c r="M50" s="437"/>
      <c r="N50" s="437"/>
      <c r="O50" s="437"/>
      <c r="P50" s="437"/>
      <c r="Q50" s="437"/>
      <c r="R50" s="437"/>
      <c r="S50" s="437"/>
      <c r="U50">
        <v>24037</v>
      </c>
    </row>
    <row r="51" spans="2:21" hidden="1">
      <c r="B51" s="435">
        <v>39</v>
      </c>
      <c r="C51" s="163" t="s">
        <v>89</v>
      </c>
      <c r="D51" s="163" t="s">
        <v>1906</v>
      </c>
      <c r="E51" s="163">
        <v>63</v>
      </c>
      <c r="F51" s="436"/>
      <c r="G51" s="163">
        <v>105</v>
      </c>
      <c r="H51" s="446">
        <f t="shared" si="0"/>
        <v>0.36299999999999999</v>
      </c>
      <c r="I51" s="446">
        <f t="shared" si="1"/>
        <v>1.0629999999999999</v>
      </c>
      <c r="J51" s="437"/>
      <c r="K51" s="437"/>
      <c r="L51" s="437"/>
      <c r="M51" s="437"/>
      <c r="N51" s="437"/>
      <c r="O51" s="437"/>
      <c r="P51" s="437"/>
      <c r="Q51" s="437"/>
      <c r="R51" s="437"/>
      <c r="S51" s="437"/>
      <c r="U51">
        <f>270+105</f>
        <v>375</v>
      </c>
    </row>
    <row r="52" spans="2:21" hidden="1">
      <c r="B52" s="435">
        <v>40</v>
      </c>
      <c r="C52" s="163" t="s">
        <v>1744</v>
      </c>
      <c r="D52" s="163" t="s">
        <v>1907</v>
      </c>
      <c r="E52" s="163">
        <v>63</v>
      </c>
      <c r="F52" s="436">
        <v>33</v>
      </c>
      <c r="G52" s="163">
        <v>46</v>
      </c>
      <c r="H52" s="446">
        <f t="shared" si="0"/>
        <v>0.36299999999999999</v>
      </c>
      <c r="I52" s="446">
        <f t="shared" si="1"/>
        <v>1.0629999999999999</v>
      </c>
      <c r="J52" s="437"/>
      <c r="K52" s="437"/>
      <c r="L52" s="437"/>
      <c r="M52" s="437"/>
      <c r="N52" s="437"/>
      <c r="O52" s="437"/>
      <c r="P52" s="437"/>
      <c r="Q52" s="437"/>
      <c r="R52" s="437"/>
      <c r="S52" s="437"/>
      <c r="U52">
        <v>20509</v>
      </c>
    </row>
    <row r="53" spans="2:21" hidden="1">
      <c r="B53" s="435">
        <v>41</v>
      </c>
      <c r="C53" s="163" t="s">
        <v>1744</v>
      </c>
      <c r="D53" s="163" t="s">
        <v>1908</v>
      </c>
      <c r="E53" s="163">
        <v>63</v>
      </c>
      <c r="F53" s="436">
        <v>29</v>
      </c>
      <c r="G53" s="163">
        <v>49</v>
      </c>
      <c r="H53" s="446">
        <f t="shared" si="0"/>
        <v>0.36299999999999999</v>
      </c>
      <c r="I53" s="446">
        <f t="shared" si="1"/>
        <v>1.0629999999999999</v>
      </c>
      <c r="J53" s="437"/>
      <c r="K53" s="437"/>
      <c r="L53" s="437"/>
      <c r="M53" s="437"/>
      <c r="N53" s="437"/>
      <c r="O53" s="437"/>
      <c r="P53" s="437"/>
      <c r="Q53" s="437"/>
      <c r="R53" s="437"/>
      <c r="S53" s="437"/>
    </row>
    <row r="54" spans="2:21" hidden="1">
      <c r="B54" s="435">
        <v>42</v>
      </c>
      <c r="C54" s="163" t="s">
        <v>1744</v>
      </c>
      <c r="D54" s="163" t="s">
        <v>1841</v>
      </c>
      <c r="E54" s="163">
        <v>63</v>
      </c>
      <c r="F54" s="17">
        <v>15</v>
      </c>
      <c r="G54" s="163">
        <v>19</v>
      </c>
      <c r="H54" s="446">
        <f t="shared" si="0"/>
        <v>0.36299999999999999</v>
      </c>
      <c r="I54" s="446">
        <f t="shared" si="1"/>
        <v>1.0629999999999999</v>
      </c>
      <c r="J54" s="437"/>
      <c r="K54" s="437"/>
      <c r="L54" s="437"/>
      <c r="M54" s="437"/>
      <c r="N54" s="437"/>
      <c r="O54" s="437"/>
      <c r="P54" s="437"/>
      <c r="Q54" s="437"/>
      <c r="R54" s="437"/>
      <c r="S54" s="437"/>
    </row>
    <row r="55" spans="2:21" hidden="1">
      <c r="B55" s="443">
        <v>43</v>
      </c>
      <c r="C55" s="163" t="s">
        <v>61</v>
      </c>
      <c r="D55" s="163" t="s">
        <v>893</v>
      </c>
      <c r="E55" s="163">
        <v>63</v>
      </c>
      <c r="F55" s="17"/>
      <c r="G55" s="163">
        <v>130.19999999999999</v>
      </c>
      <c r="H55" s="446">
        <f t="shared" si="0"/>
        <v>0.36299999999999999</v>
      </c>
      <c r="I55" s="446">
        <f t="shared" si="1"/>
        <v>1.0629999999999999</v>
      </c>
      <c r="J55" s="445"/>
      <c r="K55" s="445"/>
      <c r="L55" s="445"/>
      <c r="M55" s="445"/>
      <c r="N55" s="445"/>
      <c r="O55" s="445"/>
      <c r="P55" s="445"/>
      <c r="Q55" s="445"/>
      <c r="R55" s="445"/>
      <c r="S55" s="445"/>
      <c r="U55">
        <f>375+156</f>
        <v>531</v>
      </c>
    </row>
    <row r="56" spans="2:21" hidden="1">
      <c r="B56" s="443">
        <v>44</v>
      </c>
      <c r="C56" s="163" t="s">
        <v>1920</v>
      </c>
      <c r="D56" s="163" t="s">
        <v>1921</v>
      </c>
      <c r="E56" s="163">
        <v>63</v>
      </c>
      <c r="F56" s="17"/>
      <c r="G56" s="163">
        <v>68.5</v>
      </c>
      <c r="H56" s="446">
        <f t="shared" si="0"/>
        <v>0.36299999999999999</v>
      </c>
      <c r="I56" s="446">
        <f t="shared" si="1"/>
        <v>1.0629999999999999</v>
      </c>
      <c r="J56" s="445"/>
      <c r="K56" s="445"/>
      <c r="L56" s="445"/>
      <c r="M56" s="445"/>
      <c r="N56" s="445"/>
      <c r="O56" s="445"/>
      <c r="P56" s="445"/>
      <c r="Q56" s="445"/>
      <c r="R56" s="445"/>
      <c r="S56" s="445"/>
    </row>
    <row r="57" spans="2:21" hidden="1">
      <c r="B57" s="443">
        <v>45</v>
      </c>
      <c r="C57" s="163" t="s">
        <v>1922</v>
      </c>
      <c r="D57" s="163" t="s">
        <v>1923</v>
      </c>
      <c r="E57" s="163">
        <v>63</v>
      </c>
      <c r="F57" s="17"/>
      <c r="G57" s="163">
        <v>383.2</v>
      </c>
      <c r="H57" s="446">
        <f t="shared" si="0"/>
        <v>0.36299999999999999</v>
      </c>
      <c r="I57" s="446">
        <f t="shared" si="1"/>
        <v>1.0629999999999999</v>
      </c>
      <c r="J57" s="445"/>
      <c r="K57" s="445"/>
      <c r="L57" s="445"/>
      <c r="M57" s="445"/>
      <c r="N57" s="445"/>
      <c r="O57" s="445"/>
      <c r="P57" s="445"/>
      <c r="Q57" s="445"/>
      <c r="R57" s="445"/>
      <c r="S57" s="445"/>
    </row>
    <row r="58" spans="2:21" hidden="1">
      <c r="B58" s="443">
        <v>46</v>
      </c>
      <c r="C58" s="163" t="s">
        <v>835</v>
      </c>
      <c r="D58" s="163" t="s">
        <v>1924</v>
      </c>
      <c r="E58" s="163">
        <v>63</v>
      </c>
      <c r="F58" s="17"/>
      <c r="G58" s="163">
        <v>275.3</v>
      </c>
      <c r="H58" s="446">
        <f t="shared" si="0"/>
        <v>0.36299999999999999</v>
      </c>
      <c r="I58" s="446">
        <f t="shared" si="1"/>
        <v>1.0629999999999999</v>
      </c>
      <c r="J58" s="445"/>
      <c r="K58" s="445"/>
      <c r="L58" s="445"/>
      <c r="M58" s="445"/>
      <c r="N58" s="445"/>
      <c r="O58" s="445"/>
      <c r="P58" s="445"/>
      <c r="Q58" s="445"/>
      <c r="R58" s="445"/>
      <c r="S58" s="445"/>
      <c r="U58">
        <f>2502.2+3908.2</f>
        <v>6410.4</v>
      </c>
    </row>
    <row r="59" spans="2:21" hidden="1">
      <c r="B59" s="443">
        <v>47</v>
      </c>
      <c r="C59" s="163" t="s">
        <v>1765</v>
      </c>
      <c r="D59" s="163" t="s">
        <v>1925</v>
      </c>
      <c r="E59" s="163">
        <v>63</v>
      </c>
      <c r="F59" s="17">
        <v>191</v>
      </c>
      <c r="G59" s="163">
        <v>219.3</v>
      </c>
      <c r="H59" s="446">
        <f t="shared" si="0"/>
        <v>0.36299999999999999</v>
      </c>
      <c r="I59" s="446">
        <f t="shared" si="1"/>
        <v>1.0629999999999999</v>
      </c>
      <c r="J59" s="445"/>
      <c r="K59" s="445"/>
      <c r="L59" s="445"/>
      <c r="M59" s="445"/>
      <c r="N59" s="445"/>
      <c r="O59" s="445"/>
      <c r="P59" s="445"/>
      <c r="Q59" s="445"/>
      <c r="R59" s="445"/>
      <c r="S59" s="445"/>
    </row>
    <row r="60" spans="2:21" hidden="1">
      <c r="B60" s="440"/>
      <c r="C60" s="163"/>
      <c r="D60" s="163"/>
      <c r="E60" s="163"/>
      <c r="F60" s="17"/>
      <c r="G60" s="163">
        <f>SUM(G13:G59)</f>
        <v>3908.2000000000003</v>
      </c>
      <c r="H60" s="446"/>
      <c r="I60" s="446"/>
      <c r="J60" s="439"/>
      <c r="K60" s="439"/>
      <c r="L60" s="439"/>
      <c r="M60" s="439"/>
      <c r="N60" s="439"/>
      <c r="O60" s="439"/>
      <c r="P60" s="439"/>
      <c r="Q60" s="439">
        <f>SUM(Q13:Q59)</f>
        <v>213.42089999999996</v>
      </c>
      <c r="R60" s="439"/>
      <c r="S60" s="439"/>
    </row>
    <row r="61" spans="2:21" ht="78.75" hidden="1" customHeight="1">
      <c r="B61" s="515" t="s">
        <v>175</v>
      </c>
      <c r="C61" s="513"/>
      <c r="D61" s="513"/>
      <c r="E61" s="513"/>
      <c r="F61" s="513"/>
      <c r="G61" s="516"/>
      <c r="H61" s="515" t="s">
        <v>176</v>
      </c>
      <c r="I61" s="513"/>
      <c r="J61" s="513"/>
      <c r="K61" s="513"/>
      <c r="L61" s="513"/>
      <c r="M61" s="516"/>
      <c r="N61" s="515" t="s">
        <v>177</v>
      </c>
      <c r="O61" s="513"/>
      <c r="P61" s="513"/>
      <c r="Q61" s="513"/>
      <c r="R61" s="513"/>
      <c r="S61" s="516"/>
    </row>
    <row r="64" spans="2:21">
      <c r="U64">
        <f>219.3+171</f>
        <v>390.3</v>
      </c>
    </row>
    <row r="66" spans="4:11">
      <c r="D66">
        <v>63</v>
      </c>
      <c r="E66">
        <v>75</v>
      </c>
      <c r="F66">
        <v>90</v>
      </c>
      <c r="G66">
        <v>110</v>
      </c>
      <c r="H66">
        <v>125</v>
      </c>
      <c r="I66">
        <v>140</v>
      </c>
      <c r="J66">
        <v>160</v>
      </c>
      <c r="K66">
        <v>200</v>
      </c>
    </row>
    <row r="67" spans="4:11">
      <c r="D67">
        <f ca="1">+SUMIF($E$13:$E$60,D66,$G$13:$G$59)</f>
        <v>3688.3</v>
      </c>
      <c r="E67">
        <f t="shared" ref="E67:K67" ca="1" si="5">+SUMIF($E$13:$E$60,E66,$G$13:$G$59)</f>
        <v>0</v>
      </c>
      <c r="F67">
        <f t="shared" ca="1" si="5"/>
        <v>0</v>
      </c>
      <c r="G67">
        <f t="shared" ca="1" si="5"/>
        <v>142.5</v>
      </c>
      <c r="H67">
        <f t="shared" ca="1" si="5"/>
        <v>0</v>
      </c>
      <c r="I67">
        <f t="shared" ca="1" si="5"/>
        <v>39.1</v>
      </c>
      <c r="J67">
        <f t="shared" ca="1" si="5"/>
        <v>0</v>
      </c>
      <c r="K67">
        <f t="shared" ca="1" si="5"/>
        <v>38.299999999999997</v>
      </c>
    </row>
  </sheetData>
  <autoFilter ref="B12:U61">
    <filterColumn colId="9">
      <filters>
        <filter val="road crossing"/>
      </filters>
    </filterColumn>
  </autoFilter>
  <mergeCells count="18">
    <mergeCell ref="B61:G61"/>
    <mergeCell ref="H61:M61"/>
    <mergeCell ref="N61:S61"/>
    <mergeCell ref="B11:C11"/>
    <mergeCell ref="D11:G11"/>
    <mergeCell ref="B8:C8"/>
    <mergeCell ref="D8:G8"/>
    <mergeCell ref="B9:C9"/>
    <mergeCell ref="D9:G9"/>
    <mergeCell ref="B10:C10"/>
    <mergeCell ref="D10:G10"/>
    <mergeCell ref="B7:C7"/>
    <mergeCell ref="D7:G7"/>
    <mergeCell ref="B2:S2"/>
    <mergeCell ref="B3:S3"/>
    <mergeCell ref="B4:S4"/>
    <mergeCell ref="B5:S5"/>
    <mergeCell ref="B6:P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V209"/>
  <sheetViews>
    <sheetView topLeftCell="A12" workbookViewId="0">
      <selection activeCell="G15" sqref="G15:G202"/>
    </sheetView>
  </sheetViews>
  <sheetFormatPr defaultRowHeight="15"/>
  <cols>
    <col min="11" max="11" width="14.7109375" customWidth="1"/>
    <col min="19" max="19" width="17.28515625" customWidth="1"/>
  </cols>
  <sheetData>
    <row r="2" spans="2:19" ht="21">
      <c r="B2" s="510" t="s">
        <v>0</v>
      </c>
      <c r="C2" s="510"/>
      <c r="D2" s="510"/>
      <c r="E2" s="510"/>
      <c r="F2" s="510"/>
      <c r="G2" s="510"/>
      <c r="H2" s="510"/>
      <c r="I2" s="510"/>
      <c r="J2" s="510"/>
      <c r="K2" s="510"/>
      <c r="L2" s="510"/>
      <c r="M2" s="510"/>
      <c r="N2" s="510"/>
      <c r="O2" s="510"/>
      <c r="P2" s="510"/>
      <c r="Q2" s="510"/>
      <c r="R2" s="510"/>
      <c r="S2" s="510"/>
    </row>
    <row r="3" spans="2:19" ht="21">
      <c r="B3" s="510" t="s">
        <v>1</v>
      </c>
      <c r="C3" s="510"/>
      <c r="D3" s="510"/>
      <c r="E3" s="510"/>
      <c r="F3" s="510"/>
      <c r="G3" s="510"/>
      <c r="H3" s="510"/>
      <c r="I3" s="510"/>
      <c r="J3" s="510"/>
      <c r="K3" s="510"/>
      <c r="L3" s="510"/>
      <c r="M3" s="510"/>
      <c r="N3" s="510"/>
      <c r="O3" s="510"/>
      <c r="P3" s="510"/>
      <c r="Q3" s="510"/>
      <c r="R3" s="510"/>
      <c r="S3" s="510"/>
    </row>
    <row r="4" spans="2:19" ht="21">
      <c r="B4" s="510" t="s">
        <v>2</v>
      </c>
      <c r="C4" s="510"/>
      <c r="D4" s="510"/>
      <c r="E4" s="510"/>
      <c r="F4" s="510"/>
      <c r="G4" s="510"/>
      <c r="H4" s="510"/>
      <c r="I4" s="510"/>
      <c r="J4" s="510"/>
      <c r="K4" s="510"/>
      <c r="L4" s="510"/>
      <c r="M4" s="510"/>
      <c r="N4" s="510"/>
      <c r="O4" s="510"/>
      <c r="P4" s="510"/>
      <c r="Q4" s="510"/>
      <c r="R4" s="510"/>
      <c r="S4" s="510"/>
    </row>
    <row r="5" spans="2:19" ht="18.75">
      <c r="B5" s="511" t="s">
        <v>3</v>
      </c>
      <c r="C5" s="511"/>
      <c r="D5" s="511"/>
      <c r="E5" s="511"/>
      <c r="F5" s="511"/>
      <c r="G5" s="511"/>
      <c r="H5" s="511"/>
      <c r="I5" s="511"/>
      <c r="J5" s="511"/>
      <c r="K5" s="511"/>
      <c r="L5" s="511"/>
      <c r="M5" s="511"/>
      <c r="N5" s="511"/>
      <c r="O5" s="511"/>
      <c r="P5" s="511"/>
      <c r="Q5" s="511"/>
      <c r="R5" s="511"/>
      <c r="S5" s="511"/>
    </row>
    <row r="6" spans="2:19" ht="21">
      <c r="B6" s="496" t="s">
        <v>4</v>
      </c>
      <c r="C6" s="496"/>
      <c r="D6" s="496"/>
      <c r="E6" s="496"/>
      <c r="F6" s="496"/>
      <c r="G6" s="496"/>
      <c r="H6" s="496"/>
      <c r="I6" s="496"/>
      <c r="J6" s="496"/>
      <c r="K6" s="496"/>
      <c r="L6" s="496"/>
      <c r="M6" s="496"/>
      <c r="N6" s="496"/>
      <c r="O6" s="496"/>
      <c r="P6" s="496"/>
      <c r="Q6" s="404"/>
      <c r="R6" s="404"/>
      <c r="S6" s="404"/>
    </row>
    <row r="7" spans="2:19" ht="21">
      <c r="B7" s="514" t="s">
        <v>5</v>
      </c>
      <c r="C7" s="514"/>
      <c r="D7" s="512" t="s">
        <v>1813</v>
      </c>
      <c r="E7" s="512"/>
      <c r="F7" s="512"/>
      <c r="G7" s="512"/>
      <c r="H7" s="349"/>
      <c r="I7" s="349"/>
      <c r="J7" s="349"/>
      <c r="K7" s="349"/>
      <c r="L7" s="349"/>
      <c r="M7" s="349"/>
      <c r="N7" s="349"/>
      <c r="O7" s="349"/>
      <c r="P7" s="349"/>
      <c r="Q7" s="349"/>
      <c r="R7" s="349"/>
      <c r="S7" s="349"/>
    </row>
    <row r="8" spans="2:19" ht="21">
      <c r="B8" s="514" t="s">
        <v>6</v>
      </c>
      <c r="C8" s="514"/>
      <c r="D8" s="512" t="s">
        <v>1784</v>
      </c>
      <c r="E8" s="512"/>
      <c r="F8" s="512"/>
      <c r="G8" s="512"/>
      <c r="H8" s="349"/>
      <c r="I8" s="349"/>
      <c r="J8" s="349"/>
      <c r="K8" s="349"/>
      <c r="L8" s="349"/>
      <c r="M8" s="349"/>
      <c r="N8" s="349"/>
      <c r="O8" s="349"/>
      <c r="P8" s="349"/>
      <c r="Q8" s="349"/>
      <c r="R8" s="349"/>
      <c r="S8" s="349"/>
    </row>
    <row r="9" spans="2:19" ht="21">
      <c r="B9" s="514" t="s">
        <v>7</v>
      </c>
      <c r="C9" s="514"/>
      <c r="D9" s="512" t="s">
        <v>8</v>
      </c>
      <c r="E9" s="512"/>
      <c r="F9" s="512"/>
      <c r="G9" s="512"/>
      <c r="H9" s="349"/>
      <c r="I9" s="349"/>
      <c r="J9" s="349"/>
      <c r="K9" s="349"/>
      <c r="L9" s="349"/>
      <c r="M9" s="349"/>
      <c r="N9" s="349"/>
      <c r="O9" s="349"/>
      <c r="P9" s="349"/>
      <c r="Q9" s="349"/>
      <c r="R9" s="349"/>
      <c r="S9" s="349"/>
    </row>
    <row r="10" spans="2:19" ht="21">
      <c r="B10" s="514" t="s">
        <v>9</v>
      </c>
      <c r="C10" s="514"/>
      <c r="D10" s="512" t="s">
        <v>373</v>
      </c>
      <c r="E10" s="512"/>
      <c r="F10" s="512"/>
      <c r="G10" s="512"/>
      <c r="H10" s="349"/>
      <c r="I10" s="349"/>
      <c r="J10" s="349"/>
      <c r="K10" s="349"/>
      <c r="L10" s="349"/>
      <c r="M10" s="349"/>
      <c r="N10" s="349"/>
      <c r="O10" s="349"/>
      <c r="P10" s="349"/>
      <c r="Q10" s="349"/>
      <c r="R10" s="349"/>
      <c r="S10" s="349"/>
    </row>
    <row r="11" spans="2:19" ht="21">
      <c r="B11" s="514" t="s">
        <v>10</v>
      </c>
      <c r="C11" s="514"/>
      <c r="D11" s="512" t="s">
        <v>8</v>
      </c>
      <c r="E11" s="512"/>
      <c r="F11" s="512"/>
      <c r="G11" s="512"/>
      <c r="H11" s="349"/>
      <c r="I11" s="349"/>
      <c r="J11" s="349"/>
      <c r="K11" s="349"/>
      <c r="L11" s="349"/>
      <c r="M11" s="349"/>
      <c r="N11" s="349"/>
      <c r="O11" s="349"/>
      <c r="P11" s="349"/>
      <c r="Q11" s="349"/>
      <c r="R11" s="349"/>
      <c r="S11" s="349"/>
    </row>
    <row r="12" spans="2:19" ht="78.75">
      <c r="B12" s="350" t="s">
        <v>11</v>
      </c>
      <c r="C12" s="350" t="s">
        <v>12</v>
      </c>
      <c r="D12" s="350" t="s">
        <v>13</v>
      </c>
      <c r="E12" s="350" t="s">
        <v>14</v>
      </c>
      <c r="F12" s="350" t="s">
        <v>15</v>
      </c>
      <c r="G12" s="350" t="s">
        <v>16</v>
      </c>
      <c r="H12" s="350" t="s">
        <v>17</v>
      </c>
      <c r="I12" s="350" t="s">
        <v>18</v>
      </c>
      <c r="J12" s="350" t="s">
        <v>19</v>
      </c>
      <c r="K12" s="350" t="s">
        <v>20</v>
      </c>
      <c r="L12" s="350" t="s">
        <v>21</v>
      </c>
      <c r="M12" s="350" t="s">
        <v>22</v>
      </c>
      <c r="N12" s="350" t="s">
        <v>23</v>
      </c>
      <c r="O12" s="350" t="s">
        <v>24</v>
      </c>
      <c r="P12" s="350" t="s">
        <v>25</v>
      </c>
      <c r="Q12" s="350" t="s">
        <v>26</v>
      </c>
      <c r="R12" s="350" t="s">
        <v>27</v>
      </c>
      <c r="S12" s="355" t="s">
        <v>28</v>
      </c>
    </row>
    <row r="13" spans="2:19" hidden="1">
      <c r="B13" s="405">
        <v>1</v>
      </c>
      <c r="C13" s="405">
        <v>137</v>
      </c>
      <c r="D13" s="405">
        <v>138</v>
      </c>
      <c r="E13" s="405">
        <v>63</v>
      </c>
      <c r="F13" s="405">
        <v>86</v>
      </c>
      <c r="G13" s="405">
        <v>92.2</v>
      </c>
      <c r="H13" s="405">
        <v>0.36</v>
      </c>
      <c r="I13" s="405">
        <v>1.06</v>
      </c>
      <c r="J13" s="405"/>
      <c r="K13" s="405"/>
      <c r="L13" s="405"/>
      <c r="M13" s="405"/>
      <c r="N13" s="405"/>
      <c r="O13" s="405"/>
      <c r="P13" s="405"/>
      <c r="Q13" s="405"/>
      <c r="R13" s="405"/>
      <c r="S13" s="405"/>
    </row>
    <row r="14" spans="2:19" hidden="1">
      <c r="B14" s="405">
        <f>1+B13</f>
        <v>2</v>
      </c>
      <c r="C14" s="405">
        <v>137</v>
      </c>
      <c r="D14" s="405">
        <v>128</v>
      </c>
      <c r="E14" s="405">
        <v>75</v>
      </c>
      <c r="F14" s="518">
        <v>145</v>
      </c>
      <c r="G14" s="405">
        <v>142.80000000000001</v>
      </c>
      <c r="H14" s="405">
        <v>0.375</v>
      </c>
      <c r="I14" s="405">
        <v>1.07</v>
      </c>
      <c r="J14" s="405"/>
      <c r="K14" s="405"/>
      <c r="L14" s="405"/>
      <c r="M14" s="405"/>
      <c r="N14" s="405"/>
      <c r="O14" s="405"/>
      <c r="P14" s="405"/>
      <c r="Q14" s="405"/>
      <c r="R14" s="405"/>
      <c r="S14" s="405"/>
    </row>
    <row r="15" spans="2:19">
      <c r="B15" s="405">
        <f t="shared" ref="B15:B78" si="0">1+B14</f>
        <v>3</v>
      </c>
      <c r="C15" s="405">
        <v>137</v>
      </c>
      <c r="D15" s="405">
        <v>128</v>
      </c>
      <c r="E15" s="405">
        <v>75</v>
      </c>
      <c r="F15" s="519"/>
      <c r="G15" s="405">
        <v>11.7</v>
      </c>
      <c r="H15" s="405">
        <v>0.375</v>
      </c>
      <c r="I15" s="405">
        <v>1.07</v>
      </c>
      <c r="J15" s="405"/>
      <c r="K15" s="405" t="s">
        <v>149</v>
      </c>
      <c r="L15" s="405">
        <f>+G15</f>
        <v>11.7</v>
      </c>
      <c r="M15" s="405">
        <v>0.46</v>
      </c>
      <c r="N15" s="405">
        <f>+L15*M15</f>
        <v>5.3819999999999997</v>
      </c>
      <c r="O15" s="405">
        <f>+L15</f>
        <v>11.7</v>
      </c>
      <c r="P15" s="405">
        <f>+M15</f>
        <v>0.46</v>
      </c>
      <c r="Q15" s="405">
        <f>+O15*P15</f>
        <v>5.3819999999999997</v>
      </c>
      <c r="R15" s="405"/>
      <c r="S15" s="405"/>
    </row>
    <row r="16" spans="2:19">
      <c r="B16" s="405">
        <f t="shared" si="0"/>
        <v>4</v>
      </c>
      <c r="C16" s="405">
        <v>128</v>
      </c>
      <c r="D16" s="405">
        <v>135</v>
      </c>
      <c r="E16" s="405">
        <v>63</v>
      </c>
      <c r="F16" s="518">
        <v>206</v>
      </c>
      <c r="G16" s="405">
        <v>121.9</v>
      </c>
      <c r="H16" s="405">
        <v>0.36</v>
      </c>
      <c r="I16" s="405">
        <v>1.06</v>
      </c>
      <c r="J16" s="405"/>
      <c r="K16" s="405" t="s">
        <v>149</v>
      </c>
      <c r="L16" s="405">
        <f>+G16</f>
        <v>121.9</v>
      </c>
      <c r="M16" s="405">
        <v>0.46</v>
      </c>
      <c r="N16" s="405">
        <f>+L16*M16</f>
        <v>56.074000000000005</v>
      </c>
      <c r="O16" s="405">
        <f>+L16</f>
        <v>121.9</v>
      </c>
      <c r="P16" s="405">
        <f>+M16</f>
        <v>0.46</v>
      </c>
      <c r="Q16" s="405">
        <f>+O16*P16</f>
        <v>56.074000000000005</v>
      </c>
      <c r="R16" s="405"/>
      <c r="S16" s="405"/>
    </row>
    <row r="17" spans="2:19" hidden="1">
      <c r="B17" s="405">
        <f t="shared" si="0"/>
        <v>5</v>
      </c>
      <c r="C17" s="405">
        <v>128</v>
      </c>
      <c r="D17" s="405">
        <v>135</v>
      </c>
      <c r="E17" s="405">
        <v>63</v>
      </c>
      <c r="F17" s="519"/>
      <c r="G17" s="405">
        <v>37</v>
      </c>
      <c r="H17" s="405">
        <v>0.36</v>
      </c>
      <c r="I17" s="405">
        <v>1.06</v>
      </c>
      <c r="J17" s="405"/>
      <c r="K17" s="405"/>
      <c r="L17" s="405"/>
      <c r="M17" s="405"/>
      <c r="N17" s="405"/>
      <c r="O17" s="405"/>
      <c r="P17" s="405"/>
      <c r="Q17" s="405"/>
      <c r="R17" s="405"/>
      <c r="S17" s="405"/>
    </row>
    <row r="18" spans="2:19" hidden="1">
      <c r="B18" s="405">
        <f t="shared" si="0"/>
        <v>6</v>
      </c>
      <c r="C18" s="405" t="s">
        <v>1790</v>
      </c>
      <c r="D18" s="405" t="s">
        <v>1791</v>
      </c>
      <c r="E18" s="405">
        <v>63</v>
      </c>
      <c r="F18" s="405"/>
      <c r="G18" s="405">
        <v>55.4</v>
      </c>
      <c r="H18" s="405">
        <v>0.36</v>
      </c>
      <c r="I18" s="405">
        <v>1.06</v>
      </c>
      <c r="J18" s="405"/>
      <c r="K18" s="405"/>
      <c r="L18" s="405"/>
      <c r="M18" s="405"/>
      <c r="N18" s="405"/>
      <c r="O18" s="405"/>
      <c r="P18" s="405"/>
      <c r="Q18" s="405"/>
      <c r="R18" s="405"/>
      <c r="S18" s="405"/>
    </row>
    <row r="19" spans="2:19">
      <c r="B19" s="405">
        <f t="shared" si="0"/>
        <v>7</v>
      </c>
      <c r="C19" s="405" t="s">
        <v>1790</v>
      </c>
      <c r="D19" s="405" t="s">
        <v>1791</v>
      </c>
      <c r="E19" s="405">
        <v>63</v>
      </c>
      <c r="F19" s="405"/>
      <c r="G19" s="405">
        <v>6</v>
      </c>
      <c r="H19" s="405">
        <v>0.36</v>
      </c>
      <c r="I19" s="405">
        <v>1.06</v>
      </c>
      <c r="J19" s="405"/>
      <c r="K19" s="405" t="s">
        <v>149</v>
      </c>
      <c r="L19" s="405">
        <f>+G19</f>
        <v>6</v>
      </c>
      <c r="M19" s="405">
        <v>0.46</v>
      </c>
      <c r="N19" s="405">
        <f>+L19*M19</f>
        <v>2.7600000000000002</v>
      </c>
      <c r="O19" s="405">
        <f>+L19</f>
        <v>6</v>
      </c>
      <c r="P19" s="405">
        <f>+M19</f>
        <v>0.46</v>
      </c>
      <c r="Q19" s="405">
        <f>+O19*P19</f>
        <v>2.7600000000000002</v>
      </c>
      <c r="R19" s="405"/>
      <c r="S19" s="405"/>
    </row>
    <row r="20" spans="2:19" hidden="1">
      <c r="B20" s="405">
        <f t="shared" si="0"/>
        <v>8</v>
      </c>
      <c r="C20" s="405">
        <v>136</v>
      </c>
      <c r="D20" s="405">
        <v>135</v>
      </c>
      <c r="E20" s="405">
        <v>63</v>
      </c>
      <c r="F20" s="405">
        <v>41</v>
      </c>
      <c r="G20" s="405">
        <v>134</v>
      </c>
      <c r="H20" s="405">
        <v>0.36</v>
      </c>
      <c r="I20" s="405">
        <v>1.06</v>
      </c>
      <c r="J20" s="405"/>
      <c r="K20" s="405"/>
      <c r="L20" s="405"/>
      <c r="M20" s="405"/>
      <c r="N20" s="405"/>
      <c r="O20" s="405"/>
      <c r="P20" s="405"/>
      <c r="Q20" s="405"/>
      <c r="R20" s="405"/>
      <c r="S20" s="405"/>
    </row>
    <row r="21" spans="2:19" hidden="1">
      <c r="B21" s="405">
        <f t="shared" si="0"/>
        <v>9</v>
      </c>
      <c r="C21" s="405">
        <v>135</v>
      </c>
      <c r="D21" s="405">
        <v>130</v>
      </c>
      <c r="E21" s="405">
        <v>63</v>
      </c>
      <c r="F21" s="405">
        <v>40</v>
      </c>
      <c r="G21" s="405">
        <v>40.1</v>
      </c>
      <c r="H21" s="405">
        <v>0.36</v>
      </c>
      <c r="I21" s="405">
        <v>1.06</v>
      </c>
      <c r="J21" s="405"/>
      <c r="K21" s="405"/>
      <c r="L21" s="405"/>
      <c r="M21" s="405"/>
      <c r="N21" s="405"/>
      <c r="O21" s="405"/>
      <c r="P21" s="405"/>
      <c r="Q21" s="405"/>
      <c r="R21" s="405"/>
      <c r="S21" s="405"/>
    </row>
    <row r="22" spans="2:19" hidden="1">
      <c r="B22" s="405">
        <f t="shared" si="0"/>
        <v>10</v>
      </c>
      <c r="C22" s="405">
        <v>130</v>
      </c>
      <c r="D22" s="405">
        <v>132</v>
      </c>
      <c r="E22" s="405">
        <v>63</v>
      </c>
      <c r="F22" s="405">
        <v>66</v>
      </c>
      <c r="G22" s="405">
        <v>84.5</v>
      </c>
      <c r="H22" s="405">
        <v>0.36</v>
      </c>
      <c r="I22" s="405">
        <v>1.06</v>
      </c>
      <c r="J22" s="405"/>
      <c r="K22" s="405"/>
      <c r="L22" s="405"/>
      <c r="M22" s="405"/>
      <c r="N22" s="405"/>
      <c r="O22" s="405"/>
      <c r="P22" s="405"/>
      <c r="Q22" s="405"/>
      <c r="R22" s="405"/>
      <c r="S22" s="405"/>
    </row>
    <row r="23" spans="2:19" hidden="1">
      <c r="B23" s="405">
        <f t="shared" si="0"/>
        <v>11</v>
      </c>
      <c r="C23" s="405" t="s">
        <v>1792</v>
      </c>
      <c r="D23" s="405" t="s">
        <v>1793</v>
      </c>
      <c r="E23" s="405">
        <v>63</v>
      </c>
      <c r="F23" s="405"/>
      <c r="G23" s="405">
        <v>61.4</v>
      </c>
      <c r="H23" s="405">
        <v>0.36</v>
      </c>
      <c r="I23" s="405">
        <v>1.06</v>
      </c>
      <c r="J23" s="405"/>
      <c r="K23" s="405"/>
      <c r="L23" s="405"/>
      <c r="M23" s="405"/>
      <c r="N23" s="405"/>
      <c r="O23" s="405"/>
      <c r="P23" s="405"/>
      <c r="Q23" s="405"/>
      <c r="R23" s="405"/>
      <c r="S23" s="405"/>
    </row>
    <row r="24" spans="2:19" hidden="1">
      <c r="B24" s="405">
        <f t="shared" si="0"/>
        <v>12</v>
      </c>
      <c r="C24" s="405">
        <v>130</v>
      </c>
      <c r="D24" s="405">
        <v>126</v>
      </c>
      <c r="E24" s="405">
        <v>63</v>
      </c>
      <c r="F24" s="518">
        <v>247</v>
      </c>
      <c r="G24" s="405">
        <v>50.2</v>
      </c>
      <c r="H24" s="405">
        <v>0.36</v>
      </c>
      <c r="I24" s="405">
        <v>1.06</v>
      </c>
      <c r="J24" s="405"/>
      <c r="K24" s="405" t="s">
        <v>45</v>
      </c>
      <c r="L24" s="405">
        <f>+G24</f>
        <v>50.2</v>
      </c>
      <c r="M24" s="405">
        <f>+H24</f>
        <v>0.36</v>
      </c>
      <c r="N24" s="405">
        <f>+L24*M24</f>
        <v>18.071999999999999</v>
      </c>
      <c r="O24" s="405">
        <f>+L24</f>
        <v>50.2</v>
      </c>
      <c r="P24" s="405">
        <f>+M24</f>
        <v>0.36</v>
      </c>
      <c r="Q24" s="405">
        <f>+O24*P24</f>
        <v>18.071999999999999</v>
      </c>
      <c r="R24" s="405"/>
      <c r="S24" s="405"/>
    </row>
    <row r="25" spans="2:19" hidden="1">
      <c r="B25" s="405">
        <f t="shared" si="0"/>
        <v>13</v>
      </c>
      <c r="C25" s="405">
        <v>130</v>
      </c>
      <c r="D25" s="405">
        <v>126</v>
      </c>
      <c r="E25" s="405">
        <v>63</v>
      </c>
      <c r="F25" s="520"/>
      <c r="G25" s="405">
        <v>28.1</v>
      </c>
      <c r="H25" s="405">
        <v>0.36</v>
      </c>
      <c r="I25" s="405">
        <v>1.06</v>
      </c>
      <c r="J25" s="405"/>
      <c r="K25" s="405"/>
      <c r="L25" s="405"/>
      <c r="M25" s="405"/>
      <c r="N25" s="405"/>
      <c r="O25" s="405"/>
      <c r="P25" s="405"/>
      <c r="Q25" s="405"/>
      <c r="R25" s="405"/>
      <c r="S25" s="405"/>
    </row>
    <row r="26" spans="2:19" hidden="1">
      <c r="B26" s="405">
        <f t="shared" si="0"/>
        <v>14</v>
      </c>
      <c r="C26" s="405">
        <v>130</v>
      </c>
      <c r="D26" s="405">
        <v>126</v>
      </c>
      <c r="E26" s="405">
        <v>63</v>
      </c>
      <c r="F26" s="519"/>
      <c r="G26" s="405">
        <v>148.1</v>
      </c>
      <c r="H26" s="405">
        <v>0.36</v>
      </c>
      <c r="I26" s="405">
        <v>1.06</v>
      </c>
      <c r="J26" s="405"/>
      <c r="K26" s="405"/>
      <c r="L26" s="405"/>
      <c r="M26" s="405"/>
      <c r="N26" s="405"/>
      <c r="O26" s="405"/>
      <c r="P26" s="405"/>
      <c r="Q26" s="405"/>
      <c r="R26" s="405"/>
      <c r="S26" s="405"/>
    </row>
    <row r="27" spans="2:19">
      <c r="B27" s="405">
        <f t="shared" si="0"/>
        <v>15</v>
      </c>
      <c r="C27" s="405">
        <v>128</v>
      </c>
      <c r="D27" s="405">
        <v>126</v>
      </c>
      <c r="E27" s="405">
        <v>75</v>
      </c>
      <c r="F27" s="518">
        <v>133</v>
      </c>
      <c r="G27" s="405">
        <v>20</v>
      </c>
      <c r="H27" s="405">
        <v>0.375</v>
      </c>
      <c r="I27" s="405">
        <v>1.07</v>
      </c>
      <c r="J27" s="405"/>
      <c r="K27" s="405" t="s">
        <v>149</v>
      </c>
      <c r="L27" s="405">
        <f>+G27</f>
        <v>20</v>
      </c>
      <c r="M27" s="405">
        <v>0.46</v>
      </c>
      <c r="N27" s="405">
        <f>+L27*M27</f>
        <v>9.2000000000000011</v>
      </c>
      <c r="O27" s="405">
        <f>+L27</f>
        <v>20</v>
      </c>
      <c r="P27" s="405">
        <f>+M27</f>
        <v>0.46</v>
      </c>
      <c r="Q27" s="405">
        <f>+O27*P27</f>
        <v>9.2000000000000011</v>
      </c>
      <c r="R27" s="405"/>
      <c r="S27" s="405"/>
    </row>
    <row r="28" spans="2:19" hidden="1">
      <c r="B28" s="405">
        <f t="shared" si="0"/>
        <v>16</v>
      </c>
      <c r="C28" s="405">
        <v>128</v>
      </c>
      <c r="D28" s="405">
        <v>126</v>
      </c>
      <c r="E28" s="405">
        <v>75</v>
      </c>
      <c r="F28" s="520"/>
      <c r="G28" s="405">
        <v>19.7</v>
      </c>
      <c r="H28" s="405">
        <v>0.375</v>
      </c>
      <c r="I28" s="405">
        <v>1.07</v>
      </c>
      <c r="J28" s="405"/>
      <c r="K28" s="405" t="s">
        <v>38</v>
      </c>
      <c r="L28" s="405"/>
      <c r="M28" s="405"/>
      <c r="N28" s="405"/>
      <c r="O28" s="405"/>
      <c r="P28" s="405"/>
      <c r="Q28" s="405"/>
      <c r="R28" s="405"/>
      <c r="S28" s="405"/>
    </row>
    <row r="29" spans="2:19" hidden="1">
      <c r="B29" s="405">
        <f t="shared" si="0"/>
        <v>17</v>
      </c>
      <c r="C29" s="405">
        <v>128</v>
      </c>
      <c r="D29" s="405">
        <v>126</v>
      </c>
      <c r="E29" s="405">
        <v>75</v>
      </c>
      <c r="F29" s="519"/>
      <c r="G29" s="405">
        <v>88.4</v>
      </c>
      <c r="H29" s="405">
        <v>0.375</v>
      </c>
      <c r="I29" s="405">
        <v>1.07</v>
      </c>
      <c r="J29" s="405"/>
      <c r="K29" s="405"/>
      <c r="L29" s="405"/>
      <c r="M29" s="405"/>
      <c r="N29" s="405"/>
      <c r="O29" s="405"/>
      <c r="P29" s="405"/>
      <c r="Q29" s="405"/>
      <c r="R29" s="405"/>
      <c r="S29" s="405"/>
    </row>
    <row r="30" spans="2:19" hidden="1">
      <c r="B30" s="405">
        <f t="shared" si="0"/>
        <v>18</v>
      </c>
      <c r="C30" s="405">
        <v>126</v>
      </c>
      <c r="D30" s="405">
        <v>56</v>
      </c>
      <c r="E30" s="405">
        <v>75</v>
      </c>
      <c r="F30" s="518">
        <v>198</v>
      </c>
      <c r="G30" s="405">
        <v>2.1</v>
      </c>
      <c r="H30" s="405">
        <v>0.375</v>
      </c>
      <c r="I30" s="405">
        <v>1.07</v>
      </c>
      <c r="J30" s="405"/>
      <c r="K30" s="405"/>
      <c r="L30" s="405"/>
      <c r="M30" s="405"/>
      <c r="N30" s="405"/>
      <c r="O30" s="405"/>
      <c r="P30" s="405"/>
      <c r="Q30" s="405"/>
      <c r="R30" s="405"/>
      <c r="S30" s="405"/>
    </row>
    <row r="31" spans="2:19" hidden="1">
      <c r="B31" s="405">
        <f t="shared" si="0"/>
        <v>19</v>
      </c>
      <c r="C31" s="405">
        <v>126</v>
      </c>
      <c r="D31" s="405">
        <v>56</v>
      </c>
      <c r="E31" s="405">
        <v>75</v>
      </c>
      <c r="F31" s="520"/>
      <c r="G31" s="405">
        <v>128.5</v>
      </c>
      <c r="H31" s="405">
        <v>0.375</v>
      </c>
      <c r="I31" s="405">
        <v>1.07</v>
      </c>
      <c r="J31" s="405"/>
      <c r="K31" s="405" t="s">
        <v>102</v>
      </c>
      <c r="L31" s="405">
        <f>+G31</f>
        <v>128.5</v>
      </c>
      <c r="M31" s="405">
        <f>+H31</f>
        <v>0.375</v>
      </c>
      <c r="N31" s="405">
        <f>+L31*M31</f>
        <v>48.1875</v>
      </c>
      <c r="O31" s="405">
        <f>+L31</f>
        <v>128.5</v>
      </c>
      <c r="P31" s="405">
        <f>+M31</f>
        <v>0.375</v>
      </c>
      <c r="Q31" s="405">
        <f>+O31*P31</f>
        <v>48.1875</v>
      </c>
      <c r="R31" s="405"/>
      <c r="S31" s="405"/>
    </row>
    <row r="32" spans="2:19" hidden="1">
      <c r="B32" s="405">
        <f t="shared" si="0"/>
        <v>20</v>
      </c>
      <c r="C32" s="405">
        <v>126</v>
      </c>
      <c r="D32" s="405">
        <v>56</v>
      </c>
      <c r="E32" s="405">
        <v>75</v>
      </c>
      <c r="F32" s="519"/>
      <c r="G32" s="405">
        <v>7</v>
      </c>
      <c r="H32" s="405">
        <v>0.375</v>
      </c>
      <c r="I32" s="405">
        <v>1.07</v>
      </c>
      <c r="J32" s="405"/>
      <c r="K32" s="405" t="s">
        <v>1794</v>
      </c>
      <c r="L32" s="405">
        <f>+G32</f>
        <v>7</v>
      </c>
      <c r="M32" s="405">
        <f>+H32</f>
        <v>0.375</v>
      </c>
      <c r="N32" s="405">
        <f>+L32*M32</f>
        <v>2.625</v>
      </c>
      <c r="O32" s="405">
        <f>+L32</f>
        <v>7</v>
      </c>
      <c r="P32" s="405">
        <f>+M32</f>
        <v>0.375</v>
      </c>
      <c r="Q32" s="405">
        <f>+O32*P32</f>
        <v>2.625</v>
      </c>
      <c r="R32" s="405"/>
      <c r="S32" s="405"/>
    </row>
    <row r="33" spans="2:19" hidden="1">
      <c r="B33" s="405">
        <f t="shared" si="0"/>
        <v>21</v>
      </c>
      <c r="C33" s="405">
        <v>56</v>
      </c>
      <c r="D33" s="405">
        <v>38</v>
      </c>
      <c r="E33" s="405">
        <v>160</v>
      </c>
      <c r="F33" s="405">
        <v>299</v>
      </c>
      <c r="G33" s="405">
        <v>298.2</v>
      </c>
      <c r="H33" s="405">
        <v>0.46</v>
      </c>
      <c r="I33" s="405">
        <v>1.1599999999999999</v>
      </c>
      <c r="J33" s="405"/>
      <c r="K33" s="405"/>
      <c r="L33" s="405"/>
      <c r="M33" s="405"/>
      <c r="N33" s="405"/>
      <c r="O33" s="405"/>
      <c r="P33" s="405"/>
      <c r="Q33" s="405"/>
      <c r="R33" s="405"/>
      <c r="S33" s="405"/>
    </row>
    <row r="34" spans="2:19" hidden="1">
      <c r="B34" s="405">
        <f t="shared" si="0"/>
        <v>22</v>
      </c>
      <c r="C34" s="405">
        <v>56</v>
      </c>
      <c r="D34" s="405">
        <v>122</v>
      </c>
      <c r="E34" s="405">
        <v>160</v>
      </c>
      <c r="F34" s="518">
        <v>223</v>
      </c>
      <c r="G34" s="405">
        <v>91.1</v>
      </c>
      <c r="H34" s="405">
        <v>0.46</v>
      </c>
      <c r="I34" s="405">
        <v>1.1599999999999999</v>
      </c>
      <c r="J34" s="405"/>
      <c r="K34" s="405"/>
      <c r="L34" s="405"/>
      <c r="M34" s="405"/>
      <c r="N34" s="405"/>
      <c r="O34" s="405"/>
      <c r="P34" s="405"/>
      <c r="Q34" s="405"/>
      <c r="R34" s="405"/>
      <c r="S34" s="405"/>
    </row>
    <row r="35" spans="2:19">
      <c r="B35" s="405">
        <f t="shared" si="0"/>
        <v>23</v>
      </c>
      <c r="C35" s="405">
        <v>56</v>
      </c>
      <c r="D35" s="405">
        <v>122</v>
      </c>
      <c r="E35" s="405">
        <v>160</v>
      </c>
      <c r="F35" s="520"/>
      <c r="G35" s="405">
        <v>56.9</v>
      </c>
      <c r="H35" s="405">
        <v>0.46</v>
      </c>
      <c r="I35" s="405">
        <v>1.1599999999999999</v>
      </c>
      <c r="J35" s="405"/>
      <c r="K35" s="405" t="s">
        <v>149</v>
      </c>
      <c r="L35" s="405">
        <f>+G35</f>
        <v>56.9</v>
      </c>
      <c r="M35" s="405">
        <v>0.46</v>
      </c>
      <c r="N35" s="405">
        <f>+L35*M35</f>
        <v>26.173999999999999</v>
      </c>
      <c r="O35" s="405">
        <f>+L35</f>
        <v>56.9</v>
      </c>
      <c r="P35" s="405">
        <f>+M35</f>
        <v>0.46</v>
      </c>
      <c r="Q35" s="405">
        <f>+O35*P35</f>
        <v>26.173999999999999</v>
      </c>
      <c r="R35" s="405"/>
      <c r="S35" s="405"/>
    </row>
    <row r="36" spans="2:19" hidden="1">
      <c r="B36" s="405">
        <f t="shared" si="0"/>
        <v>24</v>
      </c>
      <c r="C36" s="405">
        <v>56</v>
      </c>
      <c r="D36" s="405">
        <v>122</v>
      </c>
      <c r="E36" s="405">
        <v>160</v>
      </c>
      <c r="F36" s="520"/>
      <c r="G36" s="405">
        <v>76.400000000000006</v>
      </c>
      <c r="H36" s="405">
        <v>0.46</v>
      </c>
      <c r="I36" s="405">
        <v>1.1599999999999999</v>
      </c>
      <c r="J36" s="405"/>
      <c r="K36" s="405"/>
      <c r="L36" s="405"/>
      <c r="M36" s="405"/>
      <c r="N36" s="405"/>
      <c r="O36" s="405"/>
      <c r="P36" s="405"/>
      <c r="Q36" s="405"/>
      <c r="R36" s="405"/>
      <c r="S36" s="405"/>
    </row>
    <row r="37" spans="2:19" hidden="1">
      <c r="B37" s="405">
        <f t="shared" si="0"/>
        <v>25</v>
      </c>
      <c r="C37" s="405">
        <v>56</v>
      </c>
      <c r="D37" s="405">
        <v>122</v>
      </c>
      <c r="E37" s="405">
        <v>160</v>
      </c>
      <c r="F37" s="520"/>
      <c r="G37" s="405">
        <v>4.2</v>
      </c>
      <c r="H37" s="405">
        <v>0.46</v>
      </c>
      <c r="I37" s="405">
        <v>1.1599999999999999</v>
      </c>
      <c r="J37" s="405"/>
      <c r="K37" s="405" t="s">
        <v>45</v>
      </c>
      <c r="L37" s="405">
        <f>+G37</f>
        <v>4.2</v>
      </c>
      <c r="M37" s="405">
        <f>+H37</f>
        <v>0.46</v>
      </c>
      <c r="N37" s="405">
        <f>+L37*M37</f>
        <v>1.9320000000000002</v>
      </c>
      <c r="O37" s="405">
        <f>+L37</f>
        <v>4.2</v>
      </c>
      <c r="P37" s="405">
        <f>+M37</f>
        <v>0.46</v>
      </c>
      <c r="Q37" s="405">
        <f>+O37*P37</f>
        <v>1.9320000000000002</v>
      </c>
      <c r="R37" s="405"/>
      <c r="S37" s="405"/>
    </row>
    <row r="38" spans="2:19" hidden="1">
      <c r="B38" s="405">
        <f t="shared" si="0"/>
        <v>26</v>
      </c>
      <c r="C38" s="405">
        <v>122</v>
      </c>
      <c r="D38" s="405">
        <v>124</v>
      </c>
      <c r="E38" s="405">
        <v>160</v>
      </c>
      <c r="F38" s="520">
        <v>129</v>
      </c>
      <c r="G38" s="405">
        <v>6</v>
      </c>
      <c r="H38" s="405">
        <v>0.46</v>
      </c>
      <c r="I38" s="405">
        <v>1.1599999999999999</v>
      </c>
      <c r="J38" s="405"/>
      <c r="K38" s="405" t="s">
        <v>1794</v>
      </c>
      <c r="L38" s="405">
        <f>+G38</f>
        <v>6</v>
      </c>
      <c r="M38" s="405">
        <f>+H38</f>
        <v>0.46</v>
      </c>
      <c r="N38" s="405">
        <f>+L38*M38</f>
        <v>2.7600000000000002</v>
      </c>
      <c r="O38" s="405">
        <f>+L38</f>
        <v>6</v>
      </c>
      <c r="P38" s="405">
        <f>+M38</f>
        <v>0.46</v>
      </c>
      <c r="Q38" s="405">
        <f>+O38*P38</f>
        <v>2.7600000000000002</v>
      </c>
      <c r="R38" s="405"/>
      <c r="S38" s="405"/>
    </row>
    <row r="39" spans="2:19" hidden="1">
      <c r="B39" s="405">
        <f t="shared" si="0"/>
        <v>27</v>
      </c>
      <c r="C39" s="405">
        <v>122</v>
      </c>
      <c r="D39" s="405">
        <v>124</v>
      </c>
      <c r="E39" s="405">
        <v>160</v>
      </c>
      <c r="F39" s="519"/>
      <c r="G39" s="405">
        <v>170</v>
      </c>
      <c r="H39" s="405">
        <v>0.46</v>
      </c>
      <c r="I39" s="405">
        <v>1.1599999999999999</v>
      </c>
      <c r="J39" s="405"/>
      <c r="K39" s="405"/>
      <c r="L39" s="405"/>
      <c r="M39" s="405"/>
      <c r="N39" s="405"/>
      <c r="O39" s="405"/>
      <c r="P39" s="405"/>
      <c r="Q39" s="405"/>
      <c r="R39" s="405"/>
      <c r="S39" s="405"/>
    </row>
    <row r="40" spans="2:19" hidden="1">
      <c r="B40" s="405">
        <f t="shared" si="0"/>
        <v>28</v>
      </c>
      <c r="C40" s="405">
        <v>124</v>
      </c>
      <c r="D40" s="405">
        <v>125</v>
      </c>
      <c r="E40" s="405">
        <v>63</v>
      </c>
      <c r="F40" s="405">
        <v>13</v>
      </c>
      <c r="G40" s="405">
        <v>92.6</v>
      </c>
      <c r="H40" s="405">
        <v>0.36</v>
      </c>
      <c r="I40" s="405">
        <v>1.06</v>
      </c>
      <c r="J40" s="405"/>
      <c r="K40" s="405"/>
      <c r="L40" s="405"/>
      <c r="M40" s="405"/>
      <c r="N40" s="405"/>
      <c r="O40" s="405"/>
      <c r="P40" s="405"/>
      <c r="Q40" s="405"/>
      <c r="R40" s="405"/>
      <c r="S40" s="405"/>
    </row>
    <row r="41" spans="2:19" hidden="1">
      <c r="B41" s="405">
        <f t="shared" si="0"/>
        <v>29</v>
      </c>
      <c r="C41" s="405">
        <v>124</v>
      </c>
      <c r="D41" s="405" t="s">
        <v>1795</v>
      </c>
      <c r="E41" s="405">
        <v>160</v>
      </c>
      <c r="F41" s="518">
        <v>162</v>
      </c>
      <c r="G41" s="405">
        <v>14.9</v>
      </c>
      <c r="H41" s="405">
        <v>0.46</v>
      </c>
      <c r="I41" s="405">
        <v>1.1599999999999999</v>
      </c>
      <c r="J41" s="405"/>
      <c r="K41" s="405"/>
      <c r="L41" s="405"/>
      <c r="M41" s="405"/>
      <c r="N41" s="405"/>
      <c r="O41" s="405"/>
      <c r="P41" s="405"/>
      <c r="Q41" s="405"/>
      <c r="R41" s="405"/>
      <c r="S41" s="405"/>
    </row>
    <row r="42" spans="2:19" hidden="1">
      <c r="B42" s="405">
        <f t="shared" si="0"/>
        <v>30</v>
      </c>
      <c r="C42" s="405" t="s">
        <v>1795</v>
      </c>
      <c r="D42" s="405">
        <v>143</v>
      </c>
      <c r="E42" s="405">
        <v>160</v>
      </c>
      <c r="F42" s="519"/>
      <c r="G42" s="405">
        <v>174.3</v>
      </c>
      <c r="H42" s="405">
        <v>0.46</v>
      </c>
      <c r="I42" s="405">
        <v>1.1599999999999999</v>
      </c>
      <c r="J42" s="405"/>
      <c r="K42" s="405"/>
      <c r="L42" s="405"/>
      <c r="M42" s="405"/>
      <c r="N42" s="405"/>
      <c r="O42" s="405"/>
      <c r="P42" s="405"/>
      <c r="Q42" s="405"/>
      <c r="R42" s="405"/>
      <c r="S42" s="405"/>
    </row>
    <row r="43" spans="2:19" hidden="1">
      <c r="B43" s="405">
        <f t="shared" si="0"/>
        <v>31</v>
      </c>
      <c r="C43" s="405" t="s">
        <v>1795</v>
      </c>
      <c r="D43" s="405" t="s">
        <v>1796</v>
      </c>
      <c r="E43" s="405">
        <v>63</v>
      </c>
      <c r="F43" s="405"/>
      <c r="G43" s="405">
        <v>39.1</v>
      </c>
      <c r="H43" s="405">
        <v>0.36</v>
      </c>
      <c r="I43" s="405">
        <v>1.06</v>
      </c>
      <c r="J43" s="405"/>
      <c r="K43" s="405"/>
      <c r="L43" s="405"/>
      <c r="M43" s="405"/>
      <c r="N43" s="405"/>
      <c r="O43" s="405"/>
      <c r="P43" s="405"/>
      <c r="Q43" s="405"/>
      <c r="R43" s="405"/>
      <c r="S43" s="405"/>
    </row>
    <row r="44" spans="2:19" hidden="1">
      <c r="B44" s="405">
        <f t="shared" si="0"/>
        <v>32</v>
      </c>
      <c r="C44" s="405">
        <v>143</v>
      </c>
      <c r="D44" s="405">
        <v>142</v>
      </c>
      <c r="E44" s="405">
        <v>63</v>
      </c>
      <c r="F44" s="405">
        <v>9</v>
      </c>
      <c r="G44" s="405">
        <v>200.5</v>
      </c>
      <c r="H44" s="405">
        <v>0.36</v>
      </c>
      <c r="I44" s="405">
        <v>1.06</v>
      </c>
      <c r="J44" s="405"/>
      <c r="K44" s="405"/>
      <c r="L44" s="405"/>
      <c r="M44" s="405"/>
      <c r="N44" s="405"/>
      <c r="O44" s="405"/>
      <c r="P44" s="405"/>
      <c r="Q44" s="405"/>
      <c r="R44" s="405"/>
      <c r="S44" s="405"/>
    </row>
    <row r="45" spans="2:19" hidden="1">
      <c r="B45" s="405">
        <f t="shared" si="0"/>
        <v>33</v>
      </c>
      <c r="C45" s="405">
        <v>143</v>
      </c>
      <c r="D45" s="405">
        <v>145</v>
      </c>
      <c r="E45" s="405">
        <v>160</v>
      </c>
      <c r="F45" s="518">
        <v>182</v>
      </c>
      <c r="G45" s="405">
        <v>113</v>
      </c>
      <c r="H45" s="405">
        <v>0.46</v>
      </c>
      <c r="I45" s="405">
        <v>1.1599999999999999</v>
      </c>
      <c r="J45" s="405"/>
      <c r="K45" s="405"/>
      <c r="L45" s="405"/>
      <c r="M45" s="405"/>
      <c r="N45" s="405"/>
      <c r="O45" s="405"/>
      <c r="P45" s="405"/>
      <c r="Q45" s="405"/>
      <c r="R45" s="405"/>
      <c r="S45" s="405"/>
    </row>
    <row r="46" spans="2:19" hidden="1">
      <c r="B46" s="405">
        <f t="shared" si="0"/>
        <v>34</v>
      </c>
      <c r="C46" s="405">
        <v>143</v>
      </c>
      <c r="D46" s="405">
        <v>145</v>
      </c>
      <c r="E46" s="405">
        <v>160</v>
      </c>
      <c r="F46" s="519"/>
      <c r="G46" s="405">
        <v>5.9</v>
      </c>
      <c r="H46" s="405">
        <v>0.46</v>
      </c>
      <c r="I46" s="405">
        <v>1.1599999999999999</v>
      </c>
      <c r="J46" s="405"/>
      <c r="K46" s="405" t="s">
        <v>1797</v>
      </c>
      <c r="L46" s="405">
        <f>+G46</f>
        <v>5.9</v>
      </c>
      <c r="M46" s="405">
        <f>+H46</f>
        <v>0.46</v>
      </c>
      <c r="N46" s="405">
        <f>+L46*M46</f>
        <v>2.7140000000000004</v>
      </c>
      <c r="O46" s="405">
        <f>+L46</f>
        <v>5.9</v>
      </c>
      <c r="P46" s="405">
        <f>+M46</f>
        <v>0.46</v>
      </c>
      <c r="Q46" s="405">
        <f>+O46*P46</f>
        <v>2.7140000000000004</v>
      </c>
      <c r="R46" s="405"/>
      <c r="S46" s="405"/>
    </row>
    <row r="47" spans="2:19" hidden="1">
      <c r="B47" s="405">
        <f t="shared" si="0"/>
        <v>35</v>
      </c>
      <c r="C47" s="405">
        <v>146</v>
      </c>
      <c r="D47" s="405">
        <v>145</v>
      </c>
      <c r="E47" s="405">
        <v>160</v>
      </c>
      <c r="F47" s="405">
        <v>9</v>
      </c>
      <c r="G47" s="405">
        <v>7.6</v>
      </c>
      <c r="H47" s="405">
        <v>0.46</v>
      </c>
      <c r="I47" s="405">
        <v>1.1599999999999999</v>
      </c>
      <c r="J47" s="405"/>
      <c r="K47" s="405"/>
      <c r="L47" s="405"/>
      <c r="M47" s="405"/>
      <c r="N47" s="405"/>
      <c r="O47" s="405"/>
      <c r="P47" s="405"/>
      <c r="Q47" s="405"/>
      <c r="R47" s="405"/>
      <c r="S47" s="405"/>
    </row>
    <row r="48" spans="2:19" hidden="1">
      <c r="B48" s="405">
        <f t="shared" si="0"/>
        <v>36</v>
      </c>
      <c r="C48" s="405">
        <v>145</v>
      </c>
      <c r="D48" s="405">
        <v>144</v>
      </c>
      <c r="E48" s="405">
        <v>75</v>
      </c>
      <c r="F48" s="518">
        <v>235</v>
      </c>
      <c r="G48" s="405">
        <v>230.6</v>
      </c>
      <c r="H48" s="405">
        <v>0.375</v>
      </c>
      <c r="I48" s="405">
        <v>1.07</v>
      </c>
      <c r="J48" s="405"/>
      <c r="K48" s="405"/>
      <c r="L48" s="405"/>
      <c r="M48" s="405"/>
      <c r="N48" s="405"/>
      <c r="O48" s="405"/>
      <c r="P48" s="405"/>
      <c r="Q48" s="405"/>
      <c r="R48" s="405"/>
      <c r="S48" s="405"/>
    </row>
    <row r="49" spans="2:19" hidden="1">
      <c r="B49" s="405">
        <f t="shared" si="0"/>
        <v>37</v>
      </c>
      <c r="C49" s="405">
        <v>145</v>
      </c>
      <c r="D49" s="405">
        <v>144</v>
      </c>
      <c r="E49" s="405">
        <v>75</v>
      </c>
      <c r="F49" s="519"/>
      <c r="G49" s="405">
        <v>9.8000000000000007</v>
      </c>
      <c r="H49" s="405">
        <v>0.375</v>
      </c>
      <c r="I49" s="405">
        <v>1.07</v>
      </c>
      <c r="J49" s="405"/>
      <c r="K49" s="405" t="s">
        <v>1797</v>
      </c>
      <c r="L49" s="405">
        <f>+G49</f>
        <v>9.8000000000000007</v>
      </c>
      <c r="M49" s="405">
        <f>+H49</f>
        <v>0.375</v>
      </c>
      <c r="N49" s="405">
        <f>+L49*M49</f>
        <v>3.6750000000000003</v>
      </c>
      <c r="O49" s="405">
        <f>+L49</f>
        <v>9.8000000000000007</v>
      </c>
      <c r="P49" s="405">
        <f>+M49</f>
        <v>0.375</v>
      </c>
      <c r="Q49" s="405">
        <f>+O49*P49</f>
        <v>3.6750000000000003</v>
      </c>
      <c r="R49" s="405"/>
      <c r="S49" s="405"/>
    </row>
    <row r="50" spans="2:19" hidden="1">
      <c r="B50" s="405">
        <f t="shared" si="0"/>
        <v>38</v>
      </c>
      <c r="C50" s="405">
        <v>144</v>
      </c>
      <c r="D50" s="405">
        <v>149</v>
      </c>
      <c r="E50" s="405">
        <v>140</v>
      </c>
      <c r="F50" s="518">
        <v>345</v>
      </c>
      <c r="G50" s="405">
        <v>298.60000000000002</v>
      </c>
      <c r="H50" s="405">
        <v>0.44</v>
      </c>
      <c r="I50" s="405">
        <v>1.1399999999999999</v>
      </c>
      <c r="J50" s="405"/>
      <c r="K50" s="405"/>
      <c r="L50" s="405"/>
      <c r="M50" s="405"/>
      <c r="N50" s="405"/>
      <c r="O50" s="405"/>
      <c r="P50" s="405"/>
      <c r="Q50" s="405"/>
      <c r="R50" s="405"/>
      <c r="S50" s="405"/>
    </row>
    <row r="51" spans="2:19">
      <c r="B51" s="405">
        <f t="shared" si="0"/>
        <v>39</v>
      </c>
      <c r="C51" s="405">
        <v>144</v>
      </c>
      <c r="D51" s="405">
        <v>149</v>
      </c>
      <c r="E51" s="405">
        <v>140</v>
      </c>
      <c r="F51" s="519"/>
      <c r="G51" s="405">
        <v>63.2</v>
      </c>
      <c r="H51" s="405">
        <v>0.44</v>
      </c>
      <c r="I51" s="405">
        <v>1.1399999999999999</v>
      </c>
      <c r="J51" s="405"/>
      <c r="K51" s="405" t="s">
        <v>149</v>
      </c>
      <c r="L51" s="405">
        <f>+G51</f>
        <v>63.2</v>
      </c>
      <c r="M51" s="405">
        <v>0.46</v>
      </c>
      <c r="N51" s="405">
        <f>+L51*M51</f>
        <v>29.072000000000003</v>
      </c>
      <c r="O51" s="405">
        <f>+L51</f>
        <v>63.2</v>
      </c>
      <c r="P51" s="405">
        <f>+M51</f>
        <v>0.46</v>
      </c>
      <c r="Q51" s="405">
        <f>+O51*P51</f>
        <v>29.072000000000003</v>
      </c>
      <c r="R51" s="405"/>
      <c r="S51" s="405"/>
    </row>
    <row r="52" spans="2:19" hidden="1">
      <c r="B52" s="405">
        <f t="shared" si="0"/>
        <v>40</v>
      </c>
      <c r="C52" s="405">
        <v>149</v>
      </c>
      <c r="D52" s="405">
        <v>154</v>
      </c>
      <c r="E52" s="405">
        <v>140</v>
      </c>
      <c r="F52" s="518">
        <v>351</v>
      </c>
      <c r="G52" s="405">
        <v>6</v>
      </c>
      <c r="H52" s="405">
        <v>0.44</v>
      </c>
      <c r="I52" s="405">
        <v>1.1399999999999999</v>
      </c>
      <c r="J52" s="405"/>
      <c r="K52" s="405" t="s">
        <v>1797</v>
      </c>
      <c r="L52" s="405">
        <f>+G52</f>
        <v>6</v>
      </c>
      <c r="M52" s="405">
        <f>+H52</f>
        <v>0.44</v>
      </c>
      <c r="N52" s="405">
        <f>+L52*M52</f>
        <v>2.64</v>
      </c>
      <c r="O52" s="405">
        <f>+L52</f>
        <v>6</v>
      </c>
      <c r="P52" s="405">
        <f>+M52</f>
        <v>0.44</v>
      </c>
      <c r="Q52" s="405">
        <f>+O52*P52</f>
        <v>2.64</v>
      </c>
      <c r="R52" s="405"/>
      <c r="S52" s="405"/>
    </row>
    <row r="53" spans="2:19" hidden="1">
      <c r="B53" s="405">
        <f t="shared" si="0"/>
        <v>41</v>
      </c>
      <c r="C53" s="405">
        <v>149</v>
      </c>
      <c r="D53" s="405">
        <v>154</v>
      </c>
      <c r="E53" s="405">
        <v>140</v>
      </c>
      <c r="F53" s="520"/>
      <c r="G53" s="405">
        <v>152.1</v>
      </c>
      <c r="H53" s="405">
        <v>0.44</v>
      </c>
      <c r="I53" s="405">
        <v>1.1399999999999999</v>
      </c>
      <c r="J53" s="405"/>
      <c r="K53" s="405" t="s">
        <v>45</v>
      </c>
      <c r="L53" s="405">
        <f t="shared" ref="L53:L55" si="1">+G53</f>
        <v>152.1</v>
      </c>
      <c r="M53" s="405">
        <f t="shared" ref="M53:M55" si="2">+H53</f>
        <v>0.44</v>
      </c>
      <c r="N53" s="405">
        <f t="shared" ref="N53:N55" si="3">+L53*M53</f>
        <v>66.923999999999992</v>
      </c>
      <c r="O53" s="405">
        <f t="shared" ref="O53:O55" si="4">+L53</f>
        <v>152.1</v>
      </c>
      <c r="P53" s="405">
        <f t="shared" ref="P53:P55" si="5">+M53</f>
        <v>0.44</v>
      </c>
      <c r="Q53" s="405">
        <f t="shared" ref="Q53:Q55" si="6">+O53*P53</f>
        <v>66.923999999999992</v>
      </c>
      <c r="R53" s="405"/>
      <c r="S53" s="405"/>
    </row>
    <row r="54" spans="2:19" hidden="1">
      <c r="B54" s="405">
        <f t="shared" si="0"/>
        <v>42</v>
      </c>
      <c r="C54" s="405">
        <v>149</v>
      </c>
      <c r="D54" s="405">
        <v>154</v>
      </c>
      <c r="E54" s="405">
        <v>140</v>
      </c>
      <c r="F54" s="519"/>
      <c r="G54" s="405">
        <v>14.7</v>
      </c>
      <c r="H54" s="405">
        <v>0.44</v>
      </c>
      <c r="I54" s="405">
        <v>1.1399999999999999</v>
      </c>
      <c r="J54" s="405"/>
      <c r="K54" s="405" t="s">
        <v>45</v>
      </c>
      <c r="L54" s="405">
        <f t="shared" si="1"/>
        <v>14.7</v>
      </c>
      <c r="M54" s="405">
        <f t="shared" si="2"/>
        <v>0.44</v>
      </c>
      <c r="N54" s="405">
        <f t="shared" si="3"/>
        <v>6.468</v>
      </c>
      <c r="O54" s="405">
        <f t="shared" si="4"/>
        <v>14.7</v>
      </c>
      <c r="P54" s="405">
        <f t="shared" si="5"/>
        <v>0.44</v>
      </c>
      <c r="Q54" s="405">
        <f t="shared" si="6"/>
        <v>6.468</v>
      </c>
      <c r="R54" s="405"/>
      <c r="S54" s="405"/>
    </row>
    <row r="55" spans="2:19" hidden="1">
      <c r="B55" s="405">
        <f t="shared" si="0"/>
        <v>43</v>
      </c>
      <c r="C55" s="405">
        <v>154</v>
      </c>
      <c r="D55" s="405">
        <v>164</v>
      </c>
      <c r="E55" s="405">
        <v>110</v>
      </c>
      <c r="F55" s="518">
        <v>232</v>
      </c>
      <c r="G55" s="405">
        <v>91.6</v>
      </c>
      <c r="H55" s="405">
        <v>0.41</v>
      </c>
      <c r="I55" s="405">
        <v>1.1000000000000001</v>
      </c>
      <c r="J55" s="405"/>
      <c r="K55" s="405" t="s">
        <v>45</v>
      </c>
      <c r="L55" s="405">
        <f t="shared" si="1"/>
        <v>91.6</v>
      </c>
      <c r="M55" s="405">
        <f t="shared" si="2"/>
        <v>0.41</v>
      </c>
      <c r="N55" s="405">
        <f t="shared" si="3"/>
        <v>37.555999999999997</v>
      </c>
      <c r="O55" s="405">
        <f t="shared" si="4"/>
        <v>91.6</v>
      </c>
      <c r="P55" s="405">
        <f t="shared" si="5"/>
        <v>0.41</v>
      </c>
      <c r="Q55" s="405">
        <f t="shared" si="6"/>
        <v>37.555999999999997</v>
      </c>
      <c r="R55" s="405"/>
      <c r="S55" s="405"/>
    </row>
    <row r="56" spans="2:19" hidden="1">
      <c r="B56" s="405">
        <f t="shared" si="0"/>
        <v>44</v>
      </c>
      <c r="C56" s="405">
        <v>154</v>
      </c>
      <c r="D56" s="405">
        <v>164</v>
      </c>
      <c r="E56" s="405">
        <v>110</v>
      </c>
      <c r="F56" s="519"/>
      <c r="G56" s="405">
        <v>140</v>
      </c>
      <c r="H56" s="405">
        <v>0.41</v>
      </c>
      <c r="I56" s="405">
        <v>1.1000000000000001</v>
      </c>
      <c r="J56" s="405"/>
      <c r="K56" s="405"/>
      <c r="L56" s="405"/>
      <c r="M56" s="405"/>
      <c r="N56" s="405"/>
      <c r="O56" s="405"/>
      <c r="P56" s="405"/>
      <c r="Q56" s="405"/>
      <c r="R56" s="405"/>
      <c r="S56" s="405"/>
    </row>
    <row r="57" spans="2:19" hidden="1">
      <c r="B57" s="405">
        <f t="shared" si="0"/>
        <v>45</v>
      </c>
      <c r="C57" s="405">
        <v>164</v>
      </c>
      <c r="D57" s="405">
        <v>166</v>
      </c>
      <c r="E57" s="405">
        <v>160</v>
      </c>
      <c r="F57" s="518">
        <v>92</v>
      </c>
      <c r="G57" s="405">
        <v>68.599999999999994</v>
      </c>
      <c r="H57" s="405">
        <v>0.46</v>
      </c>
      <c r="I57" s="405">
        <v>1.1399999999999999</v>
      </c>
      <c r="J57" s="405"/>
      <c r="K57" s="405"/>
      <c r="L57" s="405"/>
      <c r="M57" s="405"/>
      <c r="N57" s="405"/>
      <c r="O57" s="405"/>
      <c r="P57" s="405"/>
      <c r="Q57" s="405"/>
      <c r="R57" s="405"/>
      <c r="S57" s="405"/>
    </row>
    <row r="58" spans="2:19" hidden="1">
      <c r="B58" s="405">
        <f t="shared" si="0"/>
        <v>46</v>
      </c>
      <c r="C58" s="405">
        <v>164</v>
      </c>
      <c r="D58" s="405">
        <v>166</v>
      </c>
      <c r="E58" s="405">
        <v>160</v>
      </c>
      <c r="F58" s="519"/>
      <c r="G58" s="405">
        <v>31</v>
      </c>
      <c r="H58" s="405">
        <v>0.46</v>
      </c>
      <c r="I58" s="405">
        <v>1.1399999999999999</v>
      </c>
      <c r="J58" s="405"/>
      <c r="K58" s="405" t="s">
        <v>45</v>
      </c>
      <c r="L58" s="405">
        <f>+G58</f>
        <v>31</v>
      </c>
      <c r="M58" s="405">
        <f>+H58</f>
        <v>0.46</v>
      </c>
      <c r="N58" s="405">
        <f>+L58*M58</f>
        <v>14.26</v>
      </c>
      <c r="O58" s="405">
        <f>+L58</f>
        <v>31</v>
      </c>
      <c r="P58" s="405">
        <f>+M58</f>
        <v>0.46</v>
      </c>
      <c r="Q58" s="405">
        <f>+O58*P58</f>
        <v>14.26</v>
      </c>
      <c r="R58" s="405"/>
      <c r="S58" s="405"/>
    </row>
    <row r="59" spans="2:19" hidden="1">
      <c r="B59" s="405">
        <f t="shared" si="0"/>
        <v>47</v>
      </c>
      <c r="C59" s="405">
        <v>166</v>
      </c>
      <c r="D59" s="405" t="s">
        <v>1798</v>
      </c>
      <c r="E59" s="405">
        <v>75</v>
      </c>
      <c r="F59" s="405"/>
      <c r="G59" s="405">
        <v>20</v>
      </c>
      <c r="H59" s="405">
        <v>0.375</v>
      </c>
      <c r="I59" s="405">
        <v>1.07</v>
      </c>
      <c r="J59" s="405"/>
      <c r="K59" s="405"/>
      <c r="L59" s="405"/>
      <c r="M59" s="405"/>
      <c r="N59" s="405"/>
      <c r="O59" s="405"/>
      <c r="P59" s="405"/>
      <c r="Q59" s="405"/>
      <c r="R59" s="405"/>
      <c r="S59" s="405"/>
    </row>
    <row r="60" spans="2:19" hidden="1">
      <c r="B60" s="405">
        <f t="shared" si="0"/>
        <v>48</v>
      </c>
      <c r="C60" s="405" t="s">
        <v>1798</v>
      </c>
      <c r="D60" s="405">
        <v>170</v>
      </c>
      <c r="E60" s="405">
        <v>75</v>
      </c>
      <c r="F60" s="405"/>
      <c r="G60" s="405">
        <v>276</v>
      </c>
      <c r="H60" s="405">
        <v>0.375</v>
      </c>
      <c r="I60" s="405">
        <v>1.07</v>
      </c>
      <c r="J60" s="405"/>
      <c r="K60" s="405"/>
      <c r="L60" s="405"/>
      <c r="M60" s="405"/>
      <c r="N60" s="405"/>
      <c r="O60" s="405"/>
      <c r="P60" s="405"/>
      <c r="Q60" s="405"/>
      <c r="R60" s="405"/>
      <c r="S60" s="405"/>
    </row>
    <row r="61" spans="2:19" hidden="1">
      <c r="B61" s="405">
        <f t="shared" si="0"/>
        <v>49</v>
      </c>
      <c r="C61" s="405">
        <v>170</v>
      </c>
      <c r="D61" s="405">
        <v>172</v>
      </c>
      <c r="E61" s="405">
        <v>75</v>
      </c>
      <c r="F61" s="405">
        <v>88</v>
      </c>
      <c r="G61" s="405">
        <v>92.3</v>
      </c>
      <c r="H61" s="405">
        <v>0.375</v>
      </c>
      <c r="I61" s="405">
        <v>1.07</v>
      </c>
      <c r="J61" s="405"/>
      <c r="K61" s="405"/>
      <c r="L61" s="405"/>
      <c r="M61" s="405"/>
      <c r="N61" s="405"/>
      <c r="O61" s="405"/>
      <c r="P61" s="405"/>
      <c r="Q61" s="405"/>
      <c r="R61" s="405"/>
      <c r="S61" s="405"/>
    </row>
    <row r="62" spans="2:19" hidden="1">
      <c r="B62" s="405">
        <f t="shared" si="0"/>
        <v>50</v>
      </c>
      <c r="C62" s="405">
        <v>172</v>
      </c>
      <c r="D62" s="405">
        <v>166</v>
      </c>
      <c r="E62" s="405">
        <v>160</v>
      </c>
      <c r="F62" s="405">
        <v>129</v>
      </c>
      <c r="G62" s="405">
        <v>128.69999999999999</v>
      </c>
      <c r="H62" s="405">
        <v>0.46</v>
      </c>
      <c r="I62" s="405">
        <v>1.1399999999999999</v>
      </c>
      <c r="J62" s="405"/>
      <c r="K62" s="405" t="s">
        <v>45</v>
      </c>
      <c r="L62" s="405">
        <f>+G62</f>
        <v>128.69999999999999</v>
      </c>
      <c r="M62" s="405">
        <f>+H62</f>
        <v>0.46</v>
      </c>
      <c r="N62" s="405">
        <f>+L62*M62</f>
        <v>59.201999999999998</v>
      </c>
      <c r="O62" s="405">
        <f>+L62</f>
        <v>128.69999999999999</v>
      </c>
      <c r="P62" s="405">
        <f>+M62</f>
        <v>0.46</v>
      </c>
      <c r="Q62" s="405">
        <f>+O62*P62</f>
        <v>59.201999999999998</v>
      </c>
      <c r="R62" s="405"/>
      <c r="S62" s="405"/>
    </row>
    <row r="63" spans="2:19" hidden="1">
      <c r="B63" s="405">
        <f t="shared" si="0"/>
        <v>51</v>
      </c>
      <c r="C63" s="405" t="s">
        <v>1798</v>
      </c>
      <c r="D63" s="405">
        <v>167</v>
      </c>
      <c r="E63" s="405">
        <v>75</v>
      </c>
      <c r="F63" s="405"/>
      <c r="G63" s="405">
        <v>29.1</v>
      </c>
      <c r="H63" s="405">
        <v>0.375</v>
      </c>
      <c r="I63" s="405">
        <v>1.07</v>
      </c>
      <c r="J63" s="405"/>
      <c r="K63" s="405"/>
      <c r="L63" s="405"/>
      <c r="M63" s="405"/>
      <c r="N63" s="405"/>
      <c r="O63" s="405"/>
      <c r="P63" s="405"/>
      <c r="Q63" s="405"/>
      <c r="R63" s="405"/>
      <c r="S63" s="405"/>
    </row>
    <row r="64" spans="2:19" hidden="1">
      <c r="B64" s="405">
        <f t="shared" si="0"/>
        <v>52</v>
      </c>
      <c r="C64" s="405">
        <v>164</v>
      </c>
      <c r="D64" s="405">
        <v>160</v>
      </c>
      <c r="E64" s="405">
        <v>160</v>
      </c>
      <c r="F64" s="405">
        <v>84</v>
      </c>
      <c r="G64" s="405">
        <v>100.9</v>
      </c>
      <c r="H64" s="405">
        <v>0.46</v>
      </c>
      <c r="I64" s="405">
        <v>1.1399999999999999</v>
      </c>
      <c r="J64" s="405"/>
      <c r="K64" s="405"/>
      <c r="L64" s="405"/>
      <c r="M64" s="405"/>
      <c r="N64" s="405"/>
      <c r="O64" s="405"/>
      <c r="P64" s="405"/>
      <c r="Q64" s="405"/>
      <c r="R64" s="405"/>
      <c r="S64" s="405"/>
    </row>
    <row r="65" spans="2:19" hidden="1">
      <c r="B65" s="405">
        <f t="shared" si="0"/>
        <v>53</v>
      </c>
      <c r="C65" s="405">
        <v>154</v>
      </c>
      <c r="D65" s="405">
        <v>160</v>
      </c>
      <c r="E65" s="405">
        <v>63</v>
      </c>
      <c r="F65" s="518">
        <v>198</v>
      </c>
      <c r="G65" s="405">
        <v>110.1</v>
      </c>
      <c r="H65" s="405">
        <v>0.36</v>
      </c>
      <c r="I65" s="405">
        <v>1.06</v>
      </c>
      <c r="J65" s="405"/>
      <c r="K65" s="405"/>
      <c r="L65" s="405"/>
      <c r="M65" s="405"/>
      <c r="N65" s="405"/>
      <c r="O65" s="405"/>
      <c r="P65" s="405"/>
      <c r="Q65" s="405"/>
      <c r="R65" s="405"/>
      <c r="S65" s="405"/>
    </row>
    <row r="66" spans="2:19" hidden="1">
      <c r="B66" s="405">
        <f t="shared" si="0"/>
        <v>54</v>
      </c>
      <c r="C66" s="405">
        <v>154</v>
      </c>
      <c r="D66" s="405">
        <v>160</v>
      </c>
      <c r="E66" s="405">
        <v>63</v>
      </c>
      <c r="F66" s="519"/>
      <c r="G66" s="405">
        <v>92.2</v>
      </c>
      <c r="H66" s="405">
        <v>0.36</v>
      </c>
      <c r="I66" s="405">
        <v>1.06</v>
      </c>
      <c r="J66" s="405"/>
      <c r="K66" s="405" t="s">
        <v>45</v>
      </c>
      <c r="L66" s="405">
        <f>+G66</f>
        <v>92.2</v>
      </c>
      <c r="M66" s="405">
        <f>+H66</f>
        <v>0.36</v>
      </c>
      <c r="N66" s="405">
        <f>+L66*M66</f>
        <v>33.192</v>
      </c>
      <c r="O66" s="405">
        <f>+L66</f>
        <v>92.2</v>
      </c>
      <c r="P66" s="405">
        <f>+M66</f>
        <v>0.36</v>
      </c>
      <c r="Q66" s="405">
        <f>+O66*P66</f>
        <v>33.192</v>
      </c>
      <c r="R66" s="405"/>
      <c r="S66" s="405"/>
    </row>
    <row r="67" spans="2:19" hidden="1">
      <c r="B67" s="405">
        <f t="shared" si="0"/>
        <v>55</v>
      </c>
      <c r="C67" s="405">
        <v>154</v>
      </c>
      <c r="D67" s="405">
        <v>153</v>
      </c>
      <c r="E67" s="405">
        <v>140</v>
      </c>
      <c r="F67" s="405">
        <v>50</v>
      </c>
      <c r="G67" s="405">
        <v>51</v>
      </c>
      <c r="H67" s="405">
        <v>0.44</v>
      </c>
      <c r="I67" s="405">
        <v>1.1399999999999999</v>
      </c>
      <c r="J67" s="405"/>
      <c r="K67" s="405"/>
      <c r="L67" s="405"/>
      <c r="M67" s="405"/>
      <c r="N67" s="405"/>
      <c r="O67" s="405"/>
      <c r="P67" s="405"/>
      <c r="Q67" s="405"/>
      <c r="R67" s="405"/>
      <c r="S67" s="405"/>
    </row>
    <row r="68" spans="2:19" hidden="1">
      <c r="B68" s="405">
        <f t="shared" si="0"/>
        <v>56</v>
      </c>
      <c r="C68" s="405">
        <v>153</v>
      </c>
      <c r="D68" s="405">
        <v>158</v>
      </c>
      <c r="E68" s="405">
        <v>160</v>
      </c>
      <c r="F68" s="405">
        <v>301</v>
      </c>
      <c r="G68" s="405">
        <v>292.89999999999998</v>
      </c>
      <c r="H68" s="405">
        <v>0.46</v>
      </c>
      <c r="I68" s="405">
        <v>1.1599999999999999</v>
      </c>
      <c r="J68" s="405"/>
      <c r="K68" s="405"/>
      <c r="L68" s="405"/>
      <c r="M68" s="405"/>
      <c r="N68" s="405"/>
      <c r="O68" s="405"/>
      <c r="P68" s="405"/>
      <c r="Q68" s="405"/>
      <c r="R68" s="405"/>
      <c r="S68" s="405"/>
    </row>
    <row r="69" spans="2:19" hidden="1">
      <c r="B69" s="405">
        <f t="shared" si="0"/>
        <v>57</v>
      </c>
      <c r="C69" s="405">
        <v>153</v>
      </c>
      <c r="D69" s="405">
        <v>146</v>
      </c>
      <c r="E69" s="405">
        <v>160</v>
      </c>
      <c r="F69" s="405">
        <v>216</v>
      </c>
      <c r="G69" s="405">
        <v>214.9</v>
      </c>
      <c r="H69" s="405">
        <v>0.46</v>
      </c>
      <c r="I69" s="405">
        <v>1.1599999999999999</v>
      </c>
      <c r="J69" s="405"/>
      <c r="K69" s="405"/>
      <c r="L69" s="405"/>
      <c r="M69" s="405"/>
      <c r="N69" s="405"/>
      <c r="O69" s="405"/>
      <c r="P69" s="405"/>
      <c r="Q69" s="405"/>
      <c r="R69" s="405"/>
      <c r="S69" s="405"/>
    </row>
    <row r="70" spans="2:19" hidden="1">
      <c r="B70" s="405">
        <f t="shared" si="0"/>
        <v>58</v>
      </c>
      <c r="C70" s="405">
        <v>144</v>
      </c>
      <c r="D70" s="405">
        <v>122</v>
      </c>
      <c r="E70" s="405">
        <v>140</v>
      </c>
      <c r="F70" s="518">
        <v>325</v>
      </c>
      <c r="G70" s="405">
        <v>47</v>
      </c>
      <c r="H70" s="405">
        <v>0.44</v>
      </c>
      <c r="I70" s="405">
        <v>1.1399999999999999</v>
      </c>
      <c r="J70" s="405"/>
      <c r="K70" s="405"/>
      <c r="L70" s="405"/>
      <c r="M70" s="405"/>
      <c r="N70" s="405"/>
      <c r="O70" s="405"/>
      <c r="P70" s="405"/>
      <c r="Q70" s="405"/>
      <c r="R70" s="405"/>
      <c r="S70" s="405"/>
    </row>
    <row r="71" spans="2:19" hidden="1">
      <c r="B71" s="405">
        <f t="shared" si="0"/>
        <v>59</v>
      </c>
      <c r="C71" s="405">
        <v>144</v>
      </c>
      <c r="D71" s="405">
        <v>122</v>
      </c>
      <c r="E71" s="405">
        <v>140</v>
      </c>
      <c r="F71" s="520"/>
      <c r="G71" s="405">
        <v>6.8</v>
      </c>
      <c r="H71" s="405">
        <v>0.44</v>
      </c>
      <c r="I71" s="405">
        <v>1.1399999999999999</v>
      </c>
      <c r="J71" s="405"/>
      <c r="K71" s="405" t="s">
        <v>38</v>
      </c>
      <c r="L71" s="405"/>
      <c r="M71" s="405"/>
      <c r="N71" s="405"/>
      <c r="O71" s="405"/>
      <c r="P71" s="405"/>
      <c r="Q71" s="405"/>
      <c r="R71" s="405"/>
      <c r="S71" s="405"/>
    </row>
    <row r="72" spans="2:19">
      <c r="B72" s="405">
        <f t="shared" si="0"/>
        <v>60</v>
      </c>
      <c r="C72" s="405">
        <v>144</v>
      </c>
      <c r="D72" s="405">
        <v>122</v>
      </c>
      <c r="E72" s="405">
        <v>140</v>
      </c>
      <c r="F72" s="520"/>
      <c r="G72" s="405">
        <v>192</v>
      </c>
      <c r="H72" s="405">
        <v>0.44</v>
      </c>
      <c r="I72" s="405">
        <v>1.1399999999999999</v>
      </c>
      <c r="J72" s="405"/>
      <c r="K72" s="405" t="s">
        <v>149</v>
      </c>
      <c r="L72" s="405">
        <f>+G72</f>
        <v>192</v>
      </c>
      <c r="M72" s="405">
        <v>0.46</v>
      </c>
      <c r="N72" s="405">
        <f>+L72*M72</f>
        <v>88.320000000000007</v>
      </c>
      <c r="O72" s="405">
        <f>+L72</f>
        <v>192</v>
      </c>
      <c r="P72" s="405">
        <f>+M72</f>
        <v>0.46</v>
      </c>
      <c r="Q72" s="405">
        <f>+O72*P72</f>
        <v>88.320000000000007</v>
      </c>
      <c r="R72" s="405"/>
      <c r="S72" s="405"/>
    </row>
    <row r="73" spans="2:19" hidden="1">
      <c r="B73" s="405">
        <f t="shared" si="0"/>
        <v>61</v>
      </c>
      <c r="C73" s="405">
        <v>144</v>
      </c>
      <c r="D73" s="405">
        <v>122</v>
      </c>
      <c r="E73" s="405">
        <v>140</v>
      </c>
      <c r="F73" s="520"/>
      <c r="G73" s="405">
        <v>8</v>
      </c>
      <c r="H73" s="405">
        <v>0.44</v>
      </c>
      <c r="I73" s="405">
        <v>1.1399999999999999</v>
      </c>
      <c r="J73" s="405"/>
      <c r="K73" s="405" t="s">
        <v>38</v>
      </c>
      <c r="L73" s="405"/>
      <c r="M73" s="405"/>
      <c r="N73" s="405"/>
      <c r="O73" s="405"/>
      <c r="P73" s="405"/>
      <c r="Q73" s="405"/>
      <c r="R73" s="405"/>
      <c r="S73" s="405"/>
    </row>
    <row r="74" spans="2:19" hidden="1">
      <c r="B74" s="405">
        <f t="shared" si="0"/>
        <v>62</v>
      </c>
      <c r="C74" s="405">
        <v>144</v>
      </c>
      <c r="D74" s="405">
        <v>122</v>
      </c>
      <c r="E74" s="405">
        <v>140</v>
      </c>
      <c r="F74" s="519"/>
      <c r="G74" s="405">
        <v>80.599999999999994</v>
      </c>
      <c r="H74" s="405">
        <v>0.44</v>
      </c>
      <c r="I74" s="405">
        <v>1.1399999999999999</v>
      </c>
      <c r="J74" s="405"/>
      <c r="K74" s="405"/>
      <c r="L74" s="405"/>
      <c r="M74" s="405"/>
      <c r="N74" s="405"/>
      <c r="O74" s="405"/>
      <c r="P74" s="405"/>
      <c r="Q74" s="405"/>
      <c r="R74" s="405"/>
      <c r="S74" s="405"/>
    </row>
    <row r="75" spans="2:19" hidden="1">
      <c r="B75" s="405">
        <f t="shared" si="0"/>
        <v>63</v>
      </c>
      <c r="C75" s="405">
        <v>224</v>
      </c>
      <c r="D75" s="405">
        <v>228</v>
      </c>
      <c r="E75" s="405">
        <v>90</v>
      </c>
      <c r="F75" s="405">
        <v>55</v>
      </c>
      <c r="G75" s="405">
        <v>53.2</v>
      </c>
      <c r="H75" s="405">
        <v>0.39</v>
      </c>
      <c r="I75" s="405">
        <v>1.0900000000000001</v>
      </c>
      <c r="J75" s="405"/>
      <c r="K75" s="405" t="s">
        <v>45</v>
      </c>
      <c r="L75" s="405">
        <f t="shared" ref="L75:L77" si="7">+G75</f>
        <v>53.2</v>
      </c>
      <c r="M75" s="405">
        <f t="shared" ref="M75:M77" si="8">+H75</f>
        <v>0.39</v>
      </c>
      <c r="N75" s="405">
        <f t="shared" ref="N75:N77" si="9">+L75*M75</f>
        <v>20.748000000000001</v>
      </c>
      <c r="O75" s="405">
        <f t="shared" ref="O75:O77" si="10">+L75</f>
        <v>53.2</v>
      </c>
      <c r="P75" s="405">
        <f t="shared" ref="P75:P77" si="11">+M75</f>
        <v>0.39</v>
      </c>
      <c r="Q75" s="405">
        <f t="shared" ref="Q75:Q77" si="12">+O75*P75</f>
        <v>20.748000000000001</v>
      </c>
      <c r="R75" s="405"/>
      <c r="S75" s="405"/>
    </row>
    <row r="76" spans="2:19" hidden="1">
      <c r="B76" s="405">
        <f t="shared" si="0"/>
        <v>64</v>
      </c>
      <c r="C76" s="405">
        <v>228</v>
      </c>
      <c r="D76" s="405">
        <v>231</v>
      </c>
      <c r="E76" s="405">
        <v>90</v>
      </c>
      <c r="F76" s="405">
        <v>10</v>
      </c>
      <c r="G76" s="405">
        <v>10.8</v>
      </c>
      <c r="H76" s="405">
        <v>0.39</v>
      </c>
      <c r="I76" s="405">
        <v>1.0900000000000001</v>
      </c>
      <c r="J76" s="405"/>
      <c r="K76" s="405" t="s">
        <v>45</v>
      </c>
      <c r="L76" s="405">
        <f t="shared" si="7"/>
        <v>10.8</v>
      </c>
      <c r="M76" s="405">
        <f t="shared" si="8"/>
        <v>0.39</v>
      </c>
      <c r="N76" s="405">
        <f t="shared" si="9"/>
        <v>4.2120000000000006</v>
      </c>
      <c r="O76" s="405">
        <f t="shared" si="10"/>
        <v>10.8</v>
      </c>
      <c r="P76" s="405">
        <f t="shared" si="11"/>
        <v>0.39</v>
      </c>
      <c r="Q76" s="405">
        <f t="shared" si="12"/>
        <v>4.2120000000000006</v>
      </c>
      <c r="R76" s="405"/>
      <c r="S76" s="405"/>
    </row>
    <row r="77" spans="2:19" hidden="1">
      <c r="B77" s="405">
        <f t="shared" si="0"/>
        <v>65</v>
      </c>
      <c r="C77" s="405">
        <v>228</v>
      </c>
      <c r="D77" s="405">
        <v>225</v>
      </c>
      <c r="E77" s="405">
        <v>63</v>
      </c>
      <c r="F77" s="518">
        <v>98</v>
      </c>
      <c r="G77" s="405">
        <v>3.1</v>
      </c>
      <c r="H77" s="405">
        <v>0.36</v>
      </c>
      <c r="I77" s="405">
        <v>1.06</v>
      </c>
      <c r="J77" s="405"/>
      <c r="K77" s="405" t="s">
        <v>45</v>
      </c>
      <c r="L77" s="405">
        <f t="shared" si="7"/>
        <v>3.1</v>
      </c>
      <c r="M77" s="405">
        <f t="shared" si="8"/>
        <v>0.36</v>
      </c>
      <c r="N77" s="405">
        <f t="shared" si="9"/>
        <v>1.1159999999999999</v>
      </c>
      <c r="O77" s="405">
        <f t="shared" si="10"/>
        <v>3.1</v>
      </c>
      <c r="P77" s="405">
        <f t="shared" si="11"/>
        <v>0.36</v>
      </c>
      <c r="Q77" s="405">
        <f t="shared" si="12"/>
        <v>1.1159999999999999</v>
      </c>
      <c r="R77" s="405"/>
      <c r="S77" s="405"/>
    </row>
    <row r="78" spans="2:19" hidden="1">
      <c r="B78" s="405">
        <f t="shared" si="0"/>
        <v>66</v>
      </c>
      <c r="C78" s="405">
        <v>228</v>
      </c>
      <c r="D78" s="405">
        <v>225</v>
      </c>
      <c r="E78" s="405">
        <v>63</v>
      </c>
      <c r="F78" s="519"/>
      <c r="G78" s="405">
        <v>89.4</v>
      </c>
      <c r="H78" s="405">
        <v>0.36</v>
      </c>
      <c r="I78" s="405">
        <v>1.06</v>
      </c>
      <c r="J78" s="405"/>
      <c r="K78" s="405"/>
      <c r="L78" s="405"/>
      <c r="M78" s="405"/>
      <c r="N78" s="405"/>
      <c r="O78" s="405"/>
      <c r="P78" s="405"/>
      <c r="Q78" s="405"/>
      <c r="R78" s="405"/>
      <c r="S78" s="405"/>
    </row>
    <row r="79" spans="2:19" hidden="1">
      <c r="B79" s="405">
        <f t="shared" ref="B79:B142" si="13">1+B78</f>
        <v>67</v>
      </c>
      <c r="C79" s="405">
        <v>231</v>
      </c>
      <c r="D79" s="405">
        <v>232</v>
      </c>
      <c r="E79" s="405">
        <v>63</v>
      </c>
      <c r="F79" s="108">
        <v>162</v>
      </c>
      <c r="G79" s="405">
        <v>59.5</v>
      </c>
      <c r="H79" s="405">
        <v>0.36</v>
      </c>
      <c r="I79" s="405">
        <v>1.06</v>
      </c>
      <c r="J79" s="405"/>
      <c r="K79" s="405"/>
      <c r="L79" s="405"/>
      <c r="M79" s="405"/>
      <c r="N79" s="405"/>
      <c r="O79" s="405"/>
      <c r="P79" s="405"/>
      <c r="Q79" s="405"/>
      <c r="R79" s="405"/>
      <c r="S79" s="405"/>
    </row>
    <row r="80" spans="2:19" hidden="1">
      <c r="B80" s="405">
        <f t="shared" si="13"/>
        <v>68</v>
      </c>
      <c r="C80" s="405">
        <v>231</v>
      </c>
      <c r="D80" s="405">
        <v>233</v>
      </c>
      <c r="E80" s="405">
        <v>63</v>
      </c>
      <c r="F80" s="405">
        <v>155</v>
      </c>
      <c r="G80" s="405">
        <v>162.5</v>
      </c>
      <c r="H80" s="405">
        <v>0.36</v>
      </c>
      <c r="I80" s="405">
        <v>1.06</v>
      </c>
      <c r="J80" s="405"/>
      <c r="K80" s="405"/>
      <c r="L80" s="405"/>
      <c r="M80" s="405"/>
      <c r="N80" s="405"/>
      <c r="O80" s="405"/>
      <c r="P80" s="405"/>
      <c r="Q80" s="405"/>
      <c r="R80" s="405"/>
      <c r="S80" s="405"/>
    </row>
    <row r="81" spans="2:19" hidden="1">
      <c r="B81" s="405">
        <f t="shared" si="13"/>
        <v>69</v>
      </c>
      <c r="C81" s="405">
        <v>225</v>
      </c>
      <c r="D81" s="405">
        <v>228</v>
      </c>
      <c r="E81" s="405">
        <v>90</v>
      </c>
      <c r="F81" s="518">
        <v>47</v>
      </c>
      <c r="G81" s="405">
        <v>5.6</v>
      </c>
      <c r="H81" s="405">
        <v>0.39</v>
      </c>
      <c r="I81" s="405">
        <v>1.0900000000000001</v>
      </c>
      <c r="J81" s="405"/>
      <c r="K81" s="405" t="s">
        <v>1794</v>
      </c>
      <c r="L81" s="405">
        <f>+G81</f>
        <v>5.6</v>
      </c>
      <c r="M81" s="405">
        <f>+H81</f>
        <v>0.39</v>
      </c>
      <c r="N81" s="405">
        <f>+L81*M81</f>
        <v>2.1839999999999997</v>
      </c>
      <c r="O81" s="405">
        <f>+L81</f>
        <v>5.6</v>
      </c>
      <c r="P81" s="405">
        <f>+M81</f>
        <v>0.39</v>
      </c>
      <c r="Q81" s="405">
        <f>+O81*P81</f>
        <v>2.1839999999999997</v>
      </c>
      <c r="R81" s="405"/>
      <c r="S81" s="405"/>
    </row>
    <row r="82" spans="2:19" hidden="1">
      <c r="B82" s="405">
        <f t="shared" si="13"/>
        <v>70</v>
      </c>
      <c r="C82" s="405">
        <v>224</v>
      </c>
      <c r="D82" s="405">
        <v>227</v>
      </c>
      <c r="E82" s="405">
        <v>90</v>
      </c>
      <c r="F82" s="519"/>
      <c r="G82" s="405">
        <v>51.7</v>
      </c>
      <c r="H82" s="405">
        <v>0.39</v>
      </c>
      <c r="I82" s="405">
        <v>1.0900000000000001</v>
      </c>
      <c r="J82" s="405"/>
      <c r="K82" s="405"/>
      <c r="L82" s="405"/>
      <c r="M82" s="405"/>
      <c r="N82" s="405"/>
      <c r="O82" s="405"/>
      <c r="P82" s="405"/>
      <c r="Q82" s="405"/>
      <c r="R82" s="405"/>
      <c r="S82" s="405"/>
    </row>
    <row r="83" spans="2:19" hidden="1">
      <c r="B83" s="405">
        <f t="shared" si="13"/>
        <v>71</v>
      </c>
      <c r="C83" s="405">
        <v>227</v>
      </c>
      <c r="D83" s="405" t="s">
        <v>1799</v>
      </c>
      <c r="E83" s="405">
        <v>63</v>
      </c>
      <c r="F83" s="405"/>
      <c r="G83" s="405">
        <v>22.3</v>
      </c>
      <c r="H83" s="405">
        <v>0.36</v>
      </c>
      <c r="I83" s="405">
        <v>1.06</v>
      </c>
      <c r="J83" s="405"/>
      <c r="K83" s="405"/>
      <c r="L83" s="405"/>
      <c r="M83" s="405"/>
      <c r="N83" s="405"/>
      <c r="O83" s="405"/>
      <c r="P83" s="405"/>
      <c r="Q83" s="405"/>
      <c r="R83" s="405"/>
      <c r="S83" s="405"/>
    </row>
    <row r="84" spans="2:19" hidden="1">
      <c r="B84" s="405">
        <f t="shared" si="13"/>
        <v>72</v>
      </c>
      <c r="C84" s="405">
        <v>227</v>
      </c>
      <c r="D84" s="405">
        <v>230</v>
      </c>
      <c r="E84" s="405">
        <v>90</v>
      </c>
      <c r="F84" s="405">
        <v>27</v>
      </c>
      <c r="G84" s="405">
        <v>103.4</v>
      </c>
      <c r="H84" s="405">
        <v>0.39</v>
      </c>
      <c r="I84" s="405">
        <v>1.0900000000000001</v>
      </c>
      <c r="J84" s="405"/>
      <c r="K84" s="405"/>
      <c r="L84" s="405"/>
      <c r="M84" s="405"/>
      <c r="N84" s="405"/>
      <c r="O84" s="405"/>
      <c r="P84" s="405"/>
      <c r="Q84" s="405"/>
      <c r="R84" s="405"/>
      <c r="S84" s="405"/>
    </row>
    <row r="85" spans="2:19" hidden="1">
      <c r="B85" s="405">
        <f t="shared" si="13"/>
        <v>73</v>
      </c>
      <c r="C85" s="405">
        <v>230</v>
      </c>
      <c r="D85" s="405" t="s">
        <v>1800</v>
      </c>
      <c r="E85" s="405">
        <v>90</v>
      </c>
      <c r="F85" s="405"/>
      <c r="G85" s="405">
        <v>45.2</v>
      </c>
      <c r="H85" s="405">
        <v>0.39</v>
      </c>
      <c r="I85" s="405">
        <v>1.0900000000000001</v>
      </c>
      <c r="J85" s="405"/>
      <c r="K85" s="405"/>
      <c r="L85" s="405"/>
      <c r="M85" s="405"/>
      <c r="N85" s="405"/>
      <c r="O85" s="405"/>
      <c r="P85" s="405"/>
      <c r="Q85" s="405"/>
      <c r="R85" s="405"/>
      <c r="S85" s="405"/>
    </row>
    <row r="86" spans="2:19" hidden="1">
      <c r="B86" s="405">
        <f t="shared" si="13"/>
        <v>74</v>
      </c>
      <c r="C86" s="405">
        <v>230</v>
      </c>
      <c r="D86" s="405">
        <v>226</v>
      </c>
      <c r="E86" s="405">
        <v>90</v>
      </c>
      <c r="F86" s="405">
        <v>101</v>
      </c>
      <c r="G86" s="405">
        <v>62.1</v>
      </c>
      <c r="H86" s="405">
        <v>0.39</v>
      </c>
      <c r="I86" s="405">
        <v>1.0900000000000001</v>
      </c>
      <c r="J86" s="405"/>
      <c r="K86" s="405"/>
      <c r="L86" s="405"/>
      <c r="M86" s="405"/>
      <c r="N86" s="405"/>
      <c r="O86" s="405"/>
      <c r="P86" s="405"/>
      <c r="Q86" s="405"/>
      <c r="R86" s="405"/>
      <c r="S86" s="405"/>
    </row>
    <row r="87" spans="2:19" hidden="1">
      <c r="B87" s="405">
        <f t="shared" si="13"/>
        <v>75</v>
      </c>
      <c r="C87" s="405">
        <v>226</v>
      </c>
      <c r="D87" s="405">
        <v>229</v>
      </c>
      <c r="E87" s="405">
        <v>63</v>
      </c>
      <c r="F87" s="405">
        <v>124</v>
      </c>
      <c r="G87" s="405">
        <v>175.9</v>
      </c>
      <c r="H87" s="405">
        <v>0.36</v>
      </c>
      <c r="I87" s="405">
        <v>1.06</v>
      </c>
      <c r="J87" s="405"/>
      <c r="K87" s="405"/>
      <c r="L87" s="405"/>
      <c r="M87" s="405"/>
      <c r="N87" s="405"/>
      <c r="O87" s="405"/>
      <c r="P87" s="405"/>
      <c r="Q87" s="405"/>
      <c r="R87" s="405"/>
      <c r="S87" s="405"/>
    </row>
    <row r="88" spans="2:19" hidden="1">
      <c r="B88" s="405">
        <f t="shared" si="13"/>
        <v>76</v>
      </c>
      <c r="C88" s="405">
        <v>230</v>
      </c>
      <c r="D88" s="405">
        <v>236</v>
      </c>
      <c r="E88" s="405">
        <v>90</v>
      </c>
      <c r="F88" s="405">
        <v>259</v>
      </c>
      <c r="G88" s="405">
        <v>177.4</v>
      </c>
      <c r="H88" s="405">
        <v>0.39</v>
      </c>
      <c r="I88" s="405">
        <v>1.0900000000000001</v>
      </c>
      <c r="J88" s="405"/>
      <c r="K88" s="405" t="s">
        <v>45</v>
      </c>
      <c r="L88" s="405">
        <f>+G88</f>
        <v>177.4</v>
      </c>
      <c r="M88" s="405">
        <f>+H88</f>
        <v>0.39</v>
      </c>
      <c r="N88" s="405">
        <f>+L88*M88</f>
        <v>69.186000000000007</v>
      </c>
      <c r="O88" s="405">
        <f>+L88</f>
        <v>177.4</v>
      </c>
      <c r="P88" s="405">
        <f>+M88</f>
        <v>0.39</v>
      </c>
      <c r="Q88" s="405">
        <f>+O88*P88</f>
        <v>69.186000000000007</v>
      </c>
      <c r="R88" s="405"/>
      <c r="S88" s="405"/>
    </row>
    <row r="89" spans="2:19" hidden="1">
      <c r="B89" s="405">
        <f t="shared" si="13"/>
        <v>77</v>
      </c>
      <c r="C89" s="405">
        <v>236</v>
      </c>
      <c r="D89" s="405">
        <v>239</v>
      </c>
      <c r="E89" s="405">
        <v>63</v>
      </c>
      <c r="F89" s="405">
        <v>216</v>
      </c>
      <c r="G89" s="405">
        <v>204.7</v>
      </c>
      <c r="H89" s="405">
        <v>0.36</v>
      </c>
      <c r="I89" s="405">
        <v>1.06</v>
      </c>
      <c r="J89" s="405"/>
      <c r="K89" s="405"/>
      <c r="L89" s="405"/>
      <c r="M89" s="405"/>
      <c r="N89" s="405"/>
      <c r="O89" s="405"/>
      <c r="P89" s="405"/>
      <c r="Q89" s="405"/>
      <c r="R89" s="405"/>
      <c r="S89" s="405"/>
    </row>
    <row r="90" spans="2:19" hidden="1">
      <c r="B90" s="405">
        <f t="shared" si="13"/>
        <v>78</v>
      </c>
      <c r="C90" s="405">
        <v>236</v>
      </c>
      <c r="D90" s="405" t="s">
        <v>1801</v>
      </c>
      <c r="E90" s="405">
        <v>90</v>
      </c>
      <c r="F90" s="518">
        <v>398</v>
      </c>
      <c r="G90" s="405">
        <v>225.4</v>
      </c>
      <c r="H90" s="405">
        <v>0.39</v>
      </c>
      <c r="I90" s="405">
        <v>1.0900000000000001</v>
      </c>
      <c r="J90" s="405"/>
      <c r="K90" s="405"/>
      <c r="L90" s="405"/>
      <c r="M90" s="405"/>
      <c r="N90" s="405"/>
      <c r="O90" s="405"/>
      <c r="P90" s="405"/>
      <c r="Q90" s="405"/>
      <c r="R90" s="405"/>
      <c r="S90" s="405"/>
    </row>
    <row r="91" spans="2:19" hidden="1">
      <c r="B91" s="405">
        <f t="shared" si="13"/>
        <v>79</v>
      </c>
      <c r="C91" s="405" t="s">
        <v>1801</v>
      </c>
      <c r="D91" s="405" t="s">
        <v>1802</v>
      </c>
      <c r="E91" s="405">
        <v>90</v>
      </c>
      <c r="F91" s="520"/>
      <c r="G91" s="405">
        <v>68.7</v>
      </c>
      <c r="H91" s="405">
        <v>0.39</v>
      </c>
      <c r="I91" s="405">
        <v>1.0900000000000001</v>
      </c>
      <c r="J91" s="405"/>
      <c r="K91" s="405"/>
      <c r="L91" s="405"/>
      <c r="M91" s="405"/>
      <c r="N91" s="405"/>
      <c r="O91" s="405"/>
      <c r="P91" s="405"/>
      <c r="Q91" s="405"/>
      <c r="R91" s="405"/>
      <c r="S91" s="405"/>
    </row>
    <row r="92" spans="2:19" hidden="1">
      <c r="B92" s="405">
        <f t="shared" si="13"/>
        <v>80</v>
      </c>
      <c r="C92" s="405" t="s">
        <v>1801</v>
      </c>
      <c r="D92" s="405">
        <v>223</v>
      </c>
      <c r="E92" s="405">
        <v>90</v>
      </c>
      <c r="F92" s="520"/>
      <c r="G92" s="405">
        <v>172.4</v>
      </c>
      <c r="H92" s="405">
        <v>0.39</v>
      </c>
      <c r="I92" s="405">
        <v>1.0900000000000001</v>
      </c>
      <c r="J92" s="405"/>
      <c r="K92" s="405"/>
      <c r="L92" s="405"/>
      <c r="M92" s="405"/>
      <c r="N92" s="405"/>
      <c r="O92" s="405"/>
      <c r="P92" s="405"/>
      <c r="Q92" s="405"/>
      <c r="R92" s="405"/>
      <c r="S92" s="405"/>
    </row>
    <row r="93" spans="2:19" hidden="1">
      <c r="B93" s="405">
        <f t="shared" si="13"/>
        <v>81</v>
      </c>
      <c r="C93" s="405">
        <v>223</v>
      </c>
      <c r="D93" s="405" t="s">
        <v>1803</v>
      </c>
      <c r="E93" s="405">
        <v>90</v>
      </c>
      <c r="F93" s="199">
        <v>234</v>
      </c>
      <c r="G93" s="405">
        <v>182.9</v>
      </c>
      <c r="H93" s="405">
        <v>0.39</v>
      </c>
      <c r="I93" s="405">
        <v>1.0900000000000001</v>
      </c>
      <c r="J93" s="405"/>
      <c r="K93" s="405"/>
      <c r="L93" s="405"/>
      <c r="M93" s="405"/>
      <c r="N93" s="405"/>
      <c r="O93" s="405"/>
      <c r="P93" s="405"/>
      <c r="Q93" s="405"/>
      <c r="R93" s="405"/>
      <c r="S93" s="405"/>
    </row>
    <row r="94" spans="2:19" hidden="1">
      <c r="B94" s="405">
        <f t="shared" si="13"/>
        <v>82</v>
      </c>
      <c r="C94" s="405" t="s">
        <v>1803</v>
      </c>
      <c r="D94" s="405" t="s">
        <v>1804</v>
      </c>
      <c r="E94" s="405">
        <v>75</v>
      </c>
      <c r="F94" s="405"/>
      <c r="G94" s="405">
        <v>205.8</v>
      </c>
      <c r="H94" s="405">
        <v>0.375</v>
      </c>
      <c r="I94" s="405">
        <v>1.07</v>
      </c>
      <c r="J94" s="405"/>
      <c r="K94" s="405"/>
      <c r="L94" s="405"/>
      <c r="M94" s="405"/>
      <c r="N94" s="405"/>
      <c r="O94" s="405"/>
      <c r="P94" s="405"/>
      <c r="Q94" s="405"/>
      <c r="R94" s="405"/>
      <c r="S94" s="405"/>
    </row>
    <row r="95" spans="2:19" hidden="1">
      <c r="B95" s="405">
        <f t="shared" si="13"/>
        <v>83</v>
      </c>
      <c r="C95" s="405">
        <v>234</v>
      </c>
      <c r="D95" s="405" t="s">
        <v>1805</v>
      </c>
      <c r="E95" s="405">
        <v>75</v>
      </c>
      <c r="F95" s="405"/>
      <c r="G95" s="405">
        <v>27.3</v>
      </c>
      <c r="H95" s="405">
        <v>0.375</v>
      </c>
      <c r="I95" s="405">
        <v>1.07</v>
      </c>
      <c r="J95" s="405"/>
      <c r="K95" s="405"/>
      <c r="L95" s="405"/>
      <c r="M95" s="405"/>
      <c r="N95" s="405"/>
      <c r="O95" s="405"/>
      <c r="P95" s="405"/>
      <c r="Q95" s="405"/>
      <c r="R95" s="405"/>
      <c r="S95" s="405"/>
    </row>
    <row r="96" spans="2:19" hidden="1">
      <c r="B96" s="405">
        <f t="shared" si="13"/>
        <v>84</v>
      </c>
      <c r="C96" s="405">
        <v>234</v>
      </c>
      <c r="D96" s="405" t="s">
        <v>1806</v>
      </c>
      <c r="E96" s="405">
        <v>75</v>
      </c>
      <c r="F96" s="405"/>
      <c r="G96" s="405">
        <v>70.099999999999994</v>
      </c>
      <c r="H96" s="405">
        <v>0.375</v>
      </c>
      <c r="I96" s="405">
        <v>1.07</v>
      </c>
      <c r="J96" s="405"/>
      <c r="K96" s="405"/>
      <c r="L96" s="405"/>
      <c r="M96" s="405"/>
      <c r="N96" s="405"/>
      <c r="O96" s="405"/>
      <c r="P96" s="405"/>
      <c r="Q96" s="405"/>
      <c r="R96" s="405"/>
      <c r="S96" s="405"/>
    </row>
    <row r="97" spans="2:21" hidden="1">
      <c r="B97" s="405">
        <f t="shared" si="13"/>
        <v>85</v>
      </c>
      <c r="C97" s="405">
        <v>237</v>
      </c>
      <c r="D97" s="405">
        <v>234</v>
      </c>
      <c r="E97" s="405">
        <v>63</v>
      </c>
      <c r="F97" s="405">
        <v>231</v>
      </c>
      <c r="G97" s="405">
        <v>45.5</v>
      </c>
      <c r="H97" s="405">
        <v>0.36</v>
      </c>
      <c r="I97" s="405">
        <v>1.06</v>
      </c>
      <c r="J97" s="405"/>
      <c r="K97" s="405"/>
      <c r="L97" s="405"/>
      <c r="M97" s="405"/>
      <c r="N97" s="405"/>
      <c r="O97" s="405"/>
      <c r="P97" s="405"/>
      <c r="Q97" s="405"/>
      <c r="R97" s="405"/>
      <c r="S97" s="405"/>
    </row>
    <row r="98" spans="2:21" hidden="1">
      <c r="B98" s="405">
        <f t="shared" si="13"/>
        <v>86</v>
      </c>
      <c r="C98" s="405">
        <v>234</v>
      </c>
      <c r="D98" s="405" t="s">
        <v>1803</v>
      </c>
      <c r="E98" s="405">
        <v>75</v>
      </c>
      <c r="F98" s="405"/>
      <c r="G98" s="405">
        <v>55.3</v>
      </c>
      <c r="H98" s="405">
        <v>0.375</v>
      </c>
      <c r="I98" s="405">
        <v>1.07</v>
      </c>
      <c r="J98" s="405"/>
      <c r="K98" s="405"/>
      <c r="L98" s="405"/>
      <c r="M98" s="405"/>
      <c r="N98" s="405"/>
      <c r="O98" s="405"/>
      <c r="P98" s="405"/>
      <c r="Q98" s="405"/>
      <c r="R98" s="405"/>
      <c r="S98" s="405"/>
    </row>
    <row r="99" spans="2:21" hidden="1">
      <c r="B99" s="405">
        <f t="shared" si="13"/>
        <v>87</v>
      </c>
      <c r="C99" s="405">
        <v>223</v>
      </c>
      <c r="D99" s="405">
        <v>193</v>
      </c>
      <c r="E99" s="405">
        <v>90</v>
      </c>
      <c r="F99" s="518">
        <v>444</v>
      </c>
      <c r="G99" s="405">
        <v>447.9</v>
      </c>
      <c r="H99" s="405">
        <v>0.39</v>
      </c>
      <c r="I99" s="405">
        <v>1.0900000000000001</v>
      </c>
      <c r="J99" s="405"/>
      <c r="K99" s="405"/>
      <c r="L99" s="405"/>
      <c r="M99" s="405"/>
      <c r="N99" s="405"/>
      <c r="O99" s="405"/>
      <c r="P99" s="405"/>
      <c r="Q99" s="405"/>
      <c r="R99" s="405"/>
      <c r="S99" s="405"/>
    </row>
    <row r="100" spans="2:21" hidden="1">
      <c r="B100" s="405">
        <f t="shared" si="13"/>
        <v>88</v>
      </c>
      <c r="C100" s="405">
        <v>223</v>
      </c>
      <c r="D100" s="405">
        <v>193</v>
      </c>
      <c r="E100" s="405">
        <v>90</v>
      </c>
      <c r="F100" s="519"/>
      <c r="G100" s="405">
        <v>7</v>
      </c>
      <c r="H100" s="405">
        <v>0.39</v>
      </c>
      <c r="I100" s="405">
        <v>1.0900000000000001</v>
      </c>
      <c r="J100" s="405"/>
      <c r="K100" s="405" t="s">
        <v>1797</v>
      </c>
      <c r="L100" s="405">
        <f>+G100</f>
        <v>7</v>
      </c>
      <c r="M100" s="405">
        <f>+H100</f>
        <v>0.39</v>
      </c>
      <c r="N100" s="405">
        <f>+L100*M100</f>
        <v>2.73</v>
      </c>
      <c r="O100" s="405">
        <f>+L100</f>
        <v>7</v>
      </c>
      <c r="P100" s="405">
        <f>+M100</f>
        <v>0.39</v>
      </c>
      <c r="Q100" s="405">
        <f>+O100*P100</f>
        <v>2.73</v>
      </c>
      <c r="R100" s="405"/>
      <c r="S100" s="405"/>
      <c r="U100">
        <v>203.2</v>
      </c>
    </row>
    <row r="101" spans="2:21" hidden="1">
      <c r="B101" s="405">
        <f t="shared" si="13"/>
        <v>89</v>
      </c>
      <c r="C101" s="405">
        <v>193</v>
      </c>
      <c r="D101" s="405">
        <v>195</v>
      </c>
      <c r="E101" s="405">
        <v>140</v>
      </c>
      <c r="F101" s="518">
        <v>93</v>
      </c>
      <c r="G101" s="405">
        <v>7.4</v>
      </c>
      <c r="H101" s="405">
        <v>0.44</v>
      </c>
      <c r="I101" s="405">
        <v>1.1399999999999999</v>
      </c>
      <c r="J101" s="405"/>
      <c r="K101" s="405" t="s">
        <v>38</v>
      </c>
      <c r="L101" s="405"/>
      <c r="M101" s="405"/>
      <c r="N101" s="405"/>
      <c r="O101" s="405"/>
      <c r="P101" s="405"/>
      <c r="Q101" s="405"/>
      <c r="R101" s="405"/>
      <c r="S101" s="405"/>
      <c r="U101">
        <v>89.6</v>
      </c>
    </row>
    <row r="102" spans="2:21" hidden="1">
      <c r="B102" s="405">
        <f t="shared" si="13"/>
        <v>90</v>
      </c>
      <c r="C102" s="405">
        <v>193</v>
      </c>
      <c r="D102" s="405">
        <v>195</v>
      </c>
      <c r="E102" s="405">
        <v>140</v>
      </c>
      <c r="F102" s="519"/>
      <c r="G102" s="405">
        <v>88.9</v>
      </c>
      <c r="H102" s="405">
        <v>0.44</v>
      </c>
      <c r="I102" s="405">
        <v>1.1399999999999999</v>
      </c>
      <c r="J102" s="405"/>
      <c r="K102" s="405"/>
      <c r="L102" s="405"/>
      <c r="M102" s="405"/>
      <c r="N102" s="405"/>
      <c r="O102" s="405"/>
      <c r="P102" s="405"/>
      <c r="Q102" s="405"/>
      <c r="R102" s="405"/>
      <c r="S102" s="405"/>
      <c r="U102">
        <v>112.3</v>
      </c>
    </row>
    <row r="103" spans="2:21" hidden="1">
      <c r="B103" s="405">
        <f t="shared" si="13"/>
        <v>91</v>
      </c>
      <c r="C103" s="405">
        <v>195</v>
      </c>
      <c r="D103" s="405">
        <v>196</v>
      </c>
      <c r="E103" s="405">
        <v>140</v>
      </c>
      <c r="F103" s="405">
        <v>31</v>
      </c>
      <c r="G103" s="405">
        <v>29.1</v>
      </c>
      <c r="H103" s="405">
        <v>0.44</v>
      </c>
      <c r="I103" s="405">
        <v>1.1399999999999999</v>
      </c>
      <c r="J103" s="405"/>
      <c r="K103" s="405"/>
      <c r="L103" s="405"/>
      <c r="M103" s="405"/>
      <c r="N103" s="405"/>
      <c r="O103" s="405"/>
      <c r="P103" s="405"/>
      <c r="Q103" s="405"/>
      <c r="R103" s="405"/>
      <c r="S103" s="405"/>
      <c r="U103">
        <v>107.5</v>
      </c>
    </row>
    <row r="104" spans="2:21" hidden="1">
      <c r="B104" s="405">
        <f t="shared" si="13"/>
        <v>92</v>
      </c>
      <c r="C104" s="405">
        <v>196</v>
      </c>
      <c r="D104" s="405">
        <v>197</v>
      </c>
      <c r="E104" s="405">
        <v>63</v>
      </c>
      <c r="F104" s="405">
        <v>17</v>
      </c>
      <c r="G104" s="405">
        <v>54.4</v>
      </c>
      <c r="H104" s="405">
        <v>0.36</v>
      </c>
      <c r="I104" s="405">
        <v>1.06</v>
      </c>
      <c r="J104" s="405"/>
      <c r="K104" s="405"/>
      <c r="L104" s="405"/>
      <c r="M104" s="405"/>
      <c r="N104" s="405"/>
      <c r="O104" s="405"/>
      <c r="P104" s="405"/>
      <c r="Q104" s="405"/>
      <c r="R104" s="405"/>
      <c r="S104" s="405"/>
      <c r="U104">
        <v>75.099999999999994</v>
      </c>
    </row>
    <row r="105" spans="2:21" hidden="1">
      <c r="B105" s="405">
        <f t="shared" si="13"/>
        <v>93</v>
      </c>
      <c r="C105" s="405">
        <v>192</v>
      </c>
      <c r="D105" s="405">
        <v>195</v>
      </c>
      <c r="E105" s="405">
        <v>140</v>
      </c>
      <c r="F105" s="405">
        <v>98</v>
      </c>
      <c r="G105" s="405">
        <v>98.4</v>
      </c>
      <c r="H105" s="405">
        <v>0.44</v>
      </c>
      <c r="I105" s="405">
        <v>1.1399999999999999</v>
      </c>
      <c r="J105" s="405"/>
      <c r="K105" s="405"/>
      <c r="L105" s="405"/>
      <c r="M105" s="405"/>
      <c r="N105" s="405"/>
      <c r="O105" s="405"/>
      <c r="P105" s="405"/>
      <c r="Q105" s="405"/>
      <c r="R105" s="405"/>
      <c r="S105" s="405"/>
      <c r="U105">
        <v>41.1</v>
      </c>
    </row>
    <row r="106" spans="2:21" hidden="1">
      <c r="B106" s="405">
        <f t="shared" si="13"/>
        <v>94</v>
      </c>
      <c r="C106" s="405">
        <v>192</v>
      </c>
      <c r="D106" s="405">
        <v>193</v>
      </c>
      <c r="E106" s="405">
        <v>90</v>
      </c>
      <c r="F106" s="405">
        <v>61</v>
      </c>
      <c r="G106" s="405">
        <v>65.599999999999994</v>
      </c>
      <c r="H106" s="405">
        <v>0.39</v>
      </c>
      <c r="I106" s="405">
        <v>1.0900000000000001</v>
      </c>
      <c r="J106" s="405"/>
      <c r="K106" s="405"/>
      <c r="L106" s="405"/>
      <c r="M106" s="405"/>
      <c r="N106" s="405"/>
      <c r="O106" s="405"/>
      <c r="P106" s="405"/>
      <c r="Q106" s="405"/>
      <c r="R106" s="405"/>
      <c r="S106" s="405"/>
    </row>
    <row r="107" spans="2:21" hidden="1">
      <c r="B107" s="405">
        <f t="shared" si="13"/>
        <v>95</v>
      </c>
      <c r="C107" s="405">
        <v>192</v>
      </c>
      <c r="D107" s="405" t="s">
        <v>1807</v>
      </c>
      <c r="E107" s="405">
        <v>140</v>
      </c>
      <c r="F107" s="405"/>
      <c r="G107" s="405">
        <v>45.8</v>
      </c>
      <c r="H107" s="405">
        <v>0.44</v>
      </c>
      <c r="I107" s="405">
        <v>1.1399999999999999</v>
      </c>
      <c r="J107" s="405"/>
      <c r="K107" s="405"/>
      <c r="L107" s="405"/>
      <c r="M107" s="405"/>
      <c r="N107" s="405"/>
      <c r="O107" s="405"/>
      <c r="P107" s="405"/>
      <c r="Q107" s="405"/>
      <c r="R107" s="405"/>
      <c r="S107" s="405"/>
    </row>
    <row r="108" spans="2:21" hidden="1">
      <c r="B108" s="405">
        <f t="shared" si="13"/>
        <v>96</v>
      </c>
      <c r="C108" s="405" t="s">
        <v>1807</v>
      </c>
      <c r="D108" s="405" t="s">
        <v>1808</v>
      </c>
      <c r="E108" s="405">
        <v>63</v>
      </c>
      <c r="F108" s="405"/>
      <c r="G108" s="405">
        <v>24.3</v>
      </c>
      <c r="H108" s="405">
        <v>0.36</v>
      </c>
      <c r="I108" s="405">
        <v>1.06</v>
      </c>
      <c r="J108" s="405"/>
      <c r="K108" s="405"/>
      <c r="L108" s="405"/>
      <c r="M108" s="405"/>
      <c r="N108" s="405"/>
      <c r="O108" s="405"/>
      <c r="P108" s="405"/>
      <c r="Q108" s="405"/>
      <c r="R108" s="405"/>
      <c r="S108" s="405"/>
    </row>
    <row r="109" spans="2:21" hidden="1">
      <c r="B109" s="405">
        <f t="shared" si="13"/>
        <v>97</v>
      </c>
      <c r="C109" s="405" t="s">
        <v>1807</v>
      </c>
      <c r="D109" s="405">
        <v>181</v>
      </c>
      <c r="E109" s="405">
        <v>140</v>
      </c>
      <c r="F109" s="405"/>
      <c r="G109" s="405">
        <v>172.5</v>
      </c>
      <c r="H109" s="405">
        <v>0.44</v>
      </c>
      <c r="I109" s="405">
        <v>1.1399999999999999</v>
      </c>
      <c r="J109" s="405"/>
      <c r="K109" s="405"/>
      <c r="L109" s="405"/>
      <c r="M109" s="405"/>
      <c r="N109" s="405"/>
      <c r="O109" s="405"/>
      <c r="P109" s="405"/>
      <c r="Q109" s="405"/>
      <c r="R109" s="405"/>
      <c r="S109" s="405"/>
    </row>
    <row r="110" spans="2:21">
      <c r="B110" s="405">
        <f t="shared" si="13"/>
        <v>98</v>
      </c>
      <c r="C110" s="405">
        <v>181</v>
      </c>
      <c r="D110" s="405">
        <v>187</v>
      </c>
      <c r="E110" s="405">
        <v>140</v>
      </c>
      <c r="F110" s="405">
        <v>113</v>
      </c>
      <c r="G110" s="405">
        <v>44.7</v>
      </c>
      <c r="H110" s="405">
        <v>0.44</v>
      </c>
      <c r="I110" s="405">
        <v>1.1399999999999999</v>
      </c>
      <c r="J110" s="405"/>
      <c r="K110" s="405" t="s">
        <v>1809</v>
      </c>
      <c r="L110" s="405">
        <f>+G110</f>
        <v>44.7</v>
      </c>
      <c r="M110" s="405">
        <v>0.46</v>
      </c>
      <c r="N110" s="405">
        <f>+L110*M110</f>
        <v>20.562000000000001</v>
      </c>
      <c r="O110" s="405">
        <f>+L110</f>
        <v>44.7</v>
      </c>
      <c r="P110" s="405">
        <f>+M110</f>
        <v>0.46</v>
      </c>
      <c r="Q110" s="405">
        <f>+O110*P110</f>
        <v>20.562000000000001</v>
      </c>
      <c r="R110" s="405"/>
      <c r="S110" s="405"/>
    </row>
    <row r="111" spans="2:21" hidden="1">
      <c r="B111" s="405">
        <f t="shared" si="13"/>
        <v>99</v>
      </c>
      <c r="C111" s="405">
        <v>187</v>
      </c>
      <c r="D111" s="405">
        <v>193</v>
      </c>
      <c r="E111" s="405">
        <v>140</v>
      </c>
      <c r="F111" s="518">
        <v>134</v>
      </c>
      <c r="G111" s="405">
        <f>135.1+36</f>
        <v>171.1</v>
      </c>
      <c r="H111" s="405">
        <v>0.44</v>
      </c>
      <c r="I111" s="405">
        <v>1.1399999999999999</v>
      </c>
      <c r="J111" s="405"/>
      <c r="K111" s="405"/>
      <c r="L111" s="405"/>
      <c r="M111" s="405"/>
      <c r="N111" s="405"/>
      <c r="O111" s="405"/>
      <c r="P111" s="405"/>
      <c r="Q111" s="405"/>
      <c r="R111" s="405"/>
      <c r="S111" s="405"/>
    </row>
    <row r="112" spans="2:21" hidden="1">
      <c r="B112" s="405">
        <f t="shared" si="13"/>
        <v>100</v>
      </c>
      <c r="C112" s="405">
        <v>187</v>
      </c>
      <c r="D112" s="405">
        <v>193</v>
      </c>
      <c r="E112" s="405">
        <v>140</v>
      </c>
      <c r="F112" s="519"/>
      <c r="G112" s="405">
        <v>5</v>
      </c>
      <c r="H112" s="405">
        <v>0.44</v>
      </c>
      <c r="I112" s="405">
        <v>1.1399999999999999</v>
      </c>
      <c r="J112" s="405"/>
      <c r="K112" s="405" t="s">
        <v>1797</v>
      </c>
      <c r="L112" s="405">
        <f>+G112</f>
        <v>5</v>
      </c>
      <c r="M112" s="405">
        <f>+H112</f>
        <v>0.44</v>
      </c>
      <c r="N112" s="405">
        <f>+L112*M112</f>
        <v>2.2000000000000002</v>
      </c>
      <c r="O112" s="405">
        <f t="shared" ref="O112:P114" si="14">+L112</f>
        <v>5</v>
      </c>
      <c r="P112" s="405">
        <f t="shared" si="14"/>
        <v>0.44</v>
      </c>
      <c r="Q112" s="405">
        <f>+O112*P112</f>
        <v>2.2000000000000002</v>
      </c>
      <c r="R112" s="405"/>
      <c r="S112" s="405"/>
    </row>
    <row r="113" spans="2:19">
      <c r="B113" s="405">
        <f t="shared" si="13"/>
        <v>101</v>
      </c>
      <c r="C113" s="405">
        <v>181</v>
      </c>
      <c r="D113" s="405">
        <v>179</v>
      </c>
      <c r="E113" s="405">
        <v>160</v>
      </c>
      <c r="F113" s="518">
        <v>55</v>
      </c>
      <c r="G113" s="405">
        <v>29.7</v>
      </c>
      <c r="H113" s="405">
        <v>0.46</v>
      </c>
      <c r="I113" s="405">
        <v>1.1599999999999999</v>
      </c>
      <c r="J113" s="405"/>
      <c r="K113" s="405" t="s">
        <v>149</v>
      </c>
      <c r="L113" s="405">
        <f>+G113</f>
        <v>29.7</v>
      </c>
      <c r="M113" s="405">
        <v>0.46</v>
      </c>
      <c r="N113" s="405">
        <f>+L113*M113</f>
        <v>13.662000000000001</v>
      </c>
      <c r="O113" s="405">
        <f t="shared" si="14"/>
        <v>29.7</v>
      </c>
      <c r="P113" s="405">
        <f t="shared" si="14"/>
        <v>0.46</v>
      </c>
      <c r="Q113" s="405">
        <f>+O113*P113</f>
        <v>13.662000000000001</v>
      </c>
      <c r="R113" s="405"/>
      <c r="S113" s="405"/>
    </row>
    <row r="114" spans="2:19" hidden="1">
      <c r="B114" s="405">
        <f t="shared" si="13"/>
        <v>102</v>
      </c>
      <c r="C114" s="405">
        <v>181</v>
      </c>
      <c r="D114" s="405">
        <v>179</v>
      </c>
      <c r="E114" s="405">
        <v>160</v>
      </c>
      <c r="F114" s="519"/>
      <c r="G114" s="405">
        <v>55.3</v>
      </c>
      <c r="H114" s="405">
        <v>0.46</v>
      </c>
      <c r="I114" s="405">
        <v>1.1599999999999999</v>
      </c>
      <c r="J114" s="405"/>
      <c r="K114" s="405" t="s">
        <v>730</v>
      </c>
      <c r="L114" s="405">
        <f>+G114</f>
        <v>55.3</v>
      </c>
      <c r="M114" s="405">
        <f>+H114</f>
        <v>0.46</v>
      </c>
      <c r="N114" s="405">
        <f>+L114*M114</f>
        <v>25.437999999999999</v>
      </c>
      <c r="O114" s="405">
        <f t="shared" si="14"/>
        <v>55.3</v>
      </c>
      <c r="P114" s="405">
        <f t="shared" si="14"/>
        <v>0.46</v>
      </c>
      <c r="Q114" s="405">
        <f>+O114*P114</f>
        <v>25.437999999999999</v>
      </c>
      <c r="R114" s="405"/>
      <c r="S114" s="405"/>
    </row>
    <row r="115" spans="2:19" hidden="1">
      <c r="B115" s="405">
        <f t="shared" si="13"/>
        <v>103</v>
      </c>
      <c r="C115" s="405">
        <v>179</v>
      </c>
      <c r="D115" s="405">
        <v>180</v>
      </c>
      <c r="E115" s="405">
        <v>75</v>
      </c>
      <c r="F115" s="405">
        <v>142</v>
      </c>
      <c r="G115" s="405">
        <v>160.30000000000001</v>
      </c>
      <c r="H115" s="405">
        <v>0.375</v>
      </c>
      <c r="I115" s="405">
        <v>1.07</v>
      </c>
      <c r="J115" s="405"/>
      <c r="K115" s="405"/>
      <c r="L115" s="405"/>
      <c r="M115" s="405"/>
      <c r="N115" s="405"/>
      <c r="O115" s="405"/>
      <c r="P115" s="405"/>
      <c r="Q115" s="405"/>
      <c r="R115" s="405"/>
      <c r="S115" s="405"/>
    </row>
    <row r="116" spans="2:19" hidden="1">
      <c r="B116" s="405">
        <f t="shared" si="13"/>
        <v>104</v>
      </c>
      <c r="C116" s="405">
        <v>179</v>
      </c>
      <c r="D116" s="405">
        <v>178</v>
      </c>
      <c r="E116" s="405">
        <v>160</v>
      </c>
      <c r="F116" s="405">
        <v>148</v>
      </c>
      <c r="G116" s="405">
        <v>151.5</v>
      </c>
      <c r="H116" s="405">
        <v>0.46</v>
      </c>
      <c r="I116" s="405">
        <v>1.1599999999999999</v>
      </c>
      <c r="J116" s="405"/>
      <c r="K116" s="405" t="s">
        <v>730</v>
      </c>
      <c r="L116" s="405">
        <f t="shared" ref="L116:L117" si="15">+G116</f>
        <v>151.5</v>
      </c>
      <c r="M116" s="405">
        <f t="shared" ref="M116:M117" si="16">+H116</f>
        <v>0.46</v>
      </c>
      <c r="N116" s="405">
        <f t="shared" ref="N116:N117" si="17">+L116*M116</f>
        <v>69.69</v>
      </c>
      <c r="O116" s="405">
        <f t="shared" ref="O116:O117" si="18">+L116</f>
        <v>151.5</v>
      </c>
      <c r="P116" s="405">
        <f t="shared" ref="P116:P117" si="19">+M116</f>
        <v>0.46</v>
      </c>
      <c r="Q116" s="405">
        <f t="shared" ref="Q116:Q117" si="20">+O116*P116</f>
        <v>69.69</v>
      </c>
      <c r="R116" s="405"/>
      <c r="S116" s="405"/>
    </row>
    <row r="117" spans="2:19" hidden="1">
      <c r="B117" s="405">
        <f t="shared" si="13"/>
        <v>105</v>
      </c>
      <c r="C117" s="405">
        <v>178</v>
      </c>
      <c r="D117" s="405">
        <v>206</v>
      </c>
      <c r="E117" s="405">
        <v>160</v>
      </c>
      <c r="F117" s="405">
        <v>361</v>
      </c>
      <c r="G117" s="405">
        <v>373.2</v>
      </c>
      <c r="H117" s="405">
        <v>0.46</v>
      </c>
      <c r="I117" s="405">
        <v>1.1599999999999999</v>
      </c>
      <c r="J117" s="405"/>
      <c r="K117" s="405" t="s">
        <v>730</v>
      </c>
      <c r="L117" s="405">
        <f t="shared" si="15"/>
        <v>373.2</v>
      </c>
      <c r="M117" s="405">
        <f t="shared" si="16"/>
        <v>0.46</v>
      </c>
      <c r="N117" s="405">
        <f t="shared" si="17"/>
        <v>171.672</v>
      </c>
      <c r="O117" s="405">
        <f t="shared" si="18"/>
        <v>373.2</v>
      </c>
      <c r="P117" s="405">
        <f t="shared" si="19"/>
        <v>0.46</v>
      </c>
      <c r="Q117" s="405">
        <f t="shared" si="20"/>
        <v>171.672</v>
      </c>
      <c r="R117" s="405"/>
      <c r="S117" s="405"/>
    </row>
    <row r="118" spans="2:19" hidden="1">
      <c r="B118" s="405">
        <f t="shared" si="13"/>
        <v>106</v>
      </c>
      <c r="C118" s="405">
        <v>206</v>
      </c>
      <c r="D118" s="405">
        <v>213</v>
      </c>
      <c r="E118" s="405">
        <v>160</v>
      </c>
      <c r="F118" s="405">
        <v>130</v>
      </c>
      <c r="G118" s="405">
        <v>184.5</v>
      </c>
      <c r="H118" s="405">
        <v>0.46</v>
      </c>
      <c r="I118" s="405">
        <v>1.1599999999999999</v>
      </c>
      <c r="J118" s="405"/>
      <c r="K118" s="405" t="s">
        <v>102</v>
      </c>
      <c r="L118" s="405">
        <f>+G118</f>
        <v>184.5</v>
      </c>
      <c r="M118" s="405">
        <f>+H118</f>
        <v>0.46</v>
      </c>
      <c r="N118" s="405">
        <f>+L118*M118</f>
        <v>84.87</v>
      </c>
      <c r="O118" s="405">
        <f>+L118</f>
        <v>184.5</v>
      </c>
      <c r="P118" s="405">
        <f>+M118</f>
        <v>0.46</v>
      </c>
      <c r="Q118" s="405">
        <f>+O118*P118</f>
        <v>84.87</v>
      </c>
      <c r="R118" s="405"/>
      <c r="S118" s="405"/>
    </row>
    <row r="119" spans="2:19" hidden="1">
      <c r="B119" s="405">
        <f t="shared" si="13"/>
        <v>107</v>
      </c>
      <c r="C119" s="405">
        <v>213</v>
      </c>
      <c r="D119" s="405">
        <v>214</v>
      </c>
      <c r="E119" s="405">
        <v>90</v>
      </c>
      <c r="F119" s="405">
        <v>57</v>
      </c>
      <c r="G119" s="405">
        <v>52.2</v>
      </c>
      <c r="H119" s="405">
        <v>0.39</v>
      </c>
      <c r="I119" s="405">
        <v>1.0900000000000001</v>
      </c>
      <c r="J119" s="405"/>
      <c r="K119" s="405"/>
      <c r="L119" s="405"/>
      <c r="M119" s="405"/>
      <c r="N119" s="405"/>
      <c r="O119" s="405"/>
      <c r="P119" s="405"/>
      <c r="Q119" s="405"/>
      <c r="R119" s="405"/>
      <c r="S119" s="405"/>
    </row>
    <row r="120" spans="2:19" hidden="1">
      <c r="B120" s="405">
        <f t="shared" si="13"/>
        <v>108</v>
      </c>
      <c r="C120" s="405">
        <v>214</v>
      </c>
      <c r="D120" s="405">
        <v>215</v>
      </c>
      <c r="E120" s="405">
        <v>63</v>
      </c>
      <c r="F120" s="405">
        <v>82</v>
      </c>
      <c r="G120" s="405">
        <v>114.5</v>
      </c>
      <c r="H120" s="405">
        <v>0.36</v>
      </c>
      <c r="I120" s="405">
        <v>1.06</v>
      </c>
      <c r="J120" s="405"/>
      <c r="K120" s="405"/>
      <c r="L120" s="405"/>
      <c r="M120" s="405"/>
      <c r="N120" s="405"/>
      <c r="O120" s="405"/>
      <c r="P120" s="405"/>
      <c r="Q120" s="405"/>
      <c r="R120" s="405"/>
      <c r="S120" s="405"/>
    </row>
    <row r="121" spans="2:19" hidden="1">
      <c r="B121" s="405">
        <f t="shared" si="13"/>
        <v>109</v>
      </c>
      <c r="C121" s="405">
        <v>214</v>
      </c>
      <c r="D121" s="405">
        <v>215</v>
      </c>
      <c r="E121" s="405">
        <v>63</v>
      </c>
      <c r="F121" s="405">
        <v>36</v>
      </c>
      <c r="G121" s="405">
        <v>61.2</v>
      </c>
      <c r="H121" s="405">
        <v>0.36</v>
      </c>
      <c r="I121" s="405">
        <v>1.06</v>
      </c>
      <c r="J121" s="405"/>
      <c r="K121" s="405"/>
      <c r="L121" s="405"/>
      <c r="M121" s="405"/>
      <c r="N121" s="405"/>
      <c r="O121" s="405"/>
      <c r="P121" s="405"/>
      <c r="Q121" s="405"/>
      <c r="R121" s="405"/>
      <c r="S121" s="405"/>
    </row>
    <row r="122" spans="2:19" hidden="1">
      <c r="B122" s="405">
        <f t="shared" si="13"/>
        <v>110</v>
      </c>
      <c r="C122" s="405">
        <v>213</v>
      </c>
      <c r="D122" s="405">
        <v>218</v>
      </c>
      <c r="E122" s="405">
        <v>140</v>
      </c>
      <c r="F122" s="518">
        <v>179</v>
      </c>
      <c r="G122" s="405">
        <v>31</v>
      </c>
      <c r="H122" s="405">
        <v>0.44</v>
      </c>
      <c r="I122" s="405">
        <v>1.1399999999999999</v>
      </c>
      <c r="J122" s="405"/>
      <c r="K122" s="405" t="s">
        <v>102</v>
      </c>
      <c r="L122" s="405">
        <f>+G122</f>
        <v>31</v>
      </c>
      <c r="M122" s="405">
        <f>+H122</f>
        <v>0.44</v>
      </c>
      <c r="N122" s="405">
        <f>+L122*M122</f>
        <v>13.64</v>
      </c>
      <c r="O122" s="405">
        <f>+L122</f>
        <v>31</v>
      </c>
      <c r="P122" s="405">
        <f>+M122</f>
        <v>0.44</v>
      </c>
      <c r="Q122" s="405">
        <f>+O122*P122</f>
        <v>13.64</v>
      </c>
      <c r="R122" s="405"/>
      <c r="S122" s="405"/>
    </row>
    <row r="123" spans="2:19" hidden="1">
      <c r="B123" s="405">
        <f t="shared" si="13"/>
        <v>111</v>
      </c>
      <c r="C123" s="405">
        <v>213</v>
      </c>
      <c r="D123" s="405">
        <v>218</v>
      </c>
      <c r="E123" s="405">
        <v>140</v>
      </c>
      <c r="F123" s="519"/>
      <c r="G123" s="405">
        <v>139.30000000000001</v>
      </c>
      <c r="H123" s="405">
        <v>0.44</v>
      </c>
      <c r="I123" s="405">
        <v>1.1399999999999999</v>
      </c>
      <c r="J123" s="405"/>
      <c r="K123" s="405"/>
      <c r="L123" s="405"/>
      <c r="M123" s="405"/>
      <c r="N123" s="405"/>
      <c r="O123" s="405"/>
      <c r="P123" s="405"/>
      <c r="Q123" s="405"/>
      <c r="R123" s="405"/>
      <c r="S123" s="405"/>
    </row>
    <row r="124" spans="2:19" hidden="1">
      <c r="B124" s="405">
        <f t="shared" si="13"/>
        <v>112</v>
      </c>
      <c r="C124" s="405">
        <v>224</v>
      </c>
      <c r="D124" s="405">
        <v>218</v>
      </c>
      <c r="E124" s="405">
        <v>110</v>
      </c>
      <c r="F124" s="405">
        <v>156</v>
      </c>
      <c r="G124" s="405">
        <v>206.1</v>
      </c>
      <c r="H124" s="405">
        <v>0.41</v>
      </c>
      <c r="I124" s="405">
        <v>1.1000000000000001</v>
      </c>
      <c r="J124" s="405"/>
      <c r="K124" s="405"/>
      <c r="L124" s="405"/>
      <c r="M124" s="405"/>
      <c r="N124" s="405"/>
      <c r="O124" s="405"/>
      <c r="P124" s="405"/>
      <c r="Q124" s="405"/>
      <c r="R124" s="405"/>
      <c r="S124" s="405"/>
    </row>
    <row r="125" spans="2:19" hidden="1">
      <c r="B125" s="405">
        <f t="shared" si="13"/>
        <v>113</v>
      </c>
      <c r="C125" s="405">
        <v>172</v>
      </c>
      <c r="D125" s="405">
        <v>178</v>
      </c>
      <c r="E125" s="405">
        <v>160</v>
      </c>
      <c r="F125" s="405">
        <v>424</v>
      </c>
      <c r="G125" s="405">
        <v>423.2</v>
      </c>
      <c r="H125" s="405">
        <v>0.46</v>
      </c>
      <c r="I125" s="405">
        <v>1.1599999999999999</v>
      </c>
      <c r="J125" s="405"/>
      <c r="K125" s="405" t="s">
        <v>730</v>
      </c>
      <c r="L125" s="405">
        <f>+G125</f>
        <v>423.2</v>
      </c>
      <c r="M125" s="405">
        <f>+H125</f>
        <v>0.46</v>
      </c>
      <c r="N125" s="405">
        <f>+L125*M125</f>
        <v>194.672</v>
      </c>
      <c r="O125" s="405">
        <f>+L125</f>
        <v>423.2</v>
      </c>
      <c r="P125" s="405">
        <f>+M125</f>
        <v>0.46</v>
      </c>
      <c r="Q125" s="405">
        <f>+O125*P125</f>
        <v>194.672</v>
      </c>
      <c r="R125" s="405"/>
      <c r="S125" s="405"/>
    </row>
    <row r="126" spans="2:19" hidden="1">
      <c r="B126" s="405">
        <f t="shared" si="13"/>
        <v>114</v>
      </c>
      <c r="C126" s="405">
        <v>217</v>
      </c>
      <c r="D126" s="405">
        <v>223</v>
      </c>
      <c r="E126" s="405">
        <v>90</v>
      </c>
      <c r="F126" s="405">
        <v>362</v>
      </c>
      <c r="G126" s="405">
        <v>366.3</v>
      </c>
      <c r="H126" s="405">
        <v>0.39</v>
      </c>
      <c r="I126" s="405">
        <v>1.0900000000000001</v>
      </c>
      <c r="J126" s="405"/>
      <c r="K126" s="405"/>
      <c r="L126" s="405"/>
      <c r="M126" s="405"/>
      <c r="N126" s="405"/>
      <c r="O126" s="405"/>
      <c r="P126" s="405"/>
      <c r="Q126" s="405"/>
      <c r="R126" s="405"/>
      <c r="S126" s="405"/>
    </row>
    <row r="127" spans="2:19" hidden="1">
      <c r="B127" s="405">
        <f t="shared" si="13"/>
        <v>115</v>
      </c>
      <c r="C127" s="405">
        <v>196</v>
      </c>
      <c r="D127" s="405">
        <v>198</v>
      </c>
      <c r="E127" s="405">
        <v>140</v>
      </c>
      <c r="F127" s="405">
        <v>216</v>
      </c>
      <c r="G127" s="405">
        <v>252.2</v>
      </c>
      <c r="H127" s="405">
        <v>0.44</v>
      </c>
      <c r="I127" s="405">
        <v>1.1399999999999999</v>
      </c>
      <c r="J127" s="405"/>
      <c r="K127" s="405"/>
      <c r="L127" s="405"/>
      <c r="M127" s="405"/>
      <c r="N127" s="405"/>
      <c r="O127" s="405"/>
      <c r="P127" s="405"/>
      <c r="Q127" s="405"/>
      <c r="R127" s="405"/>
      <c r="S127" s="405"/>
    </row>
    <row r="128" spans="2:19" hidden="1">
      <c r="B128" s="405">
        <f t="shared" si="13"/>
        <v>116</v>
      </c>
      <c r="C128" s="405">
        <v>198</v>
      </c>
      <c r="D128" s="405">
        <v>199</v>
      </c>
      <c r="E128" s="405">
        <v>140</v>
      </c>
      <c r="F128" s="405">
        <v>138</v>
      </c>
      <c r="G128" s="405">
        <v>141.5</v>
      </c>
      <c r="H128" s="405">
        <v>0.44</v>
      </c>
      <c r="I128" s="405">
        <v>1.1399999999999999</v>
      </c>
      <c r="J128" s="405"/>
      <c r="K128" s="405" t="s">
        <v>45</v>
      </c>
      <c r="L128" s="405">
        <f t="shared" ref="L128:L129" si="21">+G128</f>
        <v>141.5</v>
      </c>
      <c r="M128" s="405">
        <f t="shared" ref="M128:M129" si="22">+H128</f>
        <v>0.44</v>
      </c>
      <c r="N128" s="405">
        <f t="shared" ref="N128:N129" si="23">+L128*M128</f>
        <v>62.26</v>
      </c>
      <c r="O128" s="405">
        <f t="shared" ref="O128:O129" si="24">+L128</f>
        <v>141.5</v>
      </c>
      <c r="P128" s="405">
        <f t="shared" ref="P128:P129" si="25">+M128</f>
        <v>0.44</v>
      </c>
      <c r="Q128" s="405">
        <f t="shared" ref="Q128:Q129" si="26">+O128*P128</f>
        <v>62.26</v>
      </c>
      <c r="R128" s="405"/>
      <c r="S128" s="405"/>
    </row>
    <row r="129" spans="2:19" hidden="1">
      <c r="B129" s="405">
        <f t="shared" si="13"/>
        <v>117</v>
      </c>
      <c r="C129" s="405">
        <v>199</v>
      </c>
      <c r="D129" s="405">
        <v>207</v>
      </c>
      <c r="E129" s="405">
        <v>75</v>
      </c>
      <c r="F129" s="518">
        <v>148</v>
      </c>
      <c r="G129" s="405">
        <v>29</v>
      </c>
      <c r="H129" s="405">
        <v>0.375</v>
      </c>
      <c r="I129" s="405">
        <v>1.07</v>
      </c>
      <c r="J129" s="405"/>
      <c r="K129" s="405" t="s">
        <v>45</v>
      </c>
      <c r="L129" s="405">
        <f t="shared" si="21"/>
        <v>29</v>
      </c>
      <c r="M129" s="405">
        <f t="shared" si="22"/>
        <v>0.375</v>
      </c>
      <c r="N129" s="405">
        <f t="shared" si="23"/>
        <v>10.875</v>
      </c>
      <c r="O129" s="405">
        <f t="shared" si="24"/>
        <v>29</v>
      </c>
      <c r="P129" s="405">
        <f t="shared" si="25"/>
        <v>0.375</v>
      </c>
      <c r="Q129" s="405">
        <f t="shared" si="26"/>
        <v>10.875</v>
      </c>
      <c r="R129" s="405"/>
      <c r="S129" s="405"/>
    </row>
    <row r="130" spans="2:19">
      <c r="B130" s="405">
        <f t="shared" si="13"/>
        <v>118</v>
      </c>
      <c r="C130" s="405">
        <v>199</v>
      </c>
      <c r="D130" s="405">
        <v>207</v>
      </c>
      <c r="E130" s="405">
        <v>75</v>
      </c>
      <c r="F130" s="520"/>
      <c r="G130" s="405">
        <v>5</v>
      </c>
      <c r="H130" s="405">
        <v>0.375</v>
      </c>
      <c r="I130" s="405">
        <v>1.07</v>
      </c>
      <c r="J130" s="405"/>
      <c r="K130" s="405" t="s">
        <v>149</v>
      </c>
      <c r="L130" s="405">
        <f>+G130</f>
        <v>5</v>
      </c>
      <c r="M130" s="405">
        <v>0.46</v>
      </c>
      <c r="N130" s="405">
        <f>+L130*M130</f>
        <v>2.3000000000000003</v>
      </c>
      <c r="O130" s="405">
        <f>+L130</f>
        <v>5</v>
      </c>
      <c r="P130" s="405">
        <f>+M130</f>
        <v>0.46</v>
      </c>
      <c r="Q130" s="405">
        <f>+O130*P130</f>
        <v>2.3000000000000003</v>
      </c>
      <c r="R130" s="405"/>
      <c r="S130" s="405"/>
    </row>
    <row r="131" spans="2:19" hidden="1">
      <c r="B131" s="405">
        <f t="shared" si="13"/>
        <v>119</v>
      </c>
      <c r="C131" s="405">
        <v>199</v>
      </c>
      <c r="D131" s="405">
        <v>207</v>
      </c>
      <c r="E131" s="405">
        <v>75</v>
      </c>
      <c r="F131" s="520"/>
      <c r="G131" s="405">
        <v>95</v>
      </c>
      <c r="H131" s="405">
        <v>0.375</v>
      </c>
      <c r="I131" s="405">
        <v>1.07</v>
      </c>
      <c r="J131" s="405"/>
      <c r="K131" s="405"/>
      <c r="L131" s="405"/>
      <c r="M131" s="405"/>
      <c r="N131" s="405"/>
      <c r="O131" s="405"/>
      <c r="P131" s="405"/>
      <c r="Q131" s="405"/>
      <c r="R131" s="405"/>
      <c r="S131" s="405"/>
    </row>
    <row r="132" spans="2:19" hidden="1">
      <c r="B132" s="405">
        <f t="shared" si="13"/>
        <v>120</v>
      </c>
      <c r="C132" s="405">
        <v>199</v>
      </c>
      <c r="D132" s="405">
        <v>207</v>
      </c>
      <c r="E132" s="405">
        <v>75</v>
      </c>
      <c r="F132" s="520"/>
      <c r="G132" s="405">
        <v>41</v>
      </c>
      <c r="H132" s="405">
        <v>0.375</v>
      </c>
      <c r="I132" s="405">
        <v>1.07</v>
      </c>
      <c r="J132" s="405"/>
      <c r="K132" s="405" t="s">
        <v>45</v>
      </c>
      <c r="L132" s="405">
        <f>+G132</f>
        <v>41</v>
      </c>
      <c r="M132" s="405">
        <f>+H132</f>
        <v>0.375</v>
      </c>
      <c r="N132" s="405">
        <f>+L132*M132</f>
        <v>15.375</v>
      </c>
      <c r="O132" s="405">
        <f>+L132</f>
        <v>41</v>
      </c>
      <c r="P132" s="405">
        <f>+M132</f>
        <v>0.375</v>
      </c>
      <c r="Q132" s="405">
        <f>+O132*P132</f>
        <v>15.375</v>
      </c>
      <c r="R132" s="405"/>
      <c r="S132" s="405"/>
    </row>
    <row r="133" spans="2:19" hidden="1">
      <c r="B133" s="405">
        <f t="shared" si="13"/>
        <v>121</v>
      </c>
      <c r="C133" s="405">
        <v>199</v>
      </c>
      <c r="D133" s="405">
        <v>207</v>
      </c>
      <c r="E133" s="405">
        <v>75</v>
      </c>
      <c r="F133" s="520"/>
      <c r="G133" s="405">
        <v>29</v>
      </c>
      <c r="H133" s="405">
        <v>0.375</v>
      </c>
      <c r="I133" s="405">
        <v>1.07</v>
      </c>
      <c r="J133" s="405"/>
      <c r="K133" s="405"/>
      <c r="L133" s="405"/>
      <c r="M133" s="405"/>
      <c r="N133" s="405"/>
      <c r="O133" s="405"/>
      <c r="P133" s="405"/>
      <c r="Q133" s="405"/>
      <c r="R133" s="405"/>
      <c r="S133" s="405"/>
    </row>
    <row r="134" spans="2:19" hidden="1">
      <c r="B134" s="405">
        <f t="shared" si="13"/>
        <v>122</v>
      </c>
      <c r="C134" s="405">
        <v>210</v>
      </c>
      <c r="D134" s="405">
        <v>204</v>
      </c>
      <c r="E134" s="405">
        <v>75</v>
      </c>
      <c r="F134" s="519"/>
      <c r="G134" s="405">
        <v>56</v>
      </c>
      <c r="H134" s="405">
        <v>0.375</v>
      </c>
      <c r="I134" s="405">
        <v>1.07</v>
      </c>
      <c r="J134" s="405"/>
      <c r="K134" s="405"/>
      <c r="L134" s="405"/>
      <c r="M134" s="405"/>
      <c r="N134" s="405"/>
      <c r="O134" s="405"/>
      <c r="P134" s="405"/>
      <c r="Q134" s="405"/>
      <c r="R134" s="405"/>
      <c r="S134" s="405"/>
    </row>
    <row r="135" spans="2:19" hidden="1">
      <c r="B135" s="405">
        <f t="shared" si="13"/>
        <v>123</v>
      </c>
      <c r="C135" s="405">
        <v>19</v>
      </c>
      <c r="D135" s="405">
        <v>11</v>
      </c>
      <c r="E135" s="405">
        <v>63</v>
      </c>
      <c r="F135" s="405">
        <v>184</v>
      </c>
      <c r="G135" s="405">
        <v>61.7</v>
      </c>
      <c r="H135" s="405">
        <v>0.36</v>
      </c>
      <c r="I135" s="405">
        <v>1.06</v>
      </c>
      <c r="J135" s="405"/>
      <c r="K135" s="405"/>
      <c r="L135" s="405"/>
      <c r="M135" s="405"/>
      <c r="N135" s="405"/>
      <c r="O135" s="405"/>
      <c r="P135" s="405"/>
      <c r="Q135" s="405"/>
      <c r="R135" s="405"/>
      <c r="S135" s="405"/>
    </row>
    <row r="136" spans="2:19" hidden="1">
      <c r="B136" s="405">
        <f t="shared" si="13"/>
        <v>124</v>
      </c>
      <c r="C136" s="405">
        <v>11</v>
      </c>
      <c r="D136" s="405">
        <v>12</v>
      </c>
      <c r="E136" s="405">
        <v>63</v>
      </c>
      <c r="F136" s="405">
        <v>83</v>
      </c>
      <c r="G136" s="405">
        <v>95.3</v>
      </c>
      <c r="H136" s="405">
        <v>0.36</v>
      </c>
      <c r="I136" s="405">
        <v>1.06</v>
      </c>
      <c r="J136" s="405"/>
      <c r="K136" s="405"/>
      <c r="L136" s="405"/>
      <c r="M136" s="405"/>
      <c r="N136" s="405"/>
      <c r="O136" s="405"/>
      <c r="P136" s="405"/>
      <c r="Q136" s="405"/>
      <c r="R136" s="405"/>
      <c r="S136" s="405"/>
    </row>
    <row r="137" spans="2:19" hidden="1">
      <c r="B137" s="405">
        <f t="shared" si="13"/>
        <v>125</v>
      </c>
      <c r="C137" s="405">
        <v>11</v>
      </c>
      <c r="D137" s="405">
        <v>14</v>
      </c>
      <c r="E137" s="405">
        <v>63</v>
      </c>
      <c r="F137" s="405">
        <v>12</v>
      </c>
      <c r="G137" s="405">
        <v>93.2</v>
      </c>
      <c r="H137" s="405">
        <v>0.36</v>
      </c>
      <c r="I137" s="405">
        <v>1.06</v>
      </c>
      <c r="J137" s="405"/>
      <c r="K137" s="405"/>
      <c r="L137" s="405"/>
      <c r="M137" s="405"/>
      <c r="N137" s="405"/>
      <c r="O137" s="405"/>
      <c r="P137" s="405"/>
      <c r="Q137" s="405"/>
      <c r="R137" s="405"/>
      <c r="S137" s="405"/>
    </row>
    <row r="138" spans="2:19" hidden="1">
      <c r="B138" s="405">
        <f t="shared" si="13"/>
        <v>126</v>
      </c>
      <c r="C138" s="405">
        <v>5</v>
      </c>
      <c r="D138" s="405">
        <v>6</v>
      </c>
      <c r="E138" s="405">
        <v>63</v>
      </c>
      <c r="F138" s="405">
        <v>54</v>
      </c>
      <c r="G138" s="405">
        <v>183.4</v>
      </c>
      <c r="H138" s="405">
        <v>0.36</v>
      </c>
      <c r="I138" s="405">
        <v>1.06</v>
      </c>
      <c r="J138" s="405"/>
      <c r="K138" s="405"/>
      <c r="L138" s="405"/>
      <c r="M138" s="405"/>
      <c r="N138" s="405"/>
      <c r="O138" s="405"/>
      <c r="P138" s="405"/>
      <c r="Q138" s="405"/>
      <c r="R138" s="405"/>
      <c r="S138" s="405"/>
    </row>
    <row r="139" spans="2:19" hidden="1">
      <c r="B139" s="405">
        <f t="shared" si="13"/>
        <v>127</v>
      </c>
      <c r="C139" s="405">
        <v>9</v>
      </c>
      <c r="D139" s="405">
        <v>17</v>
      </c>
      <c r="E139" s="405">
        <v>200</v>
      </c>
      <c r="F139" s="405">
        <v>103</v>
      </c>
      <c r="G139" s="405">
        <v>228.3</v>
      </c>
      <c r="H139" s="405">
        <v>0.5</v>
      </c>
      <c r="I139" s="405">
        <v>1.2</v>
      </c>
      <c r="J139" s="405"/>
      <c r="K139" s="405"/>
      <c r="L139" s="405"/>
      <c r="M139" s="405"/>
      <c r="N139" s="405"/>
      <c r="O139" s="405"/>
      <c r="P139" s="405"/>
      <c r="Q139" s="405"/>
      <c r="R139" s="405"/>
      <c r="S139" s="405"/>
    </row>
    <row r="140" spans="2:19" hidden="1">
      <c r="B140" s="405">
        <f t="shared" si="13"/>
        <v>128</v>
      </c>
      <c r="C140" s="405">
        <v>17</v>
      </c>
      <c r="D140" s="405">
        <v>23</v>
      </c>
      <c r="E140" s="405">
        <v>63</v>
      </c>
      <c r="F140" s="405">
        <v>200</v>
      </c>
      <c r="G140" s="405">
        <v>101.2</v>
      </c>
      <c r="H140" s="405">
        <v>0.36</v>
      </c>
      <c r="I140" s="405">
        <v>1.06</v>
      </c>
      <c r="J140" s="405"/>
      <c r="K140" s="405"/>
      <c r="L140" s="405"/>
      <c r="M140" s="405"/>
      <c r="N140" s="405"/>
      <c r="O140" s="405"/>
      <c r="P140" s="405"/>
      <c r="Q140" s="405"/>
      <c r="R140" s="405"/>
      <c r="S140" s="405"/>
    </row>
    <row r="141" spans="2:19" hidden="1">
      <c r="B141" s="405">
        <f t="shared" si="13"/>
        <v>129</v>
      </c>
      <c r="C141" s="405">
        <v>23</v>
      </c>
      <c r="D141" s="405">
        <v>22</v>
      </c>
      <c r="E141" s="405">
        <v>200</v>
      </c>
      <c r="F141" s="405">
        <v>108</v>
      </c>
      <c r="G141" s="405">
        <v>40.200000000000003</v>
      </c>
      <c r="H141" s="405">
        <v>0.5</v>
      </c>
      <c r="I141" s="405">
        <v>1.2</v>
      </c>
      <c r="J141" s="405"/>
      <c r="K141" s="405"/>
      <c r="L141" s="405"/>
      <c r="M141" s="405"/>
      <c r="N141" s="405"/>
      <c r="O141" s="405"/>
      <c r="P141" s="405"/>
      <c r="Q141" s="405"/>
      <c r="R141" s="405"/>
      <c r="S141" s="405"/>
    </row>
    <row r="142" spans="2:19" hidden="1">
      <c r="B142" s="405">
        <f t="shared" si="13"/>
        <v>130</v>
      </c>
      <c r="C142" s="405">
        <v>22</v>
      </c>
      <c r="D142" s="405">
        <v>20</v>
      </c>
      <c r="E142" s="405">
        <v>200</v>
      </c>
      <c r="F142" s="405">
        <v>40</v>
      </c>
      <c r="G142" s="405">
        <v>35.4</v>
      </c>
      <c r="H142" s="405">
        <v>0.5</v>
      </c>
      <c r="I142" s="405">
        <v>1.2</v>
      </c>
      <c r="J142" s="405"/>
      <c r="K142" s="405"/>
      <c r="L142" s="405"/>
      <c r="M142" s="405"/>
      <c r="N142" s="405"/>
      <c r="O142" s="405"/>
      <c r="P142" s="405"/>
      <c r="Q142" s="405"/>
      <c r="R142" s="405"/>
      <c r="S142" s="405"/>
    </row>
    <row r="143" spans="2:19" hidden="1">
      <c r="B143" s="405">
        <f t="shared" ref="B143:B203" si="27">1+B142</f>
        <v>131</v>
      </c>
      <c r="C143" s="405">
        <v>20</v>
      </c>
      <c r="D143" s="405">
        <v>21</v>
      </c>
      <c r="E143" s="405">
        <v>63</v>
      </c>
      <c r="F143" s="405">
        <v>36</v>
      </c>
      <c r="G143" s="405">
        <v>50.5</v>
      </c>
      <c r="H143" s="405">
        <v>0.36</v>
      </c>
      <c r="I143" s="405">
        <v>1.06</v>
      </c>
      <c r="J143" s="405"/>
      <c r="K143" s="405"/>
      <c r="L143" s="405"/>
      <c r="M143" s="405"/>
      <c r="N143" s="405"/>
      <c r="O143" s="405"/>
      <c r="P143" s="405"/>
      <c r="Q143" s="405"/>
      <c r="R143" s="405"/>
      <c r="S143" s="405"/>
    </row>
    <row r="144" spans="2:19" hidden="1">
      <c r="B144" s="405">
        <f t="shared" si="27"/>
        <v>132</v>
      </c>
      <c r="C144" s="405">
        <v>20</v>
      </c>
      <c r="D144" s="405">
        <v>17</v>
      </c>
      <c r="E144" s="405">
        <v>200</v>
      </c>
      <c r="F144" s="405">
        <v>51</v>
      </c>
      <c r="G144" s="405">
        <v>42.4</v>
      </c>
      <c r="H144" s="405">
        <v>0.5</v>
      </c>
      <c r="I144" s="405">
        <v>1.2</v>
      </c>
      <c r="J144" s="405"/>
      <c r="K144" s="405"/>
      <c r="L144" s="405"/>
      <c r="M144" s="405"/>
      <c r="N144" s="405"/>
      <c r="O144" s="405"/>
      <c r="P144" s="405"/>
      <c r="Q144" s="405"/>
      <c r="R144" s="405"/>
      <c r="S144" s="405"/>
    </row>
    <row r="145" spans="2:19" hidden="1">
      <c r="B145" s="405">
        <f t="shared" si="27"/>
        <v>133</v>
      </c>
      <c r="C145" s="405">
        <v>22</v>
      </c>
      <c r="D145" s="405">
        <v>38</v>
      </c>
      <c r="E145" s="405">
        <v>160</v>
      </c>
      <c r="F145" s="518">
        <v>56</v>
      </c>
      <c r="G145" s="405">
        <v>177.2</v>
      </c>
      <c r="H145" s="405">
        <v>0.46</v>
      </c>
      <c r="I145" s="405">
        <v>1.1599999999999999</v>
      </c>
      <c r="J145" s="405"/>
      <c r="K145" s="405"/>
      <c r="L145" s="405"/>
      <c r="M145" s="405"/>
      <c r="N145" s="405"/>
      <c r="O145" s="405"/>
      <c r="P145" s="405"/>
      <c r="Q145" s="405"/>
      <c r="R145" s="405"/>
      <c r="S145" s="405"/>
    </row>
    <row r="146" spans="2:19" hidden="1">
      <c r="B146" s="405">
        <f t="shared" si="27"/>
        <v>134</v>
      </c>
      <c r="C146" s="405">
        <v>22</v>
      </c>
      <c r="D146" s="405">
        <v>38</v>
      </c>
      <c r="E146" s="405">
        <v>160</v>
      </c>
      <c r="F146" s="519"/>
      <c r="G146" s="405">
        <v>5</v>
      </c>
      <c r="H146" s="405">
        <v>0.46</v>
      </c>
      <c r="I146" s="405">
        <v>1.1599999999999999</v>
      </c>
      <c r="J146" s="405"/>
      <c r="K146" s="405" t="s">
        <v>1797</v>
      </c>
      <c r="L146" s="405">
        <f>+G146</f>
        <v>5</v>
      </c>
      <c r="M146" s="405">
        <f>+H146</f>
        <v>0.46</v>
      </c>
      <c r="N146" s="405">
        <f>+L146*M146</f>
        <v>2.3000000000000003</v>
      </c>
      <c r="O146" s="405">
        <f>+L146</f>
        <v>5</v>
      </c>
      <c r="P146" s="405">
        <f>+M146</f>
        <v>0.46</v>
      </c>
      <c r="Q146" s="405">
        <f>+O146*P146</f>
        <v>2.3000000000000003</v>
      </c>
      <c r="R146" s="405"/>
      <c r="S146" s="405"/>
    </row>
    <row r="147" spans="2:19" hidden="1">
      <c r="B147" s="405">
        <f t="shared" si="27"/>
        <v>135</v>
      </c>
      <c r="C147" s="405">
        <v>1</v>
      </c>
      <c r="D147" s="405">
        <v>3</v>
      </c>
      <c r="E147" s="405">
        <v>63</v>
      </c>
      <c r="F147" s="518">
        <v>167</v>
      </c>
      <c r="G147" s="405">
        <v>67.2</v>
      </c>
      <c r="H147" s="405">
        <v>0.36</v>
      </c>
      <c r="I147" s="405">
        <v>1.06</v>
      </c>
      <c r="J147" s="405"/>
      <c r="K147" s="405"/>
      <c r="L147" s="405"/>
      <c r="M147" s="405"/>
      <c r="N147" s="405"/>
      <c r="O147" s="405"/>
      <c r="P147" s="405"/>
      <c r="Q147" s="405"/>
      <c r="R147" s="405"/>
      <c r="S147" s="405"/>
    </row>
    <row r="148" spans="2:19" hidden="1">
      <c r="B148" s="405">
        <f t="shared" si="27"/>
        <v>136</v>
      </c>
      <c r="C148" s="405">
        <v>1</v>
      </c>
      <c r="D148" s="405">
        <v>3</v>
      </c>
      <c r="E148" s="405">
        <v>63</v>
      </c>
      <c r="F148" s="519"/>
      <c r="G148" s="405">
        <v>82.2</v>
      </c>
      <c r="H148" s="405">
        <v>0.36</v>
      </c>
      <c r="I148" s="405">
        <v>1.06</v>
      </c>
      <c r="J148" s="405"/>
      <c r="K148" s="405" t="s">
        <v>45</v>
      </c>
      <c r="L148" s="405">
        <f>+G148</f>
        <v>82.2</v>
      </c>
      <c r="M148" s="405">
        <f>+H148</f>
        <v>0.36</v>
      </c>
      <c r="N148" s="405">
        <f>+L148*M148</f>
        <v>29.591999999999999</v>
      </c>
      <c r="O148" s="405">
        <f>+L148</f>
        <v>82.2</v>
      </c>
      <c r="P148" s="405">
        <f>+M148</f>
        <v>0.36</v>
      </c>
      <c r="Q148" s="405">
        <f>+O148*P148</f>
        <v>29.591999999999999</v>
      </c>
      <c r="R148" s="405"/>
      <c r="S148" s="405"/>
    </row>
    <row r="149" spans="2:19" hidden="1">
      <c r="B149" s="405">
        <f t="shared" si="27"/>
        <v>137</v>
      </c>
      <c r="C149" s="405">
        <v>23</v>
      </c>
      <c r="D149" s="405">
        <v>27</v>
      </c>
      <c r="E149" s="405">
        <v>200</v>
      </c>
      <c r="F149" s="405">
        <v>152</v>
      </c>
      <c r="G149" s="405">
        <v>158.80000000000001</v>
      </c>
      <c r="H149" s="405">
        <v>0.46</v>
      </c>
      <c r="I149" s="405">
        <v>1.2</v>
      </c>
      <c r="J149" s="405"/>
      <c r="K149" s="405" t="s">
        <v>102</v>
      </c>
      <c r="L149" s="405">
        <f t="shared" ref="L149:L150" si="28">+G149</f>
        <v>158.80000000000001</v>
      </c>
      <c r="M149" s="405">
        <f t="shared" ref="M149:M150" si="29">+H149</f>
        <v>0.46</v>
      </c>
      <c r="N149" s="405">
        <f t="shared" ref="N149:N150" si="30">+L149*M149</f>
        <v>73.048000000000002</v>
      </c>
      <c r="O149" s="405">
        <f t="shared" ref="O149:O150" si="31">+L149</f>
        <v>158.80000000000001</v>
      </c>
      <c r="P149" s="405">
        <f t="shared" ref="P149:P150" si="32">+M149</f>
        <v>0.46</v>
      </c>
      <c r="Q149" s="405">
        <f t="shared" ref="Q149:Q150" si="33">+O149*P149</f>
        <v>73.048000000000002</v>
      </c>
      <c r="R149" s="405"/>
      <c r="S149" s="405"/>
    </row>
    <row r="150" spans="2:19" hidden="1">
      <c r="B150" s="405">
        <f t="shared" si="27"/>
        <v>138</v>
      </c>
      <c r="C150" s="405">
        <v>27</v>
      </c>
      <c r="D150" s="405">
        <v>30</v>
      </c>
      <c r="E150" s="405">
        <v>63</v>
      </c>
      <c r="F150" s="518">
        <v>322</v>
      </c>
      <c r="G150" s="405">
        <v>5</v>
      </c>
      <c r="H150" s="405">
        <v>0.36</v>
      </c>
      <c r="I150" s="405">
        <v>1.06</v>
      </c>
      <c r="J150" s="405"/>
      <c r="K150" s="405" t="s">
        <v>1797</v>
      </c>
      <c r="L150" s="405">
        <f t="shared" si="28"/>
        <v>5</v>
      </c>
      <c r="M150" s="405">
        <f t="shared" si="29"/>
        <v>0.36</v>
      </c>
      <c r="N150" s="405">
        <f t="shared" si="30"/>
        <v>1.7999999999999998</v>
      </c>
      <c r="O150" s="405">
        <f t="shared" si="31"/>
        <v>5</v>
      </c>
      <c r="P150" s="405">
        <f t="shared" si="32"/>
        <v>0.36</v>
      </c>
      <c r="Q150" s="405">
        <f t="shared" si="33"/>
        <v>1.7999999999999998</v>
      </c>
      <c r="R150" s="405"/>
      <c r="S150" s="405"/>
    </row>
    <row r="151" spans="2:19" hidden="1">
      <c r="B151" s="405">
        <f t="shared" si="27"/>
        <v>139</v>
      </c>
      <c r="C151" s="405">
        <v>27</v>
      </c>
      <c r="D151" s="405">
        <v>30</v>
      </c>
      <c r="E151" s="405">
        <v>63</v>
      </c>
      <c r="F151" s="519"/>
      <c r="G151" s="405">
        <v>273.3</v>
      </c>
      <c r="H151" s="405">
        <v>0.36</v>
      </c>
      <c r="I151" s="405">
        <v>1.06</v>
      </c>
      <c r="J151" s="405"/>
      <c r="K151" s="405"/>
      <c r="L151" s="405"/>
      <c r="M151" s="405"/>
      <c r="N151" s="405"/>
      <c r="O151" s="405"/>
      <c r="P151" s="405"/>
      <c r="Q151" s="405"/>
      <c r="R151" s="405"/>
      <c r="S151" s="405"/>
    </row>
    <row r="152" spans="2:19" hidden="1">
      <c r="B152" s="405">
        <f t="shared" si="27"/>
        <v>140</v>
      </c>
      <c r="C152" s="405">
        <v>27</v>
      </c>
      <c r="D152" s="405">
        <v>37</v>
      </c>
      <c r="E152" s="405">
        <v>200</v>
      </c>
      <c r="F152" s="405">
        <v>168</v>
      </c>
      <c r="G152" s="405">
        <v>172.3</v>
      </c>
      <c r="H152" s="405">
        <v>0.46</v>
      </c>
      <c r="I152" s="405">
        <v>1.2</v>
      </c>
      <c r="J152" s="405"/>
      <c r="K152" s="405" t="s">
        <v>102</v>
      </c>
      <c r="L152" s="405">
        <f>+G152</f>
        <v>172.3</v>
      </c>
      <c r="M152" s="405">
        <f>+H152</f>
        <v>0.46</v>
      </c>
      <c r="N152" s="405">
        <f>+L152*M152</f>
        <v>79.25800000000001</v>
      </c>
      <c r="O152" s="405">
        <f>+L152</f>
        <v>172.3</v>
      </c>
      <c r="P152" s="405">
        <f>+M152</f>
        <v>0.46</v>
      </c>
      <c r="Q152" s="405">
        <f>+O152*P152</f>
        <v>79.25800000000001</v>
      </c>
      <c r="R152" s="405"/>
      <c r="S152" s="405"/>
    </row>
    <row r="153" spans="2:19" hidden="1">
      <c r="B153" s="405">
        <f t="shared" si="27"/>
        <v>141</v>
      </c>
      <c r="C153" s="405">
        <v>37</v>
      </c>
      <c r="D153" s="405">
        <v>39</v>
      </c>
      <c r="E153" s="405">
        <v>63</v>
      </c>
      <c r="F153" s="405">
        <v>146</v>
      </c>
      <c r="G153" s="405">
        <v>34.1</v>
      </c>
      <c r="H153" s="405">
        <v>0.36</v>
      </c>
      <c r="I153" s="405">
        <v>1.06</v>
      </c>
      <c r="J153" s="405"/>
      <c r="K153" s="405"/>
      <c r="L153" s="405"/>
      <c r="M153" s="405"/>
      <c r="N153" s="405"/>
      <c r="O153" s="405"/>
      <c r="P153" s="405"/>
      <c r="Q153" s="405"/>
      <c r="R153" s="405"/>
      <c r="S153" s="405"/>
    </row>
    <row r="154" spans="2:19" hidden="1">
      <c r="B154" s="405">
        <f t="shared" si="27"/>
        <v>142</v>
      </c>
      <c r="C154" s="405">
        <v>37</v>
      </c>
      <c r="D154" s="405" t="s">
        <v>1810</v>
      </c>
      <c r="E154" s="405">
        <v>63</v>
      </c>
      <c r="F154" s="405"/>
      <c r="G154" s="405">
        <v>115.6</v>
      </c>
      <c r="H154" s="405">
        <v>0.36</v>
      </c>
      <c r="I154" s="405">
        <v>1.06</v>
      </c>
      <c r="J154" s="405"/>
      <c r="K154" s="405"/>
      <c r="L154" s="405"/>
      <c r="M154" s="405"/>
      <c r="N154" s="405"/>
      <c r="O154" s="405"/>
      <c r="P154" s="405"/>
      <c r="Q154" s="405"/>
      <c r="R154" s="405"/>
      <c r="S154" s="405"/>
    </row>
    <row r="155" spans="2:19" hidden="1">
      <c r="B155" s="405">
        <f t="shared" si="27"/>
        <v>143</v>
      </c>
      <c r="C155" s="405" t="s">
        <v>1810</v>
      </c>
      <c r="D155" s="405" t="s">
        <v>1811</v>
      </c>
      <c r="E155" s="405">
        <v>63</v>
      </c>
      <c r="F155" s="405"/>
      <c r="G155" s="405">
        <v>106.8</v>
      </c>
      <c r="H155" s="405">
        <v>0.36</v>
      </c>
      <c r="I155" s="405">
        <v>1.06</v>
      </c>
      <c r="J155" s="405"/>
      <c r="K155" s="405"/>
      <c r="L155" s="405"/>
      <c r="M155" s="405"/>
      <c r="N155" s="405"/>
      <c r="O155" s="405"/>
      <c r="P155" s="405"/>
      <c r="Q155" s="405"/>
      <c r="R155" s="405"/>
      <c r="S155" s="405"/>
    </row>
    <row r="156" spans="2:19" hidden="1">
      <c r="B156" s="405">
        <f t="shared" si="27"/>
        <v>144</v>
      </c>
      <c r="C156" s="405">
        <v>37</v>
      </c>
      <c r="D156" s="405">
        <v>42</v>
      </c>
      <c r="E156" s="405">
        <v>200</v>
      </c>
      <c r="F156" s="405">
        <v>472</v>
      </c>
      <c r="G156" s="405">
        <v>481.1</v>
      </c>
      <c r="H156" s="405">
        <v>0.46</v>
      </c>
      <c r="I156" s="405">
        <v>1.2</v>
      </c>
      <c r="J156" s="405"/>
      <c r="K156" s="405" t="s">
        <v>102</v>
      </c>
      <c r="L156" s="405">
        <f>+G156</f>
        <v>481.1</v>
      </c>
      <c r="M156" s="405">
        <f>+H156</f>
        <v>0.46</v>
      </c>
      <c r="N156" s="405">
        <f>+L156*M156</f>
        <v>221.30600000000001</v>
      </c>
      <c r="O156" s="405">
        <f>+L156</f>
        <v>481.1</v>
      </c>
      <c r="P156" s="405">
        <f>+M156</f>
        <v>0.46</v>
      </c>
      <c r="Q156" s="405">
        <f>+O156*P156</f>
        <v>221.30600000000001</v>
      </c>
      <c r="R156" s="405"/>
      <c r="S156" s="405"/>
    </row>
    <row r="157" spans="2:19">
      <c r="B157" s="405">
        <f t="shared" si="27"/>
        <v>145</v>
      </c>
      <c r="C157" s="405">
        <v>42</v>
      </c>
      <c r="D157" s="405">
        <v>43</v>
      </c>
      <c r="E157" s="405">
        <v>200</v>
      </c>
      <c r="F157" s="405">
        <v>14</v>
      </c>
      <c r="G157" s="405">
        <v>98</v>
      </c>
      <c r="H157" s="405">
        <v>0.46</v>
      </c>
      <c r="I157" s="405">
        <v>1.2</v>
      </c>
      <c r="J157" s="405"/>
      <c r="K157" s="405" t="s">
        <v>149</v>
      </c>
      <c r="L157" s="405">
        <f>+G157</f>
        <v>98</v>
      </c>
      <c r="M157" s="405">
        <v>0.46</v>
      </c>
      <c r="N157" s="405">
        <f>+L157*M157</f>
        <v>45.080000000000005</v>
      </c>
      <c r="O157" s="405">
        <f>+L157</f>
        <v>98</v>
      </c>
      <c r="P157" s="405">
        <f>+M157</f>
        <v>0.46</v>
      </c>
      <c r="Q157" s="405">
        <f>+O157*P157</f>
        <v>45.080000000000005</v>
      </c>
      <c r="R157" s="405"/>
      <c r="S157" s="405"/>
    </row>
    <row r="158" spans="2:19" hidden="1">
      <c r="B158" s="405">
        <f t="shared" si="27"/>
        <v>146</v>
      </c>
      <c r="C158" s="405">
        <v>42</v>
      </c>
      <c r="D158" s="405">
        <v>43</v>
      </c>
      <c r="E158" s="405">
        <v>200</v>
      </c>
      <c r="F158" s="405"/>
      <c r="G158" s="405">
        <v>88.1</v>
      </c>
      <c r="H158" s="405">
        <v>0.46</v>
      </c>
      <c r="I158" s="405">
        <v>1.2</v>
      </c>
      <c r="J158" s="405"/>
      <c r="K158" s="405"/>
      <c r="L158" s="405"/>
      <c r="M158" s="405"/>
      <c r="N158" s="405"/>
      <c r="O158" s="405"/>
      <c r="P158" s="405"/>
      <c r="Q158" s="405"/>
      <c r="R158" s="405"/>
      <c r="S158" s="405"/>
    </row>
    <row r="159" spans="2:19" hidden="1">
      <c r="B159" s="405">
        <f t="shared" si="27"/>
        <v>147</v>
      </c>
      <c r="C159" s="405">
        <v>43</v>
      </c>
      <c r="D159" s="405" t="s">
        <v>1812</v>
      </c>
      <c r="E159" s="405">
        <v>63</v>
      </c>
      <c r="F159" s="405"/>
      <c r="G159" s="405">
        <v>136.4</v>
      </c>
      <c r="H159" s="405">
        <v>0.36</v>
      </c>
      <c r="I159" s="405">
        <v>1.06</v>
      </c>
      <c r="J159" s="405"/>
      <c r="K159" s="405"/>
      <c r="L159" s="405"/>
      <c r="M159" s="405"/>
      <c r="N159" s="405"/>
      <c r="O159" s="405"/>
      <c r="P159" s="405"/>
      <c r="Q159" s="405"/>
      <c r="R159" s="405"/>
      <c r="S159" s="405"/>
    </row>
    <row r="160" spans="2:19" hidden="1">
      <c r="B160" s="405">
        <f t="shared" si="27"/>
        <v>148</v>
      </c>
      <c r="C160" s="405">
        <v>43</v>
      </c>
      <c r="D160" s="405">
        <v>41</v>
      </c>
      <c r="E160" s="405">
        <v>200</v>
      </c>
      <c r="F160" s="405">
        <v>305</v>
      </c>
      <c r="G160" s="405">
        <v>303.2</v>
      </c>
      <c r="H160" s="405">
        <v>0.46</v>
      </c>
      <c r="I160" s="405">
        <v>1.2</v>
      </c>
      <c r="J160" s="405"/>
      <c r="K160" s="405"/>
      <c r="L160" s="405"/>
      <c r="M160" s="405"/>
      <c r="N160" s="405"/>
      <c r="O160" s="405"/>
      <c r="P160" s="405"/>
      <c r="Q160" s="405"/>
      <c r="R160" s="405"/>
      <c r="S160" s="405"/>
    </row>
    <row r="161" spans="2:22" hidden="1">
      <c r="B161" s="405">
        <f t="shared" si="27"/>
        <v>149</v>
      </c>
      <c r="C161" s="405">
        <v>41</v>
      </c>
      <c r="D161" s="405">
        <v>36</v>
      </c>
      <c r="E161" s="405">
        <v>75</v>
      </c>
      <c r="F161" s="405">
        <v>138</v>
      </c>
      <c r="G161" s="405">
        <v>137</v>
      </c>
      <c r="H161" s="405">
        <v>0.375</v>
      </c>
      <c r="I161" s="405">
        <v>1.07</v>
      </c>
      <c r="J161" s="405"/>
      <c r="K161" s="405"/>
      <c r="L161" s="405"/>
      <c r="M161" s="405"/>
      <c r="N161" s="405"/>
      <c r="O161" s="405"/>
      <c r="P161" s="405"/>
      <c r="Q161" s="405"/>
      <c r="R161" s="405"/>
      <c r="S161" s="405"/>
    </row>
    <row r="162" spans="2:22" hidden="1">
      <c r="B162" s="405">
        <f t="shared" si="27"/>
        <v>150</v>
      </c>
      <c r="C162" s="405">
        <v>36</v>
      </c>
      <c r="D162" s="405">
        <v>34</v>
      </c>
      <c r="E162" s="405">
        <v>63</v>
      </c>
      <c r="F162" s="405">
        <v>42</v>
      </c>
      <c r="G162" s="405">
        <v>67.2</v>
      </c>
      <c r="H162" s="405">
        <v>0.36</v>
      </c>
      <c r="I162" s="405">
        <v>1.06</v>
      </c>
      <c r="J162" s="405"/>
      <c r="K162" s="405"/>
      <c r="L162" s="405"/>
      <c r="M162" s="405"/>
      <c r="N162" s="405"/>
      <c r="O162" s="405"/>
      <c r="P162" s="405"/>
      <c r="Q162" s="405"/>
      <c r="R162" s="405"/>
      <c r="S162" s="405"/>
    </row>
    <row r="163" spans="2:22" hidden="1">
      <c r="B163" s="405">
        <f t="shared" si="27"/>
        <v>151</v>
      </c>
      <c r="C163" s="405">
        <v>36</v>
      </c>
      <c r="D163" s="405">
        <v>28</v>
      </c>
      <c r="E163" s="405">
        <v>63</v>
      </c>
      <c r="F163" s="405">
        <v>175</v>
      </c>
      <c r="G163" s="405">
        <v>207.8</v>
      </c>
      <c r="H163" s="405">
        <v>0.36</v>
      </c>
      <c r="I163" s="405">
        <v>1.06</v>
      </c>
      <c r="J163" s="405"/>
      <c r="K163" s="405"/>
      <c r="L163" s="405"/>
      <c r="M163" s="405"/>
      <c r="N163" s="405"/>
      <c r="O163" s="405"/>
      <c r="P163" s="405"/>
      <c r="Q163" s="405"/>
      <c r="R163" s="405"/>
      <c r="S163" s="405"/>
    </row>
    <row r="164" spans="2:22" hidden="1">
      <c r="B164" s="405">
        <f t="shared" si="27"/>
        <v>152</v>
      </c>
      <c r="C164" s="405">
        <v>41</v>
      </c>
      <c r="D164" s="405">
        <v>122</v>
      </c>
      <c r="E164" s="405">
        <v>140</v>
      </c>
      <c r="F164" s="405">
        <v>453</v>
      </c>
      <c r="G164" s="405">
        <v>472</v>
      </c>
      <c r="H164" s="405">
        <v>0.44</v>
      </c>
      <c r="I164" s="405">
        <v>1.1399999999999999</v>
      </c>
      <c r="J164" s="405"/>
      <c r="K164" s="405" t="s">
        <v>45</v>
      </c>
      <c r="L164" s="405">
        <f>+G164</f>
        <v>472</v>
      </c>
      <c r="M164" s="405">
        <f>+H164</f>
        <v>0.44</v>
      </c>
      <c r="N164" s="405">
        <f>+L164*M164</f>
        <v>207.68</v>
      </c>
      <c r="O164" s="405">
        <f>+L164</f>
        <v>472</v>
      </c>
      <c r="P164" s="405">
        <f>+M164</f>
        <v>0.44</v>
      </c>
      <c r="Q164" s="405">
        <f>+O164*P164</f>
        <v>207.68</v>
      </c>
      <c r="R164" s="405"/>
      <c r="S164" s="405"/>
    </row>
    <row r="165" spans="2:22" hidden="1">
      <c r="B165" s="405">
        <f t="shared" si="27"/>
        <v>153</v>
      </c>
      <c r="C165" s="405">
        <v>42</v>
      </c>
      <c r="D165" s="405">
        <v>48</v>
      </c>
      <c r="E165" s="405">
        <v>140</v>
      </c>
      <c r="F165" s="405">
        <v>203</v>
      </c>
      <c r="G165" s="405">
        <v>211.8</v>
      </c>
      <c r="H165" s="405">
        <v>0.44</v>
      </c>
      <c r="I165" s="405">
        <v>1.1399999999999999</v>
      </c>
      <c r="J165" s="405"/>
      <c r="K165" s="405" t="s">
        <v>102</v>
      </c>
      <c r="L165" s="405">
        <f>+G165</f>
        <v>211.8</v>
      </c>
      <c r="M165" s="405">
        <f>+H165</f>
        <v>0.44</v>
      </c>
      <c r="N165" s="405">
        <f>+L165*M165</f>
        <v>93.192000000000007</v>
      </c>
      <c r="O165" s="405">
        <f>+L165</f>
        <v>211.8</v>
      </c>
      <c r="P165" s="405">
        <f>+M165</f>
        <v>0.44</v>
      </c>
      <c r="Q165" s="405">
        <f>+O165*P165</f>
        <v>93.192000000000007</v>
      </c>
      <c r="R165" s="405"/>
      <c r="S165" s="405"/>
    </row>
    <row r="166" spans="2:22" hidden="1">
      <c r="B166" s="405">
        <f t="shared" si="27"/>
        <v>154</v>
      </c>
      <c r="C166" s="405">
        <v>48</v>
      </c>
      <c r="D166" s="405">
        <v>49</v>
      </c>
      <c r="E166" s="405">
        <v>63</v>
      </c>
      <c r="F166" s="405">
        <v>160</v>
      </c>
      <c r="G166" s="405">
        <v>156.5</v>
      </c>
      <c r="H166" s="405">
        <v>0.36</v>
      </c>
      <c r="I166" s="405">
        <v>1.06</v>
      </c>
      <c r="J166" s="405"/>
      <c r="K166" s="405"/>
      <c r="L166" s="405"/>
      <c r="M166" s="405"/>
      <c r="N166" s="405"/>
      <c r="O166" s="405"/>
      <c r="P166" s="405"/>
      <c r="Q166" s="405"/>
      <c r="R166" s="405"/>
      <c r="S166" s="405"/>
    </row>
    <row r="167" spans="2:22" hidden="1">
      <c r="B167" s="405">
        <f t="shared" si="27"/>
        <v>155</v>
      </c>
      <c r="C167" s="405">
        <v>48</v>
      </c>
      <c r="D167" s="405">
        <v>57</v>
      </c>
      <c r="E167" s="405">
        <v>140</v>
      </c>
      <c r="F167" s="518">
        <v>136</v>
      </c>
      <c r="G167" s="405">
        <v>110.5</v>
      </c>
      <c r="H167" s="405">
        <v>0.44</v>
      </c>
      <c r="I167" s="405">
        <v>1.1399999999999999</v>
      </c>
      <c r="J167" s="405"/>
      <c r="K167" s="405" t="s">
        <v>102</v>
      </c>
      <c r="L167" s="405">
        <f>+G167</f>
        <v>110.5</v>
      </c>
      <c r="M167" s="405">
        <f>+H167</f>
        <v>0.44</v>
      </c>
      <c r="N167" s="405">
        <f>+L167*M167</f>
        <v>48.62</v>
      </c>
      <c r="O167" s="405">
        <f t="shared" ref="O167:P169" si="34">+L167</f>
        <v>110.5</v>
      </c>
      <c r="P167" s="405">
        <f t="shared" si="34"/>
        <v>0.44</v>
      </c>
      <c r="Q167" s="405">
        <f>+O167*P167</f>
        <v>48.62</v>
      </c>
      <c r="R167" s="405"/>
      <c r="S167" s="405"/>
    </row>
    <row r="168" spans="2:22">
      <c r="B168" s="405">
        <f t="shared" si="27"/>
        <v>156</v>
      </c>
      <c r="C168" s="405">
        <v>48</v>
      </c>
      <c r="D168" s="405">
        <v>57</v>
      </c>
      <c r="E168" s="405">
        <v>140</v>
      </c>
      <c r="F168" s="519"/>
      <c r="G168" s="405">
        <v>25.6</v>
      </c>
      <c r="H168" s="405">
        <v>0.44</v>
      </c>
      <c r="I168" s="405">
        <v>1.1399999999999999</v>
      </c>
      <c r="J168" s="405"/>
      <c r="K168" s="405" t="s">
        <v>149</v>
      </c>
      <c r="L168" s="405">
        <f>+G168</f>
        <v>25.6</v>
      </c>
      <c r="M168" s="405">
        <v>0.46</v>
      </c>
      <c r="N168" s="405">
        <f>+L168*M168</f>
        <v>11.776000000000002</v>
      </c>
      <c r="O168" s="405">
        <f t="shared" si="34"/>
        <v>25.6</v>
      </c>
      <c r="P168" s="405">
        <f t="shared" si="34"/>
        <v>0.46</v>
      </c>
      <c r="Q168" s="405">
        <f>+O168*P168</f>
        <v>11.776000000000002</v>
      </c>
      <c r="R168" s="405"/>
      <c r="S168" s="405"/>
    </row>
    <row r="169" spans="2:22" hidden="1">
      <c r="B169" s="405">
        <f t="shared" si="27"/>
        <v>157</v>
      </c>
      <c r="C169" s="405">
        <v>57</v>
      </c>
      <c r="D169" s="405">
        <v>58</v>
      </c>
      <c r="E169" s="405">
        <v>63</v>
      </c>
      <c r="F169" s="405">
        <v>115</v>
      </c>
      <c r="G169" s="405">
        <v>55.8</v>
      </c>
      <c r="H169" s="405">
        <v>0.36</v>
      </c>
      <c r="I169" s="405">
        <v>1.06</v>
      </c>
      <c r="J169" s="405"/>
      <c r="K169" s="405" t="s">
        <v>45</v>
      </c>
      <c r="L169" s="405">
        <f>+G169</f>
        <v>55.8</v>
      </c>
      <c r="M169" s="405">
        <f>+H169</f>
        <v>0.36</v>
      </c>
      <c r="N169" s="405">
        <f>+L169*M169</f>
        <v>20.087999999999997</v>
      </c>
      <c r="O169" s="405">
        <f t="shared" si="34"/>
        <v>55.8</v>
      </c>
      <c r="P169" s="405">
        <f t="shared" si="34"/>
        <v>0.36</v>
      </c>
      <c r="Q169" s="405">
        <f>+O169*P169</f>
        <v>20.087999999999997</v>
      </c>
      <c r="R169" s="405"/>
      <c r="S169" s="405"/>
    </row>
    <row r="170" spans="2:22" hidden="1">
      <c r="B170" s="405">
        <f t="shared" si="27"/>
        <v>158</v>
      </c>
      <c r="C170" s="405">
        <v>63</v>
      </c>
      <c r="D170" s="405">
        <v>68</v>
      </c>
      <c r="E170" s="405">
        <v>75</v>
      </c>
      <c r="F170" s="405">
        <v>194</v>
      </c>
      <c r="G170" s="405">
        <v>114.9</v>
      </c>
      <c r="H170" s="405">
        <v>0.375</v>
      </c>
      <c r="I170" s="405">
        <v>1.07</v>
      </c>
      <c r="J170" s="405"/>
      <c r="K170" s="405"/>
      <c r="L170" s="405"/>
      <c r="M170" s="405"/>
      <c r="N170" s="405"/>
      <c r="O170" s="405"/>
      <c r="P170" s="405"/>
      <c r="Q170" s="405"/>
      <c r="R170" s="405"/>
      <c r="S170" s="405"/>
    </row>
    <row r="171" spans="2:22" hidden="1">
      <c r="B171" s="405">
        <f t="shared" si="27"/>
        <v>159</v>
      </c>
      <c r="C171" s="405">
        <v>68</v>
      </c>
      <c r="D171" s="405">
        <v>69</v>
      </c>
      <c r="E171" s="405">
        <v>75</v>
      </c>
      <c r="F171" s="405">
        <v>40</v>
      </c>
      <c r="G171" s="405">
        <v>33.4</v>
      </c>
      <c r="H171" s="405">
        <v>0.375</v>
      </c>
      <c r="I171" s="405">
        <v>1.07</v>
      </c>
      <c r="J171" s="405"/>
      <c r="K171" s="405"/>
      <c r="L171" s="405"/>
      <c r="M171" s="405"/>
      <c r="N171" s="405"/>
      <c r="O171" s="405"/>
      <c r="P171" s="405"/>
      <c r="Q171" s="405"/>
      <c r="R171" s="405"/>
      <c r="S171" s="405"/>
    </row>
    <row r="172" spans="2:22" hidden="1">
      <c r="B172" s="405">
        <f t="shared" si="27"/>
        <v>160</v>
      </c>
      <c r="C172" s="405">
        <v>67</v>
      </c>
      <c r="D172" s="405">
        <v>69</v>
      </c>
      <c r="E172" s="405">
        <v>63</v>
      </c>
      <c r="F172" s="405">
        <v>121</v>
      </c>
      <c r="G172" s="405">
        <v>185</v>
      </c>
      <c r="H172" s="405">
        <v>0.36</v>
      </c>
      <c r="I172" s="405">
        <v>1.06</v>
      </c>
      <c r="J172" s="405"/>
      <c r="K172" s="405"/>
      <c r="L172" s="405"/>
      <c r="M172" s="405"/>
      <c r="N172" s="405"/>
      <c r="O172" s="405"/>
      <c r="P172" s="405"/>
      <c r="Q172" s="405"/>
      <c r="R172" s="405"/>
      <c r="S172" s="405"/>
    </row>
    <row r="173" spans="2:22" hidden="1">
      <c r="B173" s="405">
        <f t="shared" si="27"/>
        <v>161</v>
      </c>
      <c r="C173" s="405">
        <v>82</v>
      </c>
      <c r="D173" s="405">
        <v>71</v>
      </c>
      <c r="E173" s="405">
        <v>75</v>
      </c>
      <c r="F173" s="405">
        <v>69</v>
      </c>
      <c r="G173" s="405">
        <v>62</v>
      </c>
      <c r="H173" s="405">
        <v>0.375</v>
      </c>
      <c r="I173" s="405">
        <v>1.07</v>
      </c>
      <c r="J173" s="405"/>
      <c r="K173" s="405" t="s">
        <v>45</v>
      </c>
      <c r="L173" s="405">
        <f>+G173</f>
        <v>62</v>
      </c>
      <c r="M173" s="405">
        <f>+H173</f>
        <v>0.375</v>
      </c>
      <c r="N173" s="405">
        <f>+L173*M173</f>
        <v>23.25</v>
      </c>
      <c r="O173" s="405">
        <f>+L173</f>
        <v>62</v>
      </c>
      <c r="P173" s="405">
        <f>+M173</f>
        <v>0.375</v>
      </c>
      <c r="Q173" s="405">
        <f>+O173*P173</f>
        <v>23.25</v>
      </c>
      <c r="R173" s="405"/>
      <c r="S173" s="405"/>
    </row>
    <row r="174" spans="2:22" hidden="1">
      <c r="B174" s="405">
        <f t="shared" si="27"/>
        <v>162</v>
      </c>
      <c r="C174" s="405">
        <v>66</v>
      </c>
      <c r="D174" s="405">
        <v>67</v>
      </c>
      <c r="E174" s="405">
        <v>75</v>
      </c>
      <c r="F174" s="405">
        <v>46</v>
      </c>
      <c r="G174" s="405">
        <v>81.2</v>
      </c>
      <c r="H174" s="405">
        <v>0.375</v>
      </c>
      <c r="I174" s="405">
        <v>1.07</v>
      </c>
      <c r="J174" s="405"/>
      <c r="K174" s="405"/>
      <c r="L174" s="405"/>
      <c r="M174" s="405"/>
      <c r="N174" s="405"/>
      <c r="O174" s="405"/>
      <c r="P174" s="405"/>
      <c r="Q174" s="405"/>
      <c r="R174" s="405"/>
      <c r="S174" s="405"/>
      <c r="V174">
        <f>197+112+75+93</f>
        <v>477</v>
      </c>
    </row>
    <row r="175" spans="2:22">
      <c r="B175" s="405">
        <f t="shared" si="27"/>
        <v>163</v>
      </c>
      <c r="C175" s="405">
        <v>57</v>
      </c>
      <c r="D175" s="405">
        <v>62</v>
      </c>
      <c r="E175" s="405">
        <v>140</v>
      </c>
      <c r="F175" s="405">
        <v>142</v>
      </c>
      <c r="G175" s="405">
        <v>139.1</v>
      </c>
      <c r="H175" s="405">
        <v>0.44</v>
      </c>
      <c r="I175" s="405">
        <v>1.07</v>
      </c>
      <c r="J175" s="405"/>
      <c r="K175" s="405" t="s">
        <v>149</v>
      </c>
      <c r="L175" s="405">
        <f>+G175</f>
        <v>139.1</v>
      </c>
      <c r="M175" s="405">
        <v>0.46</v>
      </c>
      <c r="N175" s="405">
        <f>+L175*M175</f>
        <v>63.985999999999997</v>
      </c>
      <c r="O175" s="405">
        <f>+L175</f>
        <v>139.1</v>
      </c>
      <c r="P175" s="405">
        <f>+M175</f>
        <v>0.46</v>
      </c>
      <c r="Q175" s="405">
        <f>+O175*P175</f>
        <v>63.985999999999997</v>
      </c>
      <c r="R175" s="405"/>
      <c r="S175" s="405"/>
    </row>
    <row r="176" spans="2:22" hidden="1">
      <c r="B176" s="405">
        <f t="shared" si="27"/>
        <v>164</v>
      </c>
      <c r="C176" s="405">
        <v>62</v>
      </c>
      <c r="D176" s="405">
        <v>90</v>
      </c>
      <c r="E176" s="405">
        <v>63</v>
      </c>
      <c r="F176" s="405">
        <v>242</v>
      </c>
      <c r="G176" s="405">
        <v>310</v>
      </c>
      <c r="H176" s="405">
        <v>0.36</v>
      </c>
      <c r="I176" s="405">
        <v>1.06</v>
      </c>
      <c r="J176" s="405"/>
      <c r="K176" s="405"/>
      <c r="L176" s="405"/>
      <c r="M176" s="405"/>
      <c r="N176" s="405"/>
      <c r="O176" s="405"/>
      <c r="P176" s="405"/>
      <c r="Q176" s="405"/>
      <c r="R176" s="405"/>
      <c r="S176" s="405"/>
    </row>
    <row r="177" spans="2:22" hidden="1">
      <c r="B177" s="405">
        <f t="shared" si="27"/>
        <v>165</v>
      </c>
      <c r="C177" s="405">
        <v>62</v>
      </c>
      <c r="D177" s="405">
        <v>92</v>
      </c>
      <c r="E177" s="405">
        <v>140</v>
      </c>
      <c r="F177" s="405">
        <v>213</v>
      </c>
      <c r="G177" s="405">
        <v>220</v>
      </c>
      <c r="H177" s="405">
        <v>0.44</v>
      </c>
      <c r="I177" s="405">
        <v>1.1399999999999999</v>
      </c>
      <c r="J177" s="405"/>
      <c r="K177" s="405" t="s">
        <v>102</v>
      </c>
      <c r="L177" s="405">
        <f>+G177</f>
        <v>220</v>
      </c>
      <c r="M177" s="405">
        <f>+H177</f>
        <v>0.44</v>
      </c>
      <c r="N177" s="405">
        <f>+L177*M177</f>
        <v>96.8</v>
      </c>
      <c r="O177" s="405">
        <f>+L177</f>
        <v>220</v>
      </c>
      <c r="P177" s="405">
        <f>+M177</f>
        <v>0.44</v>
      </c>
      <c r="Q177" s="405">
        <f>+O177*P177</f>
        <v>96.8</v>
      </c>
      <c r="R177" s="405"/>
      <c r="S177" s="405"/>
    </row>
    <row r="178" spans="2:22" hidden="1">
      <c r="B178" s="405">
        <f t="shared" si="27"/>
        <v>166</v>
      </c>
      <c r="C178" s="405">
        <v>92</v>
      </c>
      <c r="D178" s="405">
        <v>95</v>
      </c>
      <c r="E178" s="405">
        <v>75</v>
      </c>
      <c r="F178" s="405">
        <v>93</v>
      </c>
      <c r="G178" s="405">
        <v>93.6</v>
      </c>
      <c r="H178" s="405">
        <v>0.375</v>
      </c>
      <c r="I178" s="405">
        <v>1.07</v>
      </c>
      <c r="J178" s="405"/>
      <c r="K178" s="405"/>
      <c r="L178" s="405"/>
      <c r="M178" s="405"/>
      <c r="N178" s="405"/>
      <c r="O178" s="405"/>
      <c r="P178" s="405"/>
      <c r="Q178" s="405"/>
      <c r="R178" s="405"/>
      <c r="S178" s="405"/>
      <c r="V178">
        <v>1520</v>
      </c>
    </row>
    <row r="179" spans="2:22" hidden="1">
      <c r="B179" s="405">
        <f t="shared" si="27"/>
        <v>167</v>
      </c>
      <c r="C179" s="405">
        <v>95</v>
      </c>
      <c r="D179" s="405">
        <v>98</v>
      </c>
      <c r="E179" s="405">
        <v>63</v>
      </c>
      <c r="F179" s="405">
        <v>116</v>
      </c>
      <c r="G179" s="405">
        <v>135.9</v>
      </c>
      <c r="H179" s="405">
        <v>0.36</v>
      </c>
      <c r="I179" s="405">
        <v>1.06</v>
      </c>
      <c r="J179" s="405"/>
      <c r="K179" s="405"/>
      <c r="L179" s="405"/>
      <c r="M179" s="405"/>
      <c r="N179" s="405"/>
      <c r="O179" s="405"/>
      <c r="P179" s="405"/>
      <c r="Q179" s="405"/>
      <c r="R179" s="405"/>
      <c r="S179" s="405"/>
    </row>
    <row r="180" spans="2:22" hidden="1">
      <c r="B180" s="405">
        <f t="shared" si="27"/>
        <v>168</v>
      </c>
      <c r="C180" s="405">
        <v>95</v>
      </c>
      <c r="D180" s="405">
        <v>96</v>
      </c>
      <c r="E180" s="405">
        <v>63</v>
      </c>
      <c r="F180" s="518">
        <v>48</v>
      </c>
      <c r="G180" s="405">
        <v>5</v>
      </c>
      <c r="H180" s="405">
        <v>0.36</v>
      </c>
      <c r="I180" s="405">
        <v>1.06</v>
      </c>
      <c r="J180" s="405"/>
      <c r="K180" s="405" t="s">
        <v>1797</v>
      </c>
      <c r="L180" s="405">
        <f>+G180</f>
        <v>5</v>
      </c>
      <c r="M180" s="405">
        <f>+H180</f>
        <v>0.36</v>
      </c>
      <c r="N180" s="405">
        <f>+L180*M180</f>
        <v>1.7999999999999998</v>
      </c>
      <c r="O180" s="405">
        <f>+L180</f>
        <v>5</v>
      </c>
      <c r="P180" s="405">
        <f>+M180</f>
        <v>0.36</v>
      </c>
      <c r="Q180" s="405">
        <f>+O180*P180</f>
        <v>1.7999999999999998</v>
      </c>
      <c r="R180" s="405"/>
      <c r="S180" s="405"/>
    </row>
    <row r="181" spans="2:22" hidden="1">
      <c r="B181" s="405">
        <f t="shared" si="27"/>
        <v>169</v>
      </c>
      <c r="C181" s="405">
        <v>95</v>
      </c>
      <c r="D181" s="405">
        <v>96</v>
      </c>
      <c r="E181" s="405">
        <v>63</v>
      </c>
      <c r="F181" s="519"/>
      <c r="G181" s="405">
        <v>39</v>
      </c>
      <c r="H181" s="405">
        <v>0.36</v>
      </c>
      <c r="I181" s="405">
        <v>1.06</v>
      </c>
      <c r="J181" s="405"/>
      <c r="K181" s="405"/>
      <c r="L181" s="405"/>
      <c r="M181" s="405"/>
      <c r="N181" s="405"/>
      <c r="O181" s="405"/>
      <c r="P181" s="405"/>
      <c r="Q181" s="405"/>
      <c r="R181" s="405"/>
      <c r="S181" s="405"/>
    </row>
    <row r="182" spans="2:22" hidden="1">
      <c r="B182" s="405">
        <f t="shared" si="27"/>
        <v>170</v>
      </c>
      <c r="C182" s="405">
        <v>92</v>
      </c>
      <c r="D182" s="405">
        <v>94</v>
      </c>
      <c r="E182" s="405">
        <v>110</v>
      </c>
      <c r="F182" s="405">
        <v>197</v>
      </c>
      <c r="G182" s="405">
        <v>201.7</v>
      </c>
      <c r="H182" s="405">
        <v>0.41</v>
      </c>
      <c r="I182" s="405">
        <v>1.1000000000000001</v>
      </c>
      <c r="J182" s="405"/>
      <c r="K182" s="405"/>
      <c r="L182" s="405"/>
      <c r="M182" s="405"/>
      <c r="N182" s="405"/>
      <c r="O182" s="405"/>
      <c r="P182" s="405"/>
      <c r="Q182" s="405"/>
      <c r="R182" s="405"/>
      <c r="S182" s="405"/>
    </row>
    <row r="183" spans="2:22" hidden="1">
      <c r="B183" s="405">
        <f t="shared" si="27"/>
        <v>171</v>
      </c>
      <c r="C183" s="405">
        <v>92</v>
      </c>
      <c r="D183" s="405">
        <v>101</v>
      </c>
      <c r="E183" s="405">
        <v>110</v>
      </c>
      <c r="F183" s="405">
        <v>138</v>
      </c>
      <c r="G183" s="405">
        <v>142.19999999999999</v>
      </c>
      <c r="H183" s="405">
        <v>0.41</v>
      </c>
      <c r="I183" s="405">
        <v>1.1000000000000001</v>
      </c>
      <c r="J183" s="405"/>
      <c r="K183" s="405" t="s">
        <v>45</v>
      </c>
      <c r="L183" s="405">
        <f>+G183</f>
        <v>142.19999999999999</v>
      </c>
      <c r="M183" s="405">
        <f>+H183</f>
        <v>0.41</v>
      </c>
      <c r="N183" s="405">
        <f>+L183*M183</f>
        <v>58.301999999999992</v>
      </c>
      <c r="O183" s="405">
        <f>+L183</f>
        <v>142.19999999999999</v>
      </c>
      <c r="P183" s="405">
        <f>+M183</f>
        <v>0.41</v>
      </c>
      <c r="Q183" s="405">
        <f>+O183*P183</f>
        <v>58.301999999999992</v>
      </c>
      <c r="R183" s="405"/>
      <c r="S183" s="405"/>
    </row>
    <row r="184" spans="2:22" hidden="1">
      <c r="B184" s="405">
        <f t="shared" si="27"/>
        <v>172</v>
      </c>
      <c r="C184" s="405">
        <v>101</v>
      </c>
      <c r="D184" s="405">
        <v>104</v>
      </c>
      <c r="E184" s="405">
        <v>110</v>
      </c>
      <c r="F184" s="405">
        <v>68</v>
      </c>
      <c r="G184" s="405">
        <v>70.2</v>
      </c>
      <c r="H184" s="405">
        <v>0.41</v>
      </c>
      <c r="I184" s="405">
        <v>1.1000000000000001</v>
      </c>
      <c r="J184" s="405"/>
      <c r="K184" s="405"/>
      <c r="L184" s="405"/>
      <c r="M184" s="405"/>
      <c r="N184" s="405"/>
      <c r="O184" s="405"/>
      <c r="P184" s="405"/>
      <c r="Q184" s="405"/>
      <c r="R184" s="405"/>
      <c r="S184" s="405"/>
    </row>
    <row r="185" spans="2:22" hidden="1">
      <c r="B185" s="405">
        <f t="shared" si="27"/>
        <v>173</v>
      </c>
      <c r="C185" s="405">
        <v>104</v>
      </c>
      <c r="D185" s="405">
        <v>106</v>
      </c>
      <c r="E185" s="405">
        <v>110</v>
      </c>
      <c r="F185" s="405">
        <v>116</v>
      </c>
      <c r="G185" s="405">
        <v>119.6</v>
      </c>
      <c r="H185" s="405">
        <v>0.41</v>
      </c>
      <c r="I185" s="405">
        <v>1.1000000000000001</v>
      </c>
      <c r="J185" s="405"/>
      <c r="K185" s="405" t="s">
        <v>45</v>
      </c>
      <c r="L185" s="405">
        <f>+G185</f>
        <v>119.6</v>
      </c>
      <c r="M185" s="405">
        <f>+H185</f>
        <v>0.41</v>
      </c>
      <c r="N185" s="405">
        <f>+L185*M185</f>
        <v>49.035999999999994</v>
      </c>
      <c r="O185" s="405">
        <f>+L185</f>
        <v>119.6</v>
      </c>
      <c r="P185" s="405">
        <f>+M185</f>
        <v>0.41</v>
      </c>
      <c r="Q185" s="405">
        <f>+O185*P185</f>
        <v>49.035999999999994</v>
      </c>
      <c r="R185" s="405"/>
      <c r="S185" s="405"/>
    </row>
    <row r="186" spans="2:22" hidden="1">
      <c r="B186" s="405">
        <f t="shared" si="27"/>
        <v>174</v>
      </c>
      <c r="C186" s="405">
        <v>106</v>
      </c>
      <c r="D186" s="405">
        <v>107</v>
      </c>
      <c r="E186" s="405">
        <v>110</v>
      </c>
      <c r="F186" s="405">
        <v>12</v>
      </c>
      <c r="G186" s="405">
        <v>15.6</v>
      </c>
      <c r="H186" s="405">
        <v>0.41</v>
      </c>
      <c r="I186" s="405">
        <v>1.1000000000000001</v>
      </c>
      <c r="J186" s="405"/>
      <c r="K186" s="405"/>
      <c r="L186" s="405"/>
      <c r="M186" s="405"/>
      <c r="N186" s="405"/>
      <c r="O186" s="405"/>
      <c r="P186" s="405"/>
      <c r="Q186" s="405"/>
      <c r="R186" s="405"/>
      <c r="S186" s="405"/>
    </row>
    <row r="187" spans="2:22" hidden="1">
      <c r="B187" s="405">
        <f t="shared" si="27"/>
        <v>175</v>
      </c>
      <c r="C187" s="405">
        <v>107</v>
      </c>
      <c r="D187" s="405">
        <v>109</v>
      </c>
      <c r="E187" s="405">
        <v>63</v>
      </c>
      <c r="F187" s="405">
        <v>75</v>
      </c>
      <c r="G187" s="405">
        <v>20.7</v>
      </c>
      <c r="H187" s="405">
        <v>0.36</v>
      </c>
      <c r="I187" s="405">
        <v>1.06</v>
      </c>
      <c r="J187" s="405"/>
      <c r="K187" s="405"/>
      <c r="L187" s="405"/>
      <c r="M187" s="405"/>
      <c r="N187" s="405"/>
      <c r="O187" s="405"/>
      <c r="P187" s="405"/>
      <c r="Q187" s="405"/>
      <c r="R187" s="405"/>
      <c r="S187" s="405"/>
    </row>
    <row r="188" spans="2:22" hidden="1">
      <c r="B188" s="405">
        <f t="shared" si="27"/>
        <v>176</v>
      </c>
      <c r="C188" s="405">
        <v>107</v>
      </c>
      <c r="D188" s="405">
        <v>112</v>
      </c>
      <c r="E188" s="405">
        <v>63</v>
      </c>
      <c r="F188" s="405">
        <v>89</v>
      </c>
      <c r="G188" s="405">
        <v>88.9</v>
      </c>
      <c r="H188" s="405">
        <v>0.36</v>
      </c>
      <c r="I188" s="405">
        <v>1.06</v>
      </c>
      <c r="J188" s="405"/>
      <c r="K188" s="405"/>
      <c r="L188" s="405"/>
      <c r="M188" s="405"/>
      <c r="N188" s="405"/>
      <c r="O188" s="405"/>
      <c r="P188" s="405"/>
      <c r="Q188" s="405"/>
      <c r="R188" s="405"/>
      <c r="S188" s="405"/>
    </row>
    <row r="189" spans="2:22" hidden="1">
      <c r="B189" s="405">
        <f t="shared" si="27"/>
        <v>177</v>
      </c>
      <c r="C189" s="405">
        <v>116</v>
      </c>
      <c r="D189" s="405">
        <v>119</v>
      </c>
      <c r="E189" s="405">
        <v>63</v>
      </c>
      <c r="F189" s="518">
        <v>35</v>
      </c>
      <c r="G189" s="405">
        <v>3</v>
      </c>
      <c r="H189" s="405">
        <v>0.36</v>
      </c>
      <c r="I189" s="405">
        <v>1.06</v>
      </c>
      <c r="J189" s="405"/>
      <c r="K189" s="405" t="s">
        <v>45</v>
      </c>
      <c r="L189" s="405">
        <f>+G189</f>
        <v>3</v>
      </c>
      <c r="M189" s="405">
        <f>+H189</f>
        <v>0.36</v>
      </c>
      <c r="N189" s="405">
        <f>+L189*M189</f>
        <v>1.08</v>
      </c>
      <c r="O189" s="405">
        <f>+L189</f>
        <v>3</v>
      </c>
      <c r="P189" s="405">
        <f>+M189</f>
        <v>0.36</v>
      </c>
      <c r="Q189" s="405">
        <f>+O189*P189</f>
        <v>1.08</v>
      </c>
      <c r="R189" s="405"/>
      <c r="S189" s="405"/>
    </row>
    <row r="190" spans="2:22" hidden="1">
      <c r="B190" s="405">
        <f t="shared" si="27"/>
        <v>178</v>
      </c>
      <c r="C190" s="405">
        <v>116</v>
      </c>
      <c r="D190" s="405">
        <v>119</v>
      </c>
      <c r="E190" s="405">
        <v>63</v>
      </c>
      <c r="F190" s="519"/>
      <c r="G190" s="405">
        <v>69</v>
      </c>
      <c r="H190" s="405">
        <v>0.36</v>
      </c>
      <c r="I190" s="405">
        <v>1.06</v>
      </c>
      <c r="J190" s="405"/>
      <c r="K190" s="405"/>
      <c r="L190" s="405"/>
      <c r="M190" s="405"/>
      <c r="N190" s="405"/>
      <c r="O190" s="405"/>
      <c r="P190" s="405"/>
      <c r="Q190" s="405"/>
      <c r="R190" s="405"/>
      <c r="S190" s="405"/>
    </row>
    <row r="191" spans="2:22" hidden="1">
      <c r="B191" s="405">
        <f t="shared" si="27"/>
        <v>179</v>
      </c>
      <c r="C191" s="405">
        <v>116</v>
      </c>
      <c r="D191" s="405">
        <v>113</v>
      </c>
      <c r="E191" s="405">
        <v>63</v>
      </c>
      <c r="F191" s="405">
        <v>95</v>
      </c>
      <c r="G191" s="405">
        <v>89</v>
      </c>
      <c r="H191" s="405">
        <v>0.36</v>
      </c>
      <c r="I191" s="405">
        <v>1.06</v>
      </c>
      <c r="J191" s="405"/>
      <c r="K191" s="405"/>
      <c r="L191" s="405"/>
      <c r="M191" s="405"/>
      <c r="N191" s="405"/>
      <c r="O191" s="405"/>
      <c r="P191" s="405"/>
      <c r="Q191" s="405"/>
      <c r="R191" s="405"/>
      <c r="S191" s="405"/>
    </row>
    <row r="192" spans="2:22" hidden="1">
      <c r="B192" s="405">
        <f t="shared" si="27"/>
        <v>180</v>
      </c>
      <c r="C192" s="405">
        <v>116</v>
      </c>
      <c r="D192" s="405">
        <v>108</v>
      </c>
      <c r="E192" s="405">
        <v>63</v>
      </c>
      <c r="F192" s="405">
        <v>39</v>
      </c>
      <c r="G192" s="405">
        <v>41.6</v>
      </c>
      <c r="H192" s="405">
        <v>0.36</v>
      </c>
      <c r="I192" s="405">
        <v>1.06</v>
      </c>
      <c r="J192" s="405"/>
      <c r="K192" s="405"/>
      <c r="L192" s="405"/>
      <c r="M192" s="405"/>
      <c r="N192" s="405"/>
      <c r="O192" s="405"/>
      <c r="P192" s="405"/>
      <c r="Q192" s="405"/>
      <c r="R192" s="405"/>
      <c r="S192" s="405"/>
    </row>
    <row r="193" spans="2:19" hidden="1">
      <c r="B193" s="405">
        <f t="shared" si="27"/>
        <v>181</v>
      </c>
      <c r="C193" s="405">
        <v>108</v>
      </c>
      <c r="D193" s="405">
        <v>109</v>
      </c>
      <c r="E193" s="405">
        <v>75</v>
      </c>
      <c r="F193" s="405">
        <v>45</v>
      </c>
      <c r="G193" s="405">
        <v>48</v>
      </c>
      <c r="H193" s="405">
        <v>0.375</v>
      </c>
      <c r="I193" s="405">
        <v>1.07</v>
      </c>
      <c r="J193" s="405"/>
      <c r="K193" s="405" t="s">
        <v>45</v>
      </c>
      <c r="L193" s="405">
        <f>+G193</f>
        <v>48</v>
      </c>
      <c r="M193" s="405">
        <f>+H193</f>
        <v>0.375</v>
      </c>
      <c r="N193" s="405">
        <f>+L193*M193</f>
        <v>18</v>
      </c>
      <c r="O193" s="405">
        <f>+L193</f>
        <v>48</v>
      </c>
      <c r="P193" s="405">
        <f>+M193</f>
        <v>0.375</v>
      </c>
      <c r="Q193" s="405">
        <f>+O193*P193</f>
        <v>18</v>
      </c>
      <c r="R193" s="405"/>
      <c r="S193" s="405"/>
    </row>
    <row r="194" spans="2:19" hidden="1">
      <c r="B194" s="405">
        <f t="shared" si="27"/>
        <v>182</v>
      </c>
      <c r="C194" s="405">
        <v>109</v>
      </c>
      <c r="D194" s="405">
        <v>115</v>
      </c>
      <c r="E194" s="405">
        <v>63</v>
      </c>
      <c r="F194" s="405">
        <v>41</v>
      </c>
      <c r="G194" s="405">
        <v>20.8</v>
      </c>
      <c r="H194" s="405">
        <v>0.36</v>
      </c>
      <c r="I194" s="405">
        <v>1.06</v>
      </c>
      <c r="J194" s="405"/>
      <c r="K194" s="405"/>
      <c r="L194" s="405"/>
      <c r="M194" s="405"/>
      <c r="N194" s="405"/>
      <c r="O194" s="405"/>
      <c r="P194" s="405"/>
      <c r="Q194" s="405"/>
      <c r="R194" s="405"/>
      <c r="S194" s="405"/>
    </row>
    <row r="195" spans="2:19" hidden="1">
      <c r="B195" s="405">
        <f t="shared" si="27"/>
        <v>183</v>
      </c>
      <c r="C195" s="405">
        <v>109</v>
      </c>
      <c r="D195" s="405">
        <v>106</v>
      </c>
      <c r="E195" s="405">
        <v>75</v>
      </c>
      <c r="F195" s="405">
        <v>75</v>
      </c>
      <c r="G195" s="405">
        <v>39.6</v>
      </c>
      <c r="H195" s="405">
        <v>0.375</v>
      </c>
      <c r="I195" s="405">
        <v>1.07</v>
      </c>
      <c r="J195" s="405"/>
      <c r="K195" s="405"/>
      <c r="L195" s="405"/>
      <c r="M195" s="405"/>
      <c r="N195" s="405"/>
      <c r="O195" s="405"/>
      <c r="P195" s="405"/>
      <c r="Q195" s="405"/>
      <c r="R195" s="405"/>
      <c r="S195" s="405"/>
    </row>
    <row r="196" spans="2:19" hidden="1">
      <c r="B196" s="405">
        <f t="shared" si="27"/>
        <v>184</v>
      </c>
      <c r="C196" s="405">
        <v>108</v>
      </c>
      <c r="D196" s="405">
        <v>103</v>
      </c>
      <c r="E196" s="405">
        <v>75</v>
      </c>
      <c r="F196" s="518">
        <v>112</v>
      </c>
      <c r="G196" s="405">
        <v>111</v>
      </c>
      <c r="H196" s="405">
        <v>0.375</v>
      </c>
      <c r="I196" s="405">
        <v>1.07</v>
      </c>
      <c r="J196" s="405"/>
      <c r="K196" s="405"/>
      <c r="L196" s="405"/>
      <c r="M196" s="405"/>
      <c r="N196" s="405"/>
      <c r="O196" s="405"/>
      <c r="P196" s="405"/>
      <c r="Q196" s="405"/>
      <c r="R196" s="405"/>
      <c r="S196" s="405"/>
    </row>
    <row r="197" spans="2:19" hidden="1">
      <c r="B197" s="405">
        <f t="shared" si="27"/>
        <v>185</v>
      </c>
      <c r="C197" s="405">
        <v>108</v>
      </c>
      <c r="D197" s="405">
        <v>103</v>
      </c>
      <c r="E197" s="405">
        <v>75</v>
      </c>
      <c r="F197" s="519"/>
      <c r="G197" s="405">
        <v>6</v>
      </c>
      <c r="H197" s="405">
        <v>0.375</v>
      </c>
      <c r="I197" s="405">
        <v>1.07</v>
      </c>
      <c r="J197" s="405"/>
      <c r="K197" s="405" t="s">
        <v>38</v>
      </c>
      <c r="L197" s="405"/>
      <c r="M197" s="405"/>
      <c r="N197" s="405"/>
      <c r="O197" s="405"/>
      <c r="P197" s="405"/>
      <c r="Q197" s="405"/>
      <c r="R197" s="405"/>
      <c r="S197" s="405"/>
    </row>
    <row r="198" spans="2:19" hidden="1">
      <c r="B198" s="405">
        <f t="shared" si="27"/>
        <v>186</v>
      </c>
      <c r="C198" s="405">
        <v>105</v>
      </c>
      <c r="D198" s="405">
        <v>104</v>
      </c>
      <c r="E198" s="405">
        <v>75</v>
      </c>
      <c r="F198" s="405">
        <v>197</v>
      </c>
      <c r="G198" s="405">
        <v>203.2</v>
      </c>
      <c r="H198" s="405">
        <v>0.375</v>
      </c>
      <c r="I198" s="405">
        <v>1.07</v>
      </c>
      <c r="J198" s="405"/>
      <c r="K198" s="405"/>
      <c r="L198" s="405"/>
      <c r="M198" s="405"/>
      <c r="N198" s="405"/>
      <c r="O198" s="405"/>
      <c r="P198" s="405"/>
      <c r="Q198" s="405"/>
      <c r="R198" s="405"/>
      <c r="S198" s="405"/>
    </row>
    <row r="199" spans="2:19" hidden="1">
      <c r="B199" s="405">
        <f t="shared" si="27"/>
        <v>187</v>
      </c>
      <c r="C199" s="405">
        <v>163</v>
      </c>
      <c r="D199" s="405">
        <v>161</v>
      </c>
      <c r="E199" s="405">
        <v>75</v>
      </c>
      <c r="F199" s="405">
        <v>92</v>
      </c>
      <c r="G199" s="405">
        <v>89.6</v>
      </c>
      <c r="H199" s="405">
        <v>0.375</v>
      </c>
      <c r="I199" s="405">
        <v>1.07</v>
      </c>
      <c r="J199" s="405"/>
      <c r="K199" s="405"/>
      <c r="L199" s="405"/>
      <c r="M199" s="405"/>
      <c r="N199" s="405"/>
      <c r="O199" s="405"/>
      <c r="P199" s="405"/>
      <c r="Q199" s="405"/>
      <c r="R199" s="405"/>
      <c r="S199" s="405"/>
    </row>
    <row r="200" spans="2:19" hidden="1">
      <c r="B200" s="405">
        <f t="shared" si="27"/>
        <v>188</v>
      </c>
      <c r="C200" s="405">
        <v>161</v>
      </c>
      <c r="D200" s="405">
        <v>162</v>
      </c>
      <c r="E200" s="405">
        <v>63</v>
      </c>
      <c r="F200" s="405">
        <v>76</v>
      </c>
      <c r="G200" s="405">
        <v>112.3</v>
      </c>
      <c r="H200" s="405">
        <v>0.36</v>
      </c>
      <c r="I200" s="405">
        <v>1.06</v>
      </c>
      <c r="J200" s="405"/>
      <c r="K200" s="405"/>
      <c r="L200" s="405"/>
      <c r="M200" s="405"/>
      <c r="N200" s="405"/>
      <c r="O200" s="405"/>
      <c r="P200" s="405"/>
      <c r="Q200" s="405"/>
      <c r="R200" s="405"/>
      <c r="S200" s="405"/>
    </row>
    <row r="201" spans="2:19">
      <c r="B201" s="405">
        <f t="shared" si="27"/>
        <v>189</v>
      </c>
      <c r="C201" s="405">
        <v>173</v>
      </c>
      <c r="D201" s="405">
        <v>174</v>
      </c>
      <c r="E201" s="405">
        <v>63</v>
      </c>
      <c r="F201" s="405">
        <v>83</v>
      </c>
      <c r="G201" s="405">
        <v>107.5</v>
      </c>
      <c r="H201" s="405">
        <v>0.36</v>
      </c>
      <c r="I201" s="405">
        <v>1.06</v>
      </c>
      <c r="J201" s="405"/>
      <c r="K201" s="405" t="s">
        <v>149</v>
      </c>
      <c r="L201" s="405">
        <f t="shared" ref="L201:L202" si="35">+G201</f>
        <v>107.5</v>
      </c>
      <c r="M201" s="405">
        <v>0.46</v>
      </c>
      <c r="N201" s="405">
        <f t="shared" ref="N201:N202" si="36">+L201*M201</f>
        <v>49.45</v>
      </c>
      <c r="O201" s="405">
        <f t="shared" ref="O201:O202" si="37">+L201</f>
        <v>107.5</v>
      </c>
      <c r="P201" s="405">
        <f t="shared" ref="P201:P202" si="38">+M201</f>
        <v>0.46</v>
      </c>
      <c r="Q201" s="405">
        <f t="shared" ref="Q201:Q202" si="39">+O201*P201</f>
        <v>49.45</v>
      </c>
      <c r="R201" s="405"/>
      <c r="S201" s="405"/>
    </row>
    <row r="202" spans="2:19">
      <c r="B202" s="405">
        <f t="shared" si="27"/>
        <v>190</v>
      </c>
      <c r="C202" s="405">
        <v>59</v>
      </c>
      <c r="D202" s="405">
        <v>61</v>
      </c>
      <c r="E202" s="405">
        <v>140</v>
      </c>
      <c r="F202" s="405">
        <v>40</v>
      </c>
      <c r="G202" s="405">
        <v>75.099999999999994</v>
      </c>
      <c r="H202" s="405">
        <v>0.44</v>
      </c>
      <c r="I202" s="405">
        <v>1.1399999999999999</v>
      </c>
      <c r="J202" s="405"/>
      <c r="K202" s="405" t="s">
        <v>149</v>
      </c>
      <c r="L202" s="405">
        <f t="shared" si="35"/>
        <v>75.099999999999994</v>
      </c>
      <c r="M202" s="405">
        <v>0.46</v>
      </c>
      <c r="N202" s="405">
        <f t="shared" si="36"/>
        <v>34.545999999999999</v>
      </c>
      <c r="O202" s="405">
        <f t="shared" si="37"/>
        <v>75.099999999999994</v>
      </c>
      <c r="P202" s="405">
        <f t="shared" si="38"/>
        <v>0.46</v>
      </c>
      <c r="Q202" s="405">
        <f t="shared" si="39"/>
        <v>34.545999999999999</v>
      </c>
      <c r="R202" s="405"/>
      <c r="S202" s="405"/>
    </row>
    <row r="203" spans="2:19" hidden="1">
      <c r="B203" s="405">
        <f t="shared" si="27"/>
        <v>191</v>
      </c>
      <c r="C203" s="405">
        <v>85</v>
      </c>
      <c r="D203" s="405">
        <v>86</v>
      </c>
      <c r="E203" s="405">
        <v>63</v>
      </c>
      <c r="F203" s="405">
        <v>44</v>
      </c>
      <c r="G203" s="405">
        <v>41.1</v>
      </c>
      <c r="H203" s="405">
        <v>0.36</v>
      </c>
      <c r="I203" s="405">
        <v>1.06</v>
      </c>
      <c r="J203" s="405"/>
      <c r="K203" s="405"/>
      <c r="L203" s="405"/>
      <c r="M203" s="405"/>
      <c r="N203" s="405"/>
      <c r="O203" s="405"/>
      <c r="P203" s="405"/>
      <c r="Q203" s="405"/>
      <c r="R203" s="405"/>
      <c r="S203" s="405"/>
    </row>
    <row r="204" spans="2:19" hidden="1">
      <c r="B204" s="405"/>
      <c r="C204" s="405"/>
      <c r="D204" s="405"/>
      <c r="E204" s="405"/>
      <c r="F204" s="405"/>
      <c r="G204" s="405">
        <f>SUM(G13:G203)</f>
        <v>19832.699999999993</v>
      </c>
      <c r="H204" s="405"/>
      <c r="I204" s="405"/>
      <c r="J204" s="405"/>
      <c r="K204" s="405"/>
      <c r="L204" s="405"/>
      <c r="M204" s="405"/>
      <c r="N204" s="405">
        <f>SUM(N13:N203)</f>
        <v>2534.5715</v>
      </c>
      <c r="O204" s="405"/>
      <c r="P204" s="405"/>
      <c r="Q204" s="405">
        <f>SUM(Q13:Q203)</f>
        <v>2534.5715</v>
      </c>
      <c r="R204" s="405"/>
      <c r="S204" s="405"/>
    </row>
    <row r="205" spans="2:19" ht="110.25" hidden="1" customHeight="1">
      <c r="B205" s="515" t="s">
        <v>175</v>
      </c>
      <c r="C205" s="513"/>
      <c r="D205" s="513"/>
      <c r="E205" s="513"/>
      <c r="F205" s="513"/>
      <c r="G205" s="513"/>
      <c r="H205" s="516"/>
      <c r="I205" s="517" t="s">
        <v>176</v>
      </c>
      <c r="J205" s="517"/>
      <c r="K205" s="517"/>
      <c r="L205" s="517"/>
      <c r="M205" s="517"/>
      <c r="N205" s="515" t="s">
        <v>177</v>
      </c>
      <c r="O205" s="513"/>
      <c r="P205" s="513"/>
      <c r="Q205" s="513"/>
      <c r="R205" s="513"/>
      <c r="S205" s="516"/>
    </row>
    <row r="208" spans="2:19">
      <c r="D208">
        <v>63</v>
      </c>
      <c r="E208">
        <v>75</v>
      </c>
      <c r="F208">
        <v>90</v>
      </c>
      <c r="G208">
        <v>110</v>
      </c>
      <c r="H208">
        <v>140</v>
      </c>
      <c r="I208">
        <v>160</v>
      </c>
      <c r="J208">
        <v>200</v>
      </c>
      <c r="K208">
        <v>250</v>
      </c>
    </row>
    <row r="209" spans="4:12">
      <c r="D209">
        <f>+SUMIF($E$13:$E$203,D208,$G$13:$G$203)</f>
        <v>5572.7000000000007</v>
      </c>
      <c r="E209">
        <f t="shared" ref="E209:K209" si="40">+SUMIF($E$13:$E$203,E208,$G$13:$G$203)</f>
        <v>2871.2999999999993</v>
      </c>
      <c r="F209">
        <f t="shared" si="40"/>
        <v>2097.7999999999997</v>
      </c>
      <c r="G209">
        <f t="shared" si="40"/>
        <v>987</v>
      </c>
      <c r="H209">
        <f t="shared" si="40"/>
        <v>3400.9999999999995</v>
      </c>
      <c r="I209">
        <f t="shared" si="40"/>
        <v>3255.0999999999995</v>
      </c>
      <c r="J209">
        <f t="shared" si="40"/>
        <v>1647.8</v>
      </c>
      <c r="K209">
        <f t="shared" si="40"/>
        <v>0</v>
      </c>
      <c r="L209">
        <f>+SUM(D209:J209)</f>
        <v>19832.699999999997</v>
      </c>
    </row>
  </sheetData>
  <autoFilter ref="B12:U205">
    <filterColumn colId="9">
      <filters>
        <filter val="interlocking"/>
        <filter val="interlockng"/>
      </filters>
    </filterColumn>
  </autoFilter>
  <mergeCells count="50">
    <mergeCell ref="F150:F151"/>
    <mergeCell ref="F167:F168"/>
    <mergeCell ref="F180:F181"/>
    <mergeCell ref="F189:F190"/>
    <mergeCell ref="F196:F197"/>
    <mergeCell ref="F113:F114"/>
    <mergeCell ref="F122:F123"/>
    <mergeCell ref="F129:F134"/>
    <mergeCell ref="F145:F146"/>
    <mergeCell ref="F147:F148"/>
    <mergeCell ref="F90:F92"/>
    <mergeCell ref="F99:F100"/>
    <mergeCell ref="F101:F102"/>
    <mergeCell ref="F111:F112"/>
    <mergeCell ref="F65:F66"/>
    <mergeCell ref="F70:F74"/>
    <mergeCell ref="F77:F78"/>
    <mergeCell ref="F81:F82"/>
    <mergeCell ref="F48:F49"/>
    <mergeCell ref="F50:F51"/>
    <mergeCell ref="F52:F54"/>
    <mergeCell ref="F55:F56"/>
    <mergeCell ref="F57:F58"/>
    <mergeCell ref="B7:C7"/>
    <mergeCell ref="D7:G7"/>
    <mergeCell ref="I205:M205"/>
    <mergeCell ref="B205:H205"/>
    <mergeCell ref="N205:S205"/>
    <mergeCell ref="F14:F15"/>
    <mergeCell ref="F16:F17"/>
    <mergeCell ref="F24:F26"/>
    <mergeCell ref="F27:F29"/>
    <mergeCell ref="F30:F32"/>
    <mergeCell ref="F34:F37"/>
    <mergeCell ref="F38:F39"/>
    <mergeCell ref="F41:F42"/>
    <mergeCell ref="F45:F46"/>
    <mergeCell ref="B11:C11"/>
    <mergeCell ref="D11:G11"/>
    <mergeCell ref="B2:S2"/>
    <mergeCell ref="B3:S3"/>
    <mergeCell ref="B4:S4"/>
    <mergeCell ref="B5:S5"/>
    <mergeCell ref="B6:P6"/>
    <mergeCell ref="B8:C8"/>
    <mergeCell ref="D8:G8"/>
    <mergeCell ref="B9:C9"/>
    <mergeCell ref="D9:G9"/>
    <mergeCell ref="B10:C10"/>
    <mergeCell ref="D10:G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topLeftCell="A7" workbookViewId="0">
      <selection activeCell="F12" sqref="F12:F14"/>
    </sheetView>
  </sheetViews>
  <sheetFormatPr defaultRowHeight="15"/>
  <sheetData>
    <row r="1" spans="1:20" ht="21">
      <c r="A1" s="510" t="s">
        <v>0</v>
      </c>
      <c r="B1" s="510"/>
      <c r="C1" s="510"/>
      <c r="D1" s="510"/>
      <c r="E1" s="510"/>
      <c r="F1" s="510"/>
      <c r="G1" s="510"/>
      <c r="H1" s="510"/>
      <c r="I1" s="510"/>
      <c r="J1" s="510"/>
      <c r="K1" s="510"/>
      <c r="L1" s="510"/>
      <c r="M1" s="510"/>
      <c r="N1" s="510"/>
      <c r="O1" s="510"/>
      <c r="P1" s="510"/>
      <c r="Q1" s="510"/>
      <c r="R1" s="510"/>
    </row>
    <row r="2" spans="1:20" ht="21">
      <c r="A2" s="510" t="s">
        <v>1</v>
      </c>
      <c r="B2" s="510"/>
      <c r="C2" s="510"/>
      <c r="D2" s="510"/>
      <c r="E2" s="510"/>
      <c r="F2" s="510"/>
      <c r="G2" s="510"/>
      <c r="H2" s="510"/>
      <c r="I2" s="510"/>
      <c r="J2" s="510"/>
      <c r="K2" s="510"/>
      <c r="L2" s="510"/>
      <c r="M2" s="510"/>
      <c r="N2" s="510"/>
      <c r="O2" s="510"/>
      <c r="P2" s="510"/>
      <c r="Q2" s="510"/>
      <c r="R2" s="510"/>
    </row>
    <row r="3" spans="1:20" ht="21">
      <c r="A3" s="510" t="s">
        <v>2</v>
      </c>
      <c r="B3" s="510"/>
      <c r="C3" s="510"/>
      <c r="D3" s="510"/>
      <c r="E3" s="510"/>
      <c r="F3" s="510"/>
      <c r="G3" s="510"/>
      <c r="H3" s="510"/>
      <c r="I3" s="510"/>
      <c r="J3" s="510"/>
      <c r="K3" s="510"/>
      <c r="L3" s="510"/>
      <c r="M3" s="510"/>
      <c r="N3" s="510"/>
      <c r="O3" s="510"/>
      <c r="P3" s="510"/>
      <c r="Q3" s="510"/>
      <c r="R3" s="510"/>
    </row>
    <row r="4" spans="1:20" ht="18.75">
      <c r="A4" s="511" t="s">
        <v>3</v>
      </c>
      <c r="B4" s="511"/>
      <c r="C4" s="511"/>
      <c r="D4" s="511"/>
      <c r="E4" s="511"/>
      <c r="F4" s="511"/>
      <c r="G4" s="511"/>
      <c r="H4" s="511"/>
      <c r="I4" s="511"/>
      <c r="J4" s="511"/>
      <c r="K4" s="511"/>
      <c r="L4" s="511"/>
      <c r="M4" s="511"/>
      <c r="N4" s="511"/>
      <c r="O4" s="511"/>
      <c r="P4" s="511"/>
      <c r="Q4" s="511"/>
      <c r="R4" s="511"/>
    </row>
    <row r="5" spans="1:20" ht="21">
      <c r="A5" s="496" t="s">
        <v>4</v>
      </c>
      <c r="B5" s="496"/>
      <c r="C5" s="496"/>
      <c r="D5" s="496"/>
      <c r="E5" s="496"/>
      <c r="F5" s="496"/>
      <c r="G5" s="496"/>
      <c r="H5" s="496"/>
      <c r="I5" s="496"/>
      <c r="J5" s="496"/>
      <c r="K5" s="496"/>
      <c r="L5" s="496"/>
      <c r="M5" s="496"/>
      <c r="N5" s="496"/>
      <c r="O5" s="496"/>
      <c r="P5" s="447"/>
      <c r="Q5" s="447"/>
      <c r="R5" s="447"/>
    </row>
    <row r="6" spans="1:20" ht="21">
      <c r="A6" s="514" t="s">
        <v>5</v>
      </c>
      <c r="B6" s="514"/>
      <c r="C6" s="512" t="s">
        <v>1813</v>
      </c>
      <c r="D6" s="512"/>
      <c r="E6" s="512"/>
      <c r="F6" s="512"/>
      <c r="G6" s="349"/>
      <c r="H6" s="349"/>
      <c r="I6" s="349"/>
      <c r="J6" s="349"/>
      <c r="K6" s="349"/>
      <c r="L6" s="349"/>
      <c r="M6" s="349"/>
      <c r="N6" s="349"/>
      <c r="O6" s="349"/>
      <c r="P6" s="349"/>
      <c r="Q6" s="349"/>
      <c r="R6" s="349"/>
    </row>
    <row r="7" spans="1:20" ht="21">
      <c r="A7" s="514" t="s">
        <v>6</v>
      </c>
      <c r="B7" s="514"/>
      <c r="C7" s="512" t="s">
        <v>1784</v>
      </c>
      <c r="D7" s="512"/>
      <c r="E7" s="512"/>
      <c r="F7" s="512"/>
      <c r="G7" s="349"/>
      <c r="H7" s="349"/>
      <c r="I7" s="349"/>
      <c r="J7" s="349"/>
      <c r="K7" s="349"/>
      <c r="L7" s="349"/>
      <c r="M7" s="349"/>
      <c r="N7" s="349"/>
      <c r="O7" s="349"/>
      <c r="P7" s="349"/>
      <c r="Q7" s="349"/>
      <c r="R7" s="349"/>
    </row>
    <row r="8" spans="1:20" ht="21">
      <c r="A8" s="514" t="s">
        <v>7</v>
      </c>
      <c r="B8" s="514"/>
      <c r="C8" s="512" t="s">
        <v>8</v>
      </c>
      <c r="D8" s="512"/>
      <c r="E8" s="512"/>
      <c r="F8" s="512"/>
      <c r="G8" s="349"/>
      <c r="H8" s="349"/>
      <c r="I8" s="349"/>
      <c r="J8" s="349"/>
      <c r="K8" s="349"/>
      <c r="L8" s="349"/>
      <c r="M8" s="349"/>
      <c r="N8" s="349"/>
      <c r="O8" s="349"/>
      <c r="P8" s="349"/>
      <c r="Q8" s="349"/>
      <c r="R8" s="349"/>
    </row>
    <row r="9" spans="1:20" ht="21">
      <c r="A9" s="514" t="s">
        <v>9</v>
      </c>
      <c r="B9" s="514"/>
      <c r="C9" s="512" t="s">
        <v>1928</v>
      </c>
      <c r="D9" s="512"/>
      <c r="E9" s="512"/>
      <c r="F9" s="512"/>
      <c r="G9" s="349"/>
      <c r="H9" s="349"/>
      <c r="I9" s="349"/>
      <c r="J9" s="349"/>
      <c r="K9" s="349"/>
      <c r="L9" s="349"/>
      <c r="M9" s="349"/>
      <c r="N9" s="349"/>
      <c r="O9" s="349"/>
      <c r="P9" s="349"/>
      <c r="Q9" s="349"/>
      <c r="R9" s="349"/>
    </row>
    <row r="10" spans="1:20" ht="21">
      <c r="A10" s="514" t="s">
        <v>10</v>
      </c>
      <c r="B10" s="514"/>
      <c r="C10" s="512" t="s">
        <v>8</v>
      </c>
      <c r="D10" s="512"/>
      <c r="E10" s="512"/>
      <c r="F10" s="512"/>
      <c r="G10" s="349"/>
      <c r="H10" s="349"/>
      <c r="I10" s="349"/>
      <c r="J10" s="349"/>
      <c r="K10" s="349"/>
      <c r="L10" s="349"/>
      <c r="M10" s="349"/>
      <c r="N10" s="349"/>
      <c r="O10" s="349"/>
      <c r="P10" s="349"/>
      <c r="Q10" s="349"/>
      <c r="R10" s="349"/>
    </row>
    <row r="11" spans="1:20" ht="78.75">
      <c r="A11" s="350" t="s">
        <v>11</v>
      </c>
      <c r="B11" s="350" t="s">
        <v>12</v>
      </c>
      <c r="C11" s="350" t="s">
        <v>13</v>
      </c>
      <c r="D11" s="350" t="s">
        <v>14</v>
      </c>
      <c r="E11" s="350" t="s">
        <v>15</v>
      </c>
      <c r="F11" s="350" t="s">
        <v>16</v>
      </c>
      <c r="G11" s="350" t="s">
        <v>17</v>
      </c>
      <c r="H11" s="350" t="s">
        <v>18</v>
      </c>
      <c r="I11" s="350" t="s">
        <v>19</v>
      </c>
      <c r="J11" s="350" t="s">
        <v>20</v>
      </c>
      <c r="K11" s="350" t="s">
        <v>21</v>
      </c>
      <c r="L11" s="350" t="s">
        <v>22</v>
      </c>
      <c r="M11" s="350" t="s">
        <v>23</v>
      </c>
      <c r="N11" s="350" t="s">
        <v>24</v>
      </c>
      <c r="O11" s="350" t="s">
        <v>25</v>
      </c>
      <c r="P11" s="350" t="s">
        <v>26</v>
      </c>
      <c r="Q11" s="350" t="s">
        <v>27</v>
      </c>
      <c r="R11" s="355" t="s">
        <v>28</v>
      </c>
    </row>
    <row r="12" spans="1:20">
      <c r="A12" s="449">
        <v>1</v>
      </c>
      <c r="B12" s="448" t="s">
        <v>143</v>
      </c>
      <c r="C12" s="448" t="s">
        <v>138</v>
      </c>
      <c r="D12" s="448">
        <v>250</v>
      </c>
      <c r="E12" s="448">
        <v>274</v>
      </c>
      <c r="F12" s="448">
        <v>274</v>
      </c>
      <c r="G12" s="450">
        <f>0.3+0.25</f>
        <v>0.55000000000000004</v>
      </c>
      <c r="H12" s="450">
        <v>1.25</v>
      </c>
      <c r="I12" s="450"/>
      <c r="J12" s="450"/>
      <c r="K12" s="450"/>
      <c r="L12" s="450"/>
      <c r="M12" s="450"/>
      <c r="N12" s="450"/>
      <c r="O12" s="450"/>
      <c r="P12" s="450"/>
      <c r="Q12" s="450"/>
      <c r="R12" s="450"/>
      <c r="T12">
        <v>55</v>
      </c>
    </row>
    <row r="13" spans="1:20">
      <c r="A13" s="449">
        <f>1+A12</f>
        <v>2</v>
      </c>
      <c r="B13" s="448" t="s">
        <v>138</v>
      </c>
      <c r="C13" s="448" t="s">
        <v>144</v>
      </c>
      <c r="D13" s="448">
        <v>250</v>
      </c>
      <c r="E13" s="448">
        <v>54</v>
      </c>
      <c r="F13" s="448">
        <v>54</v>
      </c>
      <c r="G13" s="450">
        <f t="shared" ref="G13:G14" si="0">0.3+0.25</f>
        <v>0.55000000000000004</v>
      </c>
      <c r="H13" s="450">
        <v>1.25</v>
      </c>
      <c r="I13" s="450"/>
      <c r="J13" s="450"/>
      <c r="K13" s="450"/>
      <c r="L13" s="450"/>
      <c r="M13" s="450"/>
      <c r="N13" s="450"/>
      <c r="O13" s="450"/>
      <c r="P13" s="450"/>
      <c r="Q13" s="450"/>
      <c r="R13" s="450"/>
      <c r="T13">
        <v>66</v>
      </c>
    </row>
    <row r="14" spans="1:20">
      <c r="A14" s="449">
        <v>3</v>
      </c>
      <c r="B14" s="448" t="s">
        <v>144</v>
      </c>
      <c r="C14" s="448" t="s">
        <v>122</v>
      </c>
      <c r="D14" s="448">
        <v>250</v>
      </c>
      <c r="E14" s="448">
        <v>159</v>
      </c>
      <c r="F14" s="448">
        <v>159</v>
      </c>
      <c r="G14" s="450">
        <f t="shared" si="0"/>
        <v>0.55000000000000004</v>
      </c>
      <c r="H14" s="450">
        <v>1.25</v>
      </c>
      <c r="I14" s="450"/>
      <c r="J14" s="450"/>
      <c r="K14" s="450"/>
      <c r="L14" s="450"/>
      <c r="M14" s="450"/>
      <c r="N14" s="450"/>
      <c r="O14" s="450"/>
      <c r="P14" s="450"/>
      <c r="Q14" s="450"/>
      <c r="R14" s="450"/>
      <c r="T14">
        <v>44</v>
      </c>
    </row>
    <row r="15" spans="1:20">
      <c r="A15" s="449">
        <v>4</v>
      </c>
      <c r="B15" s="448" t="s">
        <v>46</v>
      </c>
      <c r="C15" s="448" t="s">
        <v>1929</v>
      </c>
      <c r="D15" s="448">
        <v>63</v>
      </c>
      <c r="E15" s="448"/>
      <c r="F15" s="448">
        <v>200</v>
      </c>
      <c r="G15" s="450">
        <v>0.36299999999999999</v>
      </c>
      <c r="H15" s="450">
        <v>1.06</v>
      </c>
      <c r="I15" s="450"/>
      <c r="J15" s="450"/>
      <c r="K15" s="450"/>
      <c r="L15" s="450"/>
      <c r="M15" s="450"/>
      <c r="N15" s="450"/>
      <c r="O15" s="450"/>
      <c r="P15" s="450"/>
      <c r="Q15" s="450"/>
      <c r="R15" s="450"/>
      <c r="T15">
        <v>33</v>
      </c>
    </row>
    <row r="16" spans="1:20">
      <c r="A16" s="17">
        <v>5</v>
      </c>
      <c r="B16" s="448">
        <v>176</v>
      </c>
      <c r="C16" s="448">
        <v>177</v>
      </c>
      <c r="D16" s="163">
        <v>63</v>
      </c>
      <c r="E16" s="163">
        <v>82</v>
      </c>
      <c r="F16" s="163">
        <v>143.19999999999999</v>
      </c>
      <c r="G16" s="450">
        <v>0.36299999999999999</v>
      </c>
      <c r="H16" s="450">
        <v>1.06</v>
      </c>
      <c r="I16" s="450"/>
      <c r="J16" s="450"/>
      <c r="K16" s="450"/>
      <c r="L16" s="450"/>
      <c r="M16" s="450"/>
      <c r="N16" s="450"/>
      <c r="O16" s="450"/>
      <c r="P16" s="450"/>
      <c r="Q16" s="450"/>
      <c r="R16" s="450"/>
      <c r="T16">
        <v>55</v>
      </c>
    </row>
    <row r="17" spans="1:20" ht="68.25" customHeight="1">
      <c r="A17" s="515" t="s">
        <v>175</v>
      </c>
      <c r="B17" s="513"/>
      <c r="C17" s="513"/>
      <c r="D17" s="513"/>
      <c r="E17" s="513"/>
      <c r="F17" s="513"/>
      <c r="G17" s="516"/>
      <c r="H17" s="517" t="s">
        <v>176</v>
      </c>
      <c r="I17" s="517"/>
      <c r="J17" s="517"/>
      <c r="K17" s="517"/>
      <c r="L17" s="517"/>
      <c r="M17" s="515" t="s">
        <v>177</v>
      </c>
      <c r="N17" s="513"/>
      <c r="O17" s="513"/>
      <c r="P17" s="513"/>
      <c r="Q17" s="513"/>
      <c r="R17" s="516"/>
      <c r="T17">
        <v>60.5</v>
      </c>
    </row>
    <row r="18" spans="1:20">
      <c r="T18">
        <v>54</v>
      </c>
    </row>
    <row r="19" spans="1:20">
      <c r="T19">
        <v>33</v>
      </c>
    </row>
    <row r="20" spans="1:20">
      <c r="T20">
        <v>44</v>
      </c>
    </row>
    <row r="21" spans="1:20">
      <c r="T21">
        <f>SUM(T12:T20)</f>
        <v>444.5</v>
      </c>
    </row>
    <row r="26" spans="1:20">
      <c r="N26">
        <f>343.2+1730.9+3688.3</f>
        <v>5762.4</v>
      </c>
    </row>
  </sheetData>
  <mergeCells count="18">
    <mergeCell ref="A10:B10"/>
    <mergeCell ref="C10:F10"/>
    <mergeCell ref="A17:G17"/>
    <mergeCell ref="H17:L17"/>
    <mergeCell ref="M17:R17"/>
    <mergeCell ref="A7:B7"/>
    <mergeCell ref="C7:F7"/>
    <mergeCell ref="A8:B8"/>
    <mergeCell ref="C8:F8"/>
    <mergeCell ref="A9:B9"/>
    <mergeCell ref="C9:F9"/>
    <mergeCell ref="A6:B6"/>
    <mergeCell ref="C6:F6"/>
    <mergeCell ref="A1:R1"/>
    <mergeCell ref="A2:R2"/>
    <mergeCell ref="A3:R3"/>
    <mergeCell ref="A4:R4"/>
    <mergeCell ref="A5:O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1:Y224"/>
  <sheetViews>
    <sheetView zoomScale="70" zoomScaleNormal="70" workbookViewId="0">
      <selection activeCell="L29" sqref="L29:L218"/>
    </sheetView>
  </sheetViews>
  <sheetFormatPr defaultColWidth="9.140625" defaultRowHeight="15.75"/>
  <cols>
    <col min="1" max="1" width="9.140625" style="347"/>
    <col min="2" max="2" width="7.85546875" style="347" customWidth="1"/>
    <col min="3" max="3" width="13.42578125" style="347" customWidth="1"/>
    <col min="4" max="4" width="12.7109375" style="347" customWidth="1"/>
    <col min="5" max="5" width="11" style="347" customWidth="1"/>
    <col min="6" max="6" width="16.5703125" style="347" hidden="1" customWidth="1"/>
    <col min="7" max="7" width="12.7109375" style="347" customWidth="1"/>
    <col min="8" max="8" width="9.5703125" style="347" customWidth="1"/>
    <col min="9" max="10" width="10.7109375" style="347" customWidth="1"/>
    <col min="11" max="11" width="13" style="347" customWidth="1"/>
    <col min="12" max="12" width="13.5703125" style="347" customWidth="1"/>
    <col min="13" max="13" width="12.5703125" style="347" customWidth="1"/>
    <col min="14" max="14" width="13.7109375" style="347" customWidth="1"/>
    <col min="15" max="16" width="13.42578125" style="347" customWidth="1"/>
    <col min="17" max="17" width="14" style="347" customWidth="1"/>
    <col min="18" max="18" width="12.85546875" style="347" customWidth="1"/>
    <col min="19" max="19" width="17.28515625" style="347" customWidth="1"/>
    <col min="20" max="16384" width="9.140625" style="347"/>
  </cols>
  <sheetData>
    <row r="1" spans="2:19" s="343" customFormat="1">
      <c r="B1" s="347"/>
      <c r="C1" s="347"/>
      <c r="D1" s="347"/>
      <c r="E1" s="347"/>
      <c r="F1" s="347"/>
      <c r="G1" s="347"/>
      <c r="H1" s="347"/>
      <c r="I1" s="347"/>
      <c r="J1" s="347"/>
      <c r="K1" s="347"/>
      <c r="L1" s="347"/>
      <c r="M1" s="347"/>
      <c r="N1" s="347"/>
      <c r="O1" s="347"/>
      <c r="P1" s="347"/>
      <c r="Q1" s="347"/>
      <c r="R1" s="347"/>
      <c r="S1" s="347"/>
    </row>
    <row r="2" spans="2:19" s="343" customFormat="1">
      <c r="B2" s="347"/>
      <c r="C2" s="347"/>
      <c r="D2" s="347"/>
      <c r="E2" s="347"/>
      <c r="F2" s="347"/>
      <c r="G2" s="347"/>
      <c r="H2" s="347"/>
      <c r="I2" s="347"/>
      <c r="J2" s="347"/>
      <c r="K2" s="347"/>
      <c r="L2" s="347"/>
      <c r="M2" s="347"/>
      <c r="N2" s="347"/>
      <c r="O2" s="347"/>
      <c r="P2" s="347"/>
      <c r="Q2" s="347"/>
      <c r="R2" s="347"/>
      <c r="S2" s="347"/>
    </row>
    <row r="3" spans="2:19" s="344" customFormat="1" ht="35.25" customHeight="1">
      <c r="B3" s="510" t="s">
        <v>0</v>
      </c>
      <c r="C3" s="510"/>
      <c r="D3" s="510"/>
      <c r="E3" s="510"/>
      <c r="F3" s="510"/>
      <c r="G3" s="510"/>
      <c r="H3" s="510"/>
      <c r="I3" s="510"/>
      <c r="J3" s="510"/>
      <c r="K3" s="510"/>
      <c r="L3" s="510"/>
      <c r="M3" s="510"/>
      <c r="N3" s="510"/>
      <c r="O3" s="510"/>
      <c r="P3" s="510"/>
      <c r="Q3" s="510"/>
      <c r="R3" s="510"/>
      <c r="S3" s="510"/>
    </row>
    <row r="4" spans="2:19" s="344" customFormat="1" ht="35.25" customHeight="1">
      <c r="B4" s="510" t="s">
        <v>1</v>
      </c>
      <c r="C4" s="510"/>
      <c r="D4" s="510"/>
      <c r="E4" s="510"/>
      <c r="F4" s="510"/>
      <c r="G4" s="510"/>
      <c r="H4" s="510"/>
      <c r="I4" s="510"/>
      <c r="J4" s="510"/>
      <c r="K4" s="510"/>
      <c r="L4" s="510"/>
      <c r="M4" s="510"/>
      <c r="N4" s="510"/>
      <c r="O4" s="510"/>
      <c r="P4" s="510"/>
      <c r="Q4" s="510"/>
      <c r="R4" s="510"/>
      <c r="S4" s="510"/>
    </row>
    <row r="5" spans="2:19" s="343" customFormat="1" ht="28.9" customHeight="1">
      <c r="B5" s="510" t="s">
        <v>2</v>
      </c>
      <c r="C5" s="510"/>
      <c r="D5" s="510"/>
      <c r="E5" s="510"/>
      <c r="F5" s="510"/>
      <c r="G5" s="510"/>
      <c r="H5" s="510"/>
      <c r="I5" s="510"/>
      <c r="J5" s="510"/>
      <c r="K5" s="510"/>
      <c r="L5" s="510"/>
      <c r="M5" s="510"/>
      <c r="N5" s="510"/>
      <c r="O5" s="510"/>
      <c r="P5" s="510"/>
      <c r="Q5" s="510"/>
      <c r="R5" s="510"/>
      <c r="S5" s="510"/>
    </row>
    <row r="6" spans="2:19" s="343" customFormat="1" ht="38.450000000000003" customHeight="1">
      <c r="B6" s="511" t="s">
        <v>3</v>
      </c>
      <c r="C6" s="511"/>
      <c r="D6" s="511"/>
      <c r="E6" s="511"/>
      <c r="F6" s="511"/>
      <c r="G6" s="511"/>
      <c r="H6" s="511"/>
      <c r="I6" s="511"/>
      <c r="J6" s="511"/>
      <c r="K6" s="511"/>
      <c r="L6" s="511"/>
      <c r="M6" s="511"/>
      <c r="N6" s="511"/>
      <c r="O6" s="511"/>
      <c r="P6" s="511"/>
      <c r="Q6" s="511"/>
      <c r="R6" s="511"/>
      <c r="S6" s="511"/>
    </row>
    <row r="7" spans="2:19" s="343" customFormat="1" ht="24.75" customHeight="1">
      <c r="B7" s="496" t="s">
        <v>4</v>
      </c>
      <c r="C7" s="496"/>
      <c r="D7" s="496"/>
      <c r="E7" s="496"/>
      <c r="F7" s="496"/>
      <c r="G7" s="496"/>
      <c r="H7" s="496"/>
      <c r="I7" s="496"/>
      <c r="J7" s="496"/>
      <c r="K7" s="496"/>
      <c r="L7" s="496"/>
      <c r="M7" s="496"/>
      <c r="N7" s="496"/>
      <c r="O7" s="496"/>
      <c r="P7" s="496"/>
      <c r="Q7" s="348"/>
      <c r="R7" s="348"/>
      <c r="S7" s="348"/>
    </row>
    <row r="8" spans="2:19" s="343" customFormat="1" ht="24" customHeight="1">
      <c r="B8" s="514" t="s">
        <v>5</v>
      </c>
      <c r="C8" s="514"/>
      <c r="D8" s="512" t="s">
        <v>1783</v>
      </c>
      <c r="E8" s="512"/>
      <c r="F8" s="512"/>
      <c r="G8" s="512"/>
      <c r="H8" s="349"/>
      <c r="I8" s="349"/>
      <c r="J8" s="349"/>
      <c r="K8" s="349"/>
      <c r="L8" s="349"/>
      <c r="M8" s="349"/>
      <c r="N8" s="349"/>
      <c r="O8" s="349"/>
      <c r="P8" s="349"/>
      <c r="Q8" s="349"/>
      <c r="R8" s="349"/>
      <c r="S8" s="349"/>
    </row>
    <row r="9" spans="2:19" s="343" customFormat="1" ht="24" customHeight="1">
      <c r="B9" s="514" t="s">
        <v>6</v>
      </c>
      <c r="C9" s="514"/>
      <c r="D9" s="512" t="s">
        <v>1784</v>
      </c>
      <c r="E9" s="512"/>
      <c r="F9" s="512"/>
      <c r="G9" s="512"/>
      <c r="H9" s="349"/>
      <c r="I9" s="349"/>
      <c r="J9" s="349"/>
      <c r="K9" s="349"/>
      <c r="L9" s="349"/>
      <c r="M9" s="349"/>
      <c r="N9" s="349"/>
      <c r="O9" s="349"/>
      <c r="P9" s="349"/>
      <c r="Q9" s="349"/>
      <c r="R9" s="349"/>
      <c r="S9" s="349"/>
    </row>
    <row r="10" spans="2:19" s="343" customFormat="1" ht="24" customHeight="1">
      <c r="B10" s="514" t="s">
        <v>7</v>
      </c>
      <c r="C10" s="514"/>
      <c r="D10" s="512" t="s">
        <v>8</v>
      </c>
      <c r="E10" s="512"/>
      <c r="F10" s="512"/>
      <c r="G10" s="512"/>
      <c r="H10" s="349"/>
      <c r="I10" s="349"/>
      <c r="J10" s="349"/>
      <c r="K10" s="349"/>
      <c r="L10" s="349"/>
      <c r="M10" s="349"/>
      <c r="N10" s="349"/>
      <c r="O10" s="349"/>
      <c r="P10" s="349"/>
      <c r="Q10" s="349"/>
      <c r="R10" s="349"/>
      <c r="S10" s="349"/>
    </row>
    <row r="11" spans="2:19" s="343" customFormat="1" ht="24" customHeight="1">
      <c r="B11" s="514" t="s">
        <v>9</v>
      </c>
      <c r="C11" s="514"/>
      <c r="D11" s="512" t="s">
        <v>373</v>
      </c>
      <c r="E11" s="512"/>
      <c r="F11" s="512"/>
      <c r="G11" s="512"/>
      <c r="H11" s="349"/>
      <c r="I11" s="349"/>
      <c r="J11" s="349"/>
      <c r="K11" s="349"/>
      <c r="L11" s="349"/>
      <c r="M11" s="349"/>
      <c r="N11" s="349"/>
      <c r="O11" s="349"/>
      <c r="P11" s="349"/>
      <c r="Q11" s="349"/>
      <c r="R11" s="349"/>
      <c r="S11" s="349"/>
    </row>
    <row r="12" spans="2:19" s="343" customFormat="1" ht="24" customHeight="1">
      <c r="B12" s="514" t="s">
        <v>10</v>
      </c>
      <c r="C12" s="514"/>
      <c r="D12" s="512" t="s">
        <v>8</v>
      </c>
      <c r="E12" s="512"/>
      <c r="F12" s="512"/>
      <c r="G12" s="512"/>
      <c r="H12" s="349"/>
      <c r="I12" s="349"/>
      <c r="J12" s="349"/>
      <c r="K12" s="349"/>
      <c r="L12" s="349"/>
      <c r="M12" s="349"/>
      <c r="N12" s="349"/>
      <c r="O12" s="349"/>
      <c r="P12" s="349"/>
      <c r="Q12" s="349"/>
      <c r="R12" s="349"/>
      <c r="S12" s="349"/>
    </row>
    <row r="13" spans="2:19" s="345" customFormat="1" ht="63" customHeight="1">
      <c r="B13" s="350" t="s">
        <v>11</v>
      </c>
      <c r="C13" s="350" t="s">
        <v>12</v>
      </c>
      <c r="D13" s="350" t="s">
        <v>13</v>
      </c>
      <c r="E13" s="350" t="s">
        <v>14</v>
      </c>
      <c r="F13" s="350" t="s">
        <v>15</v>
      </c>
      <c r="G13" s="350" t="s">
        <v>16</v>
      </c>
      <c r="H13" s="350" t="s">
        <v>17</v>
      </c>
      <c r="I13" s="350" t="s">
        <v>18</v>
      </c>
      <c r="J13" s="350" t="s">
        <v>19</v>
      </c>
      <c r="K13" s="350" t="s">
        <v>20</v>
      </c>
      <c r="L13" s="350" t="s">
        <v>21</v>
      </c>
      <c r="M13" s="350" t="s">
        <v>22</v>
      </c>
      <c r="N13" s="350" t="s">
        <v>23</v>
      </c>
      <c r="O13" s="350" t="s">
        <v>24</v>
      </c>
      <c r="P13" s="350" t="s">
        <v>25</v>
      </c>
      <c r="Q13" s="350" t="s">
        <v>26</v>
      </c>
      <c r="R13" s="350" t="s">
        <v>27</v>
      </c>
      <c r="S13" s="355" t="s">
        <v>28</v>
      </c>
    </row>
    <row r="14" spans="2:19" ht="26.25" hidden="1" customHeight="1">
      <c r="B14" s="351">
        <v>1</v>
      </c>
      <c r="C14" s="351" t="s">
        <v>29</v>
      </c>
      <c r="D14" s="351" t="s">
        <v>30</v>
      </c>
      <c r="E14" s="351">
        <v>63</v>
      </c>
      <c r="F14" s="351">
        <v>40</v>
      </c>
      <c r="G14" s="351">
        <v>37.4</v>
      </c>
      <c r="H14" s="352">
        <f>(300+E14)/1000</f>
        <v>0.36299999999999999</v>
      </c>
      <c r="I14" s="352">
        <f>(1000+E14)/1000</f>
        <v>1.0629999999999999</v>
      </c>
      <c r="J14" s="351"/>
      <c r="K14" s="351"/>
      <c r="L14" s="351"/>
      <c r="M14" s="351"/>
      <c r="N14" s="351"/>
      <c r="O14" s="351"/>
      <c r="P14" s="351"/>
      <c r="Q14" s="351"/>
      <c r="R14" s="351"/>
      <c r="S14" s="351"/>
    </row>
    <row r="15" spans="2:19" ht="26.25" hidden="1" customHeight="1">
      <c r="B15" s="351">
        <f t="shared" ref="B15:B77" si="0">+B14+1</f>
        <v>2</v>
      </c>
      <c r="C15" s="351" t="s">
        <v>31</v>
      </c>
      <c r="D15" s="351" t="s">
        <v>32</v>
      </c>
      <c r="E15" s="351">
        <v>63</v>
      </c>
      <c r="F15" s="351">
        <v>43</v>
      </c>
      <c r="G15" s="351">
        <v>38.700000000000003</v>
      </c>
      <c r="H15" s="352">
        <f t="shared" ref="H15:H78" si="1">(300+E15)/1000</f>
        <v>0.36299999999999999</v>
      </c>
      <c r="I15" s="352">
        <f t="shared" ref="I15:I78" si="2">(1000+E15)/1000</f>
        <v>1.0629999999999999</v>
      </c>
      <c r="J15" s="351"/>
      <c r="K15" s="351"/>
      <c r="L15" s="351"/>
      <c r="M15" s="351"/>
      <c r="N15" s="351"/>
      <c r="O15" s="351"/>
      <c r="P15" s="351"/>
      <c r="Q15" s="351"/>
      <c r="R15" s="351"/>
      <c r="S15" s="351"/>
    </row>
    <row r="16" spans="2:19" ht="26.25" hidden="1" customHeight="1">
      <c r="B16" s="351">
        <f t="shared" si="0"/>
        <v>3</v>
      </c>
      <c r="C16" s="351" t="s">
        <v>31</v>
      </c>
      <c r="D16" s="351" t="s">
        <v>33</v>
      </c>
      <c r="E16" s="351">
        <v>63</v>
      </c>
      <c r="F16" s="351">
        <v>13</v>
      </c>
      <c r="G16" s="351">
        <v>17</v>
      </c>
      <c r="H16" s="352">
        <f t="shared" si="1"/>
        <v>0.36299999999999999</v>
      </c>
      <c r="I16" s="352">
        <f t="shared" si="2"/>
        <v>1.0629999999999999</v>
      </c>
      <c r="J16" s="351"/>
      <c r="K16" s="351"/>
      <c r="L16" s="351"/>
      <c r="M16" s="351"/>
      <c r="N16" s="351"/>
      <c r="O16" s="351"/>
      <c r="P16" s="351"/>
      <c r="Q16" s="351"/>
      <c r="R16" s="351"/>
      <c r="S16" s="351"/>
    </row>
    <row r="17" spans="2:19" ht="26.25" hidden="1" customHeight="1">
      <c r="B17" s="351">
        <f t="shared" si="0"/>
        <v>4</v>
      </c>
      <c r="C17" s="351" t="s">
        <v>33</v>
      </c>
      <c r="D17" s="351" t="s">
        <v>34</v>
      </c>
      <c r="E17" s="351">
        <v>63</v>
      </c>
      <c r="F17" s="351">
        <v>124</v>
      </c>
      <c r="G17" s="351">
        <v>127.3</v>
      </c>
      <c r="H17" s="352">
        <f t="shared" si="1"/>
        <v>0.36299999999999999</v>
      </c>
      <c r="I17" s="352">
        <f t="shared" si="2"/>
        <v>1.0629999999999999</v>
      </c>
      <c r="J17" s="351"/>
      <c r="K17" s="351"/>
      <c r="L17" s="351"/>
      <c r="M17" s="351"/>
      <c r="N17" s="351"/>
      <c r="O17" s="351"/>
      <c r="P17" s="351"/>
      <c r="Q17" s="351"/>
      <c r="R17" s="351"/>
      <c r="S17" s="351"/>
    </row>
    <row r="18" spans="2:19" ht="26.25" hidden="1" customHeight="1">
      <c r="B18" s="351">
        <f t="shared" si="0"/>
        <v>5</v>
      </c>
      <c r="C18" s="351" t="s">
        <v>34</v>
      </c>
      <c r="D18" s="351" t="s">
        <v>35</v>
      </c>
      <c r="E18" s="351">
        <v>63</v>
      </c>
      <c r="F18" s="351"/>
      <c r="G18" s="351">
        <v>71.2</v>
      </c>
      <c r="H18" s="352">
        <f t="shared" si="1"/>
        <v>0.36299999999999999</v>
      </c>
      <c r="I18" s="352">
        <f t="shared" si="2"/>
        <v>1.0629999999999999</v>
      </c>
      <c r="J18" s="351"/>
      <c r="K18" s="351"/>
      <c r="L18" s="351"/>
      <c r="M18" s="351"/>
      <c r="N18" s="351"/>
      <c r="O18" s="351"/>
      <c r="P18" s="351"/>
      <c r="Q18" s="351"/>
      <c r="R18" s="351"/>
      <c r="S18" s="351"/>
    </row>
    <row r="19" spans="2:19" ht="26.25" hidden="1" customHeight="1">
      <c r="B19" s="351">
        <f t="shared" si="0"/>
        <v>6</v>
      </c>
      <c r="C19" s="351" t="s">
        <v>33</v>
      </c>
      <c r="D19" s="351" t="s">
        <v>36</v>
      </c>
      <c r="E19" s="351">
        <v>63</v>
      </c>
      <c r="F19" s="351">
        <v>108</v>
      </c>
      <c r="G19" s="351">
        <v>60.5</v>
      </c>
      <c r="H19" s="352">
        <f t="shared" si="1"/>
        <v>0.36299999999999999</v>
      </c>
      <c r="I19" s="352">
        <f t="shared" si="2"/>
        <v>1.0629999999999999</v>
      </c>
      <c r="J19" s="351"/>
      <c r="K19" s="351"/>
      <c r="L19" s="351"/>
      <c r="M19" s="351"/>
      <c r="N19" s="351"/>
      <c r="O19" s="351"/>
      <c r="P19" s="351"/>
      <c r="Q19" s="351"/>
      <c r="R19" s="351"/>
      <c r="S19" s="351"/>
    </row>
    <row r="20" spans="2:19" ht="26.25" hidden="1" customHeight="1">
      <c r="B20" s="351">
        <f t="shared" si="0"/>
        <v>7</v>
      </c>
      <c r="C20" s="351" t="s">
        <v>31</v>
      </c>
      <c r="D20" s="351" t="s">
        <v>37</v>
      </c>
      <c r="E20" s="351">
        <v>63</v>
      </c>
      <c r="F20" s="351">
        <v>86</v>
      </c>
      <c r="G20" s="351">
        <v>95.1</v>
      </c>
      <c r="H20" s="352">
        <f t="shared" si="1"/>
        <v>0.36299999999999999</v>
      </c>
      <c r="I20" s="352">
        <f t="shared" si="2"/>
        <v>1.0629999999999999</v>
      </c>
      <c r="J20" s="351"/>
      <c r="K20" s="351"/>
      <c r="L20" s="351"/>
      <c r="M20" s="351"/>
      <c r="N20" s="351"/>
      <c r="O20" s="351"/>
      <c r="P20" s="351"/>
      <c r="Q20" s="351"/>
      <c r="R20" s="351"/>
      <c r="S20" s="351"/>
    </row>
    <row r="21" spans="2:19" ht="26.25" hidden="1" customHeight="1">
      <c r="B21" s="351">
        <f t="shared" si="0"/>
        <v>8</v>
      </c>
      <c r="C21" s="351" t="s">
        <v>31</v>
      </c>
      <c r="D21" s="351" t="s">
        <v>37</v>
      </c>
      <c r="E21" s="351">
        <v>63</v>
      </c>
      <c r="F21" s="351"/>
      <c r="G21" s="351">
        <v>1.5</v>
      </c>
      <c r="H21" s="352">
        <f t="shared" si="1"/>
        <v>0.36299999999999999</v>
      </c>
      <c r="I21" s="352">
        <f t="shared" si="2"/>
        <v>1.0629999999999999</v>
      </c>
      <c r="J21" s="351"/>
      <c r="K21" s="351"/>
      <c r="L21" s="351"/>
      <c r="M21" s="351"/>
      <c r="N21" s="351"/>
      <c r="O21" s="351"/>
      <c r="P21" s="351"/>
      <c r="Q21" s="351"/>
      <c r="R21" s="351"/>
      <c r="S21" s="351" t="s">
        <v>38</v>
      </c>
    </row>
    <row r="22" spans="2:19" ht="26.25" hidden="1" customHeight="1">
      <c r="B22" s="351">
        <f t="shared" si="0"/>
        <v>9</v>
      </c>
      <c r="C22" s="351" t="s">
        <v>37</v>
      </c>
      <c r="D22" s="351" t="s">
        <v>39</v>
      </c>
      <c r="E22" s="351">
        <v>63</v>
      </c>
      <c r="F22" s="351">
        <v>158</v>
      </c>
      <c r="G22" s="351">
        <v>110</v>
      </c>
      <c r="H22" s="352">
        <f t="shared" si="1"/>
        <v>0.36299999999999999</v>
      </c>
      <c r="I22" s="352">
        <f t="shared" si="2"/>
        <v>1.0629999999999999</v>
      </c>
      <c r="J22" s="351"/>
      <c r="K22" s="351"/>
      <c r="L22" s="351"/>
      <c r="M22" s="351"/>
      <c r="N22" s="351"/>
      <c r="O22" s="351"/>
      <c r="P22" s="351"/>
      <c r="Q22" s="351"/>
      <c r="R22" s="351"/>
      <c r="S22" s="351"/>
    </row>
    <row r="23" spans="2:19" ht="26.25" hidden="1" customHeight="1">
      <c r="B23" s="351">
        <f t="shared" si="0"/>
        <v>10</v>
      </c>
      <c r="C23" s="351" t="s">
        <v>37</v>
      </c>
      <c r="D23" s="351" t="s">
        <v>35</v>
      </c>
      <c r="E23" s="351">
        <v>63</v>
      </c>
      <c r="F23" s="351">
        <v>52</v>
      </c>
      <c r="G23" s="351">
        <v>59.1</v>
      </c>
      <c r="H23" s="352">
        <f t="shared" si="1"/>
        <v>0.36299999999999999</v>
      </c>
      <c r="I23" s="352">
        <f t="shared" si="2"/>
        <v>1.0629999999999999</v>
      </c>
      <c r="J23" s="351"/>
      <c r="K23" s="351"/>
      <c r="L23" s="351"/>
      <c r="M23" s="351"/>
      <c r="N23" s="351"/>
      <c r="O23" s="351"/>
      <c r="P23" s="351"/>
      <c r="Q23" s="351"/>
      <c r="R23" s="351"/>
      <c r="S23" s="351"/>
    </row>
    <row r="24" spans="2:19" ht="26.25" hidden="1" customHeight="1">
      <c r="B24" s="351">
        <f t="shared" si="0"/>
        <v>11</v>
      </c>
      <c r="C24" s="351" t="s">
        <v>35</v>
      </c>
      <c r="D24" s="351" t="s">
        <v>40</v>
      </c>
      <c r="E24" s="351">
        <v>63</v>
      </c>
      <c r="F24" s="351">
        <v>79</v>
      </c>
      <c r="G24" s="351">
        <v>72.2</v>
      </c>
      <c r="H24" s="352">
        <f t="shared" si="1"/>
        <v>0.36299999999999999</v>
      </c>
      <c r="I24" s="352">
        <f t="shared" si="2"/>
        <v>1.0629999999999999</v>
      </c>
      <c r="J24" s="351"/>
      <c r="K24" s="351"/>
      <c r="L24" s="351"/>
      <c r="M24" s="351"/>
      <c r="N24" s="351"/>
      <c r="O24" s="351"/>
      <c r="P24" s="351"/>
      <c r="Q24" s="351"/>
      <c r="R24" s="351"/>
      <c r="S24" s="351"/>
    </row>
    <row r="25" spans="2:19" ht="26.25" hidden="1" customHeight="1">
      <c r="B25" s="351">
        <f t="shared" si="0"/>
        <v>12</v>
      </c>
      <c r="C25" s="351" t="s">
        <v>40</v>
      </c>
      <c r="D25" s="351" t="s">
        <v>41</v>
      </c>
      <c r="E25" s="351">
        <v>63</v>
      </c>
      <c r="F25" s="351">
        <v>31</v>
      </c>
      <c r="G25" s="351">
        <v>25.1</v>
      </c>
      <c r="H25" s="352">
        <f t="shared" si="1"/>
        <v>0.36299999999999999</v>
      </c>
      <c r="I25" s="352">
        <f t="shared" si="2"/>
        <v>1.0629999999999999</v>
      </c>
      <c r="J25" s="351"/>
      <c r="K25" s="351"/>
      <c r="L25" s="351"/>
      <c r="M25" s="351"/>
      <c r="N25" s="351"/>
      <c r="O25" s="351"/>
      <c r="P25" s="351"/>
      <c r="Q25" s="351"/>
      <c r="R25" s="351"/>
      <c r="S25" s="351"/>
    </row>
    <row r="26" spans="2:19" ht="26.25" hidden="1" customHeight="1">
      <c r="B26" s="351">
        <f t="shared" si="0"/>
        <v>13</v>
      </c>
      <c r="C26" s="351" t="s">
        <v>41</v>
      </c>
      <c r="D26" s="351" t="s">
        <v>42</v>
      </c>
      <c r="E26" s="351">
        <v>63</v>
      </c>
      <c r="F26" s="351">
        <v>48</v>
      </c>
      <c r="G26" s="351">
        <v>50.7</v>
      </c>
      <c r="H26" s="352">
        <f t="shared" si="1"/>
        <v>0.36299999999999999</v>
      </c>
      <c r="I26" s="352">
        <f t="shared" si="2"/>
        <v>1.0629999999999999</v>
      </c>
      <c r="J26" s="351"/>
      <c r="K26" s="351"/>
      <c r="L26" s="351"/>
      <c r="M26" s="351"/>
      <c r="N26" s="351"/>
      <c r="O26" s="351"/>
      <c r="P26" s="351"/>
      <c r="Q26" s="351"/>
      <c r="R26" s="351"/>
      <c r="S26" s="351"/>
    </row>
    <row r="27" spans="2:19" ht="26.25" hidden="1" customHeight="1">
      <c r="B27" s="351">
        <f t="shared" si="0"/>
        <v>14</v>
      </c>
      <c r="C27" s="351" t="s">
        <v>42</v>
      </c>
      <c r="D27" s="351" t="s">
        <v>43</v>
      </c>
      <c r="E27" s="351">
        <v>63</v>
      </c>
      <c r="F27" s="351">
        <v>33</v>
      </c>
      <c r="G27" s="351">
        <v>29.7</v>
      </c>
      <c r="H27" s="352">
        <f t="shared" si="1"/>
        <v>0.36299999999999999</v>
      </c>
      <c r="I27" s="352">
        <f t="shared" si="2"/>
        <v>1.0629999999999999</v>
      </c>
      <c r="J27" s="351"/>
      <c r="K27" s="351"/>
      <c r="L27" s="351"/>
      <c r="M27" s="351"/>
      <c r="N27" s="351"/>
      <c r="O27" s="351"/>
      <c r="P27" s="351"/>
      <c r="Q27" s="351"/>
      <c r="R27" s="351"/>
      <c r="S27" s="351"/>
    </row>
    <row r="28" spans="2:19" ht="26.25" hidden="1" customHeight="1">
      <c r="B28" s="351">
        <f t="shared" si="0"/>
        <v>15</v>
      </c>
      <c r="C28" s="351" t="s">
        <v>42</v>
      </c>
      <c r="D28" s="351" t="s">
        <v>44</v>
      </c>
      <c r="E28" s="351">
        <v>63</v>
      </c>
      <c r="F28" s="351">
        <v>35</v>
      </c>
      <c r="G28" s="351">
        <v>35</v>
      </c>
      <c r="H28" s="352">
        <f t="shared" si="1"/>
        <v>0.36299999999999999</v>
      </c>
      <c r="I28" s="352">
        <f t="shared" si="2"/>
        <v>1.0629999999999999</v>
      </c>
      <c r="J28" s="351"/>
      <c r="K28" s="351"/>
      <c r="L28" s="351"/>
      <c r="M28" s="351"/>
      <c r="N28" s="351"/>
      <c r="O28" s="351"/>
      <c r="P28" s="351"/>
      <c r="Q28" s="351"/>
      <c r="R28" s="351"/>
      <c r="S28" s="351"/>
    </row>
    <row r="29" spans="2:19" ht="26.25" hidden="1" customHeight="1">
      <c r="B29" s="351">
        <f t="shared" si="0"/>
        <v>16</v>
      </c>
      <c r="C29" s="351" t="s">
        <v>44</v>
      </c>
      <c r="D29" s="351" t="s">
        <v>43</v>
      </c>
      <c r="E29" s="351">
        <v>63</v>
      </c>
      <c r="F29" s="351"/>
      <c r="G29" s="351">
        <v>3.4</v>
      </c>
      <c r="H29" s="352">
        <f t="shared" si="1"/>
        <v>0.36299999999999999</v>
      </c>
      <c r="I29" s="352">
        <f t="shared" si="2"/>
        <v>1.0629999999999999</v>
      </c>
      <c r="J29" s="351">
        <f t="shared" ref="J29:J74" si="3">+I29*H29*G29</f>
        <v>1.3119545999999997</v>
      </c>
      <c r="K29" s="351" t="s">
        <v>45</v>
      </c>
      <c r="L29" s="351">
        <v>3.4</v>
      </c>
      <c r="M29" s="352">
        <f>(300+E29)/1000</f>
        <v>0.36299999999999999</v>
      </c>
      <c r="N29" s="351">
        <f t="shared" ref="N29:N74" si="4">+M29*L29</f>
        <v>1.2342</v>
      </c>
      <c r="O29" s="351">
        <f t="shared" ref="O29:O74" si="5">+L29</f>
        <v>3.4</v>
      </c>
      <c r="P29" s="351">
        <f t="shared" ref="P29:P74" si="6">+M29</f>
        <v>0.36299999999999999</v>
      </c>
      <c r="Q29" s="351">
        <f t="shared" ref="Q29:Q74" si="7">+P29*O29</f>
        <v>1.2342</v>
      </c>
      <c r="R29" s="351"/>
      <c r="S29" s="351"/>
    </row>
    <row r="30" spans="2:19" ht="26.25" hidden="1" customHeight="1">
      <c r="B30" s="351">
        <f t="shared" si="0"/>
        <v>17</v>
      </c>
      <c r="C30" s="351" t="s">
        <v>43</v>
      </c>
      <c r="D30" s="351" t="s">
        <v>46</v>
      </c>
      <c r="E30" s="351">
        <v>63</v>
      </c>
      <c r="F30" s="351"/>
      <c r="G30" s="351">
        <v>15.4</v>
      </c>
      <c r="H30" s="352">
        <f t="shared" si="1"/>
        <v>0.36299999999999999</v>
      </c>
      <c r="I30" s="352">
        <f t="shared" si="2"/>
        <v>1.0629999999999999</v>
      </c>
      <c r="J30" s="351"/>
      <c r="K30" s="351"/>
      <c r="L30" s="351"/>
      <c r="M30" s="351"/>
      <c r="N30" s="351"/>
      <c r="O30" s="351"/>
      <c r="P30" s="351"/>
      <c r="Q30" s="351"/>
      <c r="R30" s="351"/>
      <c r="S30" s="351"/>
    </row>
    <row r="31" spans="2:19" ht="26.25" hidden="1" customHeight="1">
      <c r="B31" s="351">
        <f t="shared" si="0"/>
        <v>18</v>
      </c>
      <c r="C31" s="351" t="s">
        <v>46</v>
      </c>
      <c r="D31" s="351" t="s">
        <v>47</v>
      </c>
      <c r="E31" s="351">
        <v>63</v>
      </c>
      <c r="F31" s="351">
        <v>121</v>
      </c>
      <c r="G31" s="351">
        <v>69.5</v>
      </c>
      <c r="H31" s="352">
        <f t="shared" si="1"/>
        <v>0.36299999999999999</v>
      </c>
      <c r="I31" s="352">
        <f t="shared" si="2"/>
        <v>1.0629999999999999</v>
      </c>
      <c r="J31" s="351">
        <f t="shared" si="3"/>
        <v>26.817895499999999</v>
      </c>
      <c r="K31" s="351" t="s">
        <v>45</v>
      </c>
      <c r="L31" s="351">
        <v>69.5</v>
      </c>
      <c r="M31" s="352">
        <f>(300+E31)/1000</f>
        <v>0.36299999999999999</v>
      </c>
      <c r="N31" s="351">
        <f t="shared" si="4"/>
        <v>25.2285</v>
      </c>
      <c r="O31" s="351">
        <f t="shared" si="5"/>
        <v>69.5</v>
      </c>
      <c r="P31" s="351">
        <f t="shared" si="6"/>
        <v>0.36299999999999999</v>
      </c>
      <c r="Q31" s="351">
        <f t="shared" si="7"/>
        <v>25.2285</v>
      </c>
      <c r="R31" s="351"/>
      <c r="S31" s="351"/>
    </row>
    <row r="32" spans="2:19" ht="26.25" hidden="1" customHeight="1">
      <c r="B32" s="351">
        <f t="shared" si="0"/>
        <v>19</v>
      </c>
      <c r="C32" s="351" t="s">
        <v>43</v>
      </c>
      <c r="D32" s="351" t="s">
        <v>48</v>
      </c>
      <c r="E32" s="351">
        <v>63</v>
      </c>
      <c r="F32" s="351">
        <v>134</v>
      </c>
      <c r="G32" s="351">
        <v>142.80000000000001</v>
      </c>
      <c r="H32" s="352">
        <f t="shared" si="1"/>
        <v>0.36299999999999999</v>
      </c>
      <c r="I32" s="352">
        <f t="shared" si="2"/>
        <v>1.0629999999999999</v>
      </c>
      <c r="J32" s="351"/>
      <c r="K32" s="351"/>
      <c r="L32" s="351"/>
      <c r="M32" s="351"/>
      <c r="N32" s="351"/>
      <c r="O32" s="351"/>
      <c r="P32" s="351"/>
      <c r="Q32" s="351"/>
      <c r="R32" s="351"/>
      <c r="S32" s="351"/>
    </row>
    <row r="33" spans="2:19" ht="26.25" hidden="1" customHeight="1">
      <c r="B33" s="351">
        <f t="shared" si="0"/>
        <v>20</v>
      </c>
      <c r="C33" s="351" t="s">
        <v>48</v>
      </c>
      <c r="D33" s="351" t="s">
        <v>49</v>
      </c>
      <c r="E33" s="351">
        <v>63</v>
      </c>
      <c r="F33" s="351"/>
      <c r="G33" s="351">
        <v>25.6</v>
      </c>
      <c r="H33" s="352">
        <f t="shared" si="1"/>
        <v>0.36299999999999999</v>
      </c>
      <c r="I33" s="352">
        <f t="shared" si="2"/>
        <v>1.0629999999999999</v>
      </c>
      <c r="J33" s="351"/>
      <c r="K33" s="351"/>
      <c r="L33" s="351"/>
      <c r="M33" s="351"/>
      <c r="N33" s="351"/>
      <c r="O33" s="351"/>
      <c r="P33" s="351"/>
      <c r="Q33" s="351"/>
      <c r="R33" s="351"/>
      <c r="S33" s="351"/>
    </row>
    <row r="34" spans="2:19" ht="26.25" hidden="1" customHeight="1">
      <c r="B34" s="351">
        <f t="shared" si="0"/>
        <v>21</v>
      </c>
      <c r="C34" s="351" t="s">
        <v>49</v>
      </c>
      <c r="D34" s="351" t="s">
        <v>50</v>
      </c>
      <c r="E34" s="351">
        <v>63</v>
      </c>
      <c r="F34" s="351">
        <v>27</v>
      </c>
      <c r="G34" s="351">
        <v>26.6</v>
      </c>
      <c r="H34" s="352">
        <f t="shared" si="1"/>
        <v>0.36299999999999999</v>
      </c>
      <c r="I34" s="352">
        <f t="shared" si="2"/>
        <v>1.0629999999999999</v>
      </c>
      <c r="J34" s="351"/>
      <c r="K34" s="351"/>
      <c r="L34" s="351"/>
      <c r="M34" s="351"/>
      <c r="N34" s="351"/>
      <c r="O34" s="351"/>
      <c r="P34" s="351"/>
      <c r="Q34" s="351"/>
      <c r="R34" s="351"/>
      <c r="S34" s="351"/>
    </row>
    <row r="35" spans="2:19" ht="26.25" hidden="1" customHeight="1">
      <c r="B35" s="351">
        <f t="shared" si="0"/>
        <v>22</v>
      </c>
      <c r="C35" s="351" t="s">
        <v>50</v>
      </c>
      <c r="D35" s="351" t="s">
        <v>51</v>
      </c>
      <c r="E35" s="351">
        <v>63</v>
      </c>
      <c r="F35" s="351">
        <v>213</v>
      </c>
      <c r="G35" s="351">
        <v>317.2</v>
      </c>
      <c r="H35" s="352">
        <f t="shared" si="1"/>
        <v>0.36299999999999999</v>
      </c>
      <c r="I35" s="352">
        <f t="shared" si="2"/>
        <v>1.0629999999999999</v>
      </c>
      <c r="J35" s="351"/>
      <c r="K35" s="351"/>
      <c r="L35" s="351"/>
      <c r="M35" s="351"/>
      <c r="N35" s="351"/>
      <c r="O35" s="351"/>
      <c r="P35" s="351"/>
      <c r="Q35" s="351"/>
      <c r="R35" s="351"/>
      <c r="S35" s="351"/>
    </row>
    <row r="36" spans="2:19" ht="26.25" hidden="1" customHeight="1">
      <c r="B36" s="351">
        <f t="shared" si="0"/>
        <v>23</v>
      </c>
      <c r="C36" s="351" t="s">
        <v>52</v>
      </c>
      <c r="D36" s="351" t="s">
        <v>53</v>
      </c>
      <c r="E36" s="351">
        <v>63</v>
      </c>
      <c r="F36" s="351">
        <v>197</v>
      </c>
      <c r="G36" s="351">
        <v>197</v>
      </c>
      <c r="H36" s="352">
        <f t="shared" si="1"/>
        <v>0.36299999999999999</v>
      </c>
      <c r="I36" s="352">
        <f t="shared" si="2"/>
        <v>1.0629999999999999</v>
      </c>
      <c r="J36" s="351"/>
      <c r="K36" s="351"/>
      <c r="L36" s="351"/>
      <c r="M36" s="351"/>
      <c r="N36" s="351"/>
      <c r="O36" s="351"/>
      <c r="P36" s="351"/>
      <c r="Q36" s="351"/>
      <c r="R36" s="351"/>
      <c r="S36" s="351"/>
    </row>
    <row r="37" spans="2:19" ht="26.25" hidden="1" customHeight="1">
      <c r="B37" s="351">
        <f t="shared" si="0"/>
        <v>24</v>
      </c>
      <c r="C37" s="351" t="s">
        <v>53</v>
      </c>
      <c r="D37" s="351" t="s">
        <v>54</v>
      </c>
      <c r="E37" s="351">
        <v>63</v>
      </c>
      <c r="F37" s="351">
        <v>17</v>
      </c>
      <c r="G37" s="351">
        <v>27.7</v>
      </c>
      <c r="H37" s="352">
        <f t="shared" si="1"/>
        <v>0.36299999999999999</v>
      </c>
      <c r="I37" s="352">
        <f t="shared" si="2"/>
        <v>1.0629999999999999</v>
      </c>
      <c r="J37" s="351"/>
      <c r="K37" s="351"/>
      <c r="L37" s="351"/>
      <c r="M37" s="351"/>
      <c r="N37" s="351"/>
      <c r="O37" s="351"/>
      <c r="P37" s="351"/>
      <c r="Q37" s="351"/>
      <c r="R37" s="351"/>
      <c r="S37" s="351"/>
    </row>
    <row r="38" spans="2:19" ht="26.25" hidden="1" customHeight="1">
      <c r="B38" s="351">
        <f t="shared" si="0"/>
        <v>25</v>
      </c>
      <c r="C38" s="351" t="s">
        <v>53</v>
      </c>
      <c r="D38" s="351" t="s">
        <v>55</v>
      </c>
      <c r="E38" s="351">
        <v>63</v>
      </c>
      <c r="F38" s="351">
        <v>114</v>
      </c>
      <c r="G38" s="351">
        <v>111.3</v>
      </c>
      <c r="H38" s="352">
        <f t="shared" si="1"/>
        <v>0.36299999999999999</v>
      </c>
      <c r="I38" s="352">
        <f t="shared" si="2"/>
        <v>1.0629999999999999</v>
      </c>
      <c r="J38" s="351"/>
      <c r="K38" s="351"/>
      <c r="L38" s="351"/>
      <c r="M38" s="351"/>
      <c r="N38" s="351"/>
      <c r="O38" s="351"/>
      <c r="P38" s="351"/>
      <c r="Q38" s="351"/>
      <c r="R38" s="351"/>
      <c r="S38" s="351"/>
    </row>
    <row r="39" spans="2:19" ht="26.25" hidden="1" customHeight="1">
      <c r="B39" s="351">
        <f t="shared" si="0"/>
        <v>26</v>
      </c>
      <c r="C39" s="351" t="s">
        <v>55</v>
      </c>
      <c r="D39" s="351" t="s">
        <v>56</v>
      </c>
      <c r="E39" s="351">
        <v>63</v>
      </c>
      <c r="F39" s="351">
        <v>139</v>
      </c>
      <c r="G39" s="351">
        <v>106.1</v>
      </c>
      <c r="H39" s="352">
        <f t="shared" si="1"/>
        <v>0.36299999999999999</v>
      </c>
      <c r="I39" s="352">
        <f t="shared" si="2"/>
        <v>1.0629999999999999</v>
      </c>
      <c r="J39" s="351"/>
      <c r="K39" s="351"/>
      <c r="L39" s="351"/>
      <c r="M39" s="351"/>
      <c r="N39" s="351"/>
      <c r="O39" s="351"/>
      <c r="P39" s="351"/>
      <c r="Q39" s="351"/>
      <c r="R39" s="351"/>
      <c r="S39" s="351"/>
    </row>
    <row r="40" spans="2:19" ht="26.25" hidden="1" customHeight="1">
      <c r="B40" s="351">
        <f t="shared" si="0"/>
        <v>27</v>
      </c>
      <c r="C40" s="351" t="s">
        <v>55</v>
      </c>
      <c r="D40" s="351" t="s">
        <v>57</v>
      </c>
      <c r="E40" s="351">
        <v>63</v>
      </c>
      <c r="F40" s="351">
        <v>117</v>
      </c>
      <c r="G40" s="351">
        <v>119.6</v>
      </c>
      <c r="H40" s="352">
        <f t="shared" si="1"/>
        <v>0.36299999999999999</v>
      </c>
      <c r="I40" s="352">
        <f t="shared" si="2"/>
        <v>1.0629999999999999</v>
      </c>
      <c r="J40" s="351"/>
      <c r="K40" s="351"/>
      <c r="L40" s="351"/>
      <c r="M40" s="351"/>
      <c r="N40" s="351"/>
      <c r="O40" s="351"/>
      <c r="P40" s="351"/>
      <c r="Q40" s="351"/>
      <c r="R40" s="351"/>
      <c r="S40" s="351"/>
    </row>
    <row r="41" spans="2:19" ht="26.25" hidden="1" customHeight="1">
      <c r="B41" s="351">
        <f t="shared" si="0"/>
        <v>28</v>
      </c>
      <c r="C41" s="351" t="s">
        <v>57</v>
      </c>
      <c r="D41" s="351" t="s">
        <v>58</v>
      </c>
      <c r="E41" s="351">
        <v>63</v>
      </c>
      <c r="F41" s="351">
        <v>40</v>
      </c>
      <c r="G41" s="351">
        <v>42.7</v>
      </c>
      <c r="H41" s="352">
        <f t="shared" si="1"/>
        <v>0.36299999999999999</v>
      </c>
      <c r="I41" s="352">
        <f t="shared" si="2"/>
        <v>1.0629999999999999</v>
      </c>
      <c r="J41" s="351"/>
      <c r="K41" s="351"/>
      <c r="L41" s="351"/>
      <c r="M41" s="351"/>
      <c r="N41" s="351"/>
      <c r="O41" s="351"/>
      <c r="P41" s="351"/>
      <c r="Q41" s="351"/>
      <c r="R41" s="351"/>
      <c r="S41" s="351"/>
    </row>
    <row r="42" spans="2:19" ht="26.25" hidden="1" customHeight="1">
      <c r="B42" s="351">
        <f t="shared" si="0"/>
        <v>29</v>
      </c>
      <c r="C42" s="351" t="s">
        <v>58</v>
      </c>
      <c r="D42" s="351" t="s">
        <v>59</v>
      </c>
      <c r="E42" s="351">
        <v>63</v>
      </c>
      <c r="F42" s="401">
        <v>65</v>
      </c>
      <c r="G42" s="351">
        <v>3</v>
      </c>
      <c r="H42" s="352">
        <f t="shared" si="1"/>
        <v>0.36299999999999999</v>
      </c>
      <c r="I42" s="352">
        <f t="shared" si="2"/>
        <v>1.0629999999999999</v>
      </c>
      <c r="J42" s="351"/>
      <c r="K42" s="351"/>
      <c r="L42" s="351"/>
      <c r="M42" s="351"/>
      <c r="N42" s="351"/>
      <c r="O42" s="351"/>
      <c r="P42" s="351"/>
      <c r="Q42" s="351"/>
      <c r="R42" s="351"/>
      <c r="S42" s="351"/>
    </row>
    <row r="43" spans="2:19" ht="26.25" hidden="1" customHeight="1">
      <c r="B43" s="351">
        <f t="shared" si="0"/>
        <v>30</v>
      </c>
      <c r="C43" s="351" t="s">
        <v>58</v>
      </c>
      <c r="D43" s="351" t="s">
        <v>59</v>
      </c>
      <c r="E43" s="351">
        <v>63</v>
      </c>
      <c r="F43" s="402"/>
      <c r="G43" s="351">
        <v>25</v>
      </c>
      <c r="H43" s="352">
        <f t="shared" si="1"/>
        <v>0.36299999999999999</v>
      </c>
      <c r="I43" s="352">
        <f t="shared" si="2"/>
        <v>1.0629999999999999</v>
      </c>
      <c r="J43" s="351">
        <f t="shared" si="3"/>
        <v>9.6467249999999982</v>
      </c>
      <c r="K43" s="351" t="s">
        <v>45</v>
      </c>
      <c r="L43" s="351">
        <v>25</v>
      </c>
      <c r="M43" s="352">
        <f t="shared" ref="M43:M45" si="8">(300+E43)/1000</f>
        <v>0.36299999999999999</v>
      </c>
      <c r="N43" s="351">
        <f t="shared" si="4"/>
        <v>9.0749999999999993</v>
      </c>
      <c r="O43" s="351">
        <f t="shared" si="5"/>
        <v>25</v>
      </c>
      <c r="P43" s="351">
        <f t="shared" si="6"/>
        <v>0.36299999999999999</v>
      </c>
      <c r="Q43" s="351">
        <f t="shared" si="7"/>
        <v>9.0749999999999993</v>
      </c>
      <c r="R43" s="351"/>
      <c r="S43" s="351"/>
    </row>
    <row r="44" spans="2:19" ht="26.25" hidden="1" customHeight="1">
      <c r="B44" s="351">
        <f t="shared" si="0"/>
        <v>31</v>
      </c>
      <c r="C44" s="351" t="s">
        <v>58</v>
      </c>
      <c r="D44" s="351" t="s">
        <v>59</v>
      </c>
      <c r="E44" s="351">
        <v>63</v>
      </c>
      <c r="F44" s="402"/>
      <c r="G44" s="351">
        <v>31</v>
      </c>
      <c r="H44" s="352">
        <f t="shared" si="1"/>
        <v>0.36299999999999999</v>
      </c>
      <c r="I44" s="352">
        <f t="shared" si="2"/>
        <v>1.0629999999999999</v>
      </c>
      <c r="J44" s="351">
        <f t="shared" si="3"/>
        <v>11.961938999999999</v>
      </c>
      <c r="K44" s="351" t="s">
        <v>45</v>
      </c>
      <c r="L44" s="351">
        <v>31</v>
      </c>
      <c r="M44" s="352">
        <f t="shared" si="8"/>
        <v>0.36299999999999999</v>
      </c>
      <c r="N44" s="351">
        <f t="shared" si="4"/>
        <v>11.253</v>
      </c>
      <c r="O44" s="351">
        <f t="shared" si="5"/>
        <v>31</v>
      </c>
      <c r="P44" s="351">
        <f t="shared" si="6"/>
        <v>0.36299999999999999</v>
      </c>
      <c r="Q44" s="351">
        <f t="shared" si="7"/>
        <v>11.253</v>
      </c>
      <c r="R44" s="351"/>
      <c r="S44" s="351"/>
    </row>
    <row r="45" spans="2:19" ht="26.25" hidden="1" customHeight="1">
      <c r="B45" s="351">
        <f t="shared" si="0"/>
        <v>32</v>
      </c>
      <c r="C45" s="351" t="s">
        <v>58</v>
      </c>
      <c r="D45" s="351" t="s">
        <v>59</v>
      </c>
      <c r="E45" s="351">
        <v>63</v>
      </c>
      <c r="F45" s="403"/>
      <c r="G45" s="351">
        <v>5</v>
      </c>
      <c r="H45" s="352">
        <f t="shared" si="1"/>
        <v>0.36299999999999999</v>
      </c>
      <c r="I45" s="352">
        <f t="shared" si="2"/>
        <v>1.0629999999999999</v>
      </c>
      <c r="J45" s="351">
        <f t="shared" si="3"/>
        <v>1.9293449999999999</v>
      </c>
      <c r="K45" s="351" t="s">
        <v>45</v>
      </c>
      <c r="L45" s="351">
        <v>5</v>
      </c>
      <c r="M45" s="352">
        <f t="shared" si="8"/>
        <v>0.36299999999999999</v>
      </c>
      <c r="N45" s="351">
        <f t="shared" si="4"/>
        <v>1.8149999999999999</v>
      </c>
      <c r="O45" s="351">
        <f t="shared" si="5"/>
        <v>5</v>
      </c>
      <c r="P45" s="351">
        <f t="shared" si="6"/>
        <v>0.36299999999999999</v>
      </c>
      <c r="Q45" s="351">
        <f t="shared" si="7"/>
        <v>1.8149999999999999</v>
      </c>
      <c r="R45" s="351"/>
      <c r="S45" s="351"/>
    </row>
    <row r="46" spans="2:19" ht="26.25" hidden="1" customHeight="1">
      <c r="B46" s="351">
        <f t="shared" si="0"/>
        <v>33</v>
      </c>
      <c r="C46" s="351" t="s">
        <v>59</v>
      </c>
      <c r="D46" s="351" t="s">
        <v>56</v>
      </c>
      <c r="E46" s="351">
        <v>63</v>
      </c>
      <c r="F46" s="351">
        <v>16</v>
      </c>
      <c r="G46" s="351">
        <v>17.5</v>
      </c>
      <c r="H46" s="352">
        <f t="shared" si="1"/>
        <v>0.36299999999999999</v>
      </c>
      <c r="I46" s="352">
        <f t="shared" si="2"/>
        <v>1.0629999999999999</v>
      </c>
      <c r="J46" s="351"/>
      <c r="K46" s="351"/>
      <c r="L46" s="351"/>
      <c r="M46" s="351"/>
      <c r="N46" s="351"/>
      <c r="O46" s="351"/>
      <c r="P46" s="351"/>
      <c r="Q46" s="351"/>
      <c r="R46" s="351"/>
      <c r="S46" s="351"/>
    </row>
    <row r="47" spans="2:19" ht="26.25" hidden="1" customHeight="1">
      <c r="B47" s="351">
        <f t="shared" si="0"/>
        <v>34</v>
      </c>
      <c r="C47" s="351" t="s">
        <v>56</v>
      </c>
      <c r="D47" s="351" t="s">
        <v>60</v>
      </c>
      <c r="E47" s="351">
        <v>63</v>
      </c>
      <c r="F47" s="351">
        <v>25</v>
      </c>
      <c r="G47" s="351">
        <v>21.4</v>
      </c>
      <c r="H47" s="352">
        <f t="shared" si="1"/>
        <v>0.36299999999999999</v>
      </c>
      <c r="I47" s="352">
        <f t="shared" si="2"/>
        <v>1.0629999999999999</v>
      </c>
      <c r="J47" s="351"/>
      <c r="K47" s="351"/>
      <c r="L47" s="351"/>
      <c r="M47" s="351"/>
      <c r="N47" s="351"/>
      <c r="O47" s="351"/>
      <c r="P47" s="351"/>
      <c r="Q47" s="351"/>
      <c r="R47" s="351"/>
      <c r="S47" s="351"/>
    </row>
    <row r="48" spans="2:19" ht="26.25" hidden="1" customHeight="1">
      <c r="B48" s="351">
        <f t="shared" si="0"/>
        <v>35</v>
      </c>
      <c r="C48" s="351" t="s">
        <v>60</v>
      </c>
      <c r="D48" s="351" t="s">
        <v>61</v>
      </c>
      <c r="E48" s="351">
        <v>63</v>
      </c>
      <c r="F48" s="351">
        <v>16</v>
      </c>
      <c r="G48" s="351">
        <v>15.8</v>
      </c>
      <c r="H48" s="352">
        <f t="shared" si="1"/>
        <v>0.36299999999999999</v>
      </c>
      <c r="I48" s="352">
        <f t="shared" si="2"/>
        <v>1.0629999999999999</v>
      </c>
      <c r="J48" s="351"/>
      <c r="K48" s="351"/>
      <c r="L48" s="351"/>
      <c r="M48" s="351"/>
      <c r="N48" s="351"/>
      <c r="O48" s="351"/>
      <c r="P48" s="351"/>
      <c r="Q48" s="351"/>
      <c r="R48" s="351"/>
      <c r="S48" s="351"/>
    </row>
    <row r="49" spans="2:19" ht="26.25" hidden="1" customHeight="1">
      <c r="B49" s="351">
        <f t="shared" si="0"/>
        <v>36</v>
      </c>
      <c r="C49" s="351" t="s">
        <v>58</v>
      </c>
      <c r="D49" s="351" t="s">
        <v>62</v>
      </c>
      <c r="E49" s="351">
        <v>63</v>
      </c>
      <c r="F49" s="401">
        <v>229</v>
      </c>
      <c r="G49" s="351">
        <v>130.69999999999999</v>
      </c>
      <c r="H49" s="352">
        <f t="shared" si="1"/>
        <v>0.36299999999999999</v>
      </c>
      <c r="I49" s="352">
        <f t="shared" si="2"/>
        <v>1.0629999999999999</v>
      </c>
      <c r="J49" s="351"/>
      <c r="K49" s="351"/>
      <c r="L49" s="351"/>
      <c r="M49" s="351"/>
      <c r="N49" s="351"/>
      <c r="O49" s="351"/>
      <c r="P49" s="351"/>
      <c r="Q49" s="351"/>
      <c r="R49" s="351"/>
      <c r="S49" s="351"/>
    </row>
    <row r="50" spans="2:19" ht="26.25" hidden="1" customHeight="1">
      <c r="B50" s="351">
        <f t="shared" si="0"/>
        <v>37</v>
      </c>
      <c r="C50" s="351" t="s">
        <v>58</v>
      </c>
      <c r="D50" s="351" t="s">
        <v>62</v>
      </c>
      <c r="E50" s="351">
        <v>63</v>
      </c>
      <c r="F50" s="402"/>
      <c r="G50" s="351">
        <v>32.299999999999997</v>
      </c>
      <c r="H50" s="352">
        <f t="shared" si="1"/>
        <v>0.36299999999999999</v>
      </c>
      <c r="I50" s="352">
        <f t="shared" si="2"/>
        <v>1.0629999999999999</v>
      </c>
      <c r="J50" s="351">
        <f t="shared" si="3"/>
        <v>12.463568699999998</v>
      </c>
      <c r="K50" s="351" t="s">
        <v>45</v>
      </c>
      <c r="L50" s="351">
        <v>32.299999999999997</v>
      </c>
      <c r="M50" s="352">
        <f t="shared" ref="M50:M52" si="9">(300+E50)/1000</f>
        <v>0.36299999999999999</v>
      </c>
      <c r="N50" s="351">
        <f t="shared" si="4"/>
        <v>11.724899999999998</v>
      </c>
      <c r="O50" s="351">
        <f t="shared" si="5"/>
        <v>32.299999999999997</v>
      </c>
      <c r="P50" s="351">
        <f t="shared" si="6"/>
        <v>0.36299999999999999</v>
      </c>
      <c r="Q50" s="351">
        <f t="shared" si="7"/>
        <v>11.724899999999998</v>
      </c>
      <c r="R50" s="351"/>
      <c r="S50" s="351"/>
    </row>
    <row r="51" spans="2:19" ht="26.25" hidden="1" customHeight="1">
      <c r="B51" s="351">
        <f t="shared" si="0"/>
        <v>38</v>
      </c>
      <c r="C51" s="351" t="s">
        <v>58</v>
      </c>
      <c r="D51" s="351" t="s">
        <v>62</v>
      </c>
      <c r="E51" s="351">
        <v>63</v>
      </c>
      <c r="F51" s="402"/>
      <c r="G51" s="351">
        <v>60.5</v>
      </c>
      <c r="H51" s="352">
        <f t="shared" si="1"/>
        <v>0.36299999999999999</v>
      </c>
      <c r="I51" s="352">
        <f t="shared" si="2"/>
        <v>1.0629999999999999</v>
      </c>
      <c r="J51" s="351">
        <f t="shared" si="3"/>
        <v>23.345074499999999</v>
      </c>
      <c r="K51" s="351" t="s">
        <v>45</v>
      </c>
      <c r="L51" s="351">
        <v>60.5</v>
      </c>
      <c r="M51" s="352">
        <f t="shared" si="9"/>
        <v>0.36299999999999999</v>
      </c>
      <c r="N51" s="351">
        <f t="shared" si="4"/>
        <v>21.961500000000001</v>
      </c>
      <c r="O51" s="351">
        <f t="shared" si="5"/>
        <v>60.5</v>
      </c>
      <c r="P51" s="351">
        <f t="shared" si="6"/>
        <v>0.36299999999999999</v>
      </c>
      <c r="Q51" s="351">
        <f t="shared" si="7"/>
        <v>21.961500000000001</v>
      </c>
      <c r="R51" s="351"/>
      <c r="S51" s="351"/>
    </row>
    <row r="52" spans="2:19" ht="26.25" hidden="1" customHeight="1">
      <c r="B52" s="351">
        <f t="shared" si="0"/>
        <v>39</v>
      </c>
      <c r="C52" s="351" t="s">
        <v>58</v>
      </c>
      <c r="D52" s="351" t="s">
        <v>62</v>
      </c>
      <c r="E52" s="351">
        <v>63</v>
      </c>
      <c r="F52" s="403"/>
      <c r="G52" s="351">
        <v>6.3</v>
      </c>
      <c r="H52" s="352">
        <f t="shared" si="1"/>
        <v>0.36299999999999999</v>
      </c>
      <c r="I52" s="352">
        <f t="shared" si="2"/>
        <v>1.0629999999999999</v>
      </c>
      <c r="J52" s="351">
        <f t="shared" si="3"/>
        <v>2.4309746999999997</v>
      </c>
      <c r="K52" s="351" t="s">
        <v>45</v>
      </c>
      <c r="L52" s="351">
        <v>6.3</v>
      </c>
      <c r="M52" s="352">
        <f t="shared" si="9"/>
        <v>0.36299999999999999</v>
      </c>
      <c r="N52" s="351">
        <f t="shared" si="4"/>
        <v>2.2868999999999997</v>
      </c>
      <c r="O52" s="351">
        <f t="shared" si="5"/>
        <v>6.3</v>
      </c>
      <c r="P52" s="351">
        <f t="shared" si="6"/>
        <v>0.36299999999999999</v>
      </c>
      <c r="Q52" s="351">
        <f t="shared" si="7"/>
        <v>2.2868999999999997</v>
      </c>
      <c r="R52" s="351"/>
      <c r="S52" s="351"/>
    </row>
    <row r="53" spans="2:19" ht="26.25" hidden="1" customHeight="1">
      <c r="B53" s="351">
        <f t="shared" si="0"/>
        <v>40</v>
      </c>
      <c r="C53" s="351" t="s">
        <v>63</v>
      </c>
      <c r="D53" s="351" t="s">
        <v>64</v>
      </c>
      <c r="E53" s="351">
        <v>63</v>
      </c>
      <c r="F53" s="351">
        <v>16</v>
      </c>
      <c r="G53" s="351">
        <v>9.8000000000000007</v>
      </c>
      <c r="H53" s="352">
        <f t="shared" si="1"/>
        <v>0.36299999999999999</v>
      </c>
      <c r="I53" s="352">
        <f t="shared" si="2"/>
        <v>1.0629999999999999</v>
      </c>
      <c r="J53" s="351"/>
      <c r="K53" s="351"/>
      <c r="L53" s="351"/>
      <c r="M53" s="351"/>
      <c r="N53" s="351"/>
      <c r="O53" s="351"/>
      <c r="P53" s="351"/>
      <c r="Q53" s="351"/>
      <c r="R53" s="351"/>
      <c r="S53" s="351"/>
    </row>
    <row r="54" spans="2:19" ht="26.25" hidden="1" customHeight="1">
      <c r="B54" s="351">
        <f t="shared" si="0"/>
        <v>41</v>
      </c>
      <c r="C54" s="351" t="s">
        <v>64</v>
      </c>
      <c r="D54" s="351" t="s">
        <v>65</v>
      </c>
      <c r="E54" s="351">
        <v>63</v>
      </c>
      <c r="F54" s="351">
        <v>70</v>
      </c>
      <c r="G54" s="351">
        <v>50.7</v>
      </c>
      <c r="H54" s="352">
        <f t="shared" si="1"/>
        <v>0.36299999999999999</v>
      </c>
      <c r="I54" s="352">
        <f t="shared" si="2"/>
        <v>1.0629999999999999</v>
      </c>
      <c r="J54" s="351"/>
      <c r="K54" s="351"/>
      <c r="L54" s="351"/>
      <c r="M54" s="351"/>
      <c r="N54" s="351"/>
      <c r="O54" s="351"/>
      <c r="P54" s="351"/>
      <c r="Q54" s="351"/>
      <c r="R54" s="351"/>
      <c r="S54" s="351"/>
    </row>
    <row r="55" spans="2:19" ht="26.25" hidden="1" customHeight="1">
      <c r="B55" s="351">
        <f t="shared" si="0"/>
        <v>42</v>
      </c>
      <c r="C55" s="351" t="s">
        <v>64</v>
      </c>
      <c r="D55" s="351" t="s">
        <v>66</v>
      </c>
      <c r="E55" s="351">
        <v>63</v>
      </c>
      <c r="F55" s="351">
        <v>185</v>
      </c>
      <c r="G55" s="351">
        <v>224</v>
      </c>
      <c r="H55" s="352">
        <f t="shared" si="1"/>
        <v>0.36299999999999999</v>
      </c>
      <c r="I55" s="352">
        <f t="shared" si="2"/>
        <v>1.0629999999999999</v>
      </c>
      <c r="J55" s="351"/>
      <c r="K55" s="351"/>
      <c r="L55" s="351"/>
      <c r="M55" s="351"/>
      <c r="N55" s="351"/>
      <c r="O55" s="351"/>
      <c r="P55" s="351"/>
      <c r="Q55" s="351"/>
      <c r="R55" s="351"/>
      <c r="S55" s="351"/>
    </row>
    <row r="56" spans="2:19" ht="26.25" hidden="1" customHeight="1">
      <c r="B56" s="351">
        <f t="shared" si="0"/>
        <v>43</v>
      </c>
      <c r="C56" s="351" t="s">
        <v>63</v>
      </c>
      <c r="D56" s="351" t="s">
        <v>67</v>
      </c>
      <c r="E56" s="351">
        <v>63</v>
      </c>
      <c r="F56" s="351">
        <v>319</v>
      </c>
      <c r="G56" s="351">
        <v>300</v>
      </c>
      <c r="H56" s="352">
        <f t="shared" si="1"/>
        <v>0.36299999999999999</v>
      </c>
      <c r="I56" s="352">
        <f t="shared" si="2"/>
        <v>1.0629999999999999</v>
      </c>
      <c r="J56" s="351"/>
      <c r="K56" s="351"/>
      <c r="L56" s="351"/>
      <c r="M56" s="351"/>
      <c r="N56" s="351"/>
      <c r="O56" s="351"/>
      <c r="P56" s="351"/>
      <c r="Q56" s="351"/>
      <c r="R56" s="351"/>
      <c r="S56" s="351"/>
    </row>
    <row r="57" spans="2:19" ht="26.25" hidden="1" customHeight="1">
      <c r="B57" s="351">
        <f t="shared" si="0"/>
        <v>44</v>
      </c>
      <c r="C57" s="351" t="s">
        <v>67</v>
      </c>
      <c r="D57" s="351" t="s">
        <v>68</v>
      </c>
      <c r="E57" s="351">
        <v>63</v>
      </c>
      <c r="F57" s="351">
        <v>349</v>
      </c>
      <c r="G57" s="351">
        <v>367.1</v>
      </c>
      <c r="H57" s="352">
        <f t="shared" si="1"/>
        <v>0.36299999999999999</v>
      </c>
      <c r="I57" s="352">
        <f t="shared" si="2"/>
        <v>1.0629999999999999</v>
      </c>
      <c r="J57" s="351"/>
      <c r="K57" s="351"/>
      <c r="L57" s="351"/>
      <c r="M57" s="351"/>
      <c r="N57" s="351"/>
      <c r="O57" s="351"/>
      <c r="P57" s="351"/>
      <c r="Q57" s="351"/>
      <c r="R57" s="351"/>
      <c r="S57" s="351"/>
    </row>
    <row r="58" spans="2:19" ht="26.25" hidden="1" customHeight="1">
      <c r="B58" s="351">
        <f t="shared" si="0"/>
        <v>45</v>
      </c>
      <c r="C58" s="351" t="s">
        <v>67</v>
      </c>
      <c r="D58" s="351" t="s">
        <v>69</v>
      </c>
      <c r="E58" s="351">
        <v>63</v>
      </c>
      <c r="F58" s="351">
        <v>263</v>
      </c>
      <c r="G58" s="351">
        <v>264.3</v>
      </c>
      <c r="H58" s="352">
        <f t="shared" si="1"/>
        <v>0.36299999999999999</v>
      </c>
      <c r="I58" s="352">
        <f t="shared" si="2"/>
        <v>1.0629999999999999</v>
      </c>
      <c r="J58" s="351"/>
      <c r="K58" s="351"/>
      <c r="L58" s="351"/>
      <c r="M58" s="351"/>
      <c r="N58" s="351"/>
      <c r="O58" s="351"/>
      <c r="P58" s="351"/>
      <c r="Q58" s="351"/>
      <c r="R58" s="351"/>
      <c r="S58" s="351"/>
    </row>
    <row r="59" spans="2:19" ht="26.25" hidden="1" customHeight="1">
      <c r="B59" s="351">
        <f t="shared" si="0"/>
        <v>46</v>
      </c>
      <c r="C59" s="351" t="s">
        <v>69</v>
      </c>
      <c r="D59" s="351" t="s">
        <v>70</v>
      </c>
      <c r="E59" s="351">
        <v>63</v>
      </c>
      <c r="F59" s="351">
        <v>148</v>
      </c>
      <c r="G59" s="351">
        <v>147.1</v>
      </c>
      <c r="H59" s="352">
        <f t="shared" si="1"/>
        <v>0.36299999999999999</v>
      </c>
      <c r="I59" s="352">
        <f t="shared" si="2"/>
        <v>1.0629999999999999</v>
      </c>
      <c r="J59" s="351"/>
      <c r="K59" s="351"/>
      <c r="L59" s="351"/>
      <c r="M59" s="351"/>
      <c r="N59" s="351"/>
      <c r="O59" s="351"/>
      <c r="P59" s="351"/>
      <c r="Q59" s="351"/>
      <c r="R59" s="351"/>
      <c r="S59" s="351"/>
    </row>
    <row r="60" spans="2:19" ht="26.25" hidden="1" customHeight="1">
      <c r="B60" s="351">
        <f t="shared" si="0"/>
        <v>47</v>
      </c>
      <c r="C60" s="351" t="s">
        <v>70</v>
      </c>
      <c r="D60" s="351" t="s">
        <v>71</v>
      </c>
      <c r="E60" s="351">
        <v>63</v>
      </c>
      <c r="F60" s="351">
        <v>74</v>
      </c>
      <c r="G60" s="351">
        <v>74.7</v>
      </c>
      <c r="H60" s="352">
        <f t="shared" si="1"/>
        <v>0.36299999999999999</v>
      </c>
      <c r="I60" s="352">
        <f t="shared" si="2"/>
        <v>1.0629999999999999</v>
      </c>
      <c r="J60" s="351"/>
      <c r="K60" s="351"/>
      <c r="L60" s="351"/>
      <c r="M60" s="351"/>
      <c r="N60" s="351"/>
      <c r="O60" s="351"/>
      <c r="P60" s="351"/>
      <c r="Q60" s="351"/>
      <c r="R60" s="351"/>
      <c r="S60" s="351"/>
    </row>
    <row r="61" spans="2:19" ht="26.25" hidden="1" customHeight="1">
      <c r="B61" s="351">
        <f t="shared" si="0"/>
        <v>48</v>
      </c>
      <c r="C61" s="351" t="s">
        <v>70</v>
      </c>
      <c r="D61" s="351" t="s">
        <v>72</v>
      </c>
      <c r="E61" s="351">
        <v>63</v>
      </c>
      <c r="F61" s="351">
        <v>596</v>
      </c>
      <c r="G61" s="351">
        <v>581.29999999999995</v>
      </c>
      <c r="H61" s="352">
        <f t="shared" si="1"/>
        <v>0.36299999999999999</v>
      </c>
      <c r="I61" s="352">
        <f t="shared" si="2"/>
        <v>1.0629999999999999</v>
      </c>
      <c r="J61" s="351"/>
      <c r="K61" s="351"/>
      <c r="L61" s="351"/>
      <c r="M61" s="351"/>
      <c r="N61" s="351"/>
      <c r="O61" s="351"/>
      <c r="P61" s="351"/>
      <c r="Q61" s="351"/>
      <c r="R61" s="351"/>
      <c r="S61" s="351"/>
    </row>
    <row r="62" spans="2:19" ht="26.25" hidden="1" customHeight="1">
      <c r="B62" s="351">
        <f t="shared" si="0"/>
        <v>49</v>
      </c>
      <c r="C62" s="351" t="s">
        <v>73</v>
      </c>
      <c r="D62" s="351" t="s">
        <v>74</v>
      </c>
      <c r="E62" s="351">
        <v>63</v>
      </c>
      <c r="F62" s="351">
        <v>55</v>
      </c>
      <c r="G62" s="351">
        <v>56.8</v>
      </c>
      <c r="H62" s="352">
        <f t="shared" si="1"/>
        <v>0.36299999999999999</v>
      </c>
      <c r="I62" s="352">
        <f t="shared" si="2"/>
        <v>1.0629999999999999</v>
      </c>
      <c r="J62" s="351"/>
      <c r="K62" s="351"/>
      <c r="L62" s="351"/>
      <c r="M62" s="351"/>
      <c r="N62" s="351"/>
      <c r="O62" s="351"/>
      <c r="P62" s="351"/>
      <c r="Q62" s="351"/>
      <c r="R62" s="351"/>
      <c r="S62" s="351"/>
    </row>
    <row r="63" spans="2:19" ht="26.25" hidden="1" customHeight="1">
      <c r="B63" s="351">
        <f t="shared" si="0"/>
        <v>50</v>
      </c>
      <c r="C63" s="351" t="s">
        <v>74</v>
      </c>
      <c r="D63" s="351" t="s">
        <v>75</v>
      </c>
      <c r="E63" s="351">
        <v>63</v>
      </c>
      <c r="F63" s="351">
        <v>80</v>
      </c>
      <c r="G63" s="351">
        <v>86</v>
      </c>
      <c r="H63" s="352">
        <f t="shared" si="1"/>
        <v>0.36299999999999999</v>
      </c>
      <c r="I63" s="352">
        <f t="shared" si="2"/>
        <v>1.0629999999999999</v>
      </c>
      <c r="J63" s="351"/>
      <c r="K63" s="351"/>
      <c r="L63" s="351"/>
      <c r="M63" s="351"/>
      <c r="N63" s="351"/>
      <c r="O63" s="351"/>
      <c r="P63" s="351"/>
      <c r="Q63" s="351"/>
      <c r="R63" s="351"/>
      <c r="S63" s="351"/>
    </row>
    <row r="64" spans="2:19" ht="26.25" hidden="1" customHeight="1">
      <c r="B64" s="351">
        <f t="shared" si="0"/>
        <v>51</v>
      </c>
      <c r="C64" s="351" t="s">
        <v>75</v>
      </c>
      <c r="D64" s="351" t="s">
        <v>76</v>
      </c>
      <c r="E64" s="351">
        <v>63</v>
      </c>
      <c r="F64" s="351">
        <v>25</v>
      </c>
      <c r="G64" s="351">
        <v>23.1</v>
      </c>
      <c r="H64" s="352">
        <f t="shared" si="1"/>
        <v>0.36299999999999999</v>
      </c>
      <c r="I64" s="352">
        <f t="shared" si="2"/>
        <v>1.0629999999999999</v>
      </c>
      <c r="J64" s="351"/>
      <c r="K64" s="351"/>
      <c r="L64" s="351"/>
      <c r="M64" s="351"/>
      <c r="N64" s="351"/>
      <c r="O64" s="351"/>
      <c r="P64" s="351"/>
      <c r="Q64" s="351"/>
      <c r="R64" s="351"/>
      <c r="S64" s="351"/>
    </row>
    <row r="65" spans="2:19" ht="26.25" hidden="1" customHeight="1">
      <c r="B65" s="351">
        <f t="shared" si="0"/>
        <v>52</v>
      </c>
      <c r="C65" s="351" t="s">
        <v>76</v>
      </c>
      <c r="D65" s="351" t="s">
        <v>77</v>
      </c>
      <c r="E65" s="351">
        <v>63</v>
      </c>
      <c r="F65" s="351">
        <v>59</v>
      </c>
      <c r="G65" s="351">
        <v>49.9</v>
      </c>
      <c r="H65" s="352">
        <f t="shared" si="1"/>
        <v>0.36299999999999999</v>
      </c>
      <c r="I65" s="352">
        <f t="shared" si="2"/>
        <v>1.0629999999999999</v>
      </c>
      <c r="J65" s="351"/>
      <c r="K65" s="351"/>
      <c r="L65" s="351"/>
      <c r="M65" s="351"/>
      <c r="N65" s="351"/>
      <c r="O65" s="351"/>
      <c r="P65" s="351"/>
      <c r="Q65" s="351"/>
      <c r="R65" s="351"/>
      <c r="S65" s="351"/>
    </row>
    <row r="66" spans="2:19" ht="26.25" hidden="1" customHeight="1">
      <c r="B66" s="351">
        <f t="shared" si="0"/>
        <v>53</v>
      </c>
      <c r="C66" s="351" t="s">
        <v>76</v>
      </c>
      <c r="D66" s="351" t="s">
        <v>78</v>
      </c>
      <c r="E66" s="351">
        <v>63</v>
      </c>
      <c r="F66" s="401">
        <v>69</v>
      </c>
      <c r="G66" s="351">
        <v>36.9</v>
      </c>
      <c r="H66" s="352">
        <f t="shared" si="1"/>
        <v>0.36299999999999999</v>
      </c>
      <c r="I66" s="352">
        <f t="shared" si="2"/>
        <v>1.0629999999999999</v>
      </c>
      <c r="J66" s="351">
        <f t="shared" si="3"/>
        <v>14.238566099999998</v>
      </c>
      <c r="K66" s="351" t="s">
        <v>45</v>
      </c>
      <c r="L66" s="351">
        <v>36.9</v>
      </c>
      <c r="M66" s="352">
        <f t="shared" ref="M66:M67" si="10">(300+E66)/1000</f>
        <v>0.36299999999999999</v>
      </c>
      <c r="N66" s="351">
        <f t="shared" si="4"/>
        <v>13.394699999999998</v>
      </c>
      <c r="O66" s="351">
        <f t="shared" si="5"/>
        <v>36.9</v>
      </c>
      <c r="P66" s="351">
        <f t="shared" si="6"/>
        <v>0.36299999999999999</v>
      </c>
      <c r="Q66" s="351">
        <f t="shared" si="7"/>
        <v>13.394699999999998</v>
      </c>
      <c r="R66" s="351"/>
      <c r="S66" s="351"/>
    </row>
    <row r="67" spans="2:19" ht="26.25" hidden="1" customHeight="1">
      <c r="B67" s="351">
        <f t="shared" si="0"/>
        <v>54</v>
      </c>
      <c r="C67" s="351" t="s">
        <v>76</v>
      </c>
      <c r="D67" s="351" t="s">
        <v>78</v>
      </c>
      <c r="E67" s="351">
        <v>63</v>
      </c>
      <c r="F67" s="403"/>
      <c r="G67" s="351">
        <v>30</v>
      </c>
      <c r="H67" s="352">
        <f t="shared" si="1"/>
        <v>0.36299999999999999</v>
      </c>
      <c r="I67" s="352">
        <f t="shared" si="2"/>
        <v>1.0629999999999999</v>
      </c>
      <c r="J67" s="351">
        <f t="shared" si="3"/>
        <v>11.57607</v>
      </c>
      <c r="K67" s="351" t="s">
        <v>45</v>
      </c>
      <c r="L67" s="351">
        <v>30</v>
      </c>
      <c r="M67" s="352">
        <f t="shared" si="10"/>
        <v>0.36299999999999999</v>
      </c>
      <c r="N67" s="351">
        <f t="shared" si="4"/>
        <v>10.89</v>
      </c>
      <c r="O67" s="351">
        <f t="shared" si="5"/>
        <v>30</v>
      </c>
      <c r="P67" s="351">
        <f t="shared" si="6"/>
        <v>0.36299999999999999</v>
      </c>
      <c r="Q67" s="351">
        <f t="shared" si="7"/>
        <v>10.89</v>
      </c>
      <c r="R67" s="351"/>
      <c r="S67" s="351"/>
    </row>
    <row r="68" spans="2:19" ht="26.25" hidden="1" customHeight="1">
      <c r="B68" s="351">
        <f t="shared" si="0"/>
        <v>55</v>
      </c>
      <c r="C68" s="351" t="s">
        <v>79</v>
      </c>
      <c r="D68" s="351" t="s">
        <v>80</v>
      </c>
      <c r="E68" s="351">
        <v>63</v>
      </c>
      <c r="F68" s="351">
        <v>102</v>
      </c>
      <c r="G68" s="351">
        <v>102</v>
      </c>
      <c r="H68" s="352">
        <f t="shared" si="1"/>
        <v>0.36299999999999999</v>
      </c>
      <c r="I68" s="352">
        <f t="shared" si="2"/>
        <v>1.0629999999999999</v>
      </c>
      <c r="J68" s="351"/>
      <c r="K68" s="351"/>
      <c r="L68" s="351"/>
      <c r="M68" s="351"/>
      <c r="N68" s="351"/>
      <c r="O68" s="351"/>
      <c r="P68" s="351"/>
      <c r="Q68" s="351"/>
      <c r="R68" s="351"/>
      <c r="S68" s="351"/>
    </row>
    <row r="69" spans="2:19" ht="26.25" hidden="1" customHeight="1">
      <c r="B69" s="351">
        <f t="shared" si="0"/>
        <v>56</v>
      </c>
      <c r="C69" s="351" t="s">
        <v>80</v>
      </c>
      <c r="D69" s="351" t="s">
        <v>81</v>
      </c>
      <c r="E69" s="351">
        <v>63</v>
      </c>
      <c r="F69" s="351">
        <v>141</v>
      </c>
      <c r="G69" s="351">
        <v>150.30000000000001</v>
      </c>
      <c r="H69" s="352">
        <f t="shared" si="1"/>
        <v>0.36299999999999999</v>
      </c>
      <c r="I69" s="352">
        <f t="shared" si="2"/>
        <v>1.0629999999999999</v>
      </c>
      <c r="J69" s="351"/>
      <c r="K69" s="351"/>
      <c r="L69" s="351"/>
      <c r="M69" s="351"/>
      <c r="N69" s="351"/>
      <c r="O69" s="351"/>
      <c r="P69" s="351"/>
      <c r="Q69" s="351"/>
      <c r="R69" s="351"/>
      <c r="S69" s="351"/>
    </row>
    <row r="70" spans="2:19" ht="26.25" hidden="1" customHeight="1">
      <c r="B70" s="351">
        <f t="shared" si="0"/>
        <v>57</v>
      </c>
      <c r="C70" s="351" t="s">
        <v>81</v>
      </c>
      <c r="D70" s="351" t="s">
        <v>82</v>
      </c>
      <c r="E70" s="351">
        <v>63</v>
      </c>
      <c r="F70" s="351">
        <v>42</v>
      </c>
      <c r="G70" s="351">
        <v>43.8</v>
      </c>
      <c r="H70" s="352">
        <f t="shared" si="1"/>
        <v>0.36299999999999999</v>
      </c>
      <c r="I70" s="352">
        <f t="shared" si="2"/>
        <v>1.0629999999999999</v>
      </c>
      <c r="J70" s="351"/>
      <c r="K70" s="351"/>
      <c r="L70" s="351"/>
      <c r="M70" s="351"/>
      <c r="N70" s="351"/>
      <c r="O70" s="351"/>
      <c r="P70" s="351"/>
      <c r="Q70" s="351"/>
      <c r="R70" s="351"/>
      <c r="S70" s="351"/>
    </row>
    <row r="71" spans="2:19" ht="26.25" hidden="1" customHeight="1">
      <c r="B71" s="351">
        <f t="shared" si="0"/>
        <v>58</v>
      </c>
      <c r="C71" s="351" t="s">
        <v>82</v>
      </c>
      <c r="D71" s="351" t="s">
        <v>83</v>
      </c>
      <c r="E71" s="351">
        <v>63</v>
      </c>
      <c r="F71" s="401">
        <v>75</v>
      </c>
      <c r="G71" s="351">
        <v>28.7</v>
      </c>
      <c r="H71" s="352">
        <f t="shared" si="1"/>
        <v>0.36299999999999999</v>
      </c>
      <c r="I71" s="352">
        <f t="shared" si="2"/>
        <v>1.0629999999999999</v>
      </c>
      <c r="J71" s="351"/>
      <c r="K71" s="351"/>
      <c r="L71" s="351"/>
      <c r="M71" s="351"/>
      <c r="N71" s="351"/>
      <c r="O71" s="351"/>
      <c r="P71" s="351"/>
      <c r="Q71" s="351"/>
      <c r="R71" s="351"/>
      <c r="S71" s="351"/>
    </row>
    <row r="72" spans="2:19" ht="26.25" hidden="1" customHeight="1">
      <c r="B72" s="351">
        <f t="shared" si="0"/>
        <v>59</v>
      </c>
      <c r="C72" s="351" t="s">
        <v>82</v>
      </c>
      <c r="D72" s="351" t="s">
        <v>83</v>
      </c>
      <c r="E72" s="351">
        <v>63</v>
      </c>
      <c r="F72" s="402"/>
      <c r="G72" s="351">
        <v>10.5</v>
      </c>
      <c r="H72" s="352">
        <f t="shared" si="1"/>
        <v>0.36299999999999999</v>
      </c>
      <c r="I72" s="352">
        <f t="shared" si="2"/>
        <v>1.0629999999999999</v>
      </c>
      <c r="J72" s="351">
        <f t="shared" si="3"/>
        <v>4.0516245</v>
      </c>
      <c r="K72" s="351" t="s">
        <v>45</v>
      </c>
      <c r="L72" s="351">
        <v>10.5</v>
      </c>
      <c r="M72" s="352">
        <f>(300+E72)/1000</f>
        <v>0.36299999999999999</v>
      </c>
      <c r="N72" s="351">
        <f t="shared" si="4"/>
        <v>3.8114999999999997</v>
      </c>
      <c r="O72" s="351">
        <f t="shared" si="5"/>
        <v>10.5</v>
      </c>
      <c r="P72" s="351">
        <f t="shared" si="6"/>
        <v>0.36299999999999999</v>
      </c>
      <c r="Q72" s="351">
        <f t="shared" si="7"/>
        <v>3.8114999999999997</v>
      </c>
      <c r="R72" s="351"/>
      <c r="S72" s="351"/>
    </row>
    <row r="73" spans="2:19" ht="26.25" hidden="1" customHeight="1">
      <c r="B73" s="351">
        <f t="shared" si="0"/>
        <v>60</v>
      </c>
      <c r="C73" s="351" t="s">
        <v>82</v>
      </c>
      <c r="D73" s="351" t="s">
        <v>83</v>
      </c>
      <c r="E73" s="351">
        <v>63</v>
      </c>
      <c r="F73" s="402"/>
      <c r="G73" s="351">
        <v>31</v>
      </c>
      <c r="H73" s="352">
        <f t="shared" si="1"/>
        <v>0.36299999999999999</v>
      </c>
      <c r="I73" s="352">
        <f t="shared" si="2"/>
        <v>1.0629999999999999</v>
      </c>
      <c r="J73" s="351"/>
      <c r="K73" s="351"/>
      <c r="L73" s="351"/>
      <c r="M73" s="351"/>
      <c r="N73" s="351"/>
      <c r="O73" s="351"/>
      <c r="P73" s="351"/>
      <c r="Q73" s="351"/>
      <c r="R73" s="351"/>
      <c r="S73" s="351"/>
    </row>
    <row r="74" spans="2:19" ht="26.25" hidden="1" customHeight="1">
      <c r="B74" s="351">
        <f t="shared" si="0"/>
        <v>61</v>
      </c>
      <c r="C74" s="351" t="s">
        <v>82</v>
      </c>
      <c r="D74" s="351" t="s">
        <v>83</v>
      </c>
      <c r="E74" s="351">
        <v>63</v>
      </c>
      <c r="F74" s="403"/>
      <c r="G74" s="351">
        <v>2.4</v>
      </c>
      <c r="H74" s="352">
        <f t="shared" si="1"/>
        <v>0.36299999999999999</v>
      </c>
      <c r="I74" s="352">
        <f t="shared" si="2"/>
        <v>1.0629999999999999</v>
      </c>
      <c r="J74" s="351">
        <f t="shared" si="3"/>
        <v>0.92608559999999984</v>
      </c>
      <c r="K74" s="351" t="s">
        <v>45</v>
      </c>
      <c r="L74" s="351">
        <v>2.4</v>
      </c>
      <c r="M74" s="352">
        <f>(300+E74)/1000</f>
        <v>0.36299999999999999</v>
      </c>
      <c r="N74" s="351">
        <f t="shared" si="4"/>
        <v>0.87119999999999997</v>
      </c>
      <c r="O74" s="351">
        <f t="shared" si="5"/>
        <v>2.4</v>
      </c>
      <c r="P74" s="351">
        <f t="shared" si="6"/>
        <v>0.36299999999999999</v>
      </c>
      <c r="Q74" s="351">
        <f t="shared" si="7"/>
        <v>0.87119999999999997</v>
      </c>
      <c r="R74" s="351"/>
      <c r="S74" s="351"/>
    </row>
    <row r="75" spans="2:19" ht="26.25" hidden="1" customHeight="1">
      <c r="B75" s="351">
        <f t="shared" si="0"/>
        <v>62</v>
      </c>
      <c r="C75" s="351" t="s">
        <v>84</v>
      </c>
      <c r="D75" s="351" t="s">
        <v>74</v>
      </c>
      <c r="E75" s="351">
        <v>63</v>
      </c>
      <c r="F75" s="400">
        <v>461</v>
      </c>
      <c r="G75" s="353">
        <f>144.5+92.3</f>
        <v>236.8</v>
      </c>
      <c r="H75" s="352">
        <f t="shared" si="1"/>
        <v>0.36299999999999999</v>
      </c>
      <c r="I75" s="352">
        <f t="shared" si="2"/>
        <v>1.0629999999999999</v>
      </c>
      <c r="J75" s="351"/>
      <c r="K75" s="351"/>
      <c r="L75" s="351"/>
      <c r="M75" s="351"/>
      <c r="N75" s="351"/>
      <c r="O75" s="351"/>
      <c r="P75" s="351"/>
      <c r="Q75" s="351"/>
      <c r="R75" s="351"/>
      <c r="S75" s="351"/>
    </row>
    <row r="76" spans="2:19" ht="26.25" hidden="1" customHeight="1">
      <c r="B76" s="351">
        <v>63</v>
      </c>
      <c r="C76" s="351" t="s">
        <v>84</v>
      </c>
      <c r="D76" s="351" t="s">
        <v>85</v>
      </c>
      <c r="E76" s="351">
        <v>63</v>
      </c>
      <c r="F76" s="351">
        <v>374</v>
      </c>
      <c r="G76" s="351">
        <v>299.2</v>
      </c>
      <c r="H76" s="352">
        <f t="shared" si="1"/>
        <v>0.36299999999999999</v>
      </c>
      <c r="I76" s="352">
        <f t="shared" si="2"/>
        <v>1.0629999999999999</v>
      </c>
      <c r="J76" s="351"/>
      <c r="K76" s="351"/>
      <c r="L76" s="351"/>
      <c r="M76" s="351"/>
      <c r="N76" s="351"/>
      <c r="O76" s="351"/>
      <c r="P76" s="351"/>
      <c r="Q76" s="351"/>
      <c r="R76" s="351"/>
      <c r="S76" s="351"/>
    </row>
    <row r="77" spans="2:19" ht="26.25" hidden="1" customHeight="1">
      <c r="B77" s="351">
        <f t="shared" si="0"/>
        <v>64</v>
      </c>
      <c r="C77" s="351" t="s">
        <v>85</v>
      </c>
      <c r="D77" s="351" t="s">
        <v>54</v>
      </c>
      <c r="E77" s="351">
        <v>63</v>
      </c>
      <c r="F77" s="351">
        <v>185</v>
      </c>
      <c r="G77" s="351">
        <v>190.6</v>
      </c>
      <c r="H77" s="352">
        <f t="shared" si="1"/>
        <v>0.36299999999999999</v>
      </c>
      <c r="I77" s="352">
        <f t="shared" si="2"/>
        <v>1.0629999999999999</v>
      </c>
      <c r="J77" s="351"/>
      <c r="K77" s="351"/>
      <c r="L77" s="351"/>
      <c r="M77" s="351"/>
      <c r="N77" s="351"/>
      <c r="O77" s="351"/>
      <c r="P77" s="351"/>
      <c r="Q77" s="351"/>
      <c r="R77" s="351"/>
      <c r="S77" s="351"/>
    </row>
    <row r="78" spans="2:19" ht="26.25" hidden="1" customHeight="1">
      <c r="B78" s="351">
        <f t="shared" ref="B78:B157" si="11">+B77+1</f>
        <v>65</v>
      </c>
      <c r="C78" s="351" t="s">
        <v>54</v>
      </c>
      <c r="D78" s="351" t="s">
        <v>86</v>
      </c>
      <c r="E78" s="351">
        <v>63</v>
      </c>
      <c r="F78" s="351">
        <v>87</v>
      </c>
      <c r="G78" s="351">
        <v>83.9</v>
      </c>
      <c r="H78" s="352">
        <f t="shared" si="1"/>
        <v>0.36299999999999999</v>
      </c>
      <c r="I78" s="352">
        <f t="shared" si="2"/>
        <v>1.0629999999999999</v>
      </c>
      <c r="J78" s="351"/>
      <c r="K78" s="351"/>
      <c r="L78" s="351"/>
      <c r="M78" s="351"/>
      <c r="N78" s="351"/>
      <c r="O78" s="351"/>
      <c r="P78" s="351"/>
      <c r="Q78" s="351"/>
      <c r="R78" s="351"/>
      <c r="S78" s="351"/>
    </row>
    <row r="79" spans="2:19" ht="26.25" hidden="1" customHeight="1">
      <c r="B79" s="351">
        <f t="shared" si="11"/>
        <v>66</v>
      </c>
      <c r="C79" s="351" t="s">
        <v>86</v>
      </c>
      <c r="D79" s="351" t="s">
        <v>87</v>
      </c>
      <c r="E79" s="351">
        <v>63</v>
      </c>
      <c r="F79" s="351">
        <v>280</v>
      </c>
      <c r="G79" s="351">
        <v>287.39999999999998</v>
      </c>
      <c r="H79" s="352">
        <f t="shared" ref="H79:H142" si="12">(300+E79)/1000</f>
        <v>0.36299999999999999</v>
      </c>
      <c r="I79" s="352">
        <f t="shared" ref="I79:I142" si="13">(1000+E79)/1000</f>
        <v>1.0629999999999999</v>
      </c>
      <c r="J79" s="351"/>
      <c r="K79" s="351"/>
      <c r="L79" s="351"/>
      <c r="M79" s="351"/>
      <c r="N79" s="351"/>
      <c r="O79" s="351"/>
      <c r="P79" s="351"/>
      <c r="Q79" s="351"/>
      <c r="R79" s="351"/>
      <c r="S79" s="351"/>
    </row>
    <row r="80" spans="2:19" ht="26.25" hidden="1" customHeight="1">
      <c r="B80" s="351">
        <f t="shared" si="11"/>
        <v>67</v>
      </c>
      <c r="C80" s="351" t="s">
        <v>87</v>
      </c>
      <c r="D80" s="351" t="s">
        <v>88</v>
      </c>
      <c r="E80" s="351">
        <v>63</v>
      </c>
      <c r="F80" s="401">
        <v>46</v>
      </c>
      <c r="G80" s="351">
        <v>3.3</v>
      </c>
      <c r="H80" s="352">
        <f t="shared" si="12"/>
        <v>0.36299999999999999</v>
      </c>
      <c r="I80" s="352">
        <f t="shared" si="13"/>
        <v>1.0629999999999999</v>
      </c>
      <c r="J80" s="351">
        <f t="shared" ref="J80:J156" si="14">+I80*H80*G80</f>
        <v>1.2733676999999999</v>
      </c>
      <c r="K80" s="351" t="s">
        <v>45</v>
      </c>
      <c r="L80" s="351">
        <v>3.3</v>
      </c>
      <c r="M80" s="352">
        <f t="shared" ref="M80:M87" si="15">(300+E80)/1000</f>
        <v>0.36299999999999999</v>
      </c>
      <c r="N80" s="351">
        <f t="shared" ref="N80:N156" si="16">+M80*L80</f>
        <v>1.1979</v>
      </c>
      <c r="O80" s="351">
        <f t="shared" ref="O80:O141" si="17">+L80</f>
        <v>3.3</v>
      </c>
      <c r="P80" s="351">
        <f t="shared" ref="P80:P141" si="18">+M80</f>
        <v>0.36299999999999999</v>
      </c>
      <c r="Q80" s="351">
        <f t="shared" ref="Q80:Q156" si="19">+P80*O80</f>
        <v>1.1979</v>
      </c>
      <c r="R80" s="351"/>
      <c r="S80" s="351"/>
    </row>
    <row r="81" spans="2:19" ht="26.25" hidden="1" customHeight="1">
      <c r="B81" s="351">
        <f t="shared" si="11"/>
        <v>68</v>
      </c>
      <c r="C81" s="351" t="s">
        <v>87</v>
      </c>
      <c r="D81" s="351" t="s">
        <v>88</v>
      </c>
      <c r="E81" s="351">
        <v>63</v>
      </c>
      <c r="F81" s="402"/>
      <c r="G81" s="351">
        <v>3.4</v>
      </c>
      <c r="H81" s="352">
        <f t="shared" si="12"/>
        <v>0.36299999999999999</v>
      </c>
      <c r="I81" s="352">
        <f t="shared" si="13"/>
        <v>1.0629999999999999</v>
      </c>
      <c r="J81" s="351">
        <f t="shared" si="14"/>
        <v>1.3119545999999997</v>
      </c>
      <c r="K81" s="351" t="s">
        <v>45</v>
      </c>
      <c r="L81" s="351">
        <v>3.4</v>
      </c>
      <c r="M81" s="352">
        <f t="shared" si="15"/>
        <v>0.36299999999999999</v>
      </c>
      <c r="N81" s="351">
        <f t="shared" si="16"/>
        <v>1.2342</v>
      </c>
      <c r="O81" s="351">
        <f t="shared" si="17"/>
        <v>3.4</v>
      </c>
      <c r="P81" s="351">
        <f t="shared" si="18"/>
        <v>0.36299999999999999</v>
      </c>
      <c r="Q81" s="351">
        <f t="shared" si="19"/>
        <v>1.2342</v>
      </c>
      <c r="R81" s="351"/>
      <c r="S81" s="351"/>
    </row>
    <row r="82" spans="2:19" ht="26.25" hidden="1" customHeight="1">
      <c r="B82" s="351">
        <f t="shared" si="11"/>
        <v>69</v>
      </c>
      <c r="C82" s="351" t="s">
        <v>87</v>
      </c>
      <c r="D82" s="351" t="s">
        <v>88</v>
      </c>
      <c r="E82" s="351">
        <v>63</v>
      </c>
      <c r="F82" s="403"/>
      <c r="G82" s="351">
        <v>21.7</v>
      </c>
      <c r="H82" s="352">
        <f t="shared" si="12"/>
        <v>0.36299999999999999</v>
      </c>
      <c r="I82" s="352">
        <f t="shared" si="13"/>
        <v>1.0629999999999999</v>
      </c>
      <c r="J82" s="351">
        <f t="shared" si="14"/>
        <v>8.3733572999999986</v>
      </c>
      <c r="K82" s="351" t="s">
        <v>45</v>
      </c>
      <c r="L82" s="351">
        <v>21.7</v>
      </c>
      <c r="M82" s="352">
        <f t="shared" si="15"/>
        <v>0.36299999999999999</v>
      </c>
      <c r="N82" s="351">
        <f t="shared" si="16"/>
        <v>7.8770999999999995</v>
      </c>
      <c r="O82" s="351">
        <f t="shared" si="17"/>
        <v>21.7</v>
      </c>
      <c r="P82" s="351">
        <f t="shared" si="18"/>
        <v>0.36299999999999999</v>
      </c>
      <c r="Q82" s="351">
        <f t="shared" si="19"/>
        <v>7.8770999999999995</v>
      </c>
      <c r="R82" s="351"/>
      <c r="S82" s="351"/>
    </row>
    <row r="83" spans="2:19" ht="26.25" hidden="1" customHeight="1">
      <c r="B83" s="351">
        <f t="shared" si="11"/>
        <v>70</v>
      </c>
      <c r="C83" s="351" t="s">
        <v>88</v>
      </c>
      <c r="D83" s="351" t="s">
        <v>89</v>
      </c>
      <c r="E83" s="351">
        <v>63</v>
      </c>
      <c r="F83" s="401">
        <v>39</v>
      </c>
      <c r="G83" s="351">
        <v>25.1</v>
      </c>
      <c r="H83" s="352">
        <f t="shared" si="12"/>
        <v>0.36299999999999999</v>
      </c>
      <c r="I83" s="352">
        <f t="shared" si="13"/>
        <v>1.0629999999999999</v>
      </c>
      <c r="J83" s="351">
        <f t="shared" si="14"/>
        <v>9.6853119000000003</v>
      </c>
      <c r="K83" s="351" t="s">
        <v>45</v>
      </c>
      <c r="L83" s="351">
        <v>25.1</v>
      </c>
      <c r="M83" s="352">
        <f t="shared" si="15"/>
        <v>0.36299999999999999</v>
      </c>
      <c r="N83" s="351">
        <f t="shared" si="16"/>
        <v>9.1113</v>
      </c>
      <c r="O83" s="351">
        <f t="shared" si="17"/>
        <v>25.1</v>
      </c>
      <c r="P83" s="351">
        <f t="shared" si="18"/>
        <v>0.36299999999999999</v>
      </c>
      <c r="Q83" s="351">
        <f t="shared" si="19"/>
        <v>9.1113</v>
      </c>
      <c r="R83" s="351"/>
      <c r="S83" s="351"/>
    </row>
    <row r="84" spans="2:19" ht="26.25" hidden="1" customHeight="1">
      <c r="B84" s="351">
        <f t="shared" si="11"/>
        <v>71</v>
      </c>
      <c r="C84" s="351" t="s">
        <v>88</v>
      </c>
      <c r="D84" s="351" t="s">
        <v>89</v>
      </c>
      <c r="E84" s="351">
        <v>63</v>
      </c>
      <c r="F84" s="403"/>
      <c r="G84" s="351">
        <v>10.5</v>
      </c>
      <c r="H84" s="352">
        <f t="shared" si="12"/>
        <v>0.36299999999999999</v>
      </c>
      <c r="I84" s="352">
        <f t="shared" si="13"/>
        <v>1.0629999999999999</v>
      </c>
      <c r="J84" s="351">
        <f t="shared" si="14"/>
        <v>4.0516245</v>
      </c>
      <c r="K84" s="351" t="s">
        <v>45</v>
      </c>
      <c r="L84" s="351">
        <v>10.5</v>
      </c>
      <c r="M84" s="352">
        <f t="shared" si="15"/>
        <v>0.36299999999999999</v>
      </c>
      <c r="N84" s="351">
        <f t="shared" si="16"/>
        <v>3.8114999999999997</v>
      </c>
      <c r="O84" s="351">
        <f t="shared" si="17"/>
        <v>10.5</v>
      </c>
      <c r="P84" s="351">
        <f t="shared" si="18"/>
        <v>0.36299999999999999</v>
      </c>
      <c r="Q84" s="351">
        <f t="shared" si="19"/>
        <v>3.8114999999999997</v>
      </c>
      <c r="R84" s="351"/>
      <c r="S84" s="351"/>
    </row>
    <row r="85" spans="2:19" ht="26.25" hidden="1" customHeight="1">
      <c r="B85" s="351">
        <f t="shared" si="11"/>
        <v>72</v>
      </c>
      <c r="C85" s="351" t="s">
        <v>78</v>
      </c>
      <c r="D85" s="351" t="s">
        <v>90</v>
      </c>
      <c r="E85" s="351">
        <v>63</v>
      </c>
      <c r="F85" s="401">
        <v>96</v>
      </c>
      <c r="G85" s="351">
        <v>63.9</v>
      </c>
      <c r="H85" s="352">
        <f t="shared" si="12"/>
        <v>0.36299999999999999</v>
      </c>
      <c r="I85" s="352">
        <f t="shared" si="13"/>
        <v>1.0629999999999999</v>
      </c>
      <c r="J85" s="351">
        <f t="shared" si="14"/>
        <v>24.657029099999995</v>
      </c>
      <c r="K85" s="351" t="s">
        <v>45</v>
      </c>
      <c r="L85" s="351">
        <v>63.9</v>
      </c>
      <c r="M85" s="352">
        <f t="shared" si="15"/>
        <v>0.36299999999999999</v>
      </c>
      <c r="N85" s="351">
        <f t="shared" si="16"/>
        <v>23.195699999999999</v>
      </c>
      <c r="O85" s="351">
        <f t="shared" si="17"/>
        <v>63.9</v>
      </c>
      <c r="P85" s="351">
        <f t="shared" si="18"/>
        <v>0.36299999999999999</v>
      </c>
      <c r="Q85" s="351">
        <f t="shared" si="19"/>
        <v>23.195699999999999</v>
      </c>
      <c r="R85" s="351"/>
      <c r="S85" s="351"/>
    </row>
    <row r="86" spans="2:19" ht="26.25" hidden="1" customHeight="1">
      <c r="B86" s="351">
        <f t="shared" si="11"/>
        <v>73</v>
      </c>
      <c r="C86" s="351" t="s">
        <v>78</v>
      </c>
      <c r="D86" s="351" t="s">
        <v>90</v>
      </c>
      <c r="E86" s="351">
        <v>63</v>
      </c>
      <c r="F86" s="403"/>
      <c r="G86" s="351">
        <v>20</v>
      </c>
      <c r="H86" s="352">
        <f t="shared" si="12"/>
        <v>0.36299999999999999</v>
      </c>
      <c r="I86" s="352">
        <f t="shared" si="13"/>
        <v>1.0629999999999999</v>
      </c>
      <c r="J86" s="351">
        <f t="shared" si="14"/>
        <v>7.7173799999999995</v>
      </c>
      <c r="K86" s="351" t="s">
        <v>45</v>
      </c>
      <c r="L86" s="351">
        <v>20</v>
      </c>
      <c r="M86" s="352">
        <f t="shared" si="15"/>
        <v>0.36299999999999999</v>
      </c>
      <c r="N86" s="351">
        <f t="shared" si="16"/>
        <v>7.26</v>
      </c>
      <c r="O86" s="351">
        <f t="shared" si="17"/>
        <v>20</v>
      </c>
      <c r="P86" s="351">
        <f t="shared" si="18"/>
        <v>0.36299999999999999</v>
      </c>
      <c r="Q86" s="351">
        <f t="shared" si="19"/>
        <v>7.26</v>
      </c>
      <c r="R86" s="351"/>
      <c r="S86" s="351"/>
    </row>
    <row r="87" spans="2:19" ht="26.25" hidden="1" customHeight="1">
      <c r="B87" s="351">
        <f t="shared" si="11"/>
        <v>74</v>
      </c>
      <c r="C87" s="351" t="s">
        <v>78</v>
      </c>
      <c r="D87" s="351" t="s">
        <v>91</v>
      </c>
      <c r="E87" s="351">
        <v>63</v>
      </c>
      <c r="F87" s="351"/>
      <c r="G87" s="351">
        <v>2</v>
      </c>
      <c r="H87" s="352">
        <f t="shared" si="12"/>
        <v>0.36299999999999999</v>
      </c>
      <c r="I87" s="352">
        <f t="shared" si="13"/>
        <v>1.0629999999999999</v>
      </c>
      <c r="J87" s="351">
        <f t="shared" si="14"/>
        <v>0.77173799999999992</v>
      </c>
      <c r="K87" s="351" t="s">
        <v>45</v>
      </c>
      <c r="L87" s="351">
        <v>2</v>
      </c>
      <c r="M87" s="352">
        <f t="shared" si="15"/>
        <v>0.36299999999999999</v>
      </c>
      <c r="N87" s="351">
        <f t="shared" si="16"/>
        <v>0.72599999999999998</v>
      </c>
      <c r="O87" s="351">
        <f t="shared" si="17"/>
        <v>2</v>
      </c>
      <c r="P87" s="351">
        <f t="shared" si="18"/>
        <v>0.36299999999999999</v>
      </c>
      <c r="Q87" s="351">
        <f t="shared" si="19"/>
        <v>0.72599999999999998</v>
      </c>
      <c r="R87" s="351"/>
      <c r="S87" s="351"/>
    </row>
    <row r="88" spans="2:19" ht="26.25" hidden="1" customHeight="1">
      <c r="B88" s="351">
        <f t="shared" si="11"/>
        <v>75</v>
      </c>
      <c r="C88" s="351" t="s">
        <v>78</v>
      </c>
      <c r="D88" s="351" t="s">
        <v>91</v>
      </c>
      <c r="E88" s="351">
        <v>63</v>
      </c>
      <c r="F88" s="351">
        <v>150</v>
      </c>
      <c r="G88" s="351">
        <v>173</v>
      </c>
      <c r="H88" s="352">
        <f t="shared" si="12"/>
        <v>0.36299999999999999</v>
      </c>
      <c r="I88" s="352">
        <f t="shared" si="13"/>
        <v>1.0629999999999999</v>
      </c>
      <c r="J88" s="351"/>
      <c r="K88" s="351"/>
      <c r="L88" s="351"/>
      <c r="M88" s="351"/>
      <c r="N88" s="351"/>
      <c r="O88" s="351"/>
      <c r="P88" s="351"/>
      <c r="Q88" s="351"/>
      <c r="R88" s="351"/>
      <c r="S88" s="351"/>
    </row>
    <row r="89" spans="2:19" ht="26.25" hidden="1" customHeight="1">
      <c r="B89" s="351">
        <f t="shared" si="11"/>
        <v>76</v>
      </c>
      <c r="C89" s="351" t="s">
        <v>91</v>
      </c>
      <c r="D89" s="351" t="s">
        <v>92</v>
      </c>
      <c r="E89" s="351">
        <v>63</v>
      </c>
      <c r="F89" s="351"/>
      <c r="G89" s="351">
        <v>116</v>
      </c>
      <c r="H89" s="352">
        <f t="shared" si="12"/>
        <v>0.36299999999999999</v>
      </c>
      <c r="I89" s="352">
        <f t="shared" si="13"/>
        <v>1.0629999999999999</v>
      </c>
      <c r="J89" s="351"/>
      <c r="K89" s="351"/>
      <c r="L89" s="351"/>
      <c r="M89" s="351"/>
      <c r="N89" s="351"/>
      <c r="O89" s="351"/>
      <c r="P89" s="351"/>
      <c r="Q89" s="351"/>
      <c r="R89" s="351"/>
      <c r="S89" s="351"/>
    </row>
    <row r="90" spans="2:19" ht="26.25" hidden="1" customHeight="1">
      <c r="B90" s="351">
        <f t="shared" si="11"/>
        <v>77</v>
      </c>
      <c r="C90" s="351" t="s">
        <v>92</v>
      </c>
      <c r="D90" s="351" t="s">
        <v>93</v>
      </c>
      <c r="E90" s="351">
        <v>63</v>
      </c>
      <c r="F90" s="401">
        <v>134</v>
      </c>
      <c r="G90" s="351">
        <v>95</v>
      </c>
      <c r="H90" s="352">
        <f t="shared" si="12"/>
        <v>0.36299999999999999</v>
      </c>
      <c r="I90" s="352">
        <f t="shared" si="13"/>
        <v>1.0629999999999999</v>
      </c>
      <c r="J90" s="351"/>
      <c r="K90" s="351"/>
      <c r="L90" s="351"/>
      <c r="M90" s="351"/>
      <c r="N90" s="351"/>
      <c r="O90" s="351"/>
      <c r="P90" s="351"/>
      <c r="Q90" s="351"/>
      <c r="R90" s="351"/>
      <c r="S90" s="351"/>
    </row>
    <row r="91" spans="2:19" ht="26.25" hidden="1" customHeight="1">
      <c r="B91" s="351">
        <f t="shared" si="11"/>
        <v>78</v>
      </c>
      <c r="C91" s="351" t="s">
        <v>92</v>
      </c>
      <c r="D91" s="351" t="s">
        <v>93</v>
      </c>
      <c r="E91" s="351">
        <v>63</v>
      </c>
      <c r="F91" s="403"/>
      <c r="G91" s="351">
        <v>34.700000000000003</v>
      </c>
      <c r="H91" s="352">
        <f t="shared" si="12"/>
        <v>0.36299999999999999</v>
      </c>
      <c r="I91" s="352">
        <f t="shared" si="13"/>
        <v>1.0629999999999999</v>
      </c>
      <c r="J91" s="351">
        <f t="shared" si="14"/>
        <v>13.3896543</v>
      </c>
      <c r="K91" s="351" t="s">
        <v>45</v>
      </c>
      <c r="L91" s="351">
        <v>34.700000000000003</v>
      </c>
      <c r="M91" s="352">
        <f>(300+E91)/1000</f>
        <v>0.36299999999999999</v>
      </c>
      <c r="N91" s="351">
        <f t="shared" si="16"/>
        <v>12.5961</v>
      </c>
      <c r="O91" s="351">
        <f t="shared" si="17"/>
        <v>34.700000000000003</v>
      </c>
      <c r="P91" s="351">
        <f t="shared" si="18"/>
        <v>0.36299999999999999</v>
      </c>
      <c r="Q91" s="351">
        <f t="shared" si="19"/>
        <v>12.5961</v>
      </c>
      <c r="R91" s="351"/>
      <c r="S91" s="351"/>
    </row>
    <row r="92" spans="2:19" ht="26.25" hidden="1" customHeight="1">
      <c r="B92" s="351">
        <f t="shared" si="11"/>
        <v>79</v>
      </c>
      <c r="C92" s="351" t="s">
        <v>93</v>
      </c>
      <c r="D92" s="351" t="s">
        <v>94</v>
      </c>
      <c r="E92" s="351">
        <v>63</v>
      </c>
      <c r="F92" s="351">
        <v>23</v>
      </c>
      <c r="G92" s="351">
        <v>10.3</v>
      </c>
      <c r="H92" s="352">
        <f t="shared" si="12"/>
        <v>0.36299999999999999</v>
      </c>
      <c r="I92" s="352">
        <f t="shared" si="13"/>
        <v>1.0629999999999999</v>
      </c>
      <c r="J92" s="351"/>
      <c r="K92" s="351"/>
      <c r="L92" s="351"/>
      <c r="M92" s="351"/>
      <c r="N92" s="351"/>
      <c r="O92" s="351"/>
      <c r="P92" s="351"/>
      <c r="Q92" s="351"/>
      <c r="R92" s="351"/>
      <c r="S92" s="351"/>
    </row>
    <row r="93" spans="2:19" ht="26.25" hidden="1" customHeight="1">
      <c r="B93" s="351">
        <f t="shared" si="11"/>
        <v>80</v>
      </c>
      <c r="C93" s="351" t="s">
        <v>94</v>
      </c>
      <c r="D93" s="351" t="s">
        <v>95</v>
      </c>
      <c r="E93" s="351">
        <v>63</v>
      </c>
      <c r="F93" s="401">
        <v>65</v>
      </c>
      <c r="G93" s="351">
        <v>2</v>
      </c>
      <c r="H93" s="352">
        <f t="shared" si="12"/>
        <v>0.36299999999999999</v>
      </c>
      <c r="I93" s="352">
        <f t="shared" si="13"/>
        <v>1.0629999999999999</v>
      </c>
      <c r="J93" s="351">
        <f t="shared" si="14"/>
        <v>0.77173799999999992</v>
      </c>
      <c r="K93" s="351" t="s">
        <v>45</v>
      </c>
      <c r="L93" s="351">
        <v>2</v>
      </c>
      <c r="M93" s="352">
        <f>(300+E93)/1000</f>
        <v>0.36299999999999999</v>
      </c>
      <c r="N93" s="351">
        <f t="shared" si="16"/>
        <v>0.72599999999999998</v>
      </c>
      <c r="O93" s="351">
        <f t="shared" si="17"/>
        <v>2</v>
      </c>
      <c r="P93" s="351">
        <f t="shared" si="18"/>
        <v>0.36299999999999999</v>
      </c>
      <c r="Q93" s="351">
        <f t="shared" si="19"/>
        <v>0.72599999999999998</v>
      </c>
      <c r="R93" s="351"/>
      <c r="S93" s="351"/>
    </row>
    <row r="94" spans="2:19" ht="26.25" hidden="1" customHeight="1">
      <c r="B94" s="351">
        <f t="shared" si="11"/>
        <v>81</v>
      </c>
      <c r="C94" s="351" t="s">
        <v>94</v>
      </c>
      <c r="D94" s="351" t="s">
        <v>95</v>
      </c>
      <c r="E94" s="351">
        <v>63</v>
      </c>
      <c r="F94" s="403"/>
      <c r="G94" s="351">
        <v>25.6</v>
      </c>
      <c r="H94" s="352">
        <f t="shared" si="12"/>
        <v>0.36299999999999999</v>
      </c>
      <c r="I94" s="352">
        <f t="shared" si="13"/>
        <v>1.0629999999999999</v>
      </c>
      <c r="J94" s="351"/>
      <c r="K94" s="351"/>
      <c r="L94" s="351"/>
      <c r="M94" s="351"/>
      <c r="N94" s="351"/>
      <c r="O94" s="351"/>
      <c r="P94" s="351"/>
      <c r="Q94" s="351"/>
      <c r="R94" s="351"/>
      <c r="S94" s="351"/>
    </row>
    <row r="95" spans="2:19" ht="26.25" hidden="1" customHeight="1">
      <c r="B95" s="351">
        <f t="shared" si="11"/>
        <v>82</v>
      </c>
      <c r="C95" s="351" t="s">
        <v>93</v>
      </c>
      <c r="D95" s="351" t="s">
        <v>96</v>
      </c>
      <c r="E95" s="351">
        <v>63</v>
      </c>
      <c r="F95" s="401">
        <v>38</v>
      </c>
      <c r="G95" s="351">
        <v>7</v>
      </c>
      <c r="H95" s="352">
        <f t="shared" si="12"/>
        <v>0.36299999999999999</v>
      </c>
      <c r="I95" s="352">
        <f t="shared" si="13"/>
        <v>1.0629999999999999</v>
      </c>
      <c r="J95" s="351">
        <f t="shared" si="14"/>
        <v>2.7010829999999997</v>
      </c>
      <c r="K95" s="351" t="s">
        <v>45</v>
      </c>
      <c r="L95" s="351">
        <v>7</v>
      </c>
      <c r="M95" s="352">
        <f t="shared" ref="M95:M101" si="20">(300+E95)/1000</f>
        <v>0.36299999999999999</v>
      </c>
      <c r="N95" s="351">
        <f t="shared" si="16"/>
        <v>2.5409999999999999</v>
      </c>
      <c r="O95" s="351">
        <f t="shared" si="17"/>
        <v>7</v>
      </c>
      <c r="P95" s="351">
        <f t="shared" si="18"/>
        <v>0.36299999999999999</v>
      </c>
      <c r="Q95" s="351">
        <f t="shared" si="19"/>
        <v>2.5409999999999999</v>
      </c>
      <c r="R95" s="351"/>
      <c r="S95" s="351"/>
    </row>
    <row r="96" spans="2:19" ht="26.25" hidden="1" customHeight="1">
      <c r="B96" s="351">
        <f t="shared" si="11"/>
        <v>83</v>
      </c>
      <c r="C96" s="351" t="s">
        <v>93</v>
      </c>
      <c r="D96" s="351" t="s">
        <v>96</v>
      </c>
      <c r="E96" s="351">
        <v>63</v>
      </c>
      <c r="F96" s="403"/>
      <c r="G96" s="351">
        <v>23</v>
      </c>
      <c r="H96" s="352">
        <f t="shared" si="12"/>
        <v>0.36299999999999999</v>
      </c>
      <c r="I96" s="352">
        <f t="shared" si="13"/>
        <v>1.0629999999999999</v>
      </c>
      <c r="J96" s="351">
        <f t="shared" si="14"/>
        <v>8.8749869999999991</v>
      </c>
      <c r="K96" s="351" t="s">
        <v>45</v>
      </c>
      <c r="L96" s="351">
        <v>23</v>
      </c>
      <c r="M96" s="352">
        <f t="shared" si="20"/>
        <v>0.36299999999999999</v>
      </c>
      <c r="N96" s="351">
        <f t="shared" si="16"/>
        <v>8.3490000000000002</v>
      </c>
      <c r="O96" s="351">
        <f t="shared" si="17"/>
        <v>23</v>
      </c>
      <c r="P96" s="351">
        <f t="shared" si="18"/>
        <v>0.36299999999999999</v>
      </c>
      <c r="Q96" s="351">
        <f t="shared" si="19"/>
        <v>8.3490000000000002</v>
      </c>
      <c r="R96" s="351"/>
      <c r="S96" s="351"/>
    </row>
    <row r="97" spans="2:19" ht="26.25" hidden="1" customHeight="1">
      <c r="B97" s="351">
        <f t="shared" si="11"/>
        <v>84</v>
      </c>
      <c r="C97" s="351" t="s">
        <v>83</v>
      </c>
      <c r="D97" s="351" t="s">
        <v>79</v>
      </c>
      <c r="E97" s="351">
        <v>63</v>
      </c>
      <c r="F97" s="401">
        <v>139</v>
      </c>
      <c r="G97" s="351">
        <v>23</v>
      </c>
      <c r="H97" s="352">
        <f t="shared" si="12"/>
        <v>0.36299999999999999</v>
      </c>
      <c r="I97" s="352">
        <f t="shared" si="13"/>
        <v>1.0629999999999999</v>
      </c>
      <c r="J97" s="351">
        <f t="shared" si="14"/>
        <v>8.8749869999999991</v>
      </c>
      <c r="K97" s="351" t="s">
        <v>45</v>
      </c>
      <c r="L97" s="351">
        <v>23</v>
      </c>
      <c r="M97" s="352">
        <f t="shared" si="20"/>
        <v>0.36299999999999999</v>
      </c>
      <c r="N97" s="351">
        <f t="shared" si="16"/>
        <v>8.3490000000000002</v>
      </c>
      <c r="O97" s="351">
        <f t="shared" si="17"/>
        <v>23</v>
      </c>
      <c r="P97" s="351">
        <f t="shared" si="18"/>
        <v>0.36299999999999999</v>
      </c>
      <c r="Q97" s="351">
        <f t="shared" si="19"/>
        <v>8.3490000000000002</v>
      </c>
      <c r="R97" s="351"/>
      <c r="S97" s="351"/>
    </row>
    <row r="98" spans="2:19" ht="26.25" hidden="1" customHeight="1">
      <c r="B98" s="351">
        <f t="shared" si="11"/>
        <v>85</v>
      </c>
      <c r="C98" s="351" t="s">
        <v>83</v>
      </c>
      <c r="D98" s="351" t="s">
        <v>79</v>
      </c>
      <c r="E98" s="351">
        <v>63</v>
      </c>
      <c r="F98" s="403"/>
      <c r="G98" s="351">
        <v>145.6</v>
      </c>
      <c r="H98" s="352">
        <f t="shared" si="12"/>
        <v>0.36299999999999999</v>
      </c>
      <c r="I98" s="352">
        <f t="shared" si="13"/>
        <v>1.0629999999999999</v>
      </c>
      <c r="J98" s="351">
        <f t="shared" si="14"/>
        <v>56.182526399999993</v>
      </c>
      <c r="K98" s="351" t="s">
        <v>45</v>
      </c>
      <c r="L98" s="351">
        <v>145.6</v>
      </c>
      <c r="M98" s="352">
        <f t="shared" si="20"/>
        <v>0.36299999999999999</v>
      </c>
      <c r="N98" s="351">
        <f t="shared" si="16"/>
        <v>52.852799999999995</v>
      </c>
      <c r="O98" s="351">
        <f t="shared" si="17"/>
        <v>145.6</v>
      </c>
      <c r="P98" s="351">
        <f t="shared" si="18"/>
        <v>0.36299999999999999</v>
      </c>
      <c r="Q98" s="351">
        <f t="shared" si="19"/>
        <v>52.852799999999995</v>
      </c>
      <c r="R98" s="351"/>
      <c r="S98" s="351"/>
    </row>
    <row r="99" spans="2:19" ht="26.25" hidden="1" customHeight="1">
      <c r="B99" s="351">
        <f t="shared" si="11"/>
        <v>86</v>
      </c>
      <c r="C99" s="351" t="s">
        <v>79</v>
      </c>
      <c r="D99" s="351" t="s">
        <v>84</v>
      </c>
      <c r="E99" s="351">
        <v>63</v>
      </c>
      <c r="F99" s="401">
        <v>351</v>
      </c>
      <c r="G99" s="351">
        <v>143</v>
      </c>
      <c r="H99" s="352">
        <f t="shared" si="12"/>
        <v>0.36299999999999999</v>
      </c>
      <c r="I99" s="352">
        <f t="shared" si="13"/>
        <v>1.0629999999999999</v>
      </c>
      <c r="J99" s="351">
        <f t="shared" si="14"/>
        <v>55.179266999999996</v>
      </c>
      <c r="K99" s="351" t="s">
        <v>45</v>
      </c>
      <c r="L99" s="351">
        <v>143</v>
      </c>
      <c r="M99" s="352">
        <f t="shared" si="20"/>
        <v>0.36299999999999999</v>
      </c>
      <c r="N99" s="351">
        <f t="shared" si="16"/>
        <v>51.908999999999999</v>
      </c>
      <c r="O99" s="351">
        <f t="shared" si="17"/>
        <v>143</v>
      </c>
      <c r="P99" s="351">
        <f t="shared" si="18"/>
        <v>0.36299999999999999</v>
      </c>
      <c r="Q99" s="351">
        <f t="shared" si="19"/>
        <v>51.908999999999999</v>
      </c>
      <c r="R99" s="351"/>
      <c r="S99" s="351"/>
    </row>
    <row r="100" spans="2:19" ht="26.25" hidden="1" customHeight="1">
      <c r="B100" s="351">
        <f t="shared" si="11"/>
        <v>87</v>
      </c>
      <c r="C100" s="351" t="s">
        <v>79</v>
      </c>
      <c r="D100" s="351" t="s">
        <v>84</v>
      </c>
      <c r="E100" s="351">
        <v>63</v>
      </c>
      <c r="F100" s="403"/>
      <c r="G100" s="351">
        <v>174</v>
      </c>
      <c r="H100" s="352">
        <f t="shared" si="12"/>
        <v>0.36299999999999999</v>
      </c>
      <c r="I100" s="352">
        <f t="shared" si="13"/>
        <v>1.0629999999999999</v>
      </c>
      <c r="J100" s="351">
        <f t="shared" si="14"/>
        <v>67.141205999999997</v>
      </c>
      <c r="K100" s="351" t="s">
        <v>45</v>
      </c>
      <c r="L100" s="351">
        <v>174</v>
      </c>
      <c r="M100" s="352">
        <f t="shared" si="20"/>
        <v>0.36299999999999999</v>
      </c>
      <c r="N100" s="351">
        <f t="shared" si="16"/>
        <v>63.161999999999999</v>
      </c>
      <c r="O100" s="351">
        <f t="shared" si="17"/>
        <v>174</v>
      </c>
      <c r="P100" s="351">
        <f t="shared" si="18"/>
        <v>0.36299999999999999</v>
      </c>
      <c r="Q100" s="351">
        <f t="shared" si="19"/>
        <v>63.161999999999999</v>
      </c>
      <c r="R100" s="351"/>
      <c r="S100" s="351"/>
    </row>
    <row r="101" spans="2:19" ht="26.25" hidden="1" customHeight="1">
      <c r="B101" s="351">
        <f t="shared" si="11"/>
        <v>88</v>
      </c>
      <c r="C101" s="351" t="s">
        <v>84</v>
      </c>
      <c r="D101" s="351" t="s">
        <v>97</v>
      </c>
      <c r="E101" s="351">
        <v>63</v>
      </c>
      <c r="F101" s="351"/>
      <c r="G101" s="351">
        <v>31</v>
      </c>
      <c r="H101" s="352">
        <f t="shared" si="12"/>
        <v>0.36299999999999999</v>
      </c>
      <c r="I101" s="352">
        <f t="shared" si="13"/>
        <v>1.0629999999999999</v>
      </c>
      <c r="J101" s="351">
        <f t="shared" si="14"/>
        <v>11.961938999999999</v>
      </c>
      <c r="K101" s="351" t="s">
        <v>45</v>
      </c>
      <c r="L101" s="351">
        <v>31</v>
      </c>
      <c r="M101" s="352">
        <f t="shared" si="20"/>
        <v>0.36299999999999999</v>
      </c>
      <c r="N101" s="351">
        <f t="shared" si="16"/>
        <v>11.253</v>
      </c>
      <c r="O101" s="351">
        <f t="shared" si="17"/>
        <v>31</v>
      </c>
      <c r="P101" s="351">
        <f t="shared" si="18"/>
        <v>0.36299999999999999</v>
      </c>
      <c r="Q101" s="351">
        <f t="shared" si="19"/>
        <v>11.253</v>
      </c>
      <c r="R101" s="351"/>
      <c r="S101" s="351"/>
    </row>
    <row r="102" spans="2:19" ht="26.25" hidden="1" customHeight="1">
      <c r="B102" s="351">
        <f t="shared" si="11"/>
        <v>89</v>
      </c>
      <c r="C102" s="351" t="s">
        <v>84</v>
      </c>
      <c r="D102" s="351" t="s">
        <v>98</v>
      </c>
      <c r="E102" s="351">
        <v>63</v>
      </c>
      <c r="F102" s="351"/>
      <c r="G102" s="351">
        <v>28.2</v>
      </c>
      <c r="H102" s="352">
        <f t="shared" si="12"/>
        <v>0.36299999999999999</v>
      </c>
      <c r="I102" s="352">
        <f t="shared" si="13"/>
        <v>1.0629999999999999</v>
      </c>
      <c r="J102" s="351"/>
      <c r="K102" s="351"/>
      <c r="L102" s="351"/>
      <c r="M102" s="351"/>
      <c r="N102" s="351"/>
      <c r="O102" s="351"/>
      <c r="P102" s="351"/>
      <c r="Q102" s="351"/>
      <c r="R102" s="351"/>
      <c r="S102" s="351"/>
    </row>
    <row r="103" spans="2:19" ht="26.25" hidden="1" customHeight="1">
      <c r="B103" s="351">
        <f t="shared" si="11"/>
        <v>90</v>
      </c>
      <c r="C103" s="351" t="s">
        <v>84</v>
      </c>
      <c r="D103" s="351" t="s">
        <v>99</v>
      </c>
      <c r="E103" s="351">
        <v>63</v>
      </c>
      <c r="F103" s="351"/>
      <c r="G103" s="351">
        <v>77</v>
      </c>
      <c r="H103" s="352">
        <f t="shared" si="12"/>
        <v>0.36299999999999999</v>
      </c>
      <c r="I103" s="352">
        <f t="shared" si="13"/>
        <v>1.0629999999999999</v>
      </c>
      <c r="J103" s="351"/>
      <c r="K103" s="351"/>
      <c r="L103" s="351"/>
      <c r="M103" s="351"/>
      <c r="N103" s="351"/>
      <c r="O103" s="351"/>
      <c r="P103" s="351"/>
      <c r="Q103" s="351"/>
      <c r="R103" s="351"/>
      <c r="S103" s="351"/>
    </row>
    <row r="104" spans="2:19" ht="26.25" hidden="1" customHeight="1">
      <c r="B104" s="351">
        <f t="shared" si="11"/>
        <v>91</v>
      </c>
      <c r="C104" s="351" t="s">
        <v>84</v>
      </c>
      <c r="D104" s="351" t="s">
        <v>100</v>
      </c>
      <c r="E104" s="351">
        <v>63</v>
      </c>
      <c r="F104" s="351"/>
      <c r="G104" s="351">
        <v>173.4</v>
      </c>
      <c r="H104" s="352">
        <f t="shared" si="12"/>
        <v>0.36299999999999999</v>
      </c>
      <c r="I104" s="352">
        <f t="shared" si="13"/>
        <v>1.0629999999999999</v>
      </c>
      <c r="J104" s="351"/>
      <c r="K104" s="351"/>
      <c r="L104" s="351"/>
      <c r="M104" s="351"/>
      <c r="N104" s="351"/>
      <c r="O104" s="351"/>
      <c r="P104" s="351"/>
      <c r="Q104" s="351"/>
      <c r="R104" s="351"/>
      <c r="S104" s="351"/>
    </row>
    <row r="105" spans="2:19" ht="26.25" hidden="1" customHeight="1">
      <c r="B105" s="351">
        <f t="shared" si="11"/>
        <v>92</v>
      </c>
      <c r="C105" s="351" t="s">
        <v>84</v>
      </c>
      <c r="D105" s="351" t="s">
        <v>101</v>
      </c>
      <c r="E105" s="351">
        <v>63</v>
      </c>
      <c r="F105" s="351"/>
      <c r="G105" s="351">
        <v>4</v>
      </c>
      <c r="H105" s="352">
        <f t="shared" si="12"/>
        <v>0.36299999999999999</v>
      </c>
      <c r="I105" s="352">
        <f t="shared" si="13"/>
        <v>1.0629999999999999</v>
      </c>
      <c r="J105" s="351">
        <f t="shared" si="14"/>
        <v>1.5434759999999998</v>
      </c>
      <c r="K105" s="351" t="s">
        <v>102</v>
      </c>
      <c r="L105" s="351">
        <v>4</v>
      </c>
      <c r="M105" s="352">
        <f>(300+E105)/1000</f>
        <v>0.36299999999999999</v>
      </c>
      <c r="N105" s="351">
        <f t="shared" si="16"/>
        <v>1.452</v>
      </c>
      <c r="O105" s="351"/>
      <c r="P105" s="351"/>
      <c r="Q105" s="351"/>
      <c r="R105" s="351"/>
      <c r="S105" s="351"/>
    </row>
    <row r="106" spans="2:19" ht="26.25" hidden="1" customHeight="1">
      <c r="B106" s="351">
        <f t="shared" si="11"/>
        <v>93</v>
      </c>
      <c r="C106" s="351" t="s">
        <v>103</v>
      </c>
      <c r="D106" s="351" t="s">
        <v>104</v>
      </c>
      <c r="E106" s="351">
        <v>63</v>
      </c>
      <c r="F106" s="351">
        <v>142</v>
      </c>
      <c r="G106" s="351">
        <v>126.1</v>
      </c>
      <c r="H106" s="352">
        <f t="shared" si="12"/>
        <v>0.36299999999999999</v>
      </c>
      <c r="I106" s="352">
        <f t="shared" si="13"/>
        <v>1.0629999999999999</v>
      </c>
      <c r="J106" s="351"/>
      <c r="K106" s="351"/>
      <c r="L106" s="351"/>
      <c r="M106" s="351"/>
      <c r="N106" s="351"/>
      <c r="O106" s="351"/>
      <c r="P106" s="351"/>
      <c r="Q106" s="351"/>
      <c r="R106" s="351"/>
      <c r="S106" s="351"/>
    </row>
    <row r="107" spans="2:19" ht="26.25" hidden="1" customHeight="1">
      <c r="B107" s="351">
        <f t="shared" si="11"/>
        <v>94</v>
      </c>
      <c r="C107" s="351" t="s">
        <v>103</v>
      </c>
      <c r="D107" s="351" t="s">
        <v>105</v>
      </c>
      <c r="E107" s="351">
        <v>63</v>
      </c>
      <c r="F107" s="401">
        <v>72</v>
      </c>
      <c r="G107" s="351">
        <v>4</v>
      </c>
      <c r="H107" s="352">
        <f t="shared" si="12"/>
        <v>0.36299999999999999</v>
      </c>
      <c r="I107" s="352">
        <f t="shared" si="13"/>
        <v>1.0629999999999999</v>
      </c>
      <c r="J107" s="351">
        <f t="shared" si="14"/>
        <v>1.5434759999999998</v>
      </c>
      <c r="K107" s="351" t="s">
        <v>45</v>
      </c>
      <c r="L107" s="351">
        <v>4</v>
      </c>
      <c r="M107" s="352">
        <f>(300+E107)/1000</f>
        <v>0.36299999999999999</v>
      </c>
      <c r="N107" s="351">
        <f t="shared" si="16"/>
        <v>1.452</v>
      </c>
      <c r="O107" s="351">
        <f t="shared" si="17"/>
        <v>4</v>
      </c>
      <c r="P107" s="351">
        <f t="shared" si="18"/>
        <v>0.36299999999999999</v>
      </c>
      <c r="Q107" s="351">
        <f t="shared" si="19"/>
        <v>1.452</v>
      </c>
      <c r="R107" s="351"/>
      <c r="S107" s="351"/>
    </row>
    <row r="108" spans="2:19" ht="26.25" hidden="1" customHeight="1">
      <c r="B108" s="351">
        <f t="shared" si="11"/>
        <v>95</v>
      </c>
      <c r="C108" s="351" t="s">
        <v>103</v>
      </c>
      <c r="D108" s="351" t="s">
        <v>105</v>
      </c>
      <c r="E108" s="351">
        <v>63</v>
      </c>
      <c r="F108" s="403"/>
      <c r="G108" s="351">
        <v>72.3</v>
      </c>
      <c r="H108" s="352">
        <f t="shared" si="12"/>
        <v>0.36299999999999999</v>
      </c>
      <c r="I108" s="352">
        <f t="shared" si="13"/>
        <v>1.0629999999999999</v>
      </c>
      <c r="J108" s="351"/>
      <c r="K108" s="351"/>
      <c r="L108" s="351"/>
      <c r="M108" s="351"/>
      <c r="N108" s="351"/>
      <c r="O108" s="351"/>
      <c r="P108" s="351"/>
      <c r="Q108" s="351"/>
      <c r="R108" s="351"/>
      <c r="S108" s="351"/>
    </row>
    <row r="109" spans="2:19" ht="26.25" hidden="1" customHeight="1">
      <c r="B109" s="351">
        <f t="shared" si="11"/>
        <v>96</v>
      </c>
      <c r="C109" s="351" t="s">
        <v>105</v>
      </c>
      <c r="D109" s="351" t="s">
        <v>106</v>
      </c>
      <c r="E109" s="351">
        <v>63</v>
      </c>
      <c r="F109" s="351">
        <v>49</v>
      </c>
      <c r="G109" s="351">
        <v>51.8</v>
      </c>
      <c r="H109" s="352">
        <f t="shared" si="12"/>
        <v>0.36299999999999999</v>
      </c>
      <c r="I109" s="352">
        <f t="shared" si="13"/>
        <v>1.0629999999999999</v>
      </c>
      <c r="J109" s="351"/>
      <c r="K109" s="351"/>
      <c r="L109" s="351"/>
      <c r="M109" s="351"/>
      <c r="N109" s="351"/>
      <c r="O109" s="351"/>
      <c r="P109" s="351"/>
      <c r="Q109" s="351"/>
      <c r="R109" s="351"/>
      <c r="S109" s="351"/>
    </row>
    <row r="110" spans="2:19" ht="26.25" hidden="1" customHeight="1">
      <c r="B110" s="351">
        <f t="shared" si="11"/>
        <v>97</v>
      </c>
      <c r="C110" s="351" t="s">
        <v>106</v>
      </c>
      <c r="D110" s="351" t="s">
        <v>96</v>
      </c>
      <c r="E110" s="351">
        <v>63</v>
      </c>
      <c r="F110" s="401">
        <v>99</v>
      </c>
      <c r="G110" s="351">
        <v>28.6</v>
      </c>
      <c r="H110" s="352">
        <f t="shared" si="12"/>
        <v>0.36299999999999999</v>
      </c>
      <c r="I110" s="352">
        <f t="shared" si="13"/>
        <v>1.0629999999999999</v>
      </c>
      <c r="J110" s="351"/>
      <c r="K110" s="351"/>
      <c r="L110" s="351"/>
      <c r="M110" s="351"/>
      <c r="N110" s="351"/>
      <c r="O110" s="351"/>
      <c r="P110" s="351"/>
      <c r="Q110" s="351"/>
      <c r="R110" s="351"/>
      <c r="S110" s="351"/>
    </row>
    <row r="111" spans="2:19" ht="26.25" hidden="1" customHeight="1">
      <c r="B111" s="351">
        <f t="shared" si="11"/>
        <v>98</v>
      </c>
      <c r="C111" s="351" t="s">
        <v>106</v>
      </c>
      <c r="D111" s="351" t="s">
        <v>96</v>
      </c>
      <c r="E111" s="351">
        <v>63</v>
      </c>
      <c r="F111" s="402"/>
      <c r="G111" s="351">
        <v>14.8</v>
      </c>
      <c r="H111" s="352">
        <f t="shared" si="12"/>
        <v>0.36299999999999999</v>
      </c>
      <c r="I111" s="352">
        <f t="shared" si="13"/>
        <v>1.0629999999999999</v>
      </c>
      <c r="J111" s="351">
        <f t="shared" si="14"/>
        <v>5.7108612000000001</v>
      </c>
      <c r="K111" s="351" t="s">
        <v>45</v>
      </c>
      <c r="L111" s="351">
        <v>14.8</v>
      </c>
      <c r="M111" s="352">
        <f>(300+E111)/1000</f>
        <v>0.36299999999999999</v>
      </c>
      <c r="N111" s="351">
        <f t="shared" si="16"/>
        <v>5.3723999999999998</v>
      </c>
      <c r="O111" s="351">
        <f t="shared" si="17"/>
        <v>14.8</v>
      </c>
      <c r="P111" s="351">
        <f t="shared" si="18"/>
        <v>0.36299999999999999</v>
      </c>
      <c r="Q111" s="351">
        <f t="shared" si="19"/>
        <v>5.3723999999999998</v>
      </c>
      <c r="R111" s="351"/>
      <c r="S111" s="351"/>
    </row>
    <row r="112" spans="2:19" ht="26.25" hidden="1" customHeight="1">
      <c r="B112" s="351">
        <f t="shared" si="11"/>
        <v>99</v>
      </c>
      <c r="C112" s="351" t="s">
        <v>106</v>
      </c>
      <c r="D112" s="351" t="s">
        <v>96</v>
      </c>
      <c r="E112" s="351">
        <v>63</v>
      </c>
      <c r="F112" s="402"/>
      <c r="G112" s="351">
        <v>12.6</v>
      </c>
      <c r="H112" s="352">
        <f t="shared" si="12"/>
        <v>0.36299999999999999</v>
      </c>
      <c r="I112" s="352">
        <f t="shared" si="13"/>
        <v>1.0629999999999999</v>
      </c>
      <c r="J112" s="351"/>
      <c r="K112" s="351"/>
      <c r="L112" s="351"/>
      <c r="M112" s="351"/>
      <c r="N112" s="351"/>
      <c r="O112" s="351"/>
      <c r="P112" s="351"/>
      <c r="Q112" s="351"/>
      <c r="R112" s="351"/>
      <c r="S112" s="351"/>
    </row>
    <row r="113" spans="2:19" ht="26.25" hidden="1" customHeight="1">
      <c r="B113" s="351">
        <f t="shared" si="11"/>
        <v>100</v>
      </c>
      <c r="C113" s="351" t="s">
        <v>106</v>
      </c>
      <c r="D113" s="351" t="s">
        <v>96</v>
      </c>
      <c r="E113" s="351">
        <v>63</v>
      </c>
      <c r="F113" s="402"/>
      <c r="G113" s="351">
        <v>27.5</v>
      </c>
      <c r="H113" s="352">
        <f t="shared" si="12"/>
        <v>0.36299999999999999</v>
      </c>
      <c r="I113" s="352">
        <f t="shared" si="13"/>
        <v>1.0629999999999999</v>
      </c>
      <c r="J113" s="351">
        <f t="shared" si="14"/>
        <v>10.611397499999999</v>
      </c>
      <c r="K113" s="351" t="s">
        <v>45</v>
      </c>
      <c r="L113" s="351">
        <v>27.5</v>
      </c>
      <c r="M113" s="352">
        <f t="shared" ref="M113:M114" si="21">(300+E113)/1000</f>
        <v>0.36299999999999999</v>
      </c>
      <c r="N113" s="351">
        <f t="shared" si="16"/>
        <v>9.9824999999999999</v>
      </c>
      <c r="O113" s="351">
        <f t="shared" si="17"/>
        <v>27.5</v>
      </c>
      <c r="P113" s="351">
        <f t="shared" si="18"/>
        <v>0.36299999999999999</v>
      </c>
      <c r="Q113" s="351">
        <f t="shared" si="19"/>
        <v>9.9824999999999999</v>
      </c>
      <c r="R113" s="351"/>
      <c r="S113" s="351"/>
    </row>
    <row r="114" spans="2:19" ht="26.25" hidden="1" customHeight="1">
      <c r="B114" s="351">
        <f t="shared" si="11"/>
        <v>101</v>
      </c>
      <c r="C114" s="351" t="s">
        <v>106</v>
      </c>
      <c r="D114" s="351" t="s">
        <v>96</v>
      </c>
      <c r="E114" s="351">
        <v>63</v>
      </c>
      <c r="F114" s="403"/>
      <c r="G114" s="351">
        <v>42</v>
      </c>
      <c r="H114" s="352">
        <f t="shared" si="12"/>
        <v>0.36299999999999999</v>
      </c>
      <c r="I114" s="352">
        <f t="shared" si="13"/>
        <v>1.0629999999999999</v>
      </c>
      <c r="J114" s="351">
        <f t="shared" si="14"/>
        <v>16.206498</v>
      </c>
      <c r="K114" s="351" t="s">
        <v>45</v>
      </c>
      <c r="L114" s="351">
        <v>42</v>
      </c>
      <c r="M114" s="352">
        <f t="shared" si="21"/>
        <v>0.36299999999999999</v>
      </c>
      <c r="N114" s="351">
        <f t="shared" si="16"/>
        <v>15.245999999999999</v>
      </c>
      <c r="O114" s="351">
        <f t="shared" si="17"/>
        <v>42</v>
      </c>
      <c r="P114" s="351">
        <f t="shared" si="18"/>
        <v>0.36299999999999999</v>
      </c>
      <c r="Q114" s="351">
        <f t="shared" si="19"/>
        <v>15.245999999999999</v>
      </c>
      <c r="R114" s="351"/>
      <c r="S114" s="351"/>
    </row>
    <row r="115" spans="2:19" ht="26.25" hidden="1" customHeight="1">
      <c r="B115" s="351">
        <f t="shared" si="11"/>
        <v>102</v>
      </c>
      <c r="C115" s="351" t="s">
        <v>96</v>
      </c>
      <c r="D115" s="351" t="s">
        <v>107</v>
      </c>
      <c r="E115" s="351">
        <v>63</v>
      </c>
      <c r="F115" s="351">
        <v>107</v>
      </c>
      <c r="G115" s="351">
        <v>111.7</v>
      </c>
      <c r="H115" s="352">
        <f t="shared" si="12"/>
        <v>0.36299999999999999</v>
      </c>
      <c r="I115" s="352">
        <f t="shared" si="13"/>
        <v>1.0629999999999999</v>
      </c>
      <c r="J115" s="351"/>
      <c r="K115" s="351"/>
      <c r="L115" s="351"/>
      <c r="M115" s="351"/>
      <c r="N115" s="351"/>
      <c r="O115" s="351"/>
      <c r="P115" s="351"/>
      <c r="Q115" s="351"/>
      <c r="R115" s="351"/>
      <c r="S115" s="351"/>
    </row>
    <row r="116" spans="2:19" ht="26.25" hidden="1" customHeight="1">
      <c r="B116" s="351">
        <f t="shared" si="11"/>
        <v>103</v>
      </c>
      <c r="C116" s="351" t="s">
        <v>107</v>
      </c>
      <c r="D116" s="351" t="s">
        <v>105</v>
      </c>
      <c r="E116" s="351">
        <v>63</v>
      </c>
      <c r="F116" s="351">
        <v>34</v>
      </c>
      <c r="G116" s="351">
        <v>18</v>
      </c>
      <c r="H116" s="352">
        <f t="shared" si="12"/>
        <v>0.36299999999999999</v>
      </c>
      <c r="I116" s="352">
        <f t="shared" si="13"/>
        <v>1.0629999999999999</v>
      </c>
      <c r="J116" s="351">
        <f t="shared" si="14"/>
        <v>6.9456419999999994</v>
      </c>
      <c r="K116" s="351" t="s">
        <v>45</v>
      </c>
      <c r="L116" s="351">
        <v>18</v>
      </c>
      <c r="M116" s="352">
        <f>(300+E116)/1000</f>
        <v>0.36299999999999999</v>
      </c>
      <c r="N116" s="351">
        <f t="shared" si="16"/>
        <v>6.5339999999999998</v>
      </c>
      <c r="O116" s="351">
        <f t="shared" si="17"/>
        <v>18</v>
      </c>
      <c r="P116" s="351">
        <f t="shared" si="18"/>
        <v>0.36299999999999999</v>
      </c>
      <c r="Q116" s="351">
        <f t="shared" si="19"/>
        <v>6.5339999999999998</v>
      </c>
      <c r="R116" s="351"/>
      <c r="S116" s="351"/>
    </row>
    <row r="117" spans="2:19" ht="26.25" hidden="1" customHeight="1">
      <c r="B117" s="351">
        <f t="shared" si="11"/>
        <v>104</v>
      </c>
      <c r="C117" s="351" t="s">
        <v>107</v>
      </c>
      <c r="D117" s="351" t="s">
        <v>105</v>
      </c>
      <c r="E117" s="351">
        <v>63</v>
      </c>
      <c r="F117" s="351"/>
      <c r="G117" s="351">
        <v>15.4</v>
      </c>
      <c r="H117" s="352">
        <f t="shared" si="12"/>
        <v>0.36299999999999999</v>
      </c>
      <c r="I117" s="352">
        <f t="shared" si="13"/>
        <v>1.0629999999999999</v>
      </c>
      <c r="J117" s="351"/>
      <c r="K117" s="351"/>
      <c r="L117" s="351"/>
      <c r="M117" s="351"/>
      <c r="N117" s="351"/>
      <c r="O117" s="351"/>
      <c r="P117" s="351"/>
      <c r="Q117" s="351"/>
      <c r="R117" s="351"/>
      <c r="S117" s="351"/>
    </row>
    <row r="118" spans="2:19" ht="26.25" hidden="1" customHeight="1">
      <c r="B118" s="351">
        <f t="shared" si="11"/>
        <v>105</v>
      </c>
      <c r="C118" s="351">
        <v>171</v>
      </c>
      <c r="D118" s="351">
        <v>172</v>
      </c>
      <c r="E118" s="351">
        <v>63</v>
      </c>
      <c r="F118" s="351"/>
      <c r="G118" s="351">
        <v>169.1</v>
      </c>
      <c r="H118" s="352">
        <f t="shared" si="12"/>
        <v>0.36299999999999999</v>
      </c>
      <c r="I118" s="352">
        <f t="shared" si="13"/>
        <v>1.0629999999999999</v>
      </c>
      <c r="J118" s="351"/>
      <c r="K118" s="351"/>
      <c r="L118" s="351"/>
      <c r="M118" s="351"/>
      <c r="N118" s="351"/>
      <c r="O118" s="351"/>
      <c r="P118" s="351"/>
      <c r="Q118" s="351"/>
      <c r="R118" s="351"/>
      <c r="S118" s="351"/>
    </row>
    <row r="119" spans="2:19" ht="26.25" hidden="1" customHeight="1">
      <c r="B119" s="351">
        <f t="shared" si="11"/>
        <v>106</v>
      </c>
      <c r="C119" s="351">
        <v>171</v>
      </c>
      <c r="D119" s="351">
        <v>172</v>
      </c>
      <c r="E119" s="351">
        <v>63</v>
      </c>
      <c r="F119" s="351"/>
      <c r="G119" s="351">
        <v>3</v>
      </c>
      <c r="H119" s="352">
        <f t="shared" si="12"/>
        <v>0.36299999999999999</v>
      </c>
      <c r="I119" s="352">
        <f t="shared" si="13"/>
        <v>1.0629999999999999</v>
      </c>
      <c r="J119" s="351">
        <f t="shared" si="14"/>
        <v>1.1576069999999998</v>
      </c>
      <c r="K119" s="351" t="s">
        <v>45</v>
      </c>
      <c r="L119" s="351">
        <v>3</v>
      </c>
      <c r="M119" s="352">
        <f>(300+E119)/1000</f>
        <v>0.36299999999999999</v>
      </c>
      <c r="N119" s="351">
        <f t="shared" si="16"/>
        <v>1.089</v>
      </c>
      <c r="O119" s="351">
        <f t="shared" si="17"/>
        <v>3</v>
      </c>
      <c r="P119" s="351">
        <f t="shared" si="18"/>
        <v>0.36299999999999999</v>
      </c>
      <c r="Q119" s="351">
        <f t="shared" si="19"/>
        <v>1.089</v>
      </c>
      <c r="R119" s="351"/>
      <c r="S119" s="351"/>
    </row>
    <row r="120" spans="2:19" ht="26.25" hidden="1" customHeight="1">
      <c r="B120" s="351">
        <f t="shared" si="11"/>
        <v>107</v>
      </c>
      <c r="C120" s="351">
        <v>124</v>
      </c>
      <c r="D120" s="351">
        <v>121</v>
      </c>
      <c r="E120" s="351">
        <v>63</v>
      </c>
      <c r="F120" s="351">
        <v>367</v>
      </c>
      <c r="G120" s="351">
        <v>421.3</v>
      </c>
      <c r="H120" s="352">
        <f t="shared" si="12"/>
        <v>0.36299999999999999</v>
      </c>
      <c r="I120" s="352">
        <f t="shared" si="13"/>
        <v>1.0629999999999999</v>
      </c>
      <c r="J120" s="351"/>
      <c r="K120" s="351"/>
      <c r="L120" s="351"/>
      <c r="M120" s="351"/>
      <c r="N120" s="351"/>
      <c r="O120" s="351"/>
      <c r="P120" s="351"/>
      <c r="Q120" s="351"/>
      <c r="R120" s="351"/>
      <c r="S120" s="351"/>
    </row>
    <row r="121" spans="2:19" ht="26.25" hidden="1" customHeight="1">
      <c r="B121" s="351">
        <f t="shared" si="11"/>
        <v>108</v>
      </c>
      <c r="C121" s="351">
        <v>124</v>
      </c>
      <c r="D121" s="351">
        <v>122</v>
      </c>
      <c r="E121" s="351">
        <v>63</v>
      </c>
      <c r="F121" s="351">
        <v>115</v>
      </c>
      <c r="G121" s="351">
        <v>121.7</v>
      </c>
      <c r="H121" s="352">
        <f t="shared" si="12"/>
        <v>0.36299999999999999</v>
      </c>
      <c r="I121" s="352">
        <f t="shared" si="13"/>
        <v>1.0629999999999999</v>
      </c>
      <c r="J121" s="351"/>
      <c r="K121" s="351"/>
      <c r="L121" s="351"/>
      <c r="M121" s="351"/>
      <c r="N121" s="351"/>
      <c r="O121" s="351"/>
      <c r="P121" s="351"/>
      <c r="Q121" s="351"/>
      <c r="R121" s="351"/>
      <c r="S121" s="351"/>
    </row>
    <row r="122" spans="2:19" ht="26.25" hidden="1" customHeight="1">
      <c r="B122" s="351">
        <f t="shared" si="11"/>
        <v>109</v>
      </c>
      <c r="C122" s="351" t="s">
        <v>108</v>
      </c>
      <c r="D122" s="351" t="s">
        <v>85</v>
      </c>
      <c r="E122" s="351">
        <v>75</v>
      </c>
      <c r="F122" s="351">
        <v>195</v>
      </c>
      <c r="G122" s="351">
        <v>171</v>
      </c>
      <c r="H122" s="352">
        <f t="shared" si="12"/>
        <v>0.375</v>
      </c>
      <c r="I122" s="352">
        <f t="shared" si="13"/>
        <v>1.075</v>
      </c>
      <c r="J122" s="351"/>
      <c r="K122" s="351"/>
      <c r="L122" s="351"/>
      <c r="M122" s="351"/>
      <c r="N122" s="351"/>
      <c r="O122" s="351"/>
      <c r="P122" s="351"/>
      <c r="Q122" s="351"/>
      <c r="R122" s="351"/>
      <c r="S122" s="351"/>
    </row>
    <row r="123" spans="2:19" ht="26.25" hidden="1" customHeight="1">
      <c r="B123" s="351">
        <f t="shared" si="11"/>
        <v>110</v>
      </c>
      <c r="C123" s="351" t="s">
        <v>85</v>
      </c>
      <c r="D123" s="351" t="s">
        <v>73</v>
      </c>
      <c r="E123" s="351">
        <v>75</v>
      </c>
      <c r="F123" s="351">
        <v>326</v>
      </c>
      <c r="G123" s="351">
        <v>333.2</v>
      </c>
      <c r="H123" s="352">
        <f t="shared" si="12"/>
        <v>0.375</v>
      </c>
      <c r="I123" s="352">
        <f t="shared" si="13"/>
        <v>1.075</v>
      </c>
      <c r="J123" s="351"/>
      <c r="K123" s="351"/>
      <c r="L123" s="351"/>
      <c r="M123" s="351"/>
      <c r="N123" s="351"/>
      <c r="O123" s="351"/>
      <c r="P123" s="351"/>
      <c r="Q123" s="351"/>
      <c r="R123" s="351"/>
      <c r="S123" s="351"/>
    </row>
    <row r="124" spans="2:19" ht="26.25" hidden="1" customHeight="1">
      <c r="B124" s="351">
        <f t="shared" si="11"/>
        <v>111</v>
      </c>
      <c r="C124" s="351" t="s">
        <v>109</v>
      </c>
      <c r="D124" s="351" t="s">
        <v>110</v>
      </c>
      <c r="E124" s="351">
        <v>90</v>
      </c>
      <c r="F124" s="351">
        <v>154</v>
      </c>
      <c r="G124" s="351">
        <v>162.5</v>
      </c>
      <c r="H124" s="352">
        <f t="shared" si="12"/>
        <v>0.39</v>
      </c>
      <c r="I124" s="352">
        <f t="shared" si="13"/>
        <v>1.0900000000000001</v>
      </c>
      <c r="J124" s="351"/>
      <c r="K124" s="351"/>
      <c r="L124" s="351"/>
      <c r="M124" s="351"/>
      <c r="N124" s="351"/>
      <c r="O124" s="351"/>
      <c r="P124" s="351"/>
      <c r="Q124" s="351"/>
      <c r="R124" s="351"/>
      <c r="S124" s="351"/>
    </row>
    <row r="125" spans="2:19" ht="26.25" hidden="1" customHeight="1">
      <c r="B125" s="351">
        <f t="shared" si="11"/>
        <v>112</v>
      </c>
      <c r="C125" s="351" t="s">
        <v>30</v>
      </c>
      <c r="D125" s="351" t="s">
        <v>111</v>
      </c>
      <c r="E125" s="351">
        <v>90</v>
      </c>
      <c r="F125" s="351">
        <v>41</v>
      </c>
      <c r="G125" s="351">
        <v>36</v>
      </c>
      <c r="H125" s="352">
        <f t="shared" si="12"/>
        <v>0.39</v>
      </c>
      <c r="I125" s="352">
        <f t="shared" si="13"/>
        <v>1.0900000000000001</v>
      </c>
      <c r="J125" s="351"/>
      <c r="K125" s="351"/>
      <c r="L125" s="351"/>
      <c r="M125" s="351"/>
      <c r="N125" s="351"/>
      <c r="O125" s="351"/>
      <c r="P125" s="351"/>
      <c r="Q125" s="351"/>
      <c r="R125" s="351"/>
      <c r="S125" s="351"/>
    </row>
    <row r="126" spans="2:19" ht="26.25" hidden="1" customHeight="1">
      <c r="B126" s="351">
        <f t="shared" si="11"/>
        <v>113</v>
      </c>
      <c r="C126" s="351" t="s">
        <v>111</v>
      </c>
      <c r="D126" s="351" t="s">
        <v>109</v>
      </c>
      <c r="E126" s="351">
        <v>90</v>
      </c>
      <c r="F126" s="401">
        <v>85</v>
      </c>
      <c r="G126" s="351">
        <v>3.4</v>
      </c>
      <c r="H126" s="352">
        <f t="shared" si="12"/>
        <v>0.39</v>
      </c>
      <c r="I126" s="352">
        <f t="shared" si="13"/>
        <v>1.0900000000000001</v>
      </c>
      <c r="J126" s="351"/>
      <c r="K126" s="351"/>
      <c r="L126" s="351"/>
      <c r="M126" s="351"/>
      <c r="N126" s="351"/>
      <c r="O126" s="351"/>
      <c r="P126" s="351"/>
      <c r="Q126" s="351"/>
      <c r="R126" s="351"/>
      <c r="S126" s="351"/>
    </row>
    <row r="127" spans="2:19" ht="26.25" hidden="1" customHeight="1">
      <c r="B127" s="351">
        <f t="shared" si="11"/>
        <v>114</v>
      </c>
      <c r="C127" s="351" t="s">
        <v>111</v>
      </c>
      <c r="D127" s="351" t="s">
        <v>109</v>
      </c>
      <c r="E127" s="351">
        <v>90</v>
      </c>
      <c r="F127" s="402"/>
      <c r="G127" s="351">
        <v>2.9</v>
      </c>
      <c r="H127" s="352">
        <f t="shared" si="12"/>
        <v>0.39</v>
      </c>
      <c r="I127" s="352">
        <f t="shared" si="13"/>
        <v>1.0900000000000001</v>
      </c>
      <c r="J127" s="351"/>
      <c r="K127" s="351"/>
      <c r="L127" s="351"/>
      <c r="M127" s="351"/>
      <c r="N127" s="351"/>
      <c r="O127" s="351"/>
      <c r="P127" s="351"/>
      <c r="Q127" s="351"/>
      <c r="R127" s="351"/>
      <c r="S127" s="351" t="s">
        <v>38</v>
      </c>
    </row>
    <row r="128" spans="2:19" ht="26.25" hidden="1" customHeight="1">
      <c r="B128" s="351">
        <f t="shared" si="11"/>
        <v>115</v>
      </c>
      <c r="C128" s="351" t="s">
        <v>111</v>
      </c>
      <c r="D128" s="351" t="s">
        <v>109</v>
      </c>
      <c r="E128" s="351">
        <v>90</v>
      </c>
      <c r="F128" s="403"/>
      <c r="G128" s="351">
        <v>86.4</v>
      </c>
      <c r="H128" s="352">
        <f t="shared" si="12"/>
        <v>0.39</v>
      </c>
      <c r="I128" s="352">
        <f t="shared" si="13"/>
        <v>1.0900000000000001</v>
      </c>
      <c r="J128" s="351"/>
      <c r="K128" s="351"/>
      <c r="L128" s="351"/>
      <c r="M128" s="351"/>
      <c r="N128" s="351"/>
      <c r="O128" s="351"/>
      <c r="P128" s="351"/>
      <c r="Q128" s="351"/>
      <c r="R128" s="351"/>
      <c r="S128" s="351"/>
    </row>
    <row r="129" spans="2:19" ht="26.25" hidden="1" customHeight="1">
      <c r="B129" s="351">
        <f t="shared" si="11"/>
        <v>116</v>
      </c>
      <c r="C129" s="351" t="s">
        <v>112</v>
      </c>
      <c r="D129" s="351" t="s">
        <v>29</v>
      </c>
      <c r="E129" s="351">
        <v>90</v>
      </c>
      <c r="F129" s="351">
        <v>28</v>
      </c>
      <c r="G129" s="351">
        <v>28.5</v>
      </c>
      <c r="H129" s="352">
        <f t="shared" si="12"/>
        <v>0.39</v>
      </c>
      <c r="I129" s="352">
        <f t="shared" si="13"/>
        <v>1.0900000000000001</v>
      </c>
      <c r="J129" s="351"/>
      <c r="K129" s="351"/>
      <c r="L129" s="351"/>
      <c r="M129" s="351"/>
      <c r="N129" s="351"/>
      <c r="O129" s="351"/>
      <c r="P129" s="351"/>
      <c r="Q129" s="351"/>
      <c r="R129" s="351"/>
      <c r="S129" s="351"/>
    </row>
    <row r="130" spans="2:19" ht="26.25" hidden="1" customHeight="1">
      <c r="B130" s="351">
        <f t="shared" si="11"/>
        <v>117</v>
      </c>
      <c r="C130" s="351" t="s">
        <v>113</v>
      </c>
      <c r="D130" s="351" t="s">
        <v>110</v>
      </c>
      <c r="E130" s="351">
        <v>90</v>
      </c>
      <c r="F130" s="351">
        <v>79</v>
      </c>
      <c r="G130" s="351">
        <v>73.7</v>
      </c>
      <c r="H130" s="352">
        <f t="shared" si="12"/>
        <v>0.39</v>
      </c>
      <c r="I130" s="352">
        <f t="shared" si="13"/>
        <v>1.0900000000000001</v>
      </c>
      <c r="J130" s="351"/>
      <c r="K130" s="351"/>
      <c r="L130" s="351"/>
      <c r="M130" s="351"/>
      <c r="N130" s="351"/>
      <c r="O130" s="351"/>
      <c r="P130" s="351"/>
      <c r="Q130" s="351"/>
      <c r="R130" s="351"/>
      <c r="S130" s="351"/>
    </row>
    <row r="131" spans="2:19" ht="26.25" hidden="1" customHeight="1">
      <c r="B131" s="351">
        <f t="shared" si="11"/>
        <v>118</v>
      </c>
      <c r="C131" s="351" t="s">
        <v>109</v>
      </c>
      <c r="D131" s="351" t="s">
        <v>63</v>
      </c>
      <c r="E131" s="351">
        <v>90</v>
      </c>
      <c r="F131" s="351">
        <v>122</v>
      </c>
      <c r="G131" s="351">
        <v>133.80000000000001</v>
      </c>
      <c r="H131" s="352">
        <f t="shared" si="12"/>
        <v>0.39</v>
      </c>
      <c r="I131" s="352">
        <f t="shared" si="13"/>
        <v>1.0900000000000001</v>
      </c>
      <c r="J131" s="351"/>
      <c r="K131" s="351"/>
      <c r="L131" s="351"/>
      <c r="M131" s="351"/>
      <c r="N131" s="351"/>
      <c r="O131" s="351"/>
      <c r="P131" s="351"/>
      <c r="Q131" s="351"/>
      <c r="R131" s="351"/>
      <c r="S131" s="351"/>
    </row>
    <row r="132" spans="2:19" ht="26.25" hidden="1" customHeight="1">
      <c r="B132" s="351">
        <f t="shared" si="11"/>
        <v>119</v>
      </c>
      <c r="C132" s="351" t="s">
        <v>62</v>
      </c>
      <c r="D132" s="351" t="s">
        <v>114</v>
      </c>
      <c r="E132" s="351">
        <v>125</v>
      </c>
      <c r="F132" s="351">
        <v>66</v>
      </c>
      <c r="G132" s="351">
        <v>60.6</v>
      </c>
      <c r="H132" s="352">
        <f t="shared" si="12"/>
        <v>0.42499999999999999</v>
      </c>
      <c r="I132" s="352">
        <f t="shared" si="13"/>
        <v>1.125</v>
      </c>
      <c r="J132" s="351">
        <f t="shared" si="14"/>
        <v>28.974374999999998</v>
      </c>
      <c r="K132" s="351" t="s">
        <v>45</v>
      </c>
      <c r="L132" s="351">
        <v>60.6</v>
      </c>
      <c r="M132" s="352">
        <f>(300+E132)/1000</f>
        <v>0.42499999999999999</v>
      </c>
      <c r="N132" s="351">
        <f t="shared" si="16"/>
        <v>25.754999999999999</v>
      </c>
      <c r="O132" s="351">
        <f t="shared" si="17"/>
        <v>60.6</v>
      </c>
      <c r="P132" s="351">
        <f t="shared" si="18"/>
        <v>0.42499999999999999</v>
      </c>
      <c r="Q132" s="351">
        <f t="shared" si="19"/>
        <v>25.754999999999999</v>
      </c>
      <c r="R132" s="351"/>
      <c r="S132" s="351"/>
    </row>
    <row r="133" spans="2:19" ht="26.25" hidden="1" customHeight="1">
      <c r="B133" s="351">
        <f t="shared" si="11"/>
        <v>120</v>
      </c>
      <c r="C133" s="351" t="s">
        <v>114</v>
      </c>
      <c r="D133" s="351" t="s">
        <v>113</v>
      </c>
      <c r="E133" s="351">
        <v>125</v>
      </c>
      <c r="F133" s="351">
        <v>46</v>
      </c>
      <c r="G133" s="351">
        <v>44.3</v>
      </c>
      <c r="H133" s="352">
        <f t="shared" si="12"/>
        <v>0.42499999999999999</v>
      </c>
      <c r="I133" s="352">
        <f t="shared" si="13"/>
        <v>1.125</v>
      </c>
      <c r="J133" s="351"/>
      <c r="K133" s="351"/>
      <c r="L133" s="351"/>
      <c r="M133" s="351"/>
      <c r="N133" s="351"/>
      <c r="O133" s="351"/>
      <c r="P133" s="351"/>
      <c r="Q133" s="351"/>
      <c r="R133" s="351"/>
      <c r="S133" s="351"/>
    </row>
    <row r="134" spans="2:19" ht="26.25" hidden="1" customHeight="1">
      <c r="B134" s="351">
        <f t="shared" si="11"/>
        <v>121</v>
      </c>
      <c r="C134" s="351" t="s">
        <v>115</v>
      </c>
      <c r="D134" s="351" t="s">
        <v>116</v>
      </c>
      <c r="E134" s="366">
        <v>63</v>
      </c>
      <c r="F134" s="351">
        <v>166</v>
      </c>
      <c r="G134" s="351">
        <v>156</v>
      </c>
      <c r="H134" s="352">
        <f t="shared" si="12"/>
        <v>0.36299999999999999</v>
      </c>
      <c r="I134" s="352">
        <f t="shared" si="13"/>
        <v>1.0629999999999999</v>
      </c>
      <c r="J134" s="351"/>
      <c r="K134" s="351"/>
      <c r="L134" s="351"/>
      <c r="M134" s="351"/>
      <c r="N134" s="351"/>
      <c r="O134" s="351"/>
      <c r="P134" s="351"/>
      <c r="Q134" s="351"/>
      <c r="R134" s="351"/>
      <c r="S134" s="351"/>
    </row>
    <row r="135" spans="2:19" ht="26.25" hidden="1" customHeight="1">
      <c r="B135" s="351">
        <f t="shared" si="11"/>
        <v>122</v>
      </c>
      <c r="C135" s="351" t="s">
        <v>116</v>
      </c>
      <c r="D135" s="351" t="s">
        <v>117</v>
      </c>
      <c r="E135" s="366">
        <v>63</v>
      </c>
      <c r="F135" s="351">
        <v>48</v>
      </c>
      <c r="G135" s="351">
        <v>42.9</v>
      </c>
      <c r="H135" s="352">
        <f t="shared" si="12"/>
        <v>0.36299999999999999</v>
      </c>
      <c r="I135" s="352">
        <f t="shared" si="13"/>
        <v>1.0629999999999999</v>
      </c>
      <c r="J135" s="351"/>
      <c r="K135" s="351"/>
      <c r="L135" s="351"/>
      <c r="M135" s="351"/>
      <c r="N135" s="351"/>
      <c r="O135" s="351"/>
      <c r="P135" s="351"/>
      <c r="Q135" s="351"/>
      <c r="R135" s="351"/>
      <c r="S135" s="351"/>
    </row>
    <row r="136" spans="2:19" ht="26.25" hidden="1" customHeight="1">
      <c r="B136" s="351">
        <f t="shared" si="11"/>
        <v>123</v>
      </c>
      <c r="C136" s="351" t="s">
        <v>118</v>
      </c>
      <c r="D136" s="351" t="s">
        <v>119</v>
      </c>
      <c r="E136" s="366">
        <v>63</v>
      </c>
      <c r="F136" s="351">
        <v>137</v>
      </c>
      <c r="G136" s="351">
        <v>196</v>
      </c>
      <c r="H136" s="352">
        <f t="shared" si="12"/>
        <v>0.36299999999999999</v>
      </c>
      <c r="I136" s="352">
        <f t="shared" si="13"/>
        <v>1.0629999999999999</v>
      </c>
      <c r="J136" s="351"/>
      <c r="K136" s="351"/>
      <c r="L136" s="351"/>
      <c r="M136" s="351"/>
      <c r="N136" s="351"/>
      <c r="O136" s="351"/>
      <c r="P136" s="351"/>
      <c r="Q136" s="351"/>
      <c r="R136" s="351"/>
      <c r="S136" s="351"/>
    </row>
    <row r="137" spans="2:19" ht="26.25" hidden="1" customHeight="1">
      <c r="B137" s="351">
        <f t="shared" si="11"/>
        <v>124</v>
      </c>
      <c r="C137" s="351" t="s">
        <v>120</v>
      </c>
      <c r="D137" s="351" t="s">
        <v>121</v>
      </c>
      <c r="E137" s="366">
        <v>63</v>
      </c>
      <c r="F137" s="351">
        <v>118</v>
      </c>
      <c r="G137" s="351">
        <v>117</v>
      </c>
      <c r="H137" s="352">
        <f t="shared" si="12"/>
        <v>0.36299999999999999</v>
      </c>
      <c r="I137" s="352">
        <f t="shared" si="13"/>
        <v>1.0629999999999999</v>
      </c>
      <c r="J137" s="351"/>
      <c r="K137" s="351"/>
      <c r="L137" s="351"/>
      <c r="M137" s="351"/>
      <c r="N137" s="351"/>
      <c r="O137" s="351"/>
      <c r="P137" s="351"/>
      <c r="Q137" s="351"/>
      <c r="R137" s="351"/>
      <c r="S137" s="351"/>
    </row>
    <row r="138" spans="2:19" ht="26.25" hidden="1" customHeight="1">
      <c r="B138" s="351">
        <f t="shared" si="11"/>
        <v>125</v>
      </c>
      <c r="C138" s="351" t="s">
        <v>122</v>
      </c>
      <c r="D138" s="351" t="s">
        <v>123</v>
      </c>
      <c r="E138" s="366">
        <v>63</v>
      </c>
      <c r="F138" s="351">
        <v>39</v>
      </c>
      <c r="G138" s="351">
        <v>192</v>
      </c>
      <c r="H138" s="352">
        <f t="shared" si="12"/>
        <v>0.36299999999999999</v>
      </c>
      <c r="I138" s="352">
        <f t="shared" si="13"/>
        <v>1.0629999999999999</v>
      </c>
      <c r="J138" s="351"/>
      <c r="K138" s="351"/>
      <c r="L138" s="351"/>
      <c r="M138" s="351"/>
      <c r="N138" s="351"/>
      <c r="O138" s="351"/>
      <c r="P138" s="351"/>
      <c r="Q138" s="351"/>
      <c r="R138" s="351"/>
      <c r="S138" s="351"/>
    </row>
    <row r="139" spans="2:19" ht="26.25" hidden="1" customHeight="1">
      <c r="B139" s="351">
        <f t="shared" si="11"/>
        <v>126</v>
      </c>
      <c r="C139" s="351" t="s">
        <v>68</v>
      </c>
      <c r="D139" s="351" t="s">
        <v>124</v>
      </c>
      <c r="E139" s="366">
        <v>63</v>
      </c>
      <c r="F139" s="351">
        <v>27</v>
      </c>
      <c r="G139" s="351">
        <v>202.3</v>
      </c>
      <c r="H139" s="352">
        <f t="shared" si="12"/>
        <v>0.36299999999999999</v>
      </c>
      <c r="I139" s="352">
        <f t="shared" si="13"/>
        <v>1.0629999999999999</v>
      </c>
      <c r="J139" s="351"/>
      <c r="K139" s="351"/>
      <c r="L139" s="351"/>
      <c r="M139" s="351"/>
      <c r="N139" s="351"/>
      <c r="O139" s="351"/>
      <c r="P139" s="351"/>
      <c r="Q139" s="351"/>
      <c r="R139" s="351"/>
      <c r="S139" s="351"/>
    </row>
    <row r="140" spans="2:19" ht="26.25" hidden="1" customHeight="1">
      <c r="B140" s="351">
        <f t="shared" si="11"/>
        <v>127</v>
      </c>
      <c r="C140" s="351" t="s">
        <v>68</v>
      </c>
      <c r="D140" s="351" t="s">
        <v>125</v>
      </c>
      <c r="E140" s="366">
        <v>63</v>
      </c>
      <c r="F140" s="351">
        <v>85</v>
      </c>
      <c r="G140" s="351">
        <v>96.3</v>
      </c>
      <c r="H140" s="352">
        <f t="shared" si="12"/>
        <v>0.36299999999999999</v>
      </c>
      <c r="I140" s="352">
        <f t="shared" si="13"/>
        <v>1.0629999999999999</v>
      </c>
      <c r="J140" s="351"/>
      <c r="K140" s="351"/>
      <c r="L140" s="351"/>
      <c r="M140" s="351"/>
      <c r="N140" s="351"/>
      <c r="O140" s="351"/>
      <c r="P140" s="351"/>
      <c r="Q140" s="351"/>
      <c r="R140" s="351"/>
      <c r="S140" s="351"/>
    </row>
    <row r="141" spans="2:19" ht="26.25" hidden="1" customHeight="1">
      <c r="B141" s="351">
        <f t="shared" si="11"/>
        <v>128</v>
      </c>
      <c r="C141" s="351" t="s">
        <v>125</v>
      </c>
      <c r="D141" s="351" t="s">
        <v>126</v>
      </c>
      <c r="E141" s="366">
        <v>63</v>
      </c>
      <c r="F141" s="351">
        <v>50</v>
      </c>
      <c r="G141" s="351">
        <v>40.299999999999997</v>
      </c>
      <c r="H141" s="352">
        <f t="shared" si="12"/>
        <v>0.36299999999999999</v>
      </c>
      <c r="I141" s="352">
        <f t="shared" si="13"/>
        <v>1.0629999999999999</v>
      </c>
      <c r="J141" s="351">
        <f t="shared" si="14"/>
        <v>15.550520699999998</v>
      </c>
      <c r="K141" s="351" t="s">
        <v>45</v>
      </c>
      <c r="L141" s="351">
        <v>40.299999999999997</v>
      </c>
      <c r="M141" s="352">
        <f>(300+E141)/1000</f>
        <v>0.36299999999999999</v>
      </c>
      <c r="N141" s="351">
        <f t="shared" si="16"/>
        <v>14.628899999999998</v>
      </c>
      <c r="O141" s="351">
        <f t="shared" si="17"/>
        <v>40.299999999999997</v>
      </c>
      <c r="P141" s="351">
        <f t="shared" si="18"/>
        <v>0.36299999999999999</v>
      </c>
      <c r="Q141" s="351">
        <f t="shared" si="19"/>
        <v>14.628899999999998</v>
      </c>
      <c r="R141" s="351"/>
      <c r="S141" s="351"/>
    </row>
    <row r="142" spans="2:19" ht="26.25" hidden="1" customHeight="1">
      <c r="B142" s="351">
        <f t="shared" si="11"/>
        <v>129</v>
      </c>
      <c r="C142" s="351" t="s">
        <v>126</v>
      </c>
      <c r="D142" s="351" t="s">
        <v>127</v>
      </c>
      <c r="E142" s="366">
        <v>63</v>
      </c>
      <c r="F142" s="351">
        <v>40</v>
      </c>
      <c r="G142" s="351">
        <v>41</v>
      </c>
      <c r="H142" s="352">
        <f t="shared" si="12"/>
        <v>0.36299999999999999</v>
      </c>
      <c r="I142" s="352">
        <f t="shared" si="13"/>
        <v>1.0629999999999999</v>
      </c>
      <c r="J142" s="351"/>
      <c r="K142" s="351"/>
      <c r="L142" s="351"/>
      <c r="M142" s="351"/>
      <c r="N142" s="351"/>
      <c r="O142" s="351"/>
      <c r="P142" s="351"/>
      <c r="Q142" s="351"/>
      <c r="R142" s="351"/>
      <c r="S142" s="351"/>
    </row>
    <row r="143" spans="2:19" ht="26.25" hidden="1" customHeight="1">
      <c r="B143" s="351">
        <f t="shared" si="11"/>
        <v>130</v>
      </c>
      <c r="C143" s="351" t="s">
        <v>127</v>
      </c>
      <c r="D143" s="351" t="s">
        <v>128</v>
      </c>
      <c r="E143" s="366">
        <v>63</v>
      </c>
      <c r="F143" s="401">
        <v>98</v>
      </c>
      <c r="G143" s="351">
        <v>38.4</v>
      </c>
      <c r="H143" s="352">
        <f t="shared" ref="H143:H206" si="22">(300+E143)/1000</f>
        <v>0.36299999999999999</v>
      </c>
      <c r="I143" s="352">
        <f t="shared" ref="I143:I206" si="23">(1000+E143)/1000</f>
        <v>1.0629999999999999</v>
      </c>
      <c r="J143" s="351">
        <f t="shared" si="14"/>
        <v>14.817369599999997</v>
      </c>
      <c r="K143" s="351" t="s">
        <v>45</v>
      </c>
      <c r="L143" s="351">
        <v>38.4</v>
      </c>
      <c r="M143" s="352">
        <f>(300+E143)/1000</f>
        <v>0.36299999999999999</v>
      </c>
      <c r="N143" s="351">
        <f t="shared" si="16"/>
        <v>13.9392</v>
      </c>
      <c r="O143" s="351">
        <f t="shared" ref="O143:O186" si="24">+L143</f>
        <v>38.4</v>
      </c>
      <c r="P143" s="351">
        <f t="shared" ref="P143:P186" si="25">+M143</f>
        <v>0.36299999999999999</v>
      </c>
      <c r="Q143" s="351">
        <f t="shared" si="19"/>
        <v>13.9392</v>
      </c>
      <c r="R143" s="351"/>
      <c r="S143" s="351"/>
    </row>
    <row r="144" spans="2:19" ht="26.25" hidden="1" customHeight="1">
      <c r="B144" s="351">
        <f t="shared" si="11"/>
        <v>131</v>
      </c>
      <c r="C144" s="351" t="s">
        <v>127</v>
      </c>
      <c r="D144" s="351" t="s">
        <v>128</v>
      </c>
      <c r="E144" s="366">
        <v>63</v>
      </c>
      <c r="F144" s="403"/>
      <c r="G144" s="351">
        <v>9.8000000000000007</v>
      </c>
      <c r="H144" s="352">
        <f t="shared" si="22"/>
        <v>0.36299999999999999</v>
      </c>
      <c r="I144" s="352">
        <f t="shared" si="23"/>
        <v>1.0629999999999999</v>
      </c>
      <c r="J144" s="351"/>
      <c r="K144" s="351"/>
      <c r="L144" s="351"/>
      <c r="M144" s="351"/>
      <c r="N144" s="351"/>
      <c r="O144" s="351"/>
      <c r="P144" s="351"/>
      <c r="Q144" s="351"/>
      <c r="R144" s="351"/>
      <c r="S144" s="351"/>
    </row>
    <row r="145" spans="2:19" ht="26.25" hidden="1" customHeight="1">
      <c r="B145" s="351">
        <f t="shared" si="11"/>
        <v>132</v>
      </c>
      <c r="C145" s="351" t="s">
        <v>126</v>
      </c>
      <c r="D145" s="351" t="s">
        <v>129</v>
      </c>
      <c r="E145" s="366">
        <v>63</v>
      </c>
      <c r="F145" s="351"/>
      <c r="G145" s="351">
        <v>29.6</v>
      </c>
      <c r="H145" s="352">
        <f t="shared" si="22"/>
        <v>0.36299999999999999</v>
      </c>
      <c r="I145" s="352">
        <f t="shared" si="23"/>
        <v>1.0629999999999999</v>
      </c>
      <c r="J145" s="351"/>
      <c r="K145" s="351"/>
      <c r="L145" s="351"/>
      <c r="M145" s="351"/>
      <c r="N145" s="351"/>
      <c r="O145" s="351"/>
      <c r="P145" s="351"/>
      <c r="Q145" s="351"/>
      <c r="R145" s="351"/>
      <c r="S145" s="351"/>
    </row>
    <row r="146" spans="2:19" ht="26.25" hidden="1" customHeight="1">
      <c r="B146" s="351">
        <f t="shared" si="11"/>
        <v>133</v>
      </c>
      <c r="C146" s="351" t="s">
        <v>69</v>
      </c>
      <c r="D146" s="351" t="s">
        <v>130</v>
      </c>
      <c r="E146" s="366">
        <v>63</v>
      </c>
      <c r="F146" s="351">
        <v>45</v>
      </c>
      <c r="G146" s="351">
        <v>42.7</v>
      </c>
      <c r="H146" s="352">
        <f t="shared" si="22"/>
        <v>0.36299999999999999</v>
      </c>
      <c r="I146" s="352">
        <f t="shared" si="23"/>
        <v>1.0629999999999999</v>
      </c>
      <c r="J146" s="351"/>
      <c r="K146" s="351"/>
      <c r="L146" s="351"/>
      <c r="M146" s="351"/>
      <c r="N146" s="351"/>
      <c r="O146" s="351"/>
      <c r="P146" s="351"/>
      <c r="Q146" s="351"/>
      <c r="R146" s="351"/>
      <c r="S146" s="351"/>
    </row>
    <row r="147" spans="2:19" ht="26.25" hidden="1" customHeight="1">
      <c r="B147" s="351">
        <f t="shared" si="11"/>
        <v>134</v>
      </c>
      <c r="C147" s="351" t="s">
        <v>69</v>
      </c>
      <c r="D147" s="351" t="s">
        <v>130</v>
      </c>
      <c r="E147" s="366">
        <v>63</v>
      </c>
      <c r="F147" s="351"/>
      <c r="G147" s="351">
        <v>8.5</v>
      </c>
      <c r="H147" s="352">
        <f t="shared" si="22"/>
        <v>0.36299999999999999</v>
      </c>
      <c r="I147" s="352">
        <f t="shared" si="23"/>
        <v>1.0629999999999999</v>
      </c>
      <c r="J147" s="351">
        <f t="shared" si="14"/>
        <v>3.2798864999999995</v>
      </c>
      <c r="K147" s="351" t="s">
        <v>102</v>
      </c>
      <c r="L147" s="351">
        <v>8.5</v>
      </c>
      <c r="M147" s="352">
        <f>(300+E147)/1000</f>
        <v>0.36299999999999999</v>
      </c>
      <c r="N147" s="351">
        <f t="shared" si="16"/>
        <v>3.0854999999999997</v>
      </c>
      <c r="O147" s="351"/>
      <c r="P147" s="351"/>
      <c r="Q147" s="351"/>
      <c r="R147" s="351"/>
      <c r="S147" s="351"/>
    </row>
    <row r="148" spans="2:19" ht="26.25" hidden="1" customHeight="1">
      <c r="B148" s="351">
        <f t="shared" si="11"/>
        <v>135</v>
      </c>
      <c r="C148" s="351" t="s">
        <v>130</v>
      </c>
      <c r="D148" s="351" t="s">
        <v>131</v>
      </c>
      <c r="E148" s="366">
        <v>63</v>
      </c>
      <c r="F148" s="351">
        <v>28</v>
      </c>
      <c r="G148" s="351">
        <v>46</v>
      </c>
      <c r="H148" s="352">
        <f t="shared" si="22"/>
        <v>0.36299999999999999</v>
      </c>
      <c r="I148" s="352">
        <f t="shared" si="23"/>
        <v>1.0629999999999999</v>
      </c>
      <c r="J148" s="351"/>
      <c r="K148" s="351"/>
      <c r="L148" s="351"/>
      <c r="M148" s="351"/>
      <c r="N148" s="351"/>
      <c r="O148" s="351"/>
      <c r="P148" s="351"/>
      <c r="Q148" s="351"/>
      <c r="R148" s="351"/>
      <c r="S148" s="351"/>
    </row>
    <row r="149" spans="2:19" ht="26.25" hidden="1" customHeight="1">
      <c r="B149" s="351">
        <f t="shared" si="11"/>
        <v>136</v>
      </c>
      <c r="C149" s="351" t="s">
        <v>130</v>
      </c>
      <c r="D149" s="351" t="s">
        <v>128</v>
      </c>
      <c r="E149" s="366">
        <v>63</v>
      </c>
      <c r="F149" s="351">
        <v>18</v>
      </c>
      <c r="G149" s="351">
        <v>18.600000000000001</v>
      </c>
      <c r="H149" s="352">
        <f t="shared" si="22"/>
        <v>0.36299999999999999</v>
      </c>
      <c r="I149" s="352">
        <f t="shared" si="23"/>
        <v>1.0629999999999999</v>
      </c>
      <c r="J149" s="351"/>
      <c r="K149" s="351"/>
      <c r="L149" s="351"/>
      <c r="M149" s="351"/>
      <c r="N149" s="351"/>
      <c r="O149" s="351"/>
      <c r="P149" s="351"/>
      <c r="Q149" s="351"/>
      <c r="R149" s="351"/>
      <c r="S149" s="351"/>
    </row>
    <row r="150" spans="2:19" ht="26.25" hidden="1" customHeight="1">
      <c r="B150" s="351">
        <f t="shared" si="11"/>
        <v>137</v>
      </c>
      <c r="C150" s="351" t="s">
        <v>128</v>
      </c>
      <c r="D150" s="351" t="s">
        <v>132</v>
      </c>
      <c r="E150" s="366">
        <v>63</v>
      </c>
      <c r="F150" s="401">
        <v>159</v>
      </c>
      <c r="G150" s="351">
        <v>5</v>
      </c>
      <c r="H150" s="352">
        <f t="shared" si="22"/>
        <v>0.36299999999999999</v>
      </c>
      <c r="I150" s="352">
        <f t="shared" si="23"/>
        <v>1.0629999999999999</v>
      </c>
      <c r="J150" s="351">
        <f t="shared" si="14"/>
        <v>1.9293449999999999</v>
      </c>
      <c r="K150" s="351" t="s">
        <v>45</v>
      </c>
      <c r="L150" s="351">
        <v>5</v>
      </c>
      <c r="M150" s="352">
        <f t="shared" ref="M150:M151" si="26">(300+E150)/1000</f>
        <v>0.36299999999999999</v>
      </c>
      <c r="N150" s="351">
        <f t="shared" si="16"/>
        <v>1.8149999999999999</v>
      </c>
      <c r="O150" s="351">
        <f t="shared" si="24"/>
        <v>5</v>
      </c>
      <c r="P150" s="351">
        <f t="shared" si="25"/>
        <v>0.36299999999999999</v>
      </c>
      <c r="Q150" s="351">
        <f t="shared" si="19"/>
        <v>1.8149999999999999</v>
      </c>
      <c r="R150" s="351"/>
      <c r="S150" s="351"/>
    </row>
    <row r="151" spans="2:19" ht="26.25" hidden="1" customHeight="1">
      <c r="B151" s="351">
        <f t="shared" si="11"/>
        <v>138</v>
      </c>
      <c r="C151" s="351" t="s">
        <v>128</v>
      </c>
      <c r="D151" s="351" t="s">
        <v>132</v>
      </c>
      <c r="E151" s="366">
        <v>63</v>
      </c>
      <c r="F151" s="402"/>
      <c r="G151" s="351">
        <v>48</v>
      </c>
      <c r="H151" s="352">
        <f t="shared" si="22"/>
        <v>0.36299999999999999</v>
      </c>
      <c r="I151" s="352">
        <f t="shared" si="23"/>
        <v>1.0629999999999999</v>
      </c>
      <c r="J151" s="351">
        <f t="shared" si="14"/>
        <v>18.521711999999997</v>
      </c>
      <c r="K151" s="351" t="s">
        <v>45</v>
      </c>
      <c r="L151" s="351">
        <v>48</v>
      </c>
      <c r="M151" s="352">
        <f t="shared" si="26"/>
        <v>0.36299999999999999</v>
      </c>
      <c r="N151" s="351">
        <f t="shared" si="16"/>
        <v>17.423999999999999</v>
      </c>
      <c r="O151" s="351">
        <f t="shared" si="24"/>
        <v>48</v>
      </c>
      <c r="P151" s="351">
        <f t="shared" si="25"/>
        <v>0.36299999999999999</v>
      </c>
      <c r="Q151" s="351">
        <f t="shared" si="19"/>
        <v>17.423999999999999</v>
      </c>
      <c r="R151" s="351"/>
      <c r="S151" s="351"/>
    </row>
    <row r="152" spans="2:19" ht="26.25" hidden="1" customHeight="1">
      <c r="B152" s="351">
        <f t="shared" si="11"/>
        <v>139</v>
      </c>
      <c r="C152" s="351" t="s">
        <v>128</v>
      </c>
      <c r="D152" s="351" t="s">
        <v>132</v>
      </c>
      <c r="E152" s="366">
        <v>63</v>
      </c>
      <c r="F152" s="403"/>
      <c r="G152" s="351">
        <v>63.8</v>
      </c>
      <c r="H152" s="352">
        <f t="shared" si="22"/>
        <v>0.36299999999999999</v>
      </c>
      <c r="I152" s="352">
        <f t="shared" si="23"/>
        <v>1.0629999999999999</v>
      </c>
      <c r="J152" s="351"/>
      <c r="K152" s="351"/>
      <c r="L152" s="351"/>
      <c r="M152" s="351"/>
      <c r="N152" s="351"/>
      <c r="O152" s="351"/>
      <c r="P152" s="351"/>
      <c r="Q152" s="351"/>
      <c r="R152" s="351"/>
      <c r="S152" s="351"/>
    </row>
    <row r="153" spans="2:19" ht="26.25" hidden="1" customHeight="1">
      <c r="B153" s="351">
        <f t="shared" si="11"/>
        <v>140</v>
      </c>
      <c r="C153" s="351" t="s">
        <v>133</v>
      </c>
      <c r="D153" s="351" t="s">
        <v>134</v>
      </c>
      <c r="E153" s="366">
        <v>63</v>
      </c>
      <c r="F153" s="351">
        <v>94</v>
      </c>
      <c r="G153" s="351">
        <v>103</v>
      </c>
      <c r="H153" s="352">
        <f t="shared" si="22"/>
        <v>0.36299999999999999</v>
      </c>
      <c r="I153" s="352">
        <f t="shared" si="23"/>
        <v>1.0629999999999999</v>
      </c>
      <c r="J153" s="351"/>
      <c r="K153" s="351"/>
      <c r="L153" s="351"/>
      <c r="M153" s="351"/>
      <c r="N153" s="351"/>
      <c r="O153" s="351"/>
      <c r="P153" s="351"/>
      <c r="Q153" s="351"/>
      <c r="R153" s="351"/>
      <c r="S153" s="351"/>
    </row>
    <row r="154" spans="2:19" ht="26.25" hidden="1" customHeight="1">
      <c r="B154" s="351">
        <f t="shared" si="11"/>
        <v>141</v>
      </c>
      <c r="C154" s="351" t="s">
        <v>135</v>
      </c>
      <c r="D154" s="351" t="s">
        <v>136</v>
      </c>
      <c r="E154" s="366">
        <v>63</v>
      </c>
      <c r="F154" s="351"/>
      <c r="G154" s="351">
        <v>26.6</v>
      </c>
      <c r="H154" s="352">
        <f t="shared" si="22"/>
        <v>0.36299999999999999</v>
      </c>
      <c r="I154" s="352">
        <f t="shared" si="23"/>
        <v>1.0629999999999999</v>
      </c>
      <c r="J154" s="351"/>
      <c r="K154" s="351"/>
      <c r="L154" s="351"/>
      <c r="M154" s="351"/>
      <c r="N154" s="351"/>
      <c r="O154" s="351"/>
      <c r="P154" s="351"/>
      <c r="Q154" s="351"/>
      <c r="R154" s="351"/>
      <c r="S154" s="351"/>
    </row>
    <row r="155" spans="2:19" ht="26.25" hidden="1" customHeight="1">
      <c r="B155" s="351">
        <f t="shared" si="11"/>
        <v>142</v>
      </c>
      <c r="C155" s="351" t="s">
        <v>134</v>
      </c>
      <c r="D155" s="351" t="s">
        <v>80</v>
      </c>
      <c r="E155" s="366">
        <v>63</v>
      </c>
      <c r="F155" s="351">
        <v>193</v>
      </c>
      <c r="G155" s="351">
        <v>175.8</v>
      </c>
      <c r="H155" s="352">
        <f t="shared" si="22"/>
        <v>0.36299999999999999</v>
      </c>
      <c r="I155" s="352">
        <f t="shared" si="23"/>
        <v>1.0629999999999999</v>
      </c>
      <c r="J155" s="351"/>
      <c r="K155" s="351"/>
      <c r="L155" s="351"/>
      <c r="M155" s="351"/>
      <c r="N155" s="351"/>
      <c r="O155" s="351"/>
      <c r="P155" s="351"/>
      <c r="Q155" s="351"/>
      <c r="R155" s="351"/>
      <c r="S155" s="351"/>
    </row>
    <row r="156" spans="2:19" ht="26.25" hidden="1" customHeight="1">
      <c r="B156" s="351">
        <f t="shared" si="11"/>
        <v>143</v>
      </c>
      <c r="C156" s="351" t="s">
        <v>94</v>
      </c>
      <c r="D156" s="351" t="s">
        <v>137</v>
      </c>
      <c r="E156" s="366">
        <v>63</v>
      </c>
      <c r="F156" s="351"/>
      <c r="G156" s="351">
        <v>46</v>
      </c>
      <c r="H156" s="352">
        <f t="shared" si="22"/>
        <v>0.36299999999999999</v>
      </c>
      <c r="I156" s="352">
        <f t="shared" si="23"/>
        <v>1.0629999999999999</v>
      </c>
      <c r="J156" s="351">
        <f t="shared" si="14"/>
        <v>17.749973999999998</v>
      </c>
      <c r="K156" s="351" t="s">
        <v>45</v>
      </c>
      <c r="L156" s="351">
        <v>46</v>
      </c>
      <c r="M156" s="352">
        <f>(300+E156)/1000</f>
        <v>0.36299999999999999</v>
      </c>
      <c r="N156" s="351">
        <f t="shared" si="16"/>
        <v>16.698</v>
      </c>
      <c r="O156" s="351">
        <f t="shared" si="24"/>
        <v>46</v>
      </c>
      <c r="P156" s="351">
        <f t="shared" si="25"/>
        <v>0.36299999999999999</v>
      </c>
      <c r="Q156" s="351">
        <f t="shared" si="19"/>
        <v>16.698</v>
      </c>
      <c r="R156" s="351"/>
      <c r="S156" s="351"/>
    </row>
    <row r="157" spans="2:19" ht="26.25" hidden="1" customHeight="1">
      <c r="B157" s="351">
        <f t="shared" si="11"/>
        <v>144</v>
      </c>
      <c r="C157" s="351" t="s">
        <v>94</v>
      </c>
      <c r="D157" s="351" t="s">
        <v>137</v>
      </c>
      <c r="E157" s="366">
        <v>63</v>
      </c>
      <c r="F157" s="351"/>
      <c r="G157" s="351">
        <v>21</v>
      </c>
      <c r="H157" s="352">
        <f t="shared" si="22"/>
        <v>0.36299999999999999</v>
      </c>
      <c r="I157" s="352">
        <f t="shared" si="23"/>
        <v>1.0629999999999999</v>
      </c>
      <c r="J157" s="351"/>
      <c r="K157" s="351"/>
      <c r="L157" s="351"/>
      <c r="M157" s="351"/>
      <c r="N157" s="351"/>
      <c r="O157" s="351"/>
      <c r="P157" s="351"/>
      <c r="Q157" s="351"/>
      <c r="R157" s="351"/>
      <c r="S157" s="351"/>
    </row>
    <row r="158" spans="2:19" ht="26.25" hidden="1" customHeight="1">
      <c r="B158" s="351">
        <f t="shared" ref="B158:B218" si="27">+B157+1</f>
        <v>145</v>
      </c>
      <c r="C158" s="351" t="s">
        <v>108</v>
      </c>
      <c r="D158" s="351" t="s">
        <v>61</v>
      </c>
      <c r="E158" s="366">
        <v>63</v>
      </c>
      <c r="F158" s="351">
        <v>72</v>
      </c>
      <c r="G158" s="351">
        <v>50.2</v>
      </c>
      <c r="H158" s="352">
        <f t="shared" si="22"/>
        <v>0.36299999999999999</v>
      </c>
      <c r="I158" s="352">
        <f t="shared" si="23"/>
        <v>1.0629999999999999</v>
      </c>
      <c r="J158" s="351"/>
      <c r="K158" s="351"/>
      <c r="L158" s="351"/>
      <c r="M158" s="351"/>
      <c r="N158" s="351"/>
      <c r="O158" s="351"/>
      <c r="P158" s="351"/>
      <c r="Q158" s="351"/>
      <c r="R158" s="351"/>
      <c r="S158" s="351"/>
    </row>
    <row r="159" spans="2:19" ht="26.25" hidden="1" customHeight="1">
      <c r="B159" s="351">
        <f t="shared" si="27"/>
        <v>146</v>
      </c>
      <c r="C159" s="351" t="s">
        <v>115</v>
      </c>
      <c r="D159" s="351" t="s">
        <v>116</v>
      </c>
      <c r="E159" s="366">
        <v>63</v>
      </c>
      <c r="F159" s="351">
        <v>166</v>
      </c>
      <c r="G159" s="351">
        <v>156</v>
      </c>
      <c r="H159" s="352">
        <f t="shared" si="22"/>
        <v>0.36299999999999999</v>
      </c>
      <c r="I159" s="352">
        <f t="shared" si="23"/>
        <v>1.0629999999999999</v>
      </c>
      <c r="J159" s="351"/>
      <c r="K159" s="351"/>
      <c r="L159" s="351"/>
      <c r="M159" s="351"/>
      <c r="N159" s="351"/>
      <c r="O159" s="351"/>
      <c r="P159" s="351"/>
      <c r="Q159" s="351"/>
      <c r="R159" s="351"/>
      <c r="S159" s="351"/>
    </row>
    <row r="160" spans="2:19" ht="26.25" hidden="1" customHeight="1">
      <c r="B160" s="351">
        <f t="shared" si="27"/>
        <v>147</v>
      </c>
      <c r="C160" s="351" t="s">
        <v>116</v>
      </c>
      <c r="D160" s="351" t="s">
        <v>117</v>
      </c>
      <c r="E160" s="366">
        <v>63</v>
      </c>
      <c r="F160" s="351">
        <v>48</v>
      </c>
      <c r="G160" s="351">
        <v>42.9</v>
      </c>
      <c r="H160" s="352">
        <f t="shared" si="22"/>
        <v>0.36299999999999999</v>
      </c>
      <c r="I160" s="352">
        <f t="shared" si="23"/>
        <v>1.0629999999999999</v>
      </c>
      <c r="J160" s="351"/>
      <c r="K160" s="351"/>
      <c r="L160" s="351"/>
      <c r="M160" s="351"/>
      <c r="N160" s="351"/>
      <c r="O160" s="351"/>
      <c r="P160" s="351"/>
      <c r="Q160" s="351"/>
      <c r="R160" s="351"/>
      <c r="S160" s="351"/>
    </row>
    <row r="161" spans="2:19" ht="26.25" hidden="1" customHeight="1">
      <c r="B161" s="351">
        <f t="shared" si="27"/>
        <v>148</v>
      </c>
      <c r="C161" s="351" t="s">
        <v>117</v>
      </c>
      <c r="D161" s="351" t="s">
        <v>138</v>
      </c>
      <c r="E161" s="351">
        <v>140</v>
      </c>
      <c r="F161" s="351">
        <v>181</v>
      </c>
      <c r="G161" s="351">
        <v>184.3</v>
      </c>
      <c r="H161" s="352">
        <f t="shared" si="22"/>
        <v>0.44</v>
      </c>
      <c r="I161" s="352">
        <f t="shared" si="23"/>
        <v>1.1399999999999999</v>
      </c>
      <c r="J161" s="351">
        <f t="shared" ref="J161:J218" si="28">+I161*H161*G161</f>
        <v>92.444879999999998</v>
      </c>
      <c r="K161" s="351" t="s">
        <v>102</v>
      </c>
      <c r="L161" s="351">
        <v>184.3</v>
      </c>
      <c r="M161" s="352">
        <f t="shared" ref="M161:M162" si="29">(300+E161)/1000</f>
        <v>0.44</v>
      </c>
      <c r="N161" s="351">
        <f t="shared" ref="N161:N218" si="30">+M161*L161</f>
        <v>81.091999999999999</v>
      </c>
      <c r="O161" s="351"/>
      <c r="P161" s="351"/>
      <c r="Q161" s="351"/>
      <c r="R161" s="351"/>
      <c r="S161" s="351"/>
    </row>
    <row r="162" spans="2:19" ht="26.25" hidden="1" customHeight="1">
      <c r="B162" s="351">
        <f t="shared" si="27"/>
        <v>149</v>
      </c>
      <c r="C162" s="351" t="s">
        <v>138</v>
      </c>
      <c r="D162" s="351" t="s">
        <v>139</v>
      </c>
      <c r="E162" s="351">
        <v>90</v>
      </c>
      <c r="F162" s="351">
        <v>543</v>
      </c>
      <c r="G162" s="351">
        <v>542.6</v>
      </c>
      <c r="H162" s="352">
        <f t="shared" si="22"/>
        <v>0.39</v>
      </c>
      <c r="I162" s="352">
        <f t="shared" si="23"/>
        <v>1.0900000000000001</v>
      </c>
      <c r="J162" s="351">
        <f t="shared" si="28"/>
        <v>230.65926000000002</v>
      </c>
      <c r="K162" s="351" t="s">
        <v>102</v>
      </c>
      <c r="L162" s="351">
        <v>542.6</v>
      </c>
      <c r="M162" s="352">
        <f t="shared" si="29"/>
        <v>0.39</v>
      </c>
      <c r="N162" s="351">
        <f t="shared" si="30"/>
        <v>211.614</v>
      </c>
      <c r="O162" s="351"/>
      <c r="P162" s="351"/>
      <c r="Q162" s="351"/>
      <c r="R162" s="351"/>
      <c r="S162" s="351"/>
    </row>
    <row r="163" spans="2:19" ht="26.25" hidden="1" customHeight="1">
      <c r="B163" s="351">
        <f t="shared" si="27"/>
        <v>150</v>
      </c>
      <c r="C163" s="351" t="s">
        <v>138</v>
      </c>
      <c r="D163" s="351" t="s">
        <v>115</v>
      </c>
      <c r="E163" s="351">
        <v>160</v>
      </c>
      <c r="F163" s="351">
        <v>57</v>
      </c>
      <c r="G163" s="351">
        <v>53.2</v>
      </c>
      <c r="H163" s="352">
        <f t="shared" si="22"/>
        <v>0.46</v>
      </c>
      <c r="I163" s="352">
        <f t="shared" si="23"/>
        <v>1.1599999999999999</v>
      </c>
      <c r="J163" s="351"/>
      <c r="K163" s="351"/>
      <c r="L163" s="351"/>
      <c r="M163" s="351"/>
      <c r="N163" s="351"/>
      <c r="O163" s="351"/>
      <c r="P163" s="351"/>
      <c r="Q163" s="351"/>
      <c r="R163" s="351"/>
      <c r="S163" s="351"/>
    </row>
    <row r="164" spans="2:19" ht="26.25" hidden="1" customHeight="1">
      <c r="B164" s="351">
        <f t="shared" si="27"/>
        <v>151</v>
      </c>
      <c r="C164" s="351" t="s">
        <v>115</v>
      </c>
      <c r="D164" s="351" t="s">
        <v>140</v>
      </c>
      <c r="E164" s="351">
        <v>160</v>
      </c>
      <c r="F164" s="351">
        <v>38</v>
      </c>
      <c r="G164" s="351">
        <v>71.599999999999994</v>
      </c>
      <c r="H164" s="352">
        <f t="shared" si="22"/>
        <v>0.46</v>
      </c>
      <c r="I164" s="352">
        <f t="shared" si="23"/>
        <v>1.1599999999999999</v>
      </c>
      <c r="J164" s="351"/>
      <c r="K164" s="351"/>
      <c r="L164" s="351"/>
      <c r="M164" s="351"/>
      <c r="N164" s="351"/>
      <c r="O164" s="351"/>
      <c r="P164" s="351"/>
      <c r="Q164" s="351"/>
      <c r="R164" s="351"/>
      <c r="S164" s="351"/>
    </row>
    <row r="165" spans="2:19" ht="26.25" hidden="1" customHeight="1">
      <c r="B165" s="351">
        <f t="shared" si="27"/>
        <v>152</v>
      </c>
      <c r="C165" s="351" t="s">
        <v>140</v>
      </c>
      <c r="D165" s="351" t="s">
        <v>141</v>
      </c>
      <c r="E165" s="351">
        <v>160</v>
      </c>
      <c r="F165" s="351">
        <v>69</v>
      </c>
      <c r="G165" s="351">
        <v>37.700000000000003</v>
      </c>
      <c r="H165" s="352">
        <f t="shared" si="22"/>
        <v>0.46</v>
      </c>
      <c r="I165" s="352">
        <f t="shared" si="23"/>
        <v>1.1599999999999999</v>
      </c>
      <c r="J165" s="351"/>
      <c r="K165" s="351"/>
      <c r="L165" s="351"/>
      <c r="M165" s="351"/>
      <c r="N165" s="351"/>
      <c r="O165" s="351"/>
      <c r="P165" s="351"/>
      <c r="Q165" s="351"/>
      <c r="R165" s="351"/>
      <c r="S165" s="351"/>
    </row>
    <row r="166" spans="2:19" ht="26.25" hidden="1" customHeight="1">
      <c r="B166" s="351">
        <f t="shared" si="27"/>
        <v>153</v>
      </c>
      <c r="C166" s="351" t="s">
        <v>140</v>
      </c>
      <c r="D166" s="351" t="s">
        <v>142</v>
      </c>
      <c r="E166" s="351">
        <v>160</v>
      </c>
      <c r="F166" s="351">
        <v>23</v>
      </c>
      <c r="G166" s="351">
        <v>23</v>
      </c>
      <c r="H166" s="352">
        <f t="shared" si="22"/>
        <v>0.46</v>
      </c>
      <c r="I166" s="352">
        <f t="shared" si="23"/>
        <v>1.1599999999999999</v>
      </c>
      <c r="J166" s="351"/>
      <c r="K166" s="351"/>
      <c r="L166" s="351"/>
      <c r="M166" s="351"/>
      <c r="N166" s="351"/>
      <c r="O166" s="351"/>
      <c r="P166" s="351"/>
      <c r="Q166" s="351"/>
      <c r="R166" s="351"/>
      <c r="S166" s="351"/>
    </row>
    <row r="167" spans="2:19" ht="26.25" hidden="1" customHeight="1">
      <c r="B167" s="351">
        <f t="shared" si="27"/>
        <v>154</v>
      </c>
      <c r="C167" s="351" t="s">
        <v>141</v>
      </c>
      <c r="D167" s="351" t="s">
        <v>143</v>
      </c>
      <c r="E167" s="351">
        <v>160</v>
      </c>
      <c r="F167" s="351">
        <v>52</v>
      </c>
      <c r="G167" s="351">
        <v>49</v>
      </c>
      <c r="H167" s="352">
        <f t="shared" si="22"/>
        <v>0.46</v>
      </c>
      <c r="I167" s="352">
        <f t="shared" si="23"/>
        <v>1.1599999999999999</v>
      </c>
      <c r="J167" s="351"/>
      <c r="K167" s="351"/>
      <c r="L167" s="351"/>
      <c r="M167" s="351"/>
      <c r="N167" s="351"/>
      <c r="O167" s="351"/>
      <c r="P167" s="351"/>
      <c r="Q167" s="351"/>
      <c r="R167" s="351"/>
      <c r="S167" s="351"/>
    </row>
    <row r="168" spans="2:19" ht="26.25" hidden="1" customHeight="1">
      <c r="B168" s="351">
        <f t="shared" si="27"/>
        <v>155</v>
      </c>
      <c r="C168" s="351" t="s">
        <v>144</v>
      </c>
      <c r="D168" s="351" t="s">
        <v>122</v>
      </c>
      <c r="E168" s="351">
        <v>160</v>
      </c>
      <c r="F168" s="351">
        <v>56</v>
      </c>
      <c r="G168" s="351">
        <v>60</v>
      </c>
      <c r="H168" s="352">
        <f t="shared" si="22"/>
        <v>0.46</v>
      </c>
      <c r="I168" s="352">
        <f t="shared" si="23"/>
        <v>1.1599999999999999</v>
      </c>
      <c r="J168" s="351"/>
      <c r="K168" s="351"/>
      <c r="L168" s="351"/>
      <c r="M168" s="351"/>
      <c r="N168" s="351"/>
      <c r="O168" s="351"/>
      <c r="P168" s="351"/>
      <c r="Q168" s="351"/>
      <c r="R168" s="351"/>
      <c r="S168" s="351"/>
    </row>
    <row r="169" spans="2:19" ht="26.25" hidden="1" customHeight="1">
      <c r="B169" s="351">
        <f t="shared" si="27"/>
        <v>156</v>
      </c>
      <c r="C169" s="351" t="s">
        <v>122</v>
      </c>
      <c r="D169" s="351" t="s">
        <v>123</v>
      </c>
      <c r="E169" s="351">
        <v>63</v>
      </c>
      <c r="F169" s="351">
        <v>39</v>
      </c>
      <c r="G169" s="351">
        <v>192</v>
      </c>
      <c r="H169" s="352">
        <f t="shared" si="22"/>
        <v>0.36299999999999999</v>
      </c>
      <c r="I169" s="352">
        <f t="shared" si="23"/>
        <v>1.0629999999999999</v>
      </c>
      <c r="J169" s="351"/>
      <c r="K169" s="351"/>
      <c r="L169" s="351"/>
      <c r="M169" s="351"/>
      <c r="N169" s="351"/>
      <c r="O169" s="351"/>
      <c r="P169" s="351"/>
      <c r="Q169" s="351"/>
      <c r="R169" s="351"/>
      <c r="S169" s="351"/>
    </row>
    <row r="170" spans="2:19" ht="26.25" hidden="1" customHeight="1">
      <c r="B170" s="351">
        <f t="shared" si="27"/>
        <v>157</v>
      </c>
      <c r="C170" s="351" t="s">
        <v>122</v>
      </c>
      <c r="D170" s="351" t="s">
        <v>118</v>
      </c>
      <c r="E170" s="351">
        <v>160</v>
      </c>
      <c r="F170" s="351">
        <v>87</v>
      </c>
      <c r="G170" s="351">
        <v>87.8</v>
      </c>
      <c r="H170" s="352">
        <f t="shared" si="22"/>
        <v>0.46</v>
      </c>
      <c r="I170" s="352">
        <f t="shared" si="23"/>
        <v>1.1599999999999999</v>
      </c>
      <c r="J170" s="351"/>
      <c r="K170" s="351"/>
      <c r="L170" s="351"/>
      <c r="M170" s="351"/>
      <c r="N170" s="351"/>
      <c r="O170" s="351"/>
      <c r="P170" s="351"/>
      <c r="Q170" s="351"/>
      <c r="R170" s="351"/>
      <c r="S170" s="351"/>
    </row>
    <row r="171" spans="2:19" ht="26.25" hidden="1" customHeight="1">
      <c r="B171" s="351">
        <f t="shared" si="27"/>
        <v>158</v>
      </c>
      <c r="C171" s="351" t="s">
        <v>118</v>
      </c>
      <c r="D171" s="351" t="s">
        <v>119</v>
      </c>
      <c r="E171" s="351">
        <v>63</v>
      </c>
      <c r="F171" s="351">
        <v>137</v>
      </c>
      <c r="G171" s="351">
        <v>196</v>
      </c>
      <c r="H171" s="352">
        <f t="shared" si="22"/>
        <v>0.36299999999999999</v>
      </c>
      <c r="I171" s="352">
        <f t="shared" si="23"/>
        <v>1.0629999999999999</v>
      </c>
      <c r="J171" s="351"/>
      <c r="K171" s="351"/>
      <c r="L171" s="351"/>
      <c r="M171" s="351"/>
      <c r="N171" s="351"/>
      <c r="O171" s="351"/>
      <c r="P171" s="351"/>
      <c r="Q171" s="351"/>
      <c r="R171" s="351"/>
      <c r="S171" s="351"/>
    </row>
    <row r="172" spans="2:19" ht="26.25" hidden="1" customHeight="1">
      <c r="B172" s="351">
        <f t="shared" si="27"/>
        <v>159</v>
      </c>
      <c r="C172" s="351" t="s">
        <v>118</v>
      </c>
      <c r="D172" s="351" t="s">
        <v>145</v>
      </c>
      <c r="E172" s="351">
        <v>140</v>
      </c>
      <c r="F172" s="351">
        <v>35</v>
      </c>
      <c r="G172" s="351">
        <v>35.200000000000003</v>
      </c>
      <c r="H172" s="352">
        <f t="shared" si="22"/>
        <v>0.44</v>
      </c>
      <c r="I172" s="352">
        <f t="shared" si="23"/>
        <v>1.1399999999999999</v>
      </c>
      <c r="J172" s="351"/>
      <c r="K172" s="351"/>
      <c r="L172" s="351"/>
      <c r="M172" s="351"/>
      <c r="N172" s="351"/>
      <c r="O172" s="351"/>
      <c r="P172" s="351"/>
      <c r="Q172" s="351"/>
      <c r="R172" s="351"/>
      <c r="S172" s="351"/>
    </row>
    <row r="173" spans="2:19" ht="26.25" hidden="1" customHeight="1">
      <c r="B173" s="351">
        <f t="shared" si="27"/>
        <v>160</v>
      </c>
      <c r="C173" s="351" t="s">
        <v>145</v>
      </c>
      <c r="D173" s="351" t="s">
        <v>120</v>
      </c>
      <c r="E173" s="351">
        <v>140</v>
      </c>
      <c r="F173" s="351">
        <v>145</v>
      </c>
      <c r="G173" s="351">
        <v>143</v>
      </c>
      <c r="H173" s="352">
        <f t="shared" si="22"/>
        <v>0.44</v>
      </c>
      <c r="I173" s="352">
        <f t="shared" si="23"/>
        <v>1.1399999999999999</v>
      </c>
      <c r="J173" s="351"/>
      <c r="K173" s="351"/>
      <c r="L173" s="351"/>
      <c r="M173" s="351"/>
      <c r="N173" s="351"/>
      <c r="O173" s="351"/>
      <c r="P173" s="351"/>
      <c r="Q173" s="351"/>
      <c r="R173" s="351"/>
      <c r="S173" s="351"/>
    </row>
    <row r="174" spans="2:19" ht="26.25" hidden="1" customHeight="1">
      <c r="B174" s="351">
        <f t="shared" si="27"/>
        <v>161</v>
      </c>
      <c r="C174" s="351" t="s">
        <v>120</v>
      </c>
      <c r="D174" s="351" t="s">
        <v>121</v>
      </c>
      <c r="E174" s="351">
        <v>63</v>
      </c>
      <c r="F174" s="351">
        <v>118</v>
      </c>
      <c r="G174" s="351">
        <v>117</v>
      </c>
      <c r="H174" s="352">
        <f t="shared" si="22"/>
        <v>0.36299999999999999</v>
      </c>
      <c r="I174" s="352">
        <f t="shared" si="23"/>
        <v>1.0629999999999999</v>
      </c>
      <c r="J174" s="351"/>
      <c r="K174" s="351"/>
      <c r="L174" s="351"/>
      <c r="M174" s="351"/>
      <c r="N174" s="351"/>
      <c r="O174" s="351"/>
      <c r="P174" s="351"/>
      <c r="Q174" s="351"/>
      <c r="R174" s="351"/>
      <c r="S174" s="351"/>
    </row>
    <row r="175" spans="2:19" ht="26.25" hidden="1" customHeight="1">
      <c r="B175" s="351">
        <f t="shared" si="27"/>
        <v>162</v>
      </c>
      <c r="C175" s="351" t="s">
        <v>120</v>
      </c>
      <c r="D175" s="351" t="s">
        <v>146</v>
      </c>
      <c r="E175" s="351">
        <v>140</v>
      </c>
      <c r="F175" s="351">
        <v>180</v>
      </c>
      <c r="G175" s="351">
        <v>185.4</v>
      </c>
      <c r="H175" s="352">
        <f t="shared" si="22"/>
        <v>0.44</v>
      </c>
      <c r="I175" s="352">
        <f t="shared" si="23"/>
        <v>1.1399999999999999</v>
      </c>
      <c r="J175" s="351"/>
      <c r="K175" s="351"/>
      <c r="L175" s="351"/>
      <c r="M175" s="351"/>
      <c r="N175" s="351"/>
      <c r="O175" s="351"/>
      <c r="P175" s="351"/>
      <c r="Q175" s="351"/>
      <c r="R175" s="351"/>
      <c r="S175" s="351"/>
    </row>
    <row r="176" spans="2:19" ht="26.25" customHeight="1">
      <c r="B176" s="351">
        <f t="shared" si="27"/>
        <v>163</v>
      </c>
      <c r="C176" s="351" t="s">
        <v>146</v>
      </c>
      <c r="D176" s="351" t="s">
        <v>113</v>
      </c>
      <c r="E176" s="351">
        <v>140</v>
      </c>
      <c r="F176" s="401">
        <v>69</v>
      </c>
      <c r="G176" s="351">
        <v>9</v>
      </c>
      <c r="H176" s="352">
        <f t="shared" si="22"/>
        <v>0.44</v>
      </c>
      <c r="I176" s="352">
        <f t="shared" si="23"/>
        <v>1.1399999999999999</v>
      </c>
      <c r="J176" s="351">
        <f t="shared" si="28"/>
        <v>4.5143999999999993</v>
      </c>
      <c r="K176" s="351" t="s">
        <v>147</v>
      </c>
      <c r="L176" s="351">
        <v>9</v>
      </c>
      <c r="M176" s="352">
        <f t="shared" ref="M176:M177" si="31">(300+E176)/1000</f>
        <v>0.44</v>
      </c>
      <c r="N176" s="351">
        <f t="shared" si="30"/>
        <v>3.96</v>
      </c>
      <c r="O176" s="351">
        <f t="shared" si="24"/>
        <v>9</v>
      </c>
      <c r="P176" s="351">
        <f t="shared" si="25"/>
        <v>0.44</v>
      </c>
      <c r="Q176" s="351">
        <f t="shared" ref="Q176:Q218" si="32">+P176*O176</f>
        <v>3.96</v>
      </c>
      <c r="R176" s="351"/>
      <c r="S176" s="351"/>
    </row>
    <row r="177" spans="2:19" ht="26.25" hidden="1" customHeight="1">
      <c r="B177" s="351">
        <f t="shared" si="27"/>
        <v>164</v>
      </c>
      <c r="C177" s="351" t="s">
        <v>146</v>
      </c>
      <c r="D177" s="351" t="s">
        <v>113</v>
      </c>
      <c r="E177" s="351">
        <v>140</v>
      </c>
      <c r="F177" s="403"/>
      <c r="G177" s="351">
        <v>66.8</v>
      </c>
      <c r="H177" s="352">
        <f t="shared" si="22"/>
        <v>0.44</v>
      </c>
      <c r="I177" s="352">
        <f t="shared" si="23"/>
        <v>1.1399999999999999</v>
      </c>
      <c r="J177" s="351">
        <f t="shared" si="28"/>
        <v>33.506879999999995</v>
      </c>
      <c r="K177" s="351" t="s">
        <v>45</v>
      </c>
      <c r="L177" s="351">
        <v>66.8</v>
      </c>
      <c r="M177" s="352">
        <f t="shared" si="31"/>
        <v>0.44</v>
      </c>
      <c r="N177" s="351">
        <f t="shared" si="30"/>
        <v>29.391999999999999</v>
      </c>
      <c r="O177" s="351">
        <f t="shared" si="24"/>
        <v>66.8</v>
      </c>
      <c r="P177" s="351">
        <f t="shared" si="25"/>
        <v>0.44</v>
      </c>
      <c r="Q177" s="351">
        <f t="shared" si="32"/>
        <v>29.391999999999999</v>
      </c>
      <c r="R177" s="351"/>
      <c r="S177" s="351"/>
    </row>
    <row r="178" spans="2:19" ht="26.25" hidden="1" customHeight="1">
      <c r="B178" s="351">
        <f t="shared" si="27"/>
        <v>165</v>
      </c>
      <c r="C178" s="351" t="s">
        <v>62</v>
      </c>
      <c r="D178" s="351" t="s">
        <v>148</v>
      </c>
      <c r="E178" s="351">
        <v>125</v>
      </c>
      <c r="F178" s="351">
        <v>75</v>
      </c>
      <c r="G178" s="401">
        <v>155</v>
      </c>
      <c r="H178" s="352">
        <f t="shared" si="22"/>
        <v>0.42499999999999999</v>
      </c>
      <c r="I178" s="352">
        <f t="shared" si="23"/>
        <v>1.125</v>
      </c>
      <c r="J178" s="351">
        <f t="shared" si="28"/>
        <v>74.109375</v>
      </c>
      <c r="K178" s="356" t="s">
        <v>149</v>
      </c>
      <c r="L178" s="351">
        <v>150</v>
      </c>
      <c r="M178" s="351">
        <v>0.46</v>
      </c>
      <c r="N178" s="351">
        <f t="shared" si="30"/>
        <v>69</v>
      </c>
      <c r="O178" s="351">
        <f t="shared" si="24"/>
        <v>150</v>
      </c>
      <c r="P178" s="351">
        <f t="shared" si="25"/>
        <v>0.46</v>
      </c>
      <c r="Q178" s="351">
        <f t="shared" si="32"/>
        <v>69</v>
      </c>
      <c r="R178" s="351"/>
      <c r="S178" s="351"/>
    </row>
    <row r="179" spans="2:19" ht="26.25" hidden="1" customHeight="1">
      <c r="B179" s="351">
        <f t="shared" si="27"/>
        <v>166</v>
      </c>
      <c r="C179" s="351" t="s">
        <v>148</v>
      </c>
      <c r="D179" s="351" t="s">
        <v>150</v>
      </c>
      <c r="E179" s="351">
        <v>125</v>
      </c>
      <c r="F179" s="351">
        <v>70</v>
      </c>
      <c r="G179" s="403"/>
      <c r="H179" s="352">
        <f t="shared" si="22"/>
        <v>0.42499999999999999</v>
      </c>
      <c r="I179" s="352">
        <f t="shared" si="23"/>
        <v>1.125</v>
      </c>
      <c r="J179" s="351"/>
      <c r="K179" s="356"/>
      <c r="L179" s="351"/>
      <c r="M179" s="351"/>
      <c r="N179" s="351"/>
      <c r="O179" s="351"/>
      <c r="P179" s="351"/>
      <c r="Q179" s="351"/>
      <c r="R179" s="351"/>
      <c r="S179" s="351"/>
    </row>
    <row r="180" spans="2:19" ht="26.25" hidden="1" customHeight="1">
      <c r="B180" s="351">
        <f t="shared" si="27"/>
        <v>167</v>
      </c>
      <c r="C180" s="351" t="s">
        <v>150</v>
      </c>
      <c r="D180" s="351" t="s">
        <v>72</v>
      </c>
      <c r="E180" s="351">
        <v>125</v>
      </c>
      <c r="F180" s="351">
        <v>64</v>
      </c>
      <c r="G180" s="351">
        <v>64.5</v>
      </c>
      <c r="H180" s="352">
        <f t="shared" si="22"/>
        <v>0.42499999999999999</v>
      </c>
      <c r="I180" s="352">
        <f t="shared" si="23"/>
        <v>1.125</v>
      </c>
      <c r="J180" s="351">
        <f t="shared" si="28"/>
        <v>30.839062499999997</v>
      </c>
      <c r="K180" s="351" t="s">
        <v>45</v>
      </c>
      <c r="L180" s="351">
        <v>61.5</v>
      </c>
      <c r="M180" s="352">
        <f t="shared" ref="M180:M181" si="33">(300+E180)/1000</f>
        <v>0.42499999999999999</v>
      </c>
      <c r="N180" s="351">
        <f t="shared" si="30"/>
        <v>26.137499999999999</v>
      </c>
      <c r="O180" s="351">
        <f t="shared" si="24"/>
        <v>61.5</v>
      </c>
      <c r="P180" s="351">
        <f t="shared" si="25"/>
        <v>0.42499999999999999</v>
      </c>
      <c r="Q180" s="351">
        <f t="shared" si="32"/>
        <v>26.137499999999999</v>
      </c>
      <c r="R180" s="351"/>
      <c r="S180" s="351"/>
    </row>
    <row r="181" spans="2:19" ht="26.25" hidden="1" customHeight="1">
      <c r="B181" s="351">
        <f t="shared" si="27"/>
        <v>168</v>
      </c>
      <c r="C181" s="351" t="s">
        <v>72</v>
      </c>
      <c r="D181" s="351" t="s">
        <v>108</v>
      </c>
      <c r="E181" s="351">
        <v>90</v>
      </c>
      <c r="F181" s="351">
        <v>62</v>
      </c>
      <c r="G181" s="351">
        <v>60.8</v>
      </c>
      <c r="H181" s="352">
        <f t="shared" si="22"/>
        <v>0.39</v>
      </c>
      <c r="I181" s="352">
        <f t="shared" si="23"/>
        <v>1.0900000000000001</v>
      </c>
      <c r="J181" s="351">
        <f t="shared" si="28"/>
        <v>25.846080000000001</v>
      </c>
      <c r="K181" s="351" t="s">
        <v>45</v>
      </c>
      <c r="L181" s="351">
        <v>60.8</v>
      </c>
      <c r="M181" s="352">
        <f t="shared" si="33"/>
        <v>0.39</v>
      </c>
      <c r="N181" s="351">
        <f t="shared" si="30"/>
        <v>23.712</v>
      </c>
      <c r="O181" s="351">
        <f t="shared" si="24"/>
        <v>60.8</v>
      </c>
      <c r="P181" s="351">
        <f t="shared" si="25"/>
        <v>0.39</v>
      </c>
      <c r="Q181" s="351">
        <f t="shared" si="32"/>
        <v>23.712</v>
      </c>
      <c r="R181" s="351"/>
      <c r="S181" s="351"/>
    </row>
    <row r="182" spans="2:19" ht="26.25" hidden="1" customHeight="1">
      <c r="B182" s="351">
        <f t="shared" si="27"/>
        <v>169</v>
      </c>
      <c r="C182" s="351" t="s">
        <v>108</v>
      </c>
      <c r="D182" s="351" t="s">
        <v>85</v>
      </c>
      <c r="E182" s="351">
        <v>75</v>
      </c>
      <c r="F182" s="351">
        <v>195</v>
      </c>
      <c r="G182" s="351">
        <v>31</v>
      </c>
      <c r="H182" s="352">
        <f t="shared" si="22"/>
        <v>0.375</v>
      </c>
      <c r="I182" s="352">
        <f t="shared" si="23"/>
        <v>1.075</v>
      </c>
      <c r="J182" s="351"/>
      <c r="K182" s="351"/>
      <c r="L182" s="351"/>
      <c r="M182" s="351"/>
      <c r="N182" s="351"/>
      <c r="O182" s="351"/>
      <c r="P182" s="351"/>
      <c r="Q182" s="351"/>
      <c r="R182" s="351"/>
      <c r="S182" s="351"/>
    </row>
    <row r="183" spans="2:19" ht="26.25" hidden="1" customHeight="1">
      <c r="B183" s="351">
        <f t="shared" si="27"/>
        <v>170</v>
      </c>
      <c r="C183" s="351" t="s">
        <v>146</v>
      </c>
      <c r="D183" s="351" t="s">
        <v>151</v>
      </c>
      <c r="E183" s="351">
        <v>63</v>
      </c>
      <c r="F183" s="351">
        <v>223</v>
      </c>
      <c r="G183" s="351">
        <v>154.9</v>
      </c>
      <c r="H183" s="352">
        <f t="shared" si="22"/>
        <v>0.36299999999999999</v>
      </c>
      <c r="I183" s="352">
        <f t="shared" si="23"/>
        <v>1.0629999999999999</v>
      </c>
      <c r="J183" s="351"/>
      <c r="K183" s="351"/>
      <c r="L183" s="351"/>
      <c r="M183" s="351"/>
      <c r="N183" s="351"/>
      <c r="O183" s="351"/>
      <c r="P183" s="351"/>
      <c r="Q183" s="351"/>
      <c r="R183" s="351"/>
      <c r="S183" s="351"/>
    </row>
    <row r="184" spans="2:19" ht="26.25" hidden="1" customHeight="1">
      <c r="B184" s="351">
        <f t="shared" si="27"/>
        <v>171</v>
      </c>
      <c r="C184" s="351" t="s">
        <v>116</v>
      </c>
      <c r="D184" s="351" t="s">
        <v>152</v>
      </c>
      <c r="E184" s="351">
        <v>63</v>
      </c>
      <c r="F184" s="351">
        <v>47</v>
      </c>
      <c r="G184" s="351">
        <v>51.2</v>
      </c>
      <c r="H184" s="352">
        <f t="shared" si="22"/>
        <v>0.36299999999999999</v>
      </c>
      <c r="I184" s="352">
        <f t="shared" si="23"/>
        <v>1.0629999999999999</v>
      </c>
      <c r="J184" s="351"/>
      <c r="K184" s="351"/>
      <c r="L184" s="351"/>
      <c r="M184" s="351"/>
      <c r="N184" s="351"/>
      <c r="O184" s="351"/>
      <c r="P184" s="351"/>
      <c r="Q184" s="351"/>
      <c r="R184" s="351"/>
      <c r="S184" s="351"/>
    </row>
    <row r="185" spans="2:19" ht="26.25" hidden="1" customHeight="1">
      <c r="B185" s="351">
        <f t="shared" si="27"/>
        <v>172</v>
      </c>
      <c r="C185" s="366" t="s">
        <v>152</v>
      </c>
      <c r="D185" s="366" t="s">
        <v>145</v>
      </c>
      <c r="E185" s="366">
        <v>63</v>
      </c>
      <c r="F185" s="401">
        <v>188</v>
      </c>
      <c r="G185" s="351">
        <v>25</v>
      </c>
      <c r="H185" s="352">
        <f t="shared" si="22"/>
        <v>0.36299999999999999</v>
      </c>
      <c r="I185" s="352">
        <f t="shared" si="23"/>
        <v>1.0629999999999999</v>
      </c>
      <c r="J185" s="351"/>
      <c r="K185" s="351"/>
      <c r="L185" s="351"/>
      <c r="M185" s="351"/>
      <c r="N185" s="351"/>
      <c r="O185" s="351"/>
      <c r="P185" s="351"/>
      <c r="Q185" s="351"/>
      <c r="R185" s="351"/>
      <c r="S185" s="351"/>
    </row>
    <row r="186" spans="2:19" ht="26.25" hidden="1" customHeight="1">
      <c r="B186" s="351">
        <f t="shared" si="27"/>
        <v>173</v>
      </c>
      <c r="C186" s="366" t="s">
        <v>152</v>
      </c>
      <c r="D186" s="366" t="s">
        <v>145</v>
      </c>
      <c r="E186" s="366">
        <v>63</v>
      </c>
      <c r="F186" s="402"/>
      <c r="G186" s="351">
        <v>37.6</v>
      </c>
      <c r="H186" s="352">
        <f t="shared" si="22"/>
        <v>0.36299999999999999</v>
      </c>
      <c r="I186" s="352">
        <f t="shared" si="23"/>
        <v>1.0629999999999999</v>
      </c>
      <c r="J186" s="351">
        <f t="shared" si="28"/>
        <v>14.508674399999999</v>
      </c>
      <c r="K186" s="351" t="s">
        <v>45</v>
      </c>
      <c r="L186" s="351">
        <v>37.6</v>
      </c>
      <c r="M186" s="352">
        <f>(300+E186)/1000</f>
        <v>0.36299999999999999</v>
      </c>
      <c r="N186" s="351">
        <f t="shared" si="30"/>
        <v>13.6488</v>
      </c>
      <c r="O186" s="351">
        <f t="shared" si="24"/>
        <v>37.6</v>
      </c>
      <c r="P186" s="351">
        <f t="shared" si="25"/>
        <v>0.36299999999999999</v>
      </c>
      <c r="Q186" s="351">
        <f t="shared" si="32"/>
        <v>13.6488</v>
      </c>
      <c r="R186" s="351"/>
      <c r="S186" s="351"/>
    </row>
    <row r="187" spans="2:19" ht="26.25" hidden="1" customHeight="1">
      <c r="B187" s="351">
        <f t="shared" si="27"/>
        <v>174</v>
      </c>
      <c r="C187" s="366" t="s">
        <v>152</v>
      </c>
      <c r="D187" s="366" t="s">
        <v>145</v>
      </c>
      <c r="E187" s="366">
        <v>63</v>
      </c>
      <c r="F187" s="403"/>
      <c r="G187" s="351">
        <v>125</v>
      </c>
      <c r="H187" s="352">
        <f t="shared" si="22"/>
        <v>0.36299999999999999</v>
      </c>
      <c r="I187" s="352">
        <f t="shared" si="23"/>
        <v>1.0629999999999999</v>
      </c>
      <c r="J187" s="351"/>
      <c r="K187" s="351"/>
      <c r="L187" s="351"/>
      <c r="M187" s="351"/>
      <c r="N187" s="351"/>
      <c r="O187" s="351"/>
      <c r="P187" s="351"/>
      <c r="Q187" s="351"/>
      <c r="R187" s="351"/>
      <c r="S187" s="351"/>
    </row>
    <row r="188" spans="2:19" ht="26.25" hidden="1" customHeight="1">
      <c r="B188" s="351">
        <f t="shared" si="27"/>
        <v>175</v>
      </c>
      <c r="C188" s="351" t="s">
        <v>117</v>
      </c>
      <c r="D188" s="351" t="s">
        <v>153</v>
      </c>
      <c r="E188" s="351">
        <v>140</v>
      </c>
      <c r="F188" s="351">
        <v>81</v>
      </c>
      <c r="G188" s="351">
        <v>84</v>
      </c>
      <c r="H188" s="352">
        <f t="shared" si="22"/>
        <v>0.44</v>
      </c>
      <c r="I188" s="352">
        <f t="shared" si="23"/>
        <v>1.1399999999999999</v>
      </c>
      <c r="J188" s="351"/>
      <c r="K188" s="351"/>
      <c r="L188" s="351"/>
      <c r="M188" s="351"/>
      <c r="N188" s="351"/>
      <c r="O188" s="351"/>
      <c r="P188" s="351"/>
      <c r="Q188" s="351"/>
      <c r="R188" s="351"/>
      <c r="S188" s="351"/>
    </row>
    <row r="189" spans="2:19" ht="26.25" hidden="1" customHeight="1">
      <c r="B189" s="351">
        <f t="shared" si="27"/>
        <v>176</v>
      </c>
      <c r="C189" s="351" t="s">
        <v>153</v>
      </c>
      <c r="D189" s="351" t="s">
        <v>154</v>
      </c>
      <c r="E189" s="351">
        <v>140</v>
      </c>
      <c r="F189" s="351">
        <f>23+35</f>
        <v>58</v>
      </c>
      <c r="G189" s="351">
        <v>73.8</v>
      </c>
      <c r="H189" s="352">
        <f t="shared" si="22"/>
        <v>0.44</v>
      </c>
      <c r="I189" s="352">
        <f t="shared" si="23"/>
        <v>1.1399999999999999</v>
      </c>
      <c r="J189" s="351"/>
      <c r="K189" s="351"/>
      <c r="L189" s="351"/>
      <c r="M189" s="351"/>
      <c r="N189" s="351"/>
      <c r="O189" s="351"/>
      <c r="P189" s="351"/>
      <c r="Q189" s="351"/>
      <c r="R189" s="351"/>
      <c r="S189" s="351"/>
    </row>
    <row r="190" spans="2:19" ht="26.25" hidden="1" customHeight="1">
      <c r="B190" s="351">
        <f t="shared" si="27"/>
        <v>177</v>
      </c>
      <c r="C190" s="351" t="s">
        <v>154</v>
      </c>
      <c r="D190" s="351" t="s">
        <v>155</v>
      </c>
      <c r="E190" s="351">
        <v>63</v>
      </c>
      <c r="F190" s="351">
        <v>113</v>
      </c>
      <c r="G190" s="351">
        <v>122.3</v>
      </c>
      <c r="H190" s="352">
        <f t="shared" si="22"/>
        <v>0.36299999999999999</v>
      </c>
      <c r="I190" s="352">
        <f t="shared" si="23"/>
        <v>1.0629999999999999</v>
      </c>
      <c r="J190" s="351"/>
      <c r="K190" s="351"/>
      <c r="L190" s="351"/>
      <c r="M190" s="351"/>
      <c r="N190" s="351"/>
      <c r="O190" s="351"/>
      <c r="P190" s="351"/>
      <c r="Q190" s="351"/>
      <c r="R190" s="351"/>
      <c r="S190" s="351"/>
    </row>
    <row r="191" spans="2:19" ht="26.25" hidden="1" customHeight="1">
      <c r="B191" s="351">
        <f t="shared" si="27"/>
        <v>178</v>
      </c>
      <c r="C191" s="351" t="s">
        <v>154</v>
      </c>
      <c r="D191" s="351" t="s">
        <v>156</v>
      </c>
      <c r="E191" s="351">
        <v>140</v>
      </c>
      <c r="F191" s="351"/>
      <c r="G191" s="351">
        <v>2</v>
      </c>
      <c r="H191" s="352">
        <f t="shared" si="22"/>
        <v>0.44</v>
      </c>
      <c r="I191" s="352">
        <f t="shared" si="23"/>
        <v>1.1399999999999999</v>
      </c>
      <c r="J191" s="351"/>
      <c r="K191" s="351" t="s">
        <v>38</v>
      </c>
      <c r="L191" s="351"/>
      <c r="M191" s="351"/>
      <c r="N191" s="351"/>
      <c r="O191" s="351"/>
      <c r="P191" s="351"/>
      <c r="Q191" s="351"/>
      <c r="R191" s="351"/>
      <c r="S191" s="351"/>
    </row>
    <row r="192" spans="2:19" ht="26.25" hidden="1" customHeight="1">
      <c r="B192" s="351">
        <f t="shared" si="27"/>
        <v>179</v>
      </c>
      <c r="C192" s="351" t="s">
        <v>154</v>
      </c>
      <c r="D192" s="351" t="s">
        <v>156</v>
      </c>
      <c r="E192" s="351">
        <v>140</v>
      </c>
      <c r="F192" s="351">
        <v>138</v>
      </c>
      <c r="G192" s="351">
        <v>109.5</v>
      </c>
      <c r="H192" s="352">
        <f t="shared" si="22"/>
        <v>0.44</v>
      </c>
      <c r="I192" s="352">
        <f t="shared" si="23"/>
        <v>1.1399999999999999</v>
      </c>
      <c r="J192" s="351"/>
      <c r="K192" s="351"/>
      <c r="L192" s="351"/>
      <c r="M192" s="351"/>
      <c r="N192" s="351"/>
      <c r="O192" s="351"/>
      <c r="P192" s="351"/>
      <c r="Q192" s="351"/>
      <c r="R192" s="351"/>
      <c r="S192" s="351"/>
    </row>
    <row r="193" spans="2:19" ht="26.25" hidden="1" customHeight="1">
      <c r="B193" s="351">
        <f t="shared" si="27"/>
        <v>180</v>
      </c>
      <c r="C193" s="351" t="s">
        <v>157</v>
      </c>
      <c r="D193" s="351" t="s">
        <v>158</v>
      </c>
      <c r="E193" s="351">
        <v>63</v>
      </c>
      <c r="F193" s="351"/>
      <c r="G193" s="351">
        <v>68</v>
      </c>
      <c r="H193" s="352">
        <f t="shared" si="22"/>
        <v>0.36299999999999999</v>
      </c>
      <c r="I193" s="352">
        <f t="shared" si="23"/>
        <v>1.0629999999999999</v>
      </c>
      <c r="J193" s="351"/>
      <c r="K193" s="351"/>
      <c r="L193" s="351"/>
      <c r="M193" s="351"/>
      <c r="N193" s="351"/>
      <c r="O193" s="351"/>
      <c r="P193" s="351"/>
      <c r="Q193" s="351"/>
      <c r="R193" s="351"/>
      <c r="S193" s="351"/>
    </row>
    <row r="194" spans="2:19" ht="26.25" hidden="1" customHeight="1">
      <c r="B194" s="351">
        <f t="shared" si="27"/>
        <v>181</v>
      </c>
      <c r="C194" s="351" t="s">
        <v>156</v>
      </c>
      <c r="D194" s="351" t="s">
        <v>159</v>
      </c>
      <c r="E194" s="351">
        <v>140</v>
      </c>
      <c r="F194" s="351">
        <v>114</v>
      </c>
      <c r="G194" s="351">
        <v>135.5</v>
      </c>
      <c r="H194" s="352">
        <f t="shared" si="22"/>
        <v>0.44</v>
      </c>
      <c r="I194" s="352">
        <f t="shared" si="23"/>
        <v>1.1399999999999999</v>
      </c>
      <c r="J194" s="351"/>
      <c r="K194" s="351"/>
      <c r="L194" s="351"/>
      <c r="M194" s="351"/>
      <c r="N194" s="351"/>
      <c r="O194" s="351"/>
      <c r="P194" s="351"/>
      <c r="Q194" s="351"/>
      <c r="R194" s="351"/>
      <c r="S194" s="351"/>
    </row>
    <row r="195" spans="2:19" ht="26.25" hidden="1" customHeight="1">
      <c r="B195" s="351">
        <f t="shared" si="27"/>
        <v>182</v>
      </c>
      <c r="C195" s="351" t="s">
        <v>159</v>
      </c>
      <c r="D195" s="351" t="s">
        <v>160</v>
      </c>
      <c r="E195" s="351">
        <v>63</v>
      </c>
      <c r="F195" s="351"/>
      <c r="G195" s="351">
        <v>24.7</v>
      </c>
      <c r="H195" s="352">
        <f t="shared" si="22"/>
        <v>0.36299999999999999</v>
      </c>
      <c r="I195" s="352">
        <f t="shared" si="23"/>
        <v>1.0629999999999999</v>
      </c>
      <c r="J195" s="351"/>
      <c r="K195" s="351"/>
      <c r="L195" s="351"/>
      <c r="M195" s="351"/>
      <c r="N195" s="351"/>
      <c r="O195" s="351"/>
      <c r="P195" s="351"/>
      <c r="Q195" s="351"/>
      <c r="R195" s="351"/>
      <c r="S195" s="351"/>
    </row>
    <row r="196" spans="2:19" ht="26.25" hidden="1" customHeight="1">
      <c r="B196" s="351">
        <f t="shared" si="27"/>
        <v>183</v>
      </c>
      <c r="C196" s="351" t="s">
        <v>160</v>
      </c>
      <c r="D196" s="351" t="s">
        <v>161</v>
      </c>
      <c r="E196" s="351">
        <v>63</v>
      </c>
      <c r="F196" s="351"/>
      <c r="G196" s="351">
        <v>96.7</v>
      </c>
      <c r="H196" s="352">
        <f t="shared" si="22"/>
        <v>0.36299999999999999</v>
      </c>
      <c r="I196" s="352">
        <f t="shared" si="23"/>
        <v>1.0629999999999999</v>
      </c>
      <c r="J196" s="351"/>
      <c r="K196" s="351"/>
      <c r="L196" s="351"/>
      <c r="M196" s="351"/>
      <c r="N196" s="351"/>
      <c r="O196" s="351"/>
      <c r="P196" s="351"/>
      <c r="Q196" s="351"/>
      <c r="R196" s="351"/>
      <c r="S196" s="351"/>
    </row>
    <row r="197" spans="2:19" ht="26.25" hidden="1" customHeight="1">
      <c r="B197" s="351">
        <f t="shared" si="27"/>
        <v>184</v>
      </c>
      <c r="C197" s="351" t="s">
        <v>159</v>
      </c>
      <c r="D197" s="351" t="s">
        <v>160</v>
      </c>
      <c r="E197" s="351">
        <v>63</v>
      </c>
      <c r="F197" s="351"/>
      <c r="G197" s="351">
        <v>1.3</v>
      </c>
      <c r="H197" s="352">
        <f t="shared" si="22"/>
        <v>0.36299999999999999</v>
      </c>
      <c r="I197" s="352">
        <f t="shared" si="23"/>
        <v>1.0629999999999999</v>
      </c>
      <c r="J197" s="351"/>
      <c r="K197" s="351" t="s">
        <v>38</v>
      </c>
      <c r="L197" s="351"/>
      <c r="M197" s="351"/>
      <c r="N197" s="351"/>
      <c r="O197" s="351"/>
      <c r="P197" s="351"/>
      <c r="Q197" s="351"/>
      <c r="R197" s="351"/>
      <c r="S197" s="351"/>
    </row>
    <row r="198" spans="2:19" ht="26.25" hidden="1" customHeight="1">
      <c r="B198" s="351">
        <f t="shared" si="27"/>
        <v>185</v>
      </c>
      <c r="C198" s="351" t="s">
        <v>159</v>
      </c>
      <c r="D198" s="351" t="s">
        <v>162</v>
      </c>
      <c r="E198" s="351">
        <v>110</v>
      </c>
      <c r="F198" s="351">
        <v>122</v>
      </c>
      <c r="G198" s="351">
        <v>134.30000000000001</v>
      </c>
      <c r="H198" s="352">
        <f t="shared" si="22"/>
        <v>0.41</v>
      </c>
      <c r="I198" s="352">
        <f t="shared" si="23"/>
        <v>1.1100000000000001</v>
      </c>
      <c r="J198" s="351"/>
      <c r="K198" s="351"/>
      <c r="L198" s="351"/>
      <c r="M198" s="351"/>
      <c r="N198" s="351"/>
      <c r="O198" s="351"/>
      <c r="P198" s="351"/>
      <c r="Q198" s="351"/>
      <c r="R198" s="351"/>
      <c r="S198" s="351"/>
    </row>
    <row r="199" spans="2:19" ht="26.25" hidden="1" customHeight="1">
      <c r="B199" s="351">
        <f t="shared" si="27"/>
        <v>186</v>
      </c>
      <c r="C199" s="351" t="s">
        <v>163</v>
      </c>
      <c r="D199" s="351" t="s">
        <v>164</v>
      </c>
      <c r="E199" s="351">
        <v>110</v>
      </c>
      <c r="F199" s="351">
        <v>109</v>
      </c>
      <c r="G199" s="351">
        <v>83.2</v>
      </c>
      <c r="H199" s="352">
        <f t="shared" si="22"/>
        <v>0.41</v>
      </c>
      <c r="I199" s="352">
        <f t="shared" si="23"/>
        <v>1.1100000000000001</v>
      </c>
      <c r="J199" s="351"/>
      <c r="K199" s="351"/>
      <c r="L199" s="351"/>
      <c r="M199" s="351"/>
      <c r="N199" s="351"/>
      <c r="O199" s="351"/>
      <c r="P199" s="351"/>
      <c r="Q199" s="351"/>
      <c r="R199" s="351"/>
      <c r="S199" s="351"/>
    </row>
    <row r="200" spans="2:19" ht="26.25" hidden="1" customHeight="1">
      <c r="B200" s="351">
        <f t="shared" si="27"/>
        <v>187</v>
      </c>
      <c r="C200" s="351" t="s">
        <v>164</v>
      </c>
      <c r="D200" s="351" t="s">
        <v>165</v>
      </c>
      <c r="E200" s="351">
        <v>63</v>
      </c>
      <c r="F200" s="351">
        <v>73</v>
      </c>
      <c r="G200" s="351">
        <v>70.2</v>
      </c>
      <c r="H200" s="352">
        <f t="shared" si="22"/>
        <v>0.36299999999999999</v>
      </c>
      <c r="I200" s="352">
        <f t="shared" si="23"/>
        <v>1.0629999999999999</v>
      </c>
      <c r="J200" s="351"/>
      <c r="K200" s="351"/>
      <c r="L200" s="351"/>
      <c r="M200" s="351"/>
      <c r="N200" s="351"/>
      <c r="O200" s="351"/>
      <c r="P200" s="351"/>
      <c r="Q200" s="351"/>
      <c r="R200" s="351"/>
      <c r="S200" s="351"/>
    </row>
    <row r="201" spans="2:19" ht="26.25" hidden="1" customHeight="1">
      <c r="B201" s="351">
        <f t="shared" si="27"/>
        <v>188</v>
      </c>
      <c r="C201" s="351" t="s">
        <v>164</v>
      </c>
      <c r="D201" s="351" t="s">
        <v>166</v>
      </c>
      <c r="E201" s="351">
        <v>110</v>
      </c>
      <c r="F201" s="351">
        <v>37</v>
      </c>
      <c r="G201" s="351">
        <v>58</v>
      </c>
      <c r="H201" s="352">
        <f t="shared" si="22"/>
        <v>0.41</v>
      </c>
      <c r="I201" s="352">
        <f t="shared" si="23"/>
        <v>1.1100000000000001</v>
      </c>
      <c r="J201" s="351"/>
      <c r="K201" s="351"/>
      <c r="L201" s="351"/>
      <c r="M201" s="351"/>
      <c r="N201" s="351"/>
      <c r="O201" s="351"/>
      <c r="P201" s="351"/>
      <c r="Q201" s="351"/>
      <c r="R201" s="351"/>
      <c r="S201" s="351"/>
    </row>
    <row r="202" spans="2:19" ht="26.25" hidden="1" customHeight="1">
      <c r="B202" s="351">
        <f t="shared" si="27"/>
        <v>189</v>
      </c>
      <c r="C202" s="351" t="s">
        <v>166</v>
      </c>
      <c r="D202" s="351" t="s">
        <v>29</v>
      </c>
      <c r="E202" s="351">
        <v>90</v>
      </c>
      <c r="F202" s="351"/>
      <c r="G202" s="351">
        <f>18.7+13</f>
        <v>31.7</v>
      </c>
      <c r="H202" s="352">
        <f t="shared" si="22"/>
        <v>0.39</v>
      </c>
      <c r="I202" s="352">
        <f t="shared" si="23"/>
        <v>1.0900000000000001</v>
      </c>
      <c r="J202" s="351"/>
      <c r="K202" s="351"/>
      <c r="L202" s="351"/>
      <c r="M202" s="351"/>
      <c r="N202" s="351"/>
      <c r="O202" s="351"/>
      <c r="P202" s="351"/>
      <c r="Q202" s="351"/>
      <c r="R202" s="351"/>
      <c r="S202" s="351"/>
    </row>
    <row r="203" spans="2:19" ht="26.25" hidden="1" customHeight="1">
      <c r="B203" s="351">
        <f t="shared" si="27"/>
        <v>190</v>
      </c>
      <c r="C203" s="351" t="s">
        <v>166</v>
      </c>
      <c r="D203" s="351" t="s">
        <v>167</v>
      </c>
      <c r="E203" s="351">
        <v>63</v>
      </c>
      <c r="F203" s="351">
        <v>13</v>
      </c>
      <c r="G203" s="351">
        <v>9</v>
      </c>
      <c r="H203" s="352">
        <f t="shared" si="22"/>
        <v>0.36299999999999999</v>
      </c>
      <c r="I203" s="352">
        <f t="shared" si="23"/>
        <v>1.0629999999999999</v>
      </c>
      <c r="J203" s="351"/>
      <c r="K203" s="351"/>
      <c r="L203" s="351"/>
      <c r="M203" s="351"/>
      <c r="N203" s="351"/>
      <c r="O203" s="351"/>
      <c r="P203" s="351"/>
      <c r="Q203" s="351"/>
      <c r="R203" s="351"/>
      <c r="S203" s="351"/>
    </row>
    <row r="204" spans="2:19" ht="26.25" hidden="1" customHeight="1">
      <c r="B204" s="351">
        <f t="shared" si="27"/>
        <v>191</v>
      </c>
      <c r="C204" s="351" t="s">
        <v>167</v>
      </c>
      <c r="D204" s="351" t="s">
        <v>168</v>
      </c>
      <c r="E204" s="351">
        <v>63</v>
      </c>
      <c r="F204" s="351">
        <v>97</v>
      </c>
      <c r="G204" s="351">
        <v>98.3</v>
      </c>
      <c r="H204" s="352">
        <f t="shared" si="22"/>
        <v>0.36299999999999999</v>
      </c>
      <c r="I204" s="352">
        <f t="shared" si="23"/>
        <v>1.0629999999999999</v>
      </c>
      <c r="J204" s="351"/>
      <c r="K204" s="351"/>
      <c r="L204" s="351"/>
      <c r="M204" s="351"/>
      <c r="N204" s="351"/>
      <c r="O204" s="351"/>
      <c r="P204" s="351"/>
      <c r="Q204" s="351"/>
      <c r="R204" s="351"/>
      <c r="S204" s="351"/>
    </row>
    <row r="205" spans="2:19" ht="26.25" hidden="1" customHeight="1">
      <c r="B205" s="351">
        <f t="shared" si="27"/>
        <v>192</v>
      </c>
      <c r="C205" s="351" t="s">
        <v>168</v>
      </c>
      <c r="D205" s="351" t="s">
        <v>169</v>
      </c>
      <c r="E205" s="351">
        <v>63</v>
      </c>
      <c r="F205" s="351">
        <v>22</v>
      </c>
      <c r="G205" s="351">
        <v>19</v>
      </c>
      <c r="H205" s="352">
        <f t="shared" si="22"/>
        <v>0.36299999999999999</v>
      </c>
      <c r="I205" s="352">
        <f t="shared" si="23"/>
        <v>1.0629999999999999</v>
      </c>
      <c r="J205" s="351"/>
      <c r="K205" s="351"/>
      <c r="L205" s="351"/>
      <c r="M205" s="351"/>
      <c r="N205" s="351"/>
      <c r="O205" s="351"/>
      <c r="P205" s="351"/>
      <c r="Q205" s="351"/>
      <c r="R205" s="351"/>
      <c r="S205" s="351"/>
    </row>
    <row r="206" spans="2:19" ht="26.25" hidden="1" customHeight="1">
      <c r="B206" s="351">
        <f t="shared" si="27"/>
        <v>193</v>
      </c>
      <c r="C206" s="351" t="s">
        <v>169</v>
      </c>
      <c r="D206" s="351" t="s">
        <v>170</v>
      </c>
      <c r="E206" s="351">
        <v>63</v>
      </c>
      <c r="F206" s="351">
        <v>40</v>
      </c>
      <c r="G206" s="351">
        <v>43.1</v>
      </c>
      <c r="H206" s="352">
        <f t="shared" si="22"/>
        <v>0.36299999999999999</v>
      </c>
      <c r="I206" s="352">
        <f t="shared" si="23"/>
        <v>1.0629999999999999</v>
      </c>
      <c r="J206" s="351"/>
      <c r="K206" s="351"/>
      <c r="L206" s="351"/>
      <c r="M206" s="351"/>
      <c r="N206" s="351"/>
      <c r="O206" s="351"/>
      <c r="P206" s="351"/>
      <c r="Q206" s="351"/>
      <c r="R206" s="351"/>
      <c r="S206" s="351"/>
    </row>
    <row r="207" spans="2:19" ht="26.25" hidden="1" customHeight="1">
      <c r="B207" s="351">
        <f t="shared" si="27"/>
        <v>194</v>
      </c>
      <c r="C207" s="351" t="s">
        <v>170</v>
      </c>
      <c r="D207" s="351" t="s">
        <v>167</v>
      </c>
      <c r="E207" s="351">
        <v>63</v>
      </c>
      <c r="F207" s="351">
        <f>79+16</f>
        <v>95</v>
      </c>
      <c r="G207" s="351">
        <v>98</v>
      </c>
      <c r="H207" s="352">
        <f t="shared" ref="H207:H218" si="34">(300+E207)/1000</f>
        <v>0.36299999999999999</v>
      </c>
      <c r="I207" s="352">
        <f t="shared" ref="I207:I218" si="35">(1000+E207)/1000</f>
        <v>1.0629999999999999</v>
      </c>
      <c r="J207" s="351"/>
      <c r="K207" s="351"/>
      <c r="L207" s="351"/>
      <c r="M207" s="351"/>
      <c r="N207" s="351"/>
      <c r="O207" s="351"/>
      <c r="P207" s="351"/>
      <c r="Q207" s="351"/>
      <c r="R207" s="351"/>
      <c r="S207" s="351"/>
    </row>
    <row r="208" spans="2:19" ht="26.25" hidden="1" customHeight="1">
      <c r="B208" s="351">
        <f t="shared" si="27"/>
        <v>195</v>
      </c>
      <c r="C208" s="351" t="s">
        <v>170</v>
      </c>
      <c r="D208" s="351" t="s">
        <v>39</v>
      </c>
      <c r="E208" s="351">
        <v>63</v>
      </c>
      <c r="F208" s="351">
        <v>81</v>
      </c>
      <c r="G208" s="351">
        <v>47</v>
      </c>
      <c r="H208" s="352">
        <f t="shared" si="34"/>
        <v>0.36299999999999999</v>
      </c>
      <c r="I208" s="352">
        <f t="shared" si="35"/>
        <v>1.0629999999999999</v>
      </c>
      <c r="J208" s="351"/>
      <c r="K208" s="351"/>
      <c r="L208" s="351"/>
      <c r="M208" s="351"/>
      <c r="N208" s="351"/>
      <c r="O208" s="351"/>
      <c r="P208" s="351"/>
      <c r="Q208" s="351"/>
      <c r="R208" s="351"/>
      <c r="S208" s="351"/>
    </row>
    <row r="209" spans="2:25" ht="26.25" hidden="1" customHeight="1">
      <c r="B209" s="351">
        <f t="shared" si="27"/>
        <v>196</v>
      </c>
      <c r="C209" s="351" t="s">
        <v>169</v>
      </c>
      <c r="D209" s="351">
        <v>52</v>
      </c>
      <c r="E209" s="351">
        <v>63</v>
      </c>
      <c r="F209" s="351">
        <v>32</v>
      </c>
      <c r="G209" s="351">
        <v>90.6</v>
      </c>
      <c r="H209" s="352">
        <f t="shared" si="34"/>
        <v>0.36299999999999999</v>
      </c>
      <c r="I209" s="352">
        <f t="shared" si="35"/>
        <v>1.0629999999999999</v>
      </c>
      <c r="J209" s="351"/>
      <c r="K209" s="351"/>
      <c r="L209" s="351"/>
      <c r="M209" s="351"/>
      <c r="N209" s="351"/>
      <c r="O209" s="351"/>
      <c r="P209" s="351"/>
      <c r="Q209" s="351"/>
      <c r="R209" s="351"/>
      <c r="S209" s="351"/>
    </row>
    <row r="210" spans="2:25" ht="26.25" hidden="1" customHeight="1">
      <c r="B210" s="351">
        <f t="shared" si="27"/>
        <v>197</v>
      </c>
      <c r="C210" s="351" t="s">
        <v>39</v>
      </c>
      <c r="D210" s="351" t="s">
        <v>171</v>
      </c>
      <c r="E210" s="351">
        <v>63</v>
      </c>
      <c r="F210" s="351">
        <v>93</v>
      </c>
      <c r="G210" s="351">
        <v>97</v>
      </c>
      <c r="H210" s="352">
        <f t="shared" si="34"/>
        <v>0.36299999999999999</v>
      </c>
      <c r="I210" s="352">
        <f t="shared" si="35"/>
        <v>1.0629999999999999</v>
      </c>
      <c r="J210" s="351"/>
      <c r="K210" s="351"/>
      <c r="L210" s="351"/>
      <c r="M210" s="351"/>
      <c r="N210" s="351"/>
      <c r="O210" s="351"/>
      <c r="P210" s="351"/>
      <c r="Q210" s="351"/>
      <c r="R210" s="351"/>
      <c r="S210" s="351"/>
    </row>
    <row r="211" spans="2:25" ht="26.25" hidden="1" customHeight="1">
      <c r="B211" s="351">
        <f t="shared" si="27"/>
        <v>198</v>
      </c>
      <c r="C211" s="351" t="s">
        <v>172</v>
      </c>
      <c r="D211" s="351" t="s">
        <v>173</v>
      </c>
      <c r="E211" s="351">
        <v>63</v>
      </c>
      <c r="F211" s="351"/>
      <c r="G211" s="351">
        <v>93.5</v>
      </c>
      <c r="H211" s="352">
        <f t="shared" si="34"/>
        <v>0.36299999999999999</v>
      </c>
      <c r="I211" s="352">
        <f t="shared" si="35"/>
        <v>1.0629999999999999</v>
      </c>
      <c r="J211" s="351"/>
      <c r="K211" s="351"/>
      <c r="L211" s="351"/>
      <c r="M211" s="351"/>
      <c r="N211" s="351"/>
      <c r="O211" s="351"/>
      <c r="P211" s="351"/>
      <c r="Q211" s="351"/>
      <c r="R211" s="351"/>
      <c r="S211" s="351"/>
    </row>
    <row r="212" spans="2:25" ht="26.25" hidden="1" customHeight="1">
      <c r="B212" s="351">
        <f t="shared" si="27"/>
        <v>199</v>
      </c>
      <c r="C212" s="351" t="s">
        <v>132</v>
      </c>
      <c r="D212" s="351" t="s">
        <v>726</v>
      </c>
      <c r="E212" s="351">
        <v>63</v>
      </c>
      <c r="F212" s="351"/>
      <c r="G212" s="351">
        <v>25</v>
      </c>
      <c r="H212" s="352">
        <f t="shared" si="34"/>
        <v>0.36299999999999999</v>
      </c>
      <c r="I212" s="352">
        <f t="shared" si="35"/>
        <v>1.0629999999999999</v>
      </c>
      <c r="J212" s="351"/>
      <c r="K212" s="351"/>
      <c r="L212" s="351"/>
      <c r="M212" s="351"/>
      <c r="N212" s="351"/>
      <c r="O212" s="351"/>
      <c r="P212" s="351"/>
      <c r="Q212" s="351"/>
      <c r="R212" s="351"/>
      <c r="S212" s="351"/>
    </row>
    <row r="213" spans="2:25" ht="26.25" hidden="1" customHeight="1">
      <c r="B213" s="351">
        <f t="shared" si="27"/>
        <v>200</v>
      </c>
      <c r="C213" s="351" t="s">
        <v>726</v>
      </c>
      <c r="D213" s="351" t="s">
        <v>134</v>
      </c>
      <c r="E213" s="351">
        <v>63</v>
      </c>
      <c r="F213" s="351"/>
      <c r="G213" s="351">
        <v>106</v>
      </c>
      <c r="H213" s="352">
        <f t="shared" si="34"/>
        <v>0.36299999999999999</v>
      </c>
      <c r="I213" s="352">
        <f t="shared" si="35"/>
        <v>1.0629999999999999</v>
      </c>
      <c r="J213" s="351"/>
      <c r="K213" s="351"/>
      <c r="L213" s="351"/>
      <c r="M213" s="351"/>
      <c r="N213" s="351"/>
      <c r="O213" s="351"/>
      <c r="P213" s="351"/>
      <c r="Q213" s="351"/>
      <c r="R213" s="351"/>
      <c r="S213" s="351"/>
    </row>
    <row r="214" spans="2:25" ht="26.25" hidden="1" customHeight="1">
      <c r="B214" s="351">
        <f t="shared" si="27"/>
        <v>201</v>
      </c>
      <c r="C214" s="351" t="s">
        <v>146</v>
      </c>
      <c r="D214" s="351" t="s">
        <v>151</v>
      </c>
      <c r="E214" s="351">
        <v>63</v>
      </c>
      <c r="F214" s="351"/>
      <c r="G214" s="351">
        <v>46</v>
      </c>
      <c r="H214" s="352">
        <f t="shared" si="34"/>
        <v>0.36299999999999999</v>
      </c>
      <c r="I214" s="352">
        <f t="shared" si="35"/>
        <v>1.0629999999999999</v>
      </c>
      <c r="J214" s="351"/>
      <c r="K214" s="351"/>
      <c r="L214" s="351"/>
      <c r="M214" s="351"/>
      <c r="N214" s="351"/>
      <c r="O214" s="351"/>
      <c r="P214" s="351"/>
      <c r="Q214" s="351"/>
      <c r="R214" s="351"/>
      <c r="S214" s="351"/>
    </row>
    <row r="215" spans="2:25" ht="26.25" hidden="1" customHeight="1">
      <c r="B215" s="351">
        <f t="shared" si="27"/>
        <v>202</v>
      </c>
      <c r="C215" s="351" t="s">
        <v>152</v>
      </c>
      <c r="D215" s="351" t="s">
        <v>827</v>
      </c>
      <c r="E215" s="351">
        <v>63</v>
      </c>
      <c r="F215" s="351"/>
      <c r="G215" s="351">
        <v>40</v>
      </c>
      <c r="H215" s="352">
        <f t="shared" si="34"/>
        <v>0.36299999999999999</v>
      </c>
      <c r="I215" s="352">
        <f t="shared" si="35"/>
        <v>1.0629999999999999</v>
      </c>
      <c r="J215" s="351">
        <f t="shared" si="28"/>
        <v>15.434759999999999</v>
      </c>
      <c r="K215" s="351" t="s">
        <v>149</v>
      </c>
      <c r="L215" s="351">
        <v>40</v>
      </c>
      <c r="M215" s="351">
        <v>0.46</v>
      </c>
      <c r="N215" s="351">
        <f t="shared" si="30"/>
        <v>18.400000000000002</v>
      </c>
      <c r="O215" s="351">
        <f t="shared" ref="O215:O218" si="36">+L215</f>
        <v>40</v>
      </c>
      <c r="P215" s="351">
        <f t="shared" ref="P215:P218" si="37">+M215</f>
        <v>0.46</v>
      </c>
      <c r="Q215" s="351">
        <f t="shared" si="32"/>
        <v>18.400000000000002</v>
      </c>
      <c r="R215" s="351"/>
      <c r="S215" s="351"/>
    </row>
    <row r="216" spans="2:25" ht="26.25" hidden="1" customHeight="1">
      <c r="B216" s="351">
        <f t="shared" si="27"/>
        <v>203</v>
      </c>
      <c r="C216" s="351" t="s">
        <v>827</v>
      </c>
      <c r="D216" s="351" t="s">
        <v>828</v>
      </c>
      <c r="E216" s="351">
        <v>63</v>
      </c>
      <c r="F216" s="351"/>
      <c r="G216" s="351">
        <v>52</v>
      </c>
      <c r="H216" s="352">
        <f t="shared" si="34"/>
        <v>0.36299999999999999</v>
      </c>
      <c r="I216" s="352">
        <f t="shared" si="35"/>
        <v>1.0629999999999999</v>
      </c>
      <c r="J216" s="351">
        <f t="shared" si="28"/>
        <v>20.065187999999999</v>
      </c>
      <c r="K216" s="351" t="s">
        <v>149</v>
      </c>
      <c r="L216" s="351">
        <v>52</v>
      </c>
      <c r="M216" s="351">
        <v>0.46</v>
      </c>
      <c r="N216" s="351">
        <f t="shared" si="30"/>
        <v>23.92</v>
      </c>
      <c r="O216" s="351">
        <f t="shared" si="36"/>
        <v>52</v>
      </c>
      <c r="P216" s="351">
        <f t="shared" si="37"/>
        <v>0.46</v>
      </c>
      <c r="Q216" s="351">
        <f t="shared" si="32"/>
        <v>23.92</v>
      </c>
      <c r="R216" s="351"/>
      <c r="S216" s="351"/>
    </row>
    <row r="217" spans="2:25" ht="26.25" hidden="1" customHeight="1">
      <c r="B217" s="351">
        <f t="shared" si="27"/>
        <v>204</v>
      </c>
      <c r="C217" s="351" t="s">
        <v>828</v>
      </c>
      <c r="D217" s="351">
        <v>25</v>
      </c>
      <c r="E217" s="351">
        <v>63</v>
      </c>
      <c r="F217" s="351"/>
      <c r="G217" s="351">
        <v>58</v>
      </c>
      <c r="H217" s="352">
        <f t="shared" si="34"/>
        <v>0.36299999999999999</v>
      </c>
      <c r="I217" s="352">
        <f t="shared" si="35"/>
        <v>1.0629999999999999</v>
      </c>
      <c r="J217" s="351">
        <f t="shared" si="28"/>
        <v>22.380401999999997</v>
      </c>
      <c r="K217" s="351" t="s">
        <v>45</v>
      </c>
      <c r="L217" s="351">
        <v>58</v>
      </c>
      <c r="M217" s="352">
        <f t="shared" ref="M217:M218" si="38">(300+E217)/1000</f>
        <v>0.36299999999999999</v>
      </c>
      <c r="N217" s="351">
        <f t="shared" si="30"/>
        <v>21.053999999999998</v>
      </c>
      <c r="O217" s="351">
        <f t="shared" si="36"/>
        <v>58</v>
      </c>
      <c r="P217" s="351">
        <f t="shared" si="37"/>
        <v>0.36299999999999999</v>
      </c>
      <c r="Q217" s="351">
        <f t="shared" si="32"/>
        <v>21.053999999999998</v>
      </c>
      <c r="R217" s="351"/>
      <c r="S217" s="351"/>
      <c r="U217" s="347">
        <f>1756.6*0.37</f>
        <v>649.94200000000001</v>
      </c>
    </row>
    <row r="218" spans="2:25" ht="26.25" hidden="1" customHeight="1">
      <c r="B218" s="351">
        <f t="shared" si="27"/>
        <v>205</v>
      </c>
      <c r="C218" s="351" t="s">
        <v>729</v>
      </c>
      <c r="D218" s="351" t="s">
        <v>502</v>
      </c>
      <c r="E218" s="351">
        <v>63</v>
      </c>
      <c r="F218" s="351"/>
      <c r="G218" s="351">
        <v>78</v>
      </c>
      <c r="H218" s="352">
        <f t="shared" si="34"/>
        <v>0.36299999999999999</v>
      </c>
      <c r="I218" s="352">
        <f t="shared" si="35"/>
        <v>1.0629999999999999</v>
      </c>
      <c r="J218" s="351">
        <f t="shared" si="28"/>
        <v>30.097781999999999</v>
      </c>
      <c r="K218" s="351" t="s">
        <v>45</v>
      </c>
      <c r="L218" s="351">
        <v>78</v>
      </c>
      <c r="M218" s="352">
        <f t="shared" si="38"/>
        <v>0.36299999999999999</v>
      </c>
      <c r="N218" s="351">
        <f t="shared" si="30"/>
        <v>28.314</v>
      </c>
      <c r="O218" s="351">
        <f t="shared" si="36"/>
        <v>78</v>
      </c>
      <c r="P218" s="351">
        <f t="shared" si="37"/>
        <v>0.36299999999999999</v>
      </c>
      <c r="Q218" s="351">
        <f t="shared" si="32"/>
        <v>28.314</v>
      </c>
      <c r="R218" s="351"/>
      <c r="S218" s="351"/>
    </row>
    <row r="219" spans="2:25" ht="26.25" customHeight="1">
      <c r="B219" s="351"/>
      <c r="C219" s="351"/>
      <c r="D219" s="351"/>
      <c r="E219" s="351"/>
      <c r="F219" s="351"/>
      <c r="G219" s="351"/>
      <c r="H219" s="351"/>
      <c r="I219" s="351"/>
      <c r="J219" s="351"/>
      <c r="K219" s="351"/>
      <c r="L219" s="351"/>
      <c r="M219" s="351"/>
      <c r="N219" s="351"/>
      <c r="O219" s="351"/>
      <c r="P219" s="351"/>
      <c r="Q219" s="351"/>
      <c r="R219" s="351"/>
      <c r="S219" s="351"/>
      <c r="X219" s="347">
        <f>242*0.46</f>
        <v>111.32000000000001</v>
      </c>
    </row>
    <row r="220" spans="2:25" s="346" customFormat="1" ht="42" customHeight="1">
      <c r="B220" s="357" t="s">
        <v>174</v>
      </c>
      <c r="C220" s="358"/>
      <c r="D220" s="358"/>
      <c r="E220" s="367"/>
      <c r="F220" s="359">
        <f>SUM(F14:F219)</f>
        <v>15285</v>
      </c>
      <c r="G220" s="359">
        <f>SUM(G14:G219)</f>
        <v>16834.099999999999</v>
      </c>
      <c r="H220" s="359"/>
      <c r="I220" s="359"/>
      <c r="J220" s="359">
        <f>SUM(J14:J219)</f>
        <v>1142.5678584000002</v>
      </c>
      <c r="K220" s="359"/>
      <c r="L220" s="359">
        <f>SUM(L14:L219)</f>
        <v>2746.7000000000003</v>
      </c>
      <c r="M220" s="359"/>
      <c r="N220" s="359">
        <f>SUM(N14:N219)</f>
        <v>1064.4158000000002</v>
      </c>
      <c r="O220" s="359">
        <f>SUM(O14:O219)</f>
        <v>2007.2999999999997</v>
      </c>
      <c r="P220" s="359"/>
      <c r="Q220" s="359">
        <f>SUM(Q14:Q219)</f>
        <v>767.17229999999984</v>
      </c>
      <c r="R220" s="359"/>
      <c r="S220" s="359"/>
    </row>
    <row r="221" spans="2:25" ht="102" customHeight="1">
      <c r="B221" s="360"/>
      <c r="C221" s="360"/>
      <c r="D221" s="361" t="s">
        <v>175</v>
      </c>
      <c r="E221" s="368"/>
      <c r="F221" s="361"/>
      <c r="G221" s="361"/>
      <c r="H221" s="361"/>
      <c r="I221" s="521" t="s">
        <v>176</v>
      </c>
      <c r="J221" s="521"/>
      <c r="K221" s="521"/>
      <c r="L221" s="521"/>
      <c r="M221" s="521"/>
      <c r="N221" s="521" t="s">
        <v>177</v>
      </c>
      <c r="O221" s="521"/>
      <c r="P221" s="521"/>
      <c r="Q221" s="521"/>
      <c r="R221" s="521"/>
      <c r="S221" s="360"/>
      <c r="W221" s="347">
        <f>1064-833</f>
        <v>231</v>
      </c>
    </row>
    <row r="222" spans="2:25">
      <c r="W222" s="347">
        <f>+W221*225</f>
        <v>51975</v>
      </c>
      <c r="X222" s="347">
        <f>+W222*20%</f>
        <v>10395</v>
      </c>
    </row>
    <row r="223" spans="2:25">
      <c r="E223" s="347">
        <v>63</v>
      </c>
      <c r="F223" s="347">
        <v>63</v>
      </c>
      <c r="G223" s="347">
        <v>75</v>
      </c>
      <c r="H223" s="347">
        <v>90</v>
      </c>
      <c r="I223" s="347">
        <v>110</v>
      </c>
      <c r="J223" s="347">
        <v>125</v>
      </c>
      <c r="K223" s="347">
        <v>140</v>
      </c>
      <c r="L223" s="347">
        <v>160</v>
      </c>
      <c r="W223" s="347">
        <f>40*613</f>
        <v>24520</v>
      </c>
      <c r="X223" s="347">
        <f>+W223*20%</f>
        <v>4904</v>
      </c>
    </row>
    <row r="224" spans="2:25">
      <c r="E224" s="347">
        <f>+SUMIF($E$14:$E$218,E223,$G$14:$G$218)</f>
        <v>13125.899999999998</v>
      </c>
      <c r="F224" s="347">
        <f>+SUMIF($E$14:$E$218,F223,$G$14:$G$218)</f>
        <v>13125.899999999998</v>
      </c>
      <c r="G224" s="347">
        <f>+SUMIF($E$14:$E$211,G223,$G$14:$G$211)</f>
        <v>535.20000000000005</v>
      </c>
      <c r="H224" s="347">
        <f t="shared" ref="H224:L224" si="39">+SUMIF($E$14:$E$211,H223,$G$14:$G$211)</f>
        <v>1162.3000000000002</v>
      </c>
      <c r="I224" s="347">
        <f t="shared" si="39"/>
        <v>275.5</v>
      </c>
      <c r="J224" s="347">
        <f t="shared" si="39"/>
        <v>324.39999999999998</v>
      </c>
      <c r="K224" s="347">
        <f t="shared" si="39"/>
        <v>1028.5</v>
      </c>
      <c r="L224" s="347">
        <f t="shared" si="39"/>
        <v>382.3</v>
      </c>
      <c r="M224" s="347">
        <f>+E224+G224+H224+I224+J224+K224+L224</f>
        <v>16834.099999999995</v>
      </c>
      <c r="W224" s="347">
        <f>SUM(W222:W223)</f>
        <v>76495</v>
      </c>
      <c r="X224" s="347">
        <f>SUM(X222:X223)</f>
        <v>15299</v>
      </c>
      <c r="Y224" s="347">
        <f>+W224-X224</f>
        <v>61196</v>
      </c>
    </row>
  </sheetData>
  <autoFilter ref="B13:S218">
    <filterColumn colId="9">
      <filters>
        <filter val="cc"/>
      </filters>
    </filterColumn>
  </autoFilter>
  <mergeCells count="17">
    <mergeCell ref="B3:S3"/>
    <mergeCell ref="B4:S4"/>
    <mergeCell ref="B5:S5"/>
    <mergeCell ref="B6:S6"/>
    <mergeCell ref="B7:P7"/>
    <mergeCell ref="B8:C8"/>
    <mergeCell ref="D8:G8"/>
    <mergeCell ref="B9:C9"/>
    <mergeCell ref="D9:G9"/>
    <mergeCell ref="B10:C10"/>
    <mergeCell ref="D10:G10"/>
    <mergeCell ref="N221:R221"/>
    <mergeCell ref="B11:C11"/>
    <mergeCell ref="D11:G11"/>
    <mergeCell ref="B12:C12"/>
    <mergeCell ref="D12:G12"/>
    <mergeCell ref="I221:M221"/>
  </mergeCells>
  <printOptions horizontalCentered="1"/>
  <pageMargins left="0.27559055118110198" right="0.196850393700787" top="0.59055118110236204" bottom="0.118110236220472" header="0.31496062992126" footer="0.31496062992126"/>
  <pageSetup paperSize="9" scale="62"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67"/>
  <sheetViews>
    <sheetView view="pageBreakPreview" topLeftCell="A130" zoomScale="70" zoomScaleNormal="85" zoomScaleSheetLayoutView="70" workbookViewId="0">
      <selection activeCell="V122" sqref="V122"/>
    </sheetView>
  </sheetViews>
  <sheetFormatPr defaultRowHeight="15"/>
  <cols>
    <col min="6" max="6" width="0" hidden="1" customWidth="1"/>
    <col min="11" max="11" width="18.28515625" customWidth="1"/>
    <col min="14" max="14" width="19.140625" bestFit="1" customWidth="1"/>
  </cols>
  <sheetData>
    <row r="2" spans="2:19" ht="21">
      <c r="B2" s="510" t="s">
        <v>0</v>
      </c>
      <c r="C2" s="510"/>
      <c r="D2" s="510"/>
      <c r="E2" s="510"/>
      <c r="F2" s="510"/>
      <c r="G2" s="510"/>
      <c r="H2" s="510"/>
      <c r="I2" s="510"/>
      <c r="J2" s="510"/>
      <c r="K2" s="510"/>
      <c r="L2" s="510"/>
      <c r="M2" s="510"/>
      <c r="N2" s="510"/>
      <c r="O2" s="510"/>
      <c r="P2" s="510"/>
      <c r="Q2" s="510"/>
      <c r="R2" s="510"/>
      <c r="S2" s="510"/>
    </row>
    <row r="3" spans="2:19" ht="21">
      <c r="B3" s="510" t="s">
        <v>1</v>
      </c>
      <c r="C3" s="510"/>
      <c r="D3" s="510"/>
      <c r="E3" s="510"/>
      <c r="F3" s="510"/>
      <c r="G3" s="510"/>
      <c r="H3" s="510"/>
      <c r="I3" s="510"/>
      <c r="J3" s="510"/>
      <c r="K3" s="510"/>
      <c r="L3" s="510"/>
      <c r="M3" s="510"/>
      <c r="N3" s="510"/>
      <c r="O3" s="510"/>
      <c r="P3" s="510"/>
      <c r="Q3" s="510"/>
      <c r="R3" s="510"/>
      <c r="S3" s="510"/>
    </row>
    <row r="4" spans="2:19" ht="21">
      <c r="B4" s="510" t="s">
        <v>2</v>
      </c>
      <c r="C4" s="510"/>
      <c r="D4" s="510"/>
      <c r="E4" s="510"/>
      <c r="F4" s="510"/>
      <c r="G4" s="510"/>
      <c r="H4" s="510"/>
      <c r="I4" s="510"/>
      <c r="J4" s="510"/>
      <c r="K4" s="510"/>
      <c r="L4" s="510"/>
      <c r="M4" s="510"/>
      <c r="N4" s="510"/>
      <c r="O4" s="510"/>
      <c r="P4" s="510"/>
      <c r="Q4" s="510"/>
      <c r="R4" s="510"/>
      <c r="S4" s="510"/>
    </row>
    <row r="5" spans="2:19" ht="18.75">
      <c r="B5" s="511" t="s">
        <v>3</v>
      </c>
      <c r="C5" s="511"/>
      <c r="D5" s="511"/>
      <c r="E5" s="511"/>
      <c r="F5" s="511"/>
      <c r="G5" s="511"/>
      <c r="H5" s="511"/>
      <c r="I5" s="511"/>
      <c r="J5" s="511"/>
      <c r="K5" s="511"/>
      <c r="L5" s="511"/>
      <c r="M5" s="511"/>
      <c r="N5" s="511"/>
      <c r="O5" s="511"/>
      <c r="P5" s="511"/>
      <c r="Q5" s="511"/>
      <c r="R5" s="511"/>
      <c r="S5" s="511"/>
    </row>
    <row r="6" spans="2:19" ht="21">
      <c r="B6" s="496" t="s">
        <v>4</v>
      </c>
      <c r="C6" s="496"/>
      <c r="D6" s="496"/>
      <c r="E6" s="496"/>
      <c r="F6" s="496"/>
      <c r="G6" s="496"/>
      <c r="H6" s="496"/>
      <c r="I6" s="496"/>
      <c r="J6" s="496"/>
      <c r="K6" s="496"/>
      <c r="L6" s="496"/>
      <c r="M6" s="496"/>
      <c r="N6" s="496"/>
      <c r="O6" s="496"/>
      <c r="P6" s="496"/>
      <c r="Q6" s="434"/>
      <c r="R6" s="434"/>
      <c r="S6" s="434"/>
    </row>
    <row r="7" spans="2:19" ht="21">
      <c r="B7" s="514" t="s">
        <v>5</v>
      </c>
      <c r="C7" s="514"/>
      <c r="D7" s="512" t="s">
        <v>1887</v>
      </c>
      <c r="E7" s="512"/>
      <c r="F7" s="512"/>
      <c r="G7" s="512"/>
      <c r="H7" s="349"/>
      <c r="I7" s="349"/>
      <c r="J7" s="349"/>
      <c r="K7" s="349"/>
      <c r="L7" s="349"/>
      <c r="M7" s="349"/>
      <c r="N7" s="349"/>
      <c r="O7" s="349"/>
      <c r="P7" s="349"/>
      <c r="Q7" s="349"/>
      <c r="R7" s="349"/>
      <c r="S7" s="349"/>
    </row>
    <row r="8" spans="2:19" ht="21">
      <c r="B8" s="514" t="s">
        <v>6</v>
      </c>
      <c r="C8" s="514"/>
      <c r="D8" s="512" t="s">
        <v>1784</v>
      </c>
      <c r="E8" s="512"/>
      <c r="F8" s="512"/>
      <c r="G8" s="512"/>
      <c r="H8" s="349"/>
      <c r="I8" s="349"/>
      <c r="J8" s="349"/>
      <c r="K8" s="349"/>
      <c r="L8" s="349"/>
      <c r="M8" s="349"/>
      <c r="N8" s="349"/>
      <c r="O8" s="349"/>
      <c r="P8" s="349"/>
      <c r="Q8" s="349"/>
      <c r="R8" s="349"/>
      <c r="S8" s="349"/>
    </row>
    <row r="9" spans="2:19" ht="21">
      <c r="B9" s="514" t="s">
        <v>7</v>
      </c>
      <c r="C9" s="514"/>
      <c r="D9" s="512" t="s">
        <v>8</v>
      </c>
      <c r="E9" s="512"/>
      <c r="F9" s="512"/>
      <c r="G9" s="512"/>
      <c r="H9" s="349"/>
      <c r="I9" s="349"/>
      <c r="J9" s="349"/>
      <c r="K9" s="349"/>
      <c r="L9" s="349"/>
      <c r="M9" s="349"/>
      <c r="N9" s="349"/>
      <c r="O9" s="349"/>
      <c r="P9" s="349"/>
      <c r="Q9" s="349"/>
      <c r="R9" s="349"/>
      <c r="S9" s="349"/>
    </row>
    <row r="10" spans="2:19" ht="21">
      <c r="B10" s="514" t="s">
        <v>9</v>
      </c>
      <c r="C10" s="514"/>
      <c r="D10" s="512" t="s">
        <v>373</v>
      </c>
      <c r="E10" s="512"/>
      <c r="F10" s="512"/>
      <c r="G10" s="512"/>
      <c r="H10" s="349"/>
      <c r="I10" s="349"/>
      <c r="J10" s="349"/>
      <c r="K10" s="349"/>
      <c r="L10" s="349"/>
      <c r="M10" s="349"/>
      <c r="N10" s="349"/>
      <c r="O10" s="349"/>
      <c r="P10" s="349"/>
      <c r="Q10" s="349"/>
      <c r="R10" s="349"/>
      <c r="S10" s="349"/>
    </row>
    <row r="11" spans="2:19" ht="21">
      <c r="B11" s="514" t="s">
        <v>10</v>
      </c>
      <c r="C11" s="514"/>
      <c r="D11" s="512" t="s">
        <v>8</v>
      </c>
      <c r="E11" s="512"/>
      <c r="F11" s="512"/>
      <c r="G11" s="512"/>
      <c r="H11" s="349"/>
      <c r="I11" s="349"/>
      <c r="J11" s="349"/>
      <c r="K11" s="349"/>
      <c r="L11" s="349"/>
      <c r="M11" s="349"/>
      <c r="N11" s="349"/>
      <c r="O11" s="349"/>
      <c r="P11" s="349"/>
      <c r="Q11" s="349"/>
      <c r="R11" s="349"/>
      <c r="S11" s="349"/>
    </row>
    <row r="12" spans="2:19" ht="78.75">
      <c r="B12" s="350" t="s">
        <v>11</v>
      </c>
      <c r="C12" s="350" t="s">
        <v>12</v>
      </c>
      <c r="D12" s="350" t="s">
        <v>13</v>
      </c>
      <c r="E12" s="350" t="s">
        <v>14</v>
      </c>
      <c r="F12" s="350" t="s">
        <v>15</v>
      </c>
      <c r="G12" s="350" t="s">
        <v>16</v>
      </c>
      <c r="H12" s="350" t="s">
        <v>17</v>
      </c>
      <c r="I12" s="350" t="s">
        <v>18</v>
      </c>
      <c r="J12" s="350" t="s">
        <v>19</v>
      </c>
      <c r="K12" s="350" t="s">
        <v>20</v>
      </c>
      <c r="L12" s="350" t="s">
        <v>21</v>
      </c>
      <c r="M12" s="350" t="s">
        <v>22</v>
      </c>
      <c r="N12" s="350" t="s">
        <v>23</v>
      </c>
      <c r="O12" s="350" t="s">
        <v>24</v>
      </c>
      <c r="P12" s="350" t="s">
        <v>25</v>
      </c>
      <c r="Q12" s="350" t="s">
        <v>26</v>
      </c>
      <c r="R12" s="350" t="s">
        <v>27</v>
      </c>
      <c r="S12" s="355" t="s">
        <v>28</v>
      </c>
    </row>
    <row r="13" spans="2:19">
      <c r="B13" s="440">
        <v>1</v>
      </c>
      <c r="C13" s="440" t="s">
        <v>95</v>
      </c>
      <c r="D13" s="440" t="s">
        <v>107</v>
      </c>
      <c r="E13" s="440">
        <v>63</v>
      </c>
      <c r="F13" s="440">
        <v>65</v>
      </c>
      <c r="G13" s="440">
        <v>72.5</v>
      </c>
      <c r="H13" s="438">
        <f>E13/1000+0.3</f>
        <v>0.36299999999999999</v>
      </c>
      <c r="I13" s="438">
        <f>E13/1000+1</f>
        <v>1.0629999999999999</v>
      </c>
      <c r="J13" s="438"/>
      <c r="K13" s="438"/>
      <c r="L13" s="438"/>
      <c r="M13" s="438"/>
      <c r="N13" s="438"/>
      <c r="O13" s="438"/>
      <c r="P13" s="438"/>
      <c r="Q13" s="438"/>
      <c r="R13" s="438"/>
      <c r="S13" s="438"/>
    </row>
    <row r="14" spans="2:19">
      <c r="B14" s="440">
        <f>1+B13</f>
        <v>2</v>
      </c>
      <c r="C14" s="440" t="s">
        <v>107</v>
      </c>
      <c r="D14" s="440" t="s">
        <v>906</v>
      </c>
      <c r="E14" s="440">
        <v>63</v>
      </c>
      <c r="F14" s="440">
        <v>52</v>
      </c>
      <c r="G14" s="440">
        <v>45.4</v>
      </c>
      <c r="H14" s="438">
        <f t="shared" ref="H14:H77" si="0">E14/1000+0.3</f>
        <v>0.36299999999999999</v>
      </c>
      <c r="I14" s="438">
        <f t="shared" ref="I14:I77" si="1">E14/1000+1</f>
        <v>1.0629999999999999</v>
      </c>
      <c r="J14" s="438"/>
      <c r="K14" s="438"/>
      <c r="L14" s="438"/>
      <c r="M14" s="438"/>
      <c r="N14" s="438"/>
      <c r="O14" s="438"/>
      <c r="P14" s="438"/>
      <c r="Q14" s="438"/>
      <c r="R14" s="438"/>
      <c r="S14" s="438"/>
    </row>
    <row r="15" spans="2:19">
      <c r="B15" s="440">
        <f t="shared" ref="B15:B78" si="2">1+B14</f>
        <v>3</v>
      </c>
      <c r="C15" s="440" t="s">
        <v>107</v>
      </c>
      <c r="D15" s="440" t="s">
        <v>106</v>
      </c>
      <c r="E15" s="440">
        <v>63</v>
      </c>
      <c r="F15" s="440">
        <v>20</v>
      </c>
      <c r="G15" s="440">
        <v>8.8000000000000007</v>
      </c>
      <c r="H15" s="438">
        <f t="shared" si="0"/>
        <v>0.36299999999999999</v>
      </c>
      <c r="I15" s="438">
        <f t="shared" si="1"/>
        <v>1.0629999999999999</v>
      </c>
      <c r="J15" s="438"/>
      <c r="K15" s="438"/>
      <c r="L15" s="438"/>
      <c r="M15" s="438"/>
      <c r="N15" s="438"/>
      <c r="O15" s="438"/>
      <c r="P15" s="438"/>
      <c r="Q15" s="438"/>
      <c r="R15" s="438"/>
      <c r="S15" s="438"/>
    </row>
    <row r="16" spans="2:19">
      <c r="B16" s="440">
        <f t="shared" si="2"/>
        <v>4</v>
      </c>
      <c r="C16" s="440" t="s">
        <v>106</v>
      </c>
      <c r="D16" s="440" t="s">
        <v>1300</v>
      </c>
      <c r="E16" s="440">
        <v>63</v>
      </c>
      <c r="F16" s="440">
        <v>53</v>
      </c>
      <c r="G16" s="440">
        <v>32.200000000000003</v>
      </c>
      <c r="H16" s="438">
        <f t="shared" si="0"/>
        <v>0.36299999999999999</v>
      </c>
      <c r="I16" s="438">
        <f t="shared" si="1"/>
        <v>1.0629999999999999</v>
      </c>
      <c r="J16" s="438"/>
      <c r="K16" s="438"/>
      <c r="L16" s="438"/>
      <c r="M16" s="438"/>
      <c r="N16" s="438"/>
      <c r="O16" s="438"/>
      <c r="P16" s="438"/>
      <c r="Q16" s="438"/>
      <c r="R16" s="438"/>
      <c r="S16" s="438"/>
    </row>
    <row r="17" spans="2:19">
      <c r="B17" s="440">
        <f t="shared" si="2"/>
        <v>5</v>
      </c>
      <c r="C17" s="440" t="s">
        <v>106</v>
      </c>
      <c r="D17" s="440" t="s">
        <v>104</v>
      </c>
      <c r="E17" s="440">
        <v>63</v>
      </c>
      <c r="F17" s="440">
        <v>37</v>
      </c>
      <c r="G17" s="440">
        <v>44.2</v>
      </c>
      <c r="H17" s="438">
        <f t="shared" si="0"/>
        <v>0.36299999999999999</v>
      </c>
      <c r="I17" s="438">
        <f t="shared" si="1"/>
        <v>1.0629999999999999</v>
      </c>
      <c r="J17" s="438"/>
      <c r="K17" s="438"/>
      <c r="L17" s="438"/>
      <c r="M17" s="438"/>
      <c r="N17" s="438"/>
      <c r="O17" s="438"/>
      <c r="P17" s="438"/>
      <c r="Q17" s="438"/>
      <c r="R17" s="438"/>
      <c r="S17" s="438"/>
    </row>
    <row r="18" spans="2:19">
      <c r="B18" s="440">
        <f t="shared" si="2"/>
        <v>6</v>
      </c>
      <c r="C18" s="440" t="s">
        <v>104</v>
      </c>
      <c r="D18" s="440" t="s">
        <v>105</v>
      </c>
      <c r="E18" s="440">
        <v>63</v>
      </c>
      <c r="F18" s="440">
        <v>32</v>
      </c>
      <c r="G18" s="440">
        <v>35.700000000000003</v>
      </c>
      <c r="H18" s="438">
        <f t="shared" si="0"/>
        <v>0.36299999999999999</v>
      </c>
      <c r="I18" s="438">
        <f t="shared" si="1"/>
        <v>1.0629999999999999</v>
      </c>
      <c r="J18" s="438"/>
      <c r="K18" s="438"/>
      <c r="L18" s="438"/>
      <c r="M18" s="438"/>
      <c r="N18" s="438"/>
      <c r="O18" s="438"/>
      <c r="P18" s="438"/>
      <c r="Q18" s="438"/>
      <c r="R18" s="438"/>
      <c r="S18" s="438"/>
    </row>
    <row r="19" spans="2:19">
      <c r="B19" s="440">
        <f t="shared" si="2"/>
        <v>7</v>
      </c>
      <c r="C19" s="440" t="s">
        <v>95</v>
      </c>
      <c r="D19" s="440" t="s">
        <v>1304</v>
      </c>
      <c r="E19" s="440">
        <v>63</v>
      </c>
      <c r="F19" s="440">
        <v>83</v>
      </c>
      <c r="G19" s="440">
        <v>82.7</v>
      </c>
      <c r="H19" s="438">
        <f t="shared" si="0"/>
        <v>0.36299999999999999</v>
      </c>
      <c r="I19" s="438">
        <f t="shared" si="1"/>
        <v>1.0629999999999999</v>
      </c>
      <c r="J19" s="438"/>
      <c r="K19" s="438"/>
      <c r="L19" s="438"/>
      <c r="M19" s="438"/>
      <c r="N19" s="438"/>
      <c r="O19" s="438"/>
      <c r="P19" s="438"/>
      <c r="Q19" s="438"/>
      <c r="R19" s="438"/>
      <c r="S19" s="438"/>
    </row>
    <row r="20" spans="2:19">
      <c r="B20" s="440">
        <f t="shared" si="2"/>
        <v>8</v>
      </c>
      <c r="C20" s="440" t="s">
        <v>1304</v>
      </c>
      <c r="D20" s="440" t="s">
        <v>931</v>
      </c>
      <c r="E20" s="440">
        <v>63</v>
      </c>
      <c r="F20" s="440">
        <v>11</v>
      </c>
      <c r="G20" s="440">
        <v>9.6999999999999993</v>
      </c>
      <c r="H20" s="438">
        <f t="shared" si="0"/>
        <v>0.36299999999999999</v>
      </c>
      <c r="I20" s="438">
        <f t="shared" si="1"/>
        <v>1.0629999999999999</v>
      </c>
      <c r="J20" s="438"/>
      <c r="K20" s="438"/>
      <c r="L20" s="438"/>
      <c r="M20" s="438"/>
      <c r="N20" s="438"/>
      <c r="O20" s="438"/>
      <c r="P20" s="438"/>
      <c r="Q20" s="438"/>
      <c r="R20" s="438"/>
      <c r="S20" s="438"/>
    </row>
    <row r="21" spans="2:19">
      <c r="B21" s="440">
        <f t="shared" si="2"/>
        <v>9</v>
      </c>
      <c r="C21" s="440" t="s">
        <v>931</v>
      </c>
      <c r="D21" s="440" t="s">
        <v>1360</v>
      </c>
      <c r="E21" s="440">
        <v>63</v>
      </c>
      <c r="F21" s="509">
        <v>225</v>
      </c>
      <c r="G21" s="440">
        <v>38.700000000000003</v>
      </c>
      <c r="H21" s="438">
        <f t="shared" si="0"/>
        <v>0.36299999999999999</v>
      </c>
      <c r="I21" s="438">
        <f t="shared" si="1"/>
        <v>1.0629999999999999</v>
      </c>
      <c r="J21" s="438"/>
      <c r="K21" s="438"/>
      <c r="L21" s="438"/>
      <c r="M21" s="438"/>
      <c r="N21" s="438"/>
      <c r="O21" s="438"/>
      <c r="P21" s="438"/>
      <c r="Q21" s="438"/>
      <c r="R21" s="438"/>
      <c r="S21" s="438"/>
    </row>
    <row r="22" spans="2:19">
      <c r="B22" s="440">
        <f t="shared" si="2"/>
        <v>10</v>
      </c>
      <c r="C22" s="440" t="s">
        <v>931</v>
      </c>
      <c r="D22" s="440" t="s">
        <v>1360</v>
      </c>
      <c r="E22" s="440">
        <v>63</v>
      </c>
      <c r="F22" s="509"/>
      <c r="G22" s="440">
        <v>13.6</v>
      </c>
      <c r="H22" s="438">
        <f t="shared" si="0"/>
        <v>0.36299999999999999</v>
      </c>
      <c r="I22" s="438">
        <f t="shared" si="1"/>
        <v>1.0629999999999999</v>
      </c>
      <c r="J22" s="438"/>
      <c r="K22" s="438" t="s">
        <v>1888</v>
      </c>
      <c r="L22" s="438">
        <f>+G22</f>
        <v>13.6</v>
      </c>
      <c r="M22" s="438">
        <f>+H22</f>
        <v>0.36299999999999999</v>
      </c>
      <c r="N22" s="438">
        <f>+L22*M22</f>
        <v>4.9367999999999999</v>
      </c>
      <c r="O22" s="438" t="s">
        <v>2008</v>
      </c>
      <c r="P22" s="438"/>
      <c r="Q22" s="438"/>
      <c r="R22" s="438"/>
      <c r="S22" s="438"/>
    </row>
    <row r="23" spans="2:19">
      <c r="B23" s="440">
        <f t="shared" si="2"/>
        <v>11</v>
      </c>
      <c r="C23" s="440" t="s">
        <v>931</v>
      </c>
      <c r="D23" s="440" t="s">
        <v>1360</v>
      </c>
      <c r="E23" s="440">
        <v>63</v>
      </c>
      <c r="F23" s="509"/>
      <c r="G23" s="440">
        <v>43.1</v>
      </c>
      <c r="H23" s="438">
        <f t="shared" si="0"/>
        <v>0.36299999999999999</v>
      </c>
      <c r="I23" s="438">
        <f t="shared" si="1"/>
        <v>1.0629999999999999</v>
      </c>
      <c r="J23" s="438"/>
      <c r="K23" s="438"/>
      <c r="L23" s="438"/>
      <c r="M23" s="438"/>
      <c r="N23" s="438"/>
      <c r="O23" s="438"/>
      <c r="P23" s="438"/>
      <c r="Q23" s="438"/>
      <c r="R23" s="438"/>
      <c r="S23" s="438"/>
    </row>
    <row r="24" spans="2:19">
      <c r="B24" s="440">
        <f t="shared" si="2"/>
        <v>12</v>
      </c>
      <c r="C24" s="440" t="s">
        <v>1297</v>
      </c>
      <c r="D24" s="440" t="s">
        <v>1889</v>
      </c>
      <c r="E24" s="440">
        <v>63</v>
      </c>
      <c r="F24" s="440"/>
      <c r="G24" s="440">
        <v>2</v>
      </c>
      <c r="H24" s="438">
        <f t="shared" si="0"/>
        <v>0.36299999999999999</v>
      </c>
      <c r="I24" s="438">
        <f t="shared" si="1"/>
        <v>1.0629999999999999</v>
      </c>
      <c r="J24" s="438"/>
      <c r="K24" s="438" t="s">
        <v>1890</v>
      </c>
      <c r="L24" s="442">
        <f>+G24</f>
        <v>2</v>
      </c>
      <c r="M24" s="442">
        <f>+H24</f>
        <v>0.36299999999999999</v>
      </c>
      <c r="N24" s="442">
        <f>+L24*M24</f>
        <v>0.72599999999999998</v>
      </c>
      <c r="O24" s="438"/>
      <c r="P24" s="438"/>
      <c r="Q24" s="438"/>
      <c r="R24" s="438"/>
      <c r="S24" s="438"/>
    </row>
    <row r="25" spans="2:19">
      <c r="B25" s="440">
        <f t="shared" si="2"/>
        <v>13</v>
      </c>
      <c r="C25" s="440" t="s">
        <v>1889</v>
      </c>
      <c r="D25" s="440" t="s">
        <v>1891</v>
      </c>
      <c r="E25" s="440">
        <v>63</v>
      </c>
      <c r="F25" s="440"/>
      <c r="G25" s="440">
        <v>33</v>
      </c>
      <c r="H25" s="438">
        <f t="shared" si="0"/>
        <v>0.36299999999999999</v>
      </c>
      <c r="I25" s="438">
        <f t="shared" si="1"/>
        <v>1.0629999999999999</v>
      </c>
      <c r="J25" s="438"/>
      <c r="K25" s="438"/>
      <c r="L25" s="438"/>
      <c r="M25" s="438"/>
      <c r="N25" s="438"/>
      <c r="O25" s="438"/>
      <c r="P25" s="438"/>
      <c r="Q25" s="438"/>
      <c r="R25" s="438"/>
      <c r="S25" s="438"/>
    </row>
    <row r="26" spans="2:19">
      <c r="B26" s="440">
        <f t="shared" si="2"/>
        <v>14</v>
      </c>
      <c r="C26" s="440" t="s">
        <v>716</v>
      </c>
      <c r="D26" s="440" t="s">
        <v>1384</v>
      </c>
      <c r="E26" s="440">
        <v>63</v>
      </c>
      <c r="F26" s="440"/>
      <c r="G26" s="440">
        <v>22.4</v>
      </c>
      <c r="H26" s="438">
        <f t="shared" si="0"/>
        <v>0.36299999999999999</v>
      </c>
      <c r="I26" s="438">
        <f t="shared" si="1"/>
        <v>1.0629999999999999</v>
      </c>
      <c r="J26" s="438"/>
      <c r="K26" s="438" t="s">
        <v>1888</v>
      </c>
      <c r="L26" s="442">
        <f>+G26</f>
        <v>22.4</v>
      </c>
      <c r="M26" s="442">
        <f>+H26</f>
        <v>0.36299999999999999</v>
      </c>
      <c r="N26" s="442">
        <f>+L26*M26</f>
        <v>8.1311999999999998</v>
      </c>
      <c r="O26" s="438"/>
      <c r="P26" s="438"/>
      <c r="Q26" s="438"/>
      <c r="R26" s="438"/>
      <c r="S26" s="438"/>
    </row>
    <row r="27" spans="2:19">
      <c r="B27" s="440">
        <f t="shared" si="2"/>
        <v>15</v>
      </c>
      <c r="C27" s="440" t="s">
        <v>1384</v>
      </c>
      <c r="D27" s="440" t="s">
        <v>1400</v>
      </c>
      <c r="E27" s="440">
        <v>63</v>
      </c>
      <c r="F27" s="440">
        <v>46</v>
      </c>
      <c r="G27" s="440">
        <v>46.5</v>
      </c>
      <c r="H27" s="438">
        <f t="shared" si="0"/>
        <v>0.36299999999999999</v>
      </c>
      <c r="I27" s="438">
        <f t="shared" si="1"/>
        <v>1.0629999999999999</v>
      </c>
      <c r="J27" s="438"/>
      <c r="K27" s="438" t="s">
        <v>1888</v>
      </c>
      <c r="L27" s="442">
        <f>+G27</f>
        <v>46.5</v>
      </c>
      <c r="M27" s="442">
        <f>+H27</f>
        <v>0.36299999999999999</v>
      </c>
      <c r="N27" s="442">
        <f>+L27*M27</f>
        <v>16.8795</v>
      </c>
      <c r="O27" s="438"/>
      <c r="P27" s="438"/>
      <c r="Q27" s="438"/>
      <c r="R27" s="438"/>
      <c r="S27" s="438"/>
    </row>
    <row r="28" spans="2:19">
      <c r="B28" s="440">
        <f t="shared" si="2"/>
        <v>16</v>
      </c>
      <c r="C28" s="440" t="s">
        <v>1400</v>
      </c>
      <c r="D28" s="440" t="s">
        <v>927</v>
      </c>
      <c r="E28" s="440">
        <v>63</v>
      </c>
      <c r="F28" s="440">
        <v>17</v>
      </c>
      <c r="G28" s="440">
        <v>50.8</v>
      </c>
      <c r="H28" s="438">
        <f t="shared" si="0"/>
        <v>0.36299999999999999</v>
      </c>
      <c r="I28" s="438">
        <f t="shared" si="1"/>
        <v>1.0629999999999999</v>
      </c>
      <c r="J28" s="438"/>
      <c r="K28" s="438"/>
      <c r="L28" s="438"/>
      <c r="M28" s="438"/>
      <c r="N28" s="438"/>
      <c r="O28" s="438"/>
      <c r="P28" s="438"/>
      <c r="Q28" s="438"/>
      <c r="R28" s="438"/>
      <c r="S28" s="438"/>
    </row>
    <row r="29" spans="2:19">
      <c r="B29" s="440">
        <f t="shared" si="2"/>
        <v>17</v>
      </c>
      <c r="C29" s="440" t="s">
        <v>1400</v>
      </c>
      <c r="D29" s="440" t="s">
        <v>1298</v>
      </c>
      <c r="E29" s="440">
        <v>63</v>
      </c>
      <c r="F29" s="509">
        <v>37</v>
      </c>
      <c r="G29" s="440">
        <v>25.4</v>
      </c>
      <c r="H29" s="438">
        <f t="shared" si="0"/>
        <v>0.36299999999999999</v>
      </c>
      <c r="I29" s="438">
        <f t="shared" si="1"/>
        <v>1.0629999999999999</v>
      </c>
      <c r="J29" s="438"/>
      <c r="K29" s="438" t="s">
        <v>1888</v>
      </c>
      <c r="L29" s="442">
        <f t="shared" ref="L29:M31" si="3">+G29</f>
        <v>25.4</v>
      </c>
      <c r="M29" s="442">
        <f t="shared" si="3"/>
        <v>0.36299999999999999</v>
      </c>
      <c r="N29" s="442">
        <f>+L29*M29</f>
        <v>9.2201999999999984</v>
      </c>
      <c r="O29" s="438"/>
      <c r="P29" s="438"/>
      <c r="Q29" s="438"/>
      <c r="R29" s="438"/>
      <c r="S29" s="438"/>
    </row>
    <row r="30" spans="2:19">
      <c r="B30" s="440">
        <f t="shared" si="2"/>
        <v>18</v>
      </c>
      <c r="C30" s="440" t="s">
        <v>1400</v>
      </c>
      <c r="D30" s="440" t="s">
        <v>1298</v>
      </c>
      <c r="E30" s="440">
        <v>63</v>
      </c>
      <c r="F30" s="509"/>
      <c r="G30" s="440">
        <v>31.1</v>
      </c>
      <c r="H30" s="438">
        <f t="shared" si="0"/>
        <v>0.36299999999999999</v>
      </c>
      <c r="I30" s="438">
        <f t="shared" si="1"/>
        <v>1.0629999999999999</v>
      </c>
      <c r="J30" s="438"/>
      <c r="K30" s="438" t="s">
        <v>45</v>
      </c>
      <c r="L30" s="442">
        <f t="shared" si="3"/>
        <v>31.1</v>
      </c>
      <c r="M30" s="442">
        <f t="shared" si="3"/>
        <v>0.36299999999999999</v>
      </c>
      <c r="N30" s="442">
        <f>+L30*M30</f>
        <v>11.289300000000001</v>
      </c>
      <c r="O30" s="438"/>
      <c r="P30" s="438"/>
      <c r="Q30" s="438"/>
      <c r="R30" s="438"/>
      <c r="S30" s="438"/>
    </row>
    <row r="31" spans="2:19">
      <c r="B31" s="440">
        <f t="shared" si="2"/>
        <v>19</v>
      </c>
      <c r="C31" s="440" t="s">
        <v>1298</v>
      </c>
      <c r="D31" s="440" t="s">
        <v>1514</v>
      </c>
      <c r="E31" s="440">
        <v>63</v>
      </c>
      <c r="F31" s="440"/>
      <c r="G31" s="440">
        <v>29.2</v>
      </c>
      <c r="H31" s="438">
        <f t="shared" si="0"/>
        <v>0.36299999999999999</v>
      </c>
      <c r="I31" s="438">
        <f t="shared" si="1"/>
        <v>1.0629999999999999</v>
      </c>
      <c r="J31" s="438"/>
      <c r="K31" s="438" t="s">
        <v>45</v>
      </c>
      <c r="L31" s="442">
        <f t="shared" si="3"/>
        <v>29.2</v>
      </c>
      <c r="M31" s="442">
        <f t="shared" si="3"/>
        <v>0.36299999999999999</v>
      </c>
      <c r="N31" s="442">
        <f>+L31*M31</f>
        <v>10.599599999999999</v>
      </c>
      <c r="O31" s="438"/>
      <c r="P31" s="438"/>
      <c r="Q31" s="438"/>
      <c r="R31" s="438"/>
      <c r="S31" s="438"/>
    </row>
    <row r="32" spans="2:19">
      <c r="B32" s="440">
        <f t="shared" si="2"/>
        <v>20</v>
      </c>
      <c r="C32" s="440" t="s">
        <v>1514</v>
      </c>
      <c r="D32" s="440" t="s">
        <v>82</v>
      </c>
      <c r="E32" s="440">
        <v>63</v>
      </c>
      <c r="F32" s="509">
        <v>46</v>
      </c>
      <c r="G32" s="440">
        <v>49.9</v>
      </c>
      <c r="H32" s="438">
        <f t="shared" si="0"/>
        <v>0.36299999999999999</v>
      </c>
      <c r="I32" s="438">
        <f t="shared" si="1"/>
        <v>1.0629999999999999</v>
      </c>
      <c r="J32" s="438"/>
      <c r="K32" s="438"/>
      <c r="L32" s="438"/>
      <c r="M32" s="438"/>
      <c r="N32" s="442"/>
      <c r="O32" s="438"/>
      <c r="P32" s="438"/>
      <c r="Q32" s="438"/>
      <c r="R32" s="438"/>
      <c r="S32" s="438"/>
    </row>
    <row r="33" spans="2:19">
      <c r="B33" s="440">
        <f t="shared" si="2"/>
        <v>21</v>
      </c>
      <c r="C33" s="440" t="s">
        <v>1514</v>
      </c>
      <c r="D33" s="440" t="s">
        <v>82</v>
      </c>
      <c r="E33" s="440">
        <v>63</v>
      </c>
      <c r="F33" s="509"/>
      <c r="G33" s="440">
        <v>5.8</v>
      </c>
      <c r="H33" s="438">
        <f t="shared" si="0"/>
        <v>0.36299999999999999</v>
      </c>
      <c r="I33" s="438">
        <f t="shared" si="1"/>
        <v>1.0629999999999999</v>
      </c>
      <c r="J33" s="438"/>
      <c r="K33" s="438" t="s">
        <v>1794</v>
      </c>
      <c r="L33" s="442">
        <f>+G33</f>
        <v>5.8</v>
      </c>
      <c r="M33" s="442">
        <f>+H33</f>
        <v>0.36299999999999999</v>
      </c>
      <c r="N33" s="442">
        <f>+L33*M33</f>
        <v>2.1053999999999999</v>
      </c>
      <c r="O33" s="438"/>
      <c r="P33" s="438"/>
      <c r="Q33" s="438"/>
      <c r="R33" s="438"/>
      <c r="S33" s="438"/>
    </row>
    <row r="34" spans="2:19">
      <c r="B34" s="440">
        <f t="shared" si="2"/>
        <v>22</v>
      </c>
      <c r="C34" s="440" t="s">
        <v>82</v>
      </c>
      <c r="D34" s="440" t="s">
        <v>94</v>
      </c>
      <c r="E34" s="440">
        <v>63</v>
      </c>
      <c r="F34" s="440"/>
      <c r="G34" s="440">
        <v>19.3</v>
      </c>
      <c r="H34" s="438">
        <f t="shared" si="0"/>
        <v>0.36299999999999999</v>
      </c>
      <c r="I34" s="438">
        <f t="shared" si="1"/>
        <v>1.0629999999999999</v>
      </c>
      <c r="J34" s="438"/>
      <c r="K34" s="438"/>
      <c r="L34" s="438"/>
      <c r="M34" s="438"/>
      <c r="N34" s="438"/>
      <c r="O34" s="438"/>
      <c r="P34" s="438"/>
      <c r="Q34" s="438"/>
      <c r="R34" s="438"/>
      <c r="S34" s="438"/>
    </row>
    <row r="35" spans="2:19">
      <c r="B35" s="440">
        <f t="shared" si="2"/>
        <v>23</v>
      </c>
      <c r="C35" s="440" t="s">
        <v>94</v>
      </c>
      <c r="D35" s="440" t="s">
        <v>137</v>
      </c>
      <c r="E35" s="440">
        <v>63</v>
      </c>
      <c r="F35" s="440">
        <v>13</v>
      </c>
      <c r="G35" s="440">
        <v>10.3</v>
      </c>
      <c r="H35" s="438">
        <f t="shared" si="0"/>
        <v>0.36299999999999999</v>
      </c>
      <c r="I35" s="438">
        <f t="shared" si="1"/>
        <v>1.0629999999999999</v>
      </c>
      <c r="J35" s="438"/>
      <c r="K35" s="438"/>
      <c r="L35" s="438"/>
      <c r="M35" s="438"/>
      <c r="N35" s="438"/>
      <c r="O35" s="438"/>
      <c r="P35" s="438"/>
      <c r="Q35" s="438"/>
      <c r="R35" s="438"/>
      <c r="S35" s="438"/>
    </row>
    <row r="36" spans="2:19">
      <c r="B36" s="440">
        <f t="shared" si="2"/>
        <v>24</v>
      </c>
      <c r="C36" s="440" t="s">
        <v>82</v>
      </c>
      <c r="D36" s="440" t="s">
        <v>80</v>
      </c>
      <c r="E36" s="440">
        <v>63</v>
      </c>
      <c r="F36" s="440">
        <v>21</v>
      </c>
      <c r="G36" s="440">
        <v>24</v>
      </c>
      <c r="H36" s="438">
        <f t="shared" si="0"/>
        <v>0.36299999999999999</v>
      </c>
      <c r="I36" s="438">
        <f t="shared" si="1"/>
        <v>1.0629999999999999</v>
      </c>
      <c r="J36" s="438"/>
      <c r="K36" s="438"/>
      <c r="L36" s="438"/>
      <c r="M36" s="438"/>
      <c r="N36" s="438"/>
      <c r="O36" s="438"/>
      <c r="P36" s="438"/>
      <c r="Q36" s="438"/>
      <c r="R36" s="438"/>
      <c r="S36" s="438"/>
    </row>
    <row r="37" spans="2:19">
      <c r="B37" s="440">
        <f t="shared" si="2"/>
        <v>25</v>
      </c>
      <c r="C37" s="440" t="s">
        <v>82</v>
      </c>
      <c r="D37" s="440" t="s">
        <v>80</v>
      </c>
      <c r="E37" s="440">
        <v>63</v>
      </c>
      <c r="F37" s="440"/>
      <c r="G37" s="440">
        <v>2</v>
      </c>
      <c r="H37" s="438">
        <f t="shared" si="0"/>
        <v>0.36299999999999999</v>
      </c>
      <c r="I37" s="438">
        <f t="shared" si="1"/>
        <v>1.0629999999999999</v>
      </c>
      <c r="J37" s="438"/>
      <c r="K37" s="438" t="s">
        <v>1794</v>
      </c>
      <c r="L37" s="442">
        <f>+G37</f>
        <v>2</v>
      </c>
      <c r="M37" s="442">
        <f>+H37</f>
        <v>0.36299999999999999</v>
      </c>
      <c r="N37" s="442">
        <f>+L37*M37</f>
        <v>0.72599999999999998</v>
      </c>
      <c r="O37" s="438"/>
      <c r="P37" s="438"/>
      <c r="Q37" s="438"/>
      <c r="R37" s="438"/>
      <c r="S37" s="438"/>
    </row>
    <row r="38" spans="2:19">
      <c r="B38" s="440">
        <f t="shared" si="2"/>
        <v>26</v>
      </c>
      <c r="C38" s="440" t="s">
        <v>80</v>
      </c>
      <c r="D38" s="440" t="s">
        <v>1515</v>
      </c>
      <c r="E38" s="440">
        <v>63</v>
      </c>
      <c r="F38" s="440"/>
      <c r="G38" s="440">
        <v>64.400000000000006</v>
      </c>
      <c r="H38" s="438">
        <f t="shared" si="0"/>
        <v>0.36299999999999999</v>
      </c>
      <c r="I38" s="438">
        <f t="shared" si="1"/>
        <v>1.0629999999999999</v>
      </c>
      <c r="J38" s="438"/>
      <c r="K38" s="438"/>
      <c r="L38" s="438"/>
      <c r="M38" s="438"/>
      <c r="N38" s="438"/>
      <c r="O38" s="438"/>
      <c r="P38" s="438"/>
      <c r="Q38" s="438"/>
      <c r="R38" s="438"/>
      <c r="S38" s="438"/>
    </row>
    <row r="39" spans="2:19">
      <c r="B39" s="440">
        <f t="shared" si="2"/>
        <v>27</v>
      </c>
      <c r="C39" s="440" t="s">
        <v>80</v>
      </c>
      <c r="D39" s="440" t="s">
        <v>76</v>
      </c>
      <c r="E39" s="440">
        <v>63</v>
      </c>
      <c r="F39" s="440">
        <v>128</v>
      </c>
      <c r="G39" s="440">
        <v>126.1</v>
      </c>
      <c r="H39" s="438">
        <f t="shared" si="0"/>
        <v>0.36299999999999999</v>
      </c>
      <c r="I39" s="438">
        <f t="shared" si="1"/>
        <v>1.0629999999999999</v>
      </c>
      <c r="J39" s="438"/>
      <c r="K39" s="438"/>
      <c r="L39" s="438"/>
      <c r="M39" s="438"/>
      <c r="N39" s="438"/>
      <c r="O39" s="438"/>
      <c r="P39" s="438"/>
      <c r="Q39" s="438"/>
      <c r="R39" s="438"/>
      <c r="S39" s="438"/>
    </row>
    <row r="40" spans="2:19">
      <c r="B40" s="440">
        <f t="shared" si="2"/>
        <v>28</v>
      </c>
      <c r="C40" s="440" t="s">
        <v>76</v>
      </c>
      <c r="D40" s="440" t="s">
        <v>77</v>
      </c>
      <c r="E40" s="440">
        <v>63</v>
      </c>
      <c r="F40" s="440">
        <v>46</v>
      </c>
      <c r="G40" s="440">
        <v>49.9</v>
      </c>
      <c r="H40" s="438">
        <f t="shared" si="0"/>
        <v>0.36299999999999999</v>
      </c>
      <c r="I40" s="438">
        <f t="shared" si="1"/>
        <v>1.0629999999999999</v>
      </c>
      <c r="J40" s="438"/>
      <c r="K40" s="438"/>
      <c r="L40" s="438"/>
      <c r="M40" s="438"/>
      <c r="N40" s="438"/>
      <c r="O40" s="438"/>
      <c r="P40" s="438"/>
      <c r="Q40" s="438"/>
      <c r="R40" s="438"/>
      <c r="S40" s="438"/>
    </row>
    <row r="41" spans="2:19">
      <c r="B41" s="440">
        <f t="shared" si="2"/>
        <v>29</v>
      </c>
      <c r="C41" s="440" t="s">
        <v>77</v>
      </c>
      <c r="D41" s="440" t="s">
        <v>1892</v>
      </c>
      <c r="E41" s="440">
        <v>63</v>
      </c>
      <c r="F41" s="440"/>
      <c r="G41" s="440">
        <v>3.8</v>
      </c>
      <c r="H41" s="438">
        <f t="shared" si="0"/>
        <v>0.36299999999999999</v>
      </c>
      <c r="I41" s="438">
        <f t="shared" si="1"/>
        <v>1.0629999999999999</v>
      </c>
      <c r="J41" s="438"/>
      <c r="K41" s="438" t="s">
        <v>45</v>
      </c>
      <c r="L41" s="442">
        <f>+G41</f>
        <v>3.8</v>
      </c>
      <c r="M41" s="442">
        <f>+H41</f>
        <v>0.36299999999999999</v>
      </c>
      <c r="N41" s="442">
        <f>+L41*M41</f>
        <v>1.3794</v>
      </c>
      <c r="O41" s="438"/>
      <c r="P41" s="438"/>
      <c r="Q41" s="438"/>
      <c r="R41" s="438"/>
      <c r="S41" s="438"/>
    </row>
    <row r="42" spans="2:19">
      <c r="B42" s="440">
        <f t="shared" si="2"/>
        <v>30</v>
      </c>
      <c r="C42" s="440" t="s">
        <v>77</v>
      </c>
      <c r="D42" s="440" t="s">
        <v>96</v>
      </c>
      <c r="E42" s="440">
        <v>63</v>
      </c>
      <c r="F42" s="440">
        <v>121</v>
      </c>
      <c r="G42" s="440">
        <v>111.5</v>
      </c>
      <c r="H42" s="438">
        <f t="shared" si="0"/>
        <v>0.36299999999999999</v>
      </c>
      <c r="I42" s="438">
        <f t="shared" si="1"/>
        <v>1.0629999999999999</v>
      </c>
      <c r="J42" s="438"/>
      <c r="K42" s="438"/>
      <c r="L42" s="438"/>
      <c r="M42" s="438"/>
      <c r="N42" s="438"/>
      <c r="O42" s="438"/>
      <c r="P42" s="438"/>
      <c r="Q42" s="438"/>
      <c r="R42" s="438"/>
      <c r="S42" s="438"/>
    </row>
    <row r="43" spans="2:19">
      <c r="B43" s="440">
        <f t="shared" si="2"/>
        <v>31</v>
      </c>
      <c r="C43" s="440" t="s">
        <v>96</v>
      </c>
      <c r="D43" s="440" t="s">
        <v>1312</v>
      </c>
      <c r="E43" s="440">
        <v>63</v>
      </c>
      <c r="F43" s="440">
        <v>28</v>
      </c>
      <c r="G43" s="440">
        <v>20.7</v>
      </c>
      <c r="H43" s="438">
        <f t="shared" si="0"/>
        <v>0.36299999999999999</v>
      </c>
      <c r="I43" s="438">
        <f t="shared" si="1"/>
        <v>1.0629999999999999</v>
      </c>
      <c r="J43" s="438"/>
      <c r="K43" s="438"/>
      <c r="L43" s="438"/>
      <c r="M43" s="438"/>
      <c r="N43" s="438"/>
      <c r="O43" s="438"/>
      <c r="P43" s="438"/>
      <c r="Q43" s="438"/>
      <c r="R43" s="438"/>
      <c r="S43" s="438"/>
    </row>
    <row r="44" spans="2:19">
      <c r="B44" s="440">
        <f t="shared" si="2"/>
        <v>32</v>
      </c>
      <c r="C44" s="440" t="s">
        <v>83</v>
      </c>
      <c r="D44" s="440" t="s">
        <v>96</v>
      </c>
      <c r="E44" s="440">
        <v>63</v>
      </c>
      <c r="F44" s="440">
        <v>37</v>
      </c>
      <c r="G44" s="440">
        <v>46.3</v>
      </c>
      <c r="H44" s="438">
        <f t="shared" si="0"/>
        <v>0.36299999999999999</v>
      </c>
      <c r="I44" s="438">
        <f t="shared" si="1"/>
        <v>1.0629999999999999</v>
      </c>
      <c r="J44" s="438"/>
      <c r="K44" s="438"/>
      <c r="L44" s="438"/>
      <c r="M44" s="438"/>
      <c r="N44" s="438"/>
      <c r="O44" s="438"/>
      <c r="P44" s="438"/>
      <c r="Q44" s="438"/>
      <c r="R44" s="438"/>
      <c r="S44" s="438"/>
    </row>
    <row r="45" spans="2:19">
      <c r="B45" s="440">
        <f t="shared" si="2"/>
        <v>33</v>
      </c>
      <c r="C45" s="440" t="s">
        <v>77</v>
      </c>
      <c r="D45" s="440" t="s">
        <v>1352</v>
      </c>
      <c r="E45" s="440">
        <v>63</v>
      </c>
      <c r="F45" s="440">
        <v>130</v>
      </c>
      <c r="G45" s="440">
        <v>125.6</v>
      </c>
      <c r="H45" s="438">
        <f t="shared" si="0"/>
        <v>0.36299999999999999</v>
      </c>
      <c r="I45" s="438">
        <f t="shared" si="1"/>
        <v>1.0629999999999999</v>
      </c>
      <c r="J45" s="438"/>
      <c r="K45" s="438"/>
      <c r="L45" s="438"/>
      <c r="M45" s="438"/>
      <c r="N45" s="438"/>
      <c r="O45" s="438"/>
      <c r="P45" s="438"/>
      <c r="Q45" s="438"/>
      <c r="R45" s="438"/>
      <c r="S45" s="438"/>
    </row>
    <row r="46" spans="2:19">
      <c r="B46" s="440">
        <f t="shared" si="2"/>
        <v>34</v>
      </c>
      <c r="C46" s="440" t="s">
        <v>1352</v>
      </c>
      <c r="D46" s="440" t="s">
        <v>88</v>
      </c>
      <c r="E46" s="440">
        <v>63</v>
      </c>
      <c r="F46" s="440"/>
      <c r="G46" s="440">
        <v>7</v>
      </c>
      <c r="H46" s="438">
        <f t="shared" si="0"/>
        <v>0.36299999999999999</v>
      </c>
      <c r="I46" s="438">
        <f t="shared" si="1"/>
        <v>1.0629999999999999</v>
      </c>
      <c r="J46" s="438"/>
      <c r="K46" s="438"/>
      <c r="L46" s="438"/>
      <c r="M46" s="438"/>
      <c r="N46" s="438"/>
      <c r="O46" s="438"/>
      <c r="P46" s="438"/>
      <c r="Q46" s="438"/>
      <c r="R46" s="438"/>
      <c r="S46" s="438"/>
    </row>
    <row r="47" spans="2:19">
      <c r="B47" s="440">
        <f t="shared" si="2"/>
        <v>35</v>
      </c>
      <c r="C47" s="440" t="s">
        <v>1352</v>
      </c>
      <c r="D47" s="440" t="s">
        <v>1380</v>
      </c>
      <c r="E47" s="440">
        <v>63</v>
      </c>
      <c r="F47" s="440">
        <f>111+83</f>
        <v>194</v>
      </c>
      <c r="G47" s="440">
        <v>188</v>
      </c>
      <c r="H47" s="438">
        <f t="shared" si="0"/>
        <v>0.36299999999999999</v>
      </c>
      <c r="I47" s="438">
        <f t="shared" si="1"/>
        <v>1.0629999999999999</v>
      </c>
      <c r="J47" s="438"/>
      <c r="K47" s="438"/>
      <c r="L47" s="438"/>
      <c r="M47" s="438"/>
      <c r="N47" s="438"/>
      <c r="O47" s="438"/>
      <c r="P47" s="438"/>
      <c r="Q47" s="438"/>
      <c r="R47" s="438"/>
      <c r="S47" s="438"/>
    </row>
    <row r="48" spans="2:19">
      <c r="B48" s="440">
        <f t="shared" si="2"/>
        <v>36</v>
      </c>
      <c r="C48" s="440" t="s">
        <v>1352</v>
      </c>
      <c r="D48" s="440" t="s">
        <v>1238</v>
      </c>
      <c r="E48" s="440">
        <v>75</v>
      </c>
      <c r="F48" s="440">
        <v>180</v>
      </c>
      <c r="G48" s="440">
        <v>174.7</v>
      </c>
      <c r="H48" s="438">
        <f t="shared" si="0"/>
        <v>0.375</v>
      </c>
      <c r="I48" s="438">
        <f t="shared" si="1"/>
        <v>1.075</v>
      </c>
      <c r="J48" s="438"/>
      <c r="K48" s="438"/>
      <c r="L48" s="438"/>
      <c r="M48" s="438"/>
      <c r="N48" s="438"/>
      <c r="O48" s="438"/>
      <c r="P48" s="438"/>
      <c r="Q48" s="438"/>
      <c r="R48" s="438"/>
      <c r="S48" s="438"/>
    </row>
    <row r="49" spans="2:19">
      <c r="B49" s="440">
        <f t="shared" si="2"/>
        <v>37</v>
      </c>
      <c r="C49" s="440" t="s">
        <v>1238</v>
      </c>
      <c r="D49" s="440" t="s">
        <v>1893</v>
      </c>
      <c r="E49" s="440">
        <v>75</v>
      </c>
      <c r="F49" s="440"/>
      <c r="G49" s="440">
        <v>9</v>
      </c>
      <c r="H49" s="438">
        <f t="shared" si="0"/>
        <v>0.375</v>
      </c>
      <c r="I49" s="438">
        <f t="shared" si="1"/>
        <v>1.075</v>
      </c>
      <c r="J49" s="438"/>
      <c r="K49" s="438" t="s">
        <v>1794</v>
      </c>
      <c r="L49" s="442">
        <f>+G49</f>
        <v>9</v>
      </c>
      <c r="M49" s="442">
        <f>+H49</f>
        <v>0.375</v>
      </c>
      <c r="N49" s="442">
        <f>+L49*M49</f>
        <v>3.375</v>
      </c>
      <c r="O49" s="438"/>
      <c r="P49" s="438"/>
      <c r="Q49" s="438"/>
      <c r="R49" s="438"/>
      <c r="S49" s="438"/>
    </row>
    <row r="50" spans="2:19">
      <c r="B50" s="440">
        <f t="shared" si="2"/>
        <v>38</v>
      </c>
      <c r="C50" s="440" t="s">
        <v>1238</v>
      </c>
      <c r="D50" s="440" t="s">
        <v>49</v>
      </c>
      <c r="E50" s="440">
        <v>75</v>
      </c>
      <c r="F50" s="440"/>
      <c r="G50" s="440">
        <v>8.1999999999999993</v>
      </c>
      <c r="H50" s="438">
        <f t="shared" si="0"/>
        <v>0.375</v>
      </c>
      <c r="I50" s="438">
        <f t="shared" si="1"/>
        <v>1.075</v>
      </c>
      <c r="J50" s="438"/>
      <c r="K50" s="438" t="s">
        <v>1794</v>
      </c>
      <c r="L50" s="442">
        <f>+G50</f>
        <v>8.1999999999999993</v>
      </c>
      <c r="M50" s="442">
        <f>+H50</f>
        <v>0.375</v>
      </c>
      <c r="N50" s="442">
        <f>+L50*M50</f>
        <v>3.0749999999999997</v>
      </c>
      <c r="O50" s="438"/>
      <c r="P50" s="438"/>
      <c r="Q50" s="438"/>
      <c r="R50" s="438"/>
      <c r="S50" s="438"/>
    </row>
    <row r="51" spans="2:19">
      <c r="B51" s="440">
        <f t="shared" si="2"/>
        <v>39</v>
      </c>
      <c r="C51" s="440" t="s">
        <v>1238</v>
      </c>
      <c r="D51" s="440" t="s">
        <v>49</v>
      </c>
      <c r="E51" s="440">
        <v>75</v>
      </c>
      <c r="F51" s="440">
        <v>125</v>
      </c>
      <c r="G51" s="440">
        <v>125</v>
      </c>
      <c r="H51" s="438">
        <f t="shared" si="0"/>
        <v>0.375</v>
      </c>
      <c r="I51" s="438">
        <f t="shared" si="1"/>
        <v>1.075</v>
      </c>
      <c r="J51" s="438"/>
      <c r="K51" s="438"/>
      <c r="L51" s="438"/>
      <c r="M51" s="438"/>
      <c r="N51" s="438"/>
      <c r="O51" s="438"/>
      <c r="P51" s="438"/>
      <c r="Q51" s="438"/>
      <c r="R51" s="438"/>
      <c r="S51" s="438"/>
    </row>
    <row r="52" spans="2:19">
      <c r="B52" s="440">
        <f t="shared" si="2"/>
        <v>40</v>
      </c>
      <c r="C52" s="440" t="s">
        <v>49</v>
      </c>
      <c r="D52" s="440" t="s">
        <v>77</v>
      </c>
      <c r="E52" s="440">
        <v>63</v>
      </c>
      <c r="F52" s="440">
        <v>198</v>
      </c>
      <c r="G52" s="440">
        <v>198</v>
      </c>
      <c r="H52" s="438">
        <f t="shared" si="0"/>
        <v>0.36299999999999999</v>
      </c>
      <c r="I52" s="438">
        <f t="shared" si="1"/>
        <v>1.0629999999999999</v>
      </c>
      <c r="J52" s="438"/>
      <c r="K52" s="438"/>
      <c r="L52" s="438"/>
      <c r="M52" s="438"/>
      <c r="N52" s="438"/>
      <c r="O52" s="438"/>
      <c r="P52" s="438"/>
      <c r="Q52" s="438"/>
      <c r="R52" s="438"/>
      <c r="S52" s="438"/>
    </row>
    <row r="53" spans="2:19">
      <c r="B53" s="440">
        <f t="shared" si="2"/>
        <v>41</v>
      </c>
      <c r="C53" s="440" t="s">
        <v>77</v>
      </c>
      <c r="D53" s="440" t="s">
        <v>1892</v>
      </c>
      <c r="E53" s="440">
        <v>63</v>
      </c>
      <c r="F53" s="440"/>
      <c r="G53" s="440">
        <v>6.5</v>
      </c>
      <c r="H53" s="438">
        <f t="shared" si="0"/>
        <v>0.36299999999999999</v>
      </c>
      <c r="I53" s="438">
        <f t="shared" si="1"/>
        <v>1.0629999999999999</v>
      </c>
      <c r="J53" s="438"/>
      <c r="K53" s="438" t="s">
        <v>1794</v>
      </c>
      <c r="L53" s="442">
        <f>+G53</f>
        <v>6.5</v>
      </c>
      <c r="M53" s="442">
        <f>+H53</f>
        <v>0.36299999999999999</v>
      </c>
      <c r="N53" s="442">
        <f>+L53*M53</f>
        <v>2.3594999999999997</v>
      </c>
      <c r="O53" s="438"/>
      <c r="P53" s="438"/>
      <c r="Q53" s="438"/>
      <c r="R53" s="438"/>
      <c r="S53" s="438"/>
    </row>
    <row r="54" spans="2:19">
      <c r="B54" s="440">
        <f t="shared" si="2"/>
        <v>42</v>
      </c>
      <c r="C54" s="440" t="s">
        <v>49</v>
      </c>
      <c r="D54" s="440" t="s">
        <v>61</v>
      </c>
      <c r="E54" s="440">
        <v>63</v>
      </c>
      <c r="F54" s="440">
        <v>51</v>
      </c>
      <c r="G54" s="440">
        <v>53</v>
      </c>
      <c r="H54" s="438">
        <f t="shared" si="0"/>
        <v>0.36299999999999999</v>
      </c>
      <c r="I54" s="438">
        <f t="shared" si="1"/>
        <v>1.0629999999999999</v>
      </c>
      <c r="J54" s="438"/>
      <c r="K54" s="438"/>
      <c r="L54" s="438"/>
      <c r="M54" s="438"/>
      <c r="N54" s="438"/>
      <c r="O54" s="438"/>
      <c r="P54" s="438"/>
      <c r="Q54" s="438"/>
      <c r="R54" s="438"/>
      <c r="S54" s="438"/>
    </row>
    <row r="55" spans="2:19">
      <c r="B55" s="440">
        <f t="shared" si="2"/>
        <v>43</v>
      </c>
      <c r="C55" s="440" t="s">
        <v>61</v>
      </c>
      <c r="D55" s="440" t="s">
        <v>1237</v>
      </c>
      <c r="E55" s="440">
        <v>63</v>
      </c>
      <c r="F55" s="509">
        <v>98</v>
      </c>
      <c r="G55" s="440">
        <v>59</v>
      </c>
      <c r="H55" s="438">
        <f t="shared" si="0"/>
        <v>0.36299999999999999</v>
      </c>
      <c r="I55" s="438">
        <f t="shared" si="1"/>
        <v>1.0629999999999999</v>
      </c>
      <c r="J55" s="438"/>
      <c r="K55" s="438"/>
      <c r="L55" s="438"/>
      <c r="M55" s="438"/>
      <c r="N55" s="438"/>
      <c r="O55" s="438"/>
      <c r="P55" s="438"/>
      <c r="Q55" s="438"/>
      <c r="R55" s="438"/>
      <c r="S55" s="438"/>
    </row>
    <row r="56" spans="2:19">
      <c r="B56" s="440">
        <f t="shared" si="2"/>
        <v>44</v>
      </c>
      <c r="C56" s="440" t="s">
        <v>61</v>
      </c>
      <c r="D56" s="440" t="s">
        <v>1237</v>
      </c>
      <c r="E56" s="440">
        <v>63</v>
      </c>
      <c r="F56" s="509"/>
      <c r="G56" s="440">
        <v>3</v>
      </c>
      <c r="H56" s="438">
        <f t="shared" si="0"/>
        <v>0.36299999999999999</v>
      </c>
      <c r="I56" s="438">
        <f t="shared" si="1"/>
        <v>1.0629999999999999</v>
      </c>
      <c r="J56" s="438"/>
      <c r="K56" s="438" t="s">
        <v>1794</v>
      </c>
      <c r="L56" s="442">
        <f>+G56</f>
        <v>3</v>
      </c>
      <c r="M56" s="442">
        <f>+H56</f>
        <v>0.36299999999999999</v>
      </c>
      <c r="N56" s="442">
        <f>+L56*M56</f>
        <v>1.089</v>
      </c>
      <c r="O56" s="438"/>
      <c r="P56" s="438"/>
      <c r="Q56" s="438"/>
      <c r="R56" s="438"/>
      <c r="S56" s="438"/>
    </row>
    <row r="57" spans="2:19">
      <c r="B57" s="440">
        <f t="shared" si="2"/>
        <v>45</v>
      </c>
      <c r="C57" s="440" t="s">
        <v>61</v>
      </c>
      <c r="D57" s="440" t="s">
        <v>840</v>
      </c>
      <c r="E57" s="440">
        <v>63</v>
      </c>
      <c r="F57" s="509">
        <v>76</v>
      </c>
      <c r="G57" s="440">
        <v>80.3</v>
      </c>
      <c r="H57" s="438">
        <f t="shared" si="0"/>
        <v>0.36299999999999999</v>
      </c>
      <c r="I57" s="438">
        <f t="shared" si="1"/>
        <v>1.0629999999999999</v>
      </c>
      <c r="J57" s="438"/>
      <c r="K57" s="438"/>
      <c r="L57" s="438"/>
      <c r="M57" s="438"/>
      <c r="N57" s="438"/>
      <c r="O57" s="438"/>
      <c r="P57" s="438"/>
      <c r="Q57" s="438"/>
      <c r="R57" s="438"/>
      <c r="S57" s="438"/>
    </row>
    <row r="58" spans="2:19">
      <c r="B58" s="440">
        <f t="shared" si="2"/>
        <v>46</v>
      </c>
      <c r="C58" s="440" t="s">
        <v>840</v>
      </c>
      <c r="D58" s="440" t="s">
        <v>40</v>
      </c>
      <c r="E58" s="440">
        <v>63</v>
      </c>
      <c r="F58" s="509"/>
      <c r="G58" s="440">
        <v>2.5</v>
      </c>
      <c r="H58" s="438">
        <f t="shared" si="0"/>
        <v>0.36299999999999999</v>
      </c>
      <c r="I58" s="438">
        <f t="shared" si="1"/>
        <v>1.0629999999999999</v>
      </c>
      <c r="J58" s="438"/>
      <c r="K58" s="438"/>
      <c r="L58" s="438"/>
      <c r="M58" s="438"/>
      <c r="N58" s="438"/>
      <c r="O58" s="438"/>
      <c r="P58" s="438"/>
      <c r="Q58" s="438"/>
      <c r="R58" s="438"/>
      <c r="S58" s="438"/>
    </row>
    <row r="59" spans="2:19">
      <c r="B59" s="440">
        <f t="shared" si="2"/>
        <v>47</v>
      </c>
      <c r="C59" s="440" t="s">
        <v>840</v>
      </c>
      <c r="D59" s="440" t="s">
        <v>40</v>
      </c>
      <c r="E59" s="440">
        <v>63</v>
      </c>
      <c r="F59" s="440">
        <v>118</v>
      </c>
      <c r="G59" s="440">
        <v>124.3</v>
      </c>
      <c r="H59" s="438">
        <f t="shared" si="0"/>
        <v>0.36299999999999999</v>
      </c>
      <c r="I59" s="438">
        <f t="shared" si="1"/>
        <v>1.0629999999999999</v>
      </c>
      <c r="J59" s="438"/>
      <c r="K59" s="438" t="s">
        <v>1894</v>
      </c>
      <c r="L59" s="442">
        <f>+G59</f>
        <v>124.3</v>
      </c>
      <c r="M59" s="442">
        <f>+H59</f>
        <v>0.36299999999999999</v>
      </c>
      <c r="N59" s="442">
        <f>+L59*M59</f>
        <v>45.120899999999999</v>
      </c>
      <c r="O59" s="438"/>
      <c r="P59" s="438"/>
      <c r="Q59" s="438"/>
      <c r="R59" s="438"/>
      <c r="S59" s="438"/>
    </row>
    <row r="60" spans="2:19">
      <c r="B60" s="440">
        <f t="shared" si="2"/>
        <v>48</v>
      </c>
      <c r="C60" s="440" t="s">
        <v>840</v>
      </c>
      <c r="D60" s="440" t="s">
        <v>104</v>
      </c>
      <c r="E60" s="440">
        <v>63</v>
      </c>
      <c r="F60" s="440">
        <v>429</v>
      </c>
      <c r="G60" s="440">
        <v>421.1</v>
      </c>
      <c r="H60" s="438">
        <f t="shared" si="0"/>
        <v>0.36299999999999999</v>
      </c>
      <c r="I60" s="438">
        <f t="shared" si="1"/>
        <v>1.0629999999999999</v>
      </c>
      <c r="J60" s="438"/>
      <c r="K60" s="438"/>
      <c r="L60" s="438"/>
      <c r="M60" s="438"/>
      <c r="N60" s="438"/>
      <c r="O60" s="438"/>
      <c r="P60" s="438"/>
      <c r="Q60" s="438"/>
      <c r="R60" s="438"/>
      <c r="S60" s="438"/>
    </row>
    <row r="61" spans="2:19">
      <c r="B61" s="440">
        <f t="shared" si="2"/>
        <v>49</v>
      </c>
      <c r="C61" s="440" t="s">
        <v>1238</v>
      </c>
      <c r="D61" s="440" t="s">
        <v>130</v>
      </c>
      <c r="E61" s="440">
        <v>63</v>
      </c>
      <c r="F61" s="440">
        <v>556</v>
      </c>
      <c r="G61" s="440">
        <v>542.4</v>
      </c>
      <c r="H61" s="438">
        <f t="shared" si="0"/>
        <v>0.36299999999999999</v>
      </c>
      <c r="I61" s="438">
        <f t="shared" si="1"/>
        <v>1.0629999999999999</v>
      </c>
      <c r="J61" s="438"/>
      <c r="K61" s="438"/>
      <c r="L61" s="438"/>
      <c r="M61" s="438"/>
      <c r="N61" s="438"/>
      <c r="O61" s="438"/>
      <c r="P61" s="438"/>
      <c r="Q61" s="438"/>
      <c r="R61" s="438"/>
      <c r="S61" s="438"/>
    </row>
    <row r="62" spans="2:19">
      <c r="B62" s="440">
        <f t="shared" si="2"/>
        <v>50</v>
      </c>
      <c r="C62" s="440" t="s">
        <v>130</v>
      </c>
      <c r="D62" s="440" t="s">
        <v>1895</v>
      </c>
      <c r="E62" s="440">
        <v>63</v>
      </c>
      <c r="F62" s="440"/>
      <c r="G62" s="440">
        <v>7</v>
      </c>
      <c r="H62" s="438">
        <f t="shared" si="0"/>
        <v>0.36299999999999999</v>
      </c>
      <c r="I62" s="438">
        <f t="shared" si="1"/>
        <v>1.0629999999999999</v>
      </c>
      <c r="J62" s="438"/>
      <c r="K62" s="438" t="s">
        <v>1888</v>
      </c>
      <c r="L62" s="442">
        <f>+G62</f>
        <v>7</v>
      </c>
      <c r="M62" s="442">
        <f>+H62</f>
        <v>0.36299999999999999</v>
      </c>
      <c r="N62" s="442">
        <f>+L62*M62</f>
        <v>2.5409999999999999</v>
      </c>
      <c r="O62" s="438"/>
      <c r="P62" s="438"/>
      <c r="Q62" s="438"/>
      <c r="R62" s="438"/>
      <c r="S62" s="438"/>
    </row>
    <row r="63" spans="2:19">
      <c r="B63" s="440">
        <f t="shared" si="2"/>
        <v>51</v>
      </c>
      <c r="C63" s="440" t="s">
        <v>130</v>
      </c>
      <c r="D63" s="440" t="s">
        <v>127</v>
      </c>
      <c r="E63" s="440">
        <v>63</v>
      </c>
      <c r="F63" s="440">
        <v>87</v>
      </c>
      <c r="G63" s="440">
        <v>95.8</v>
      </c>
      <c r="H63" s="438">
        <f t="shared" si="0"/>
        <v>0.36299999999999999</v>
      </c>
      <c r="I63" s="438">
        <f t="shared" si="1"/>
        <v>1.0629999999999999</v>
      </c>
      <c r="J63" s="438"/>
      <c r="K63" s="438"/>
      <c r="L63" s="438"/>
      <c r="M63" s="438"/>
      <c r="N63" s="438"/>
      <c r="O63" s="438"/>
      <c r="P63" s="438"/>
      <c r="Q63" s="438"/>
      <c r="R63" s="438"/>
      <c r="S63" s="438"/>
    </row>
    <row r="64" spans="2:19">
      <c r="B64" s="440">
        <f t="shared" si="2"/>
        <v>52</v>
      </c>
      <c r="C64" s="440" t="s">
        <v>127</v>
      </c>
      <c r="D64" s="440" t="s">
        <v>1896</v>
      </c>
      <c r="E64" s="440">
        <v>63</v>
      </c>
      <c r="F64" s="440"/>
      <c r="G64" s="440">
        <v>3</v>
      </c>
      <c r="H64" s="438">
        <f t="shared" si="0"/>
        <v>0.36299999999999999</v>
      </c>
      <c r="I64" s="438">
        <f t="shared" si="1"/>
        <v>1.0629999999999999</v>
      </c>
      <c r="J64" s="438"/>
      <c r="K64" s="438" t="s">
        <v>2009</v>
      </c>
      <c r="L64" s="442">
        <f>+G64</f>
        <v>3</v>
      </c>
      <c r="M64" s="442">
        <f>+H64</f>
        <v>0.36299999999999999</v>
      </c>
      <c r="N64" s="442">
        <f>+L64*M64</f>
        <v>1.089</v>
      </c>
      <c r="O64" s="438"/>
      <c r="P64" s="438"/>
      <c r="Q64" s="438"/>
      <c r="R64" s="438"/>
      <c r="S64" s="438"/>
    </row>
    <row r="65" spans="2:19">
      <c r="B65" s="440">
        <f t="shared" si="2"/>
        <v>53</v>
      </c>
      <c r="C65" s="440" t="s">
        <v>127</v>
      </c>
      <c r="D65" s="440" t="s">
        <v>911</v>
      </c>
      <c r="E65" s="440">
        <v>63</v>
      </c>
      <c r="F65" s="440">
        <v>78</v>
      </c>
      <c r="G65" s="440">
        <v>75.099999999999994</v>
      </c>
      <c r="H65" s="438">
        <f t="shared" si="0"/>
        <v>0.36299999999999999</v>
      </c>
      <c r="I65" s="438">
        <f t="shared" si="1"/>
        <v>1.0629999999999999</v>
      </c>
      <c r="J65" s="438"/>
      <c r="K65" s="438"/>
      <c r="L65" s="438"/>
      <c r="M65" s="438"/>
      <c r="N65" s="438"/>
      <c r="O65" s="438"/>
      <c r="P65" s="438"/>
      <c r="Q65" s="438"/>
      <c r="R65" s="438"/>
      <c r="S65" s="438"/>
    </row>
    <row r="66" spans="2:19">
      <c r="B66" s="440">
        <f t="shared" si="2"/>
        <v>54</v>
      </c>
      <c r="C66" s="440" t="s">
        <v>911</v>
      </c>
      <c r="D66" s="440" t="s">
        <v>129</v>
      </c>
      <c r="E66" s="440">
        <v>63</v>
      </c>
      <c r="F66" s="440">
        <v>56</v>
      </c>
      <c r="G66" s="440">
        <v>62.4</v>
      </c>
      <c r="H66" s="438">
        <f t="shared" si="0"/>
        <v>0.36299999999999999</v>
      </c>
      <c r="I66" s="438">
        <f t="shared" si="1"/>
        <v>1.0629999999999999</v>
      </c>
      <c r="J66" s="438"/>
      <c r="K66" s="438"/>
      <c r="L66" s="438"/>
      <c r="M66" s="438"/>
      <c r="N66" s="438"/>
      <c r="O66" s="438"/>
      <c r="P66" s="438"/>
      <c r="Q66" s="438"/>
      <c r="R66" s="438"/>
      <c r="S66" s="438"/>
    </row>
    <row r="67" spans="2:19">
      <c r="B67" s="440">
        <f t="shared" si="2"/>
        <v>55</v>
      </c>
      <c r="C67" s="440" t="s">
        <v>129</v>
      </c>
      <c r="D67" s="440" t="s">
        <v>132</v>
      </c>
      <c r="E67" s="440">
        <v>63</v>
      </c>
      <c r="F67" s="440">
        <v>23</v>
      </c>
      <c r="G67" s="440">
        <v>71</v>
      </c>
      <c r="H67" s="438">
        <f t="shared" si="0"/>
        <v>0.36299999999999999</v>
      </c>
      <c r="I67" s="438">
        <f t="shared" si="1"/>
        <v>1.0629999999999999</v>
      </c>
      <c r="J67" s="438"/>
      <c r="K67" s="438"/>
      <c r="L67" s="438"/>
      <c r="M67" s="438"/>
      <c r="N67" s="438"/>
      <c r="O67" s="438"/>
      <c r="P67" s="438"/>
      <c r="Q67" s="438"/>
      <c r="R67" s="438"/>
      <c r="S67" s="438"/>
    </row>
    <row r="68" spans="2:19">
      <c r="B68" s="440">
        <f t="shared" si="2"/>
        <v>56</v>
      </c>
      <c r="C68" s="440" t="s">
        <v>129</v>
      </c>
      <c r="D68" s="440" t="s">
        <v>833</v>
      </c>
      <c r="E68" s="440">
        <v>63</v>
      </c>
      <c r="F68" s="440">
        <v>81</v>
      </c>
      <c r="G68" s="440">
        <v>71.5</v>
      </c>
      <c r="H68" s="438">
        <f t="shared" si="0"/>
        <v>0.36299999999999999</v>
      </c>
      <c r="I68" s="438">
        <f t="shared" si="1"/>
        <v>1.0629999999999999</v>
      </c>
      <c r="J68" s="438"/>
      <c r="K68" s="438"/>
      <c r="L68" s="438"/>
      <c r="M68" s="438"/>
      <c r="N68" s="438"/>
      <c r="O68" s="438"/>
      <c r="P68" s="438"/>
      <c r="Q68" s="438"/>
      <c r="R68" s="438"/>
      <c r="S68" s="438"/>
    </row>
    <row r="69" spans="2:19">
      <c r="B69" s="440">
        <f t="shared" si="2"/>
        <v>57</v>
      </c>
      <c r="C69" s="440" t="s">
        <v>833</v>
      </c>
      <c r="D69" s="440" t="s">
        <v>126</v>
      </c>
      <c r="E69" s="440">
        <v>63</v>
      </c>
      <c r="F69" s="440">
        <v>74</v>
      </c>
      <c r="G69" s="440">
        <v>74.3</v>
      </c>
      <c r="H69" s="438">
        <f t="shared" si="0"/>
        <v>0.36299999999999999</v>
      </c>
      <c r="I69" s="438">
        <f t="shared" si="1"/>
        <v>1.0629999999999999</v>
      </c>
      <c r="J69" s="438"/>
      <c r="K69" s="438"/>
      <c r="L69" s="438"/>
      <c r="M69" s="438"/>
      <c r="N69" s="438"/>
      <c r="O69" s="438"/>
      <c r="P69" s="438"/>
      <c r="Q69" s="438"/>
      <c r="R69" s="438"/>
      <c r="S69" s="438"/>
    </row>
    <row r="70" spans="2:19">
      <c r="B70" s="440">
        <f t="shared" si="2"/>
        <v>58</v>
      </c>
      <c r="C70" s="440" t="s">
        <v>833</v>
      </c>
      <c r="D70" s="440" t="s">
        <v>125</v>
      </c>
      <c r="E70" s="440">
        <v>63</v>
      </c>
      <c r="F70" s="440">
        <v>50</v>
      </c>
      <c r="G70" s="440">
        <v>50.3</v>
      </c>
      <c r="H70" s="438">
        <f t="shared" si="0"/>
        <v>0.36299999999999999</v>
      </c>
      <c r="I70" s="438">
        <f t="shared" si="1"/>
        <v>1.0629999999999999</v>
      </c>
      <c r="J70" s="438"/>
      <c r="K70" s="438"/>
      <c r="L70" s="438"/>
      <c r="M70" s="438"/>
      <c r="N70" s="438"/>
      <c r="O70" s="438"/>
      <c r="P70" s="438"/>
      <c r="Q70" s="438"/>
      <c r="R70" s="438"/>
      <c r="S70" s="438"/>
    </row>
    <row r="71" spans="2:19">
      <c r="B71" s="440">
        <f t="shared" si="2"/>
        <v>59</v>
      </c>
      <c r="C71" s="440" t="s">
        <v>125</v>
      </c>
      <c r="D71" s="440" t="s">
        <v>124</v>
      </c>
      <c r="E71" s="440">
        <v>63</v>
      </c>
      <c r="F71" s="440">
        <v>88</v>
      </c>
      <c r="G71" s="440">
        <v>87.3</v>
      </c>
      <c r="H71" s="438">
        <f t="shared" si="0"/>
        <v>0.36299999999999999</v>
      </c>
      <c r="I71" s="438">
        <f t="shared" si="1"/>
        <v>1.0629999999999999</v>
      </c>
      <c r="J71" s="438"/>
      <c r="K71" s="438"/>
      <c r="L71" s="438"/>
      <c r="M71" s="438"/>
      <c r="N71" s="438"/>
      <c r="O71" s="438"/>
      <c r="P71" s="438"/>
      <c r="Q71" s="438"/>
      <c r="R71" s="438"/>
      <c r="S71" s="438"/>
    </row>
    <row r="72" spans="2:19">
      <c r="B72" s="440">
        <f t="shared" si="2"/>
        <v>60</v>
      </c>
      <c r="C72" s="440" t="s">
        <v>127</v>
      </c>
      <c r="D72" s="440" t="s">
        <v>75</v>
      </c>
      <c r="E72" s="440">
        <v>63</v>
      </c>
      <c r="F72" s="440">
        <v>143</v>
      </c>
      <c r="G72" s="440">
        <v>138.69999999999999</v>
      </c>
      <c r="H72" s="438">
        <f t="shared" si="0"/>
        <v>0.36299999999999999</v>
      </c>
      <c r="I72" s="438">
        <f t="shared" si="1"/>
        <v>1.0629999999999999</v>
      </c>
      <c r="J72" s="438"/>
      <c r="K72" s="438"/>
      <c r="L72" s="438"/>
      <c r="M72" s="438"/>
      <c r="N72" s="438"/>
      <c r="O72" s="438"/>
      <c r="P72" s="438"/>
      <c r="Q72" s="438"/>
      <c r="R72" s="438"/>
      <c r="S72" s="438"/>
    </row>
    <row r="73" spans="2:19">
      <c r="B73" s="440">
        <f t="shared" si="2"/>
        <v>61</v>
      </c>
      <c r="C73" s="440" t="s">
        <v>75</v>
      </c>
      <c r="D73" s="440" t="s">
        <v>834</v>
      </c>
      <c r="E73" s="440">
        <v>63</v>
      </c>
      <c r="F73" s="440">
        <v>28</v>
      </c>
      <c r="G73" s="440">
        <v>61.1</v>
      </c>
      <c r="H73" s="438">
        <f t="shared" si="0"/>
        <v>0.36299999999999999</v>
      </c>
      <c r="I73" s="438">
        <f t="shared" si="1"/>
        <v>1.0629999999999999</v>
      </c>
      <c r="J73" s="438"/>
      <c r="K73" s="438"/>
      <c r="L73" s="438"/>
      <c r="M73" s="438"/>
      <c r="N73" s="438"/>
      <c r="O73" s="438"/>
      <c r="P73" s="438"/>
      <c r="Q73" s="438"/>
      <c r="R73" s="438"/>
      <c r="S73" s="438"/>
    </row>
    <row r="74" spans="2:19">
      <c r="B74" s="440">
        <f t="shared" si="2"/>
        <v>62</v>
      </c>
      <c r="C74" s="440" t="s">
        <v>75</v>
      </c>
      <c r="D74" s="440" t="s">
        <v>89</v>
      </c>
      <c r="E74" s="440">
        <v>63</v>
      </c>
      <c r="F74" s="440">
        <v>139</v>
      </c>
      <c r="G74" s="440">
        <v>141.6</v>
      </c>
      <c r="H74" s="438">
        <f t="shared" si="0"/>
        <v>0.36299999999999999</v>
      </c>
      <c r="I74" s="438">
        <f t="shared" si="1"/>
        <v>1.0629999999999999</v>
      </c>
      <c r="J74" s="438"/>
      <c r="K74" s="438"/>
      <c r="L74" s="438"/>
      <c r="M74" s="438"/>
      <c r="N74" s="438"/>
      <c r="O74" s="438"/>
      <c r="P74" s="438"/>
      <c r="Q74" s="438"/>
      <c r="R74" s="438"/>
      <c r="S74" s="438"/>
    </row>
    <row r="75" spans="2:19">
      <c r="B75" s="440">
        <f t="shared" si="2"/>
        <v>63</v>
      </c>
      <c r="C75" s="440" t="s">
        <v>130</v>
      </c>
      <c r="D75" s="440" t="s">
        <v>1331</v>
      </c>
      <c r="E75" s="440">
        <v>63</v>
      </c>
      <c r="F75" s="440">
        <v>192</v>
      </c>
      <c r="G75" s="440">
        <v>196.3</v>
      </c>
      <c r="H75" s="438">
        <f t="shared" si="0"/>
        <v>0.36299999999999999</v>
      </c>
      <c r="I75" s="438">
        <f t="shared" si="1"/>
        <v>1.0629999999999999</v>
      </c>
      <c r="J75" s="438"/>
      <c r="K75" s="438"/>
      <c r="L75" s="438"/>
      <c r="M75" s="438"/>
      <c r="N75" s="438"/>
      <c r="O75" s="438"/>
      <c r="P75" s="438"/>
      <c r="Q75" s="438"/>
      <c r="R75" s="438"/>
      <c r="S75" s="438"/>
    </row>
    <row r="76" spans="2:19">
      <c r="B76" s="440">
        <f t="shared" si="2"/>
        <v>64</v>
      </c>
      <c r="C76" s="440" t="s">
        <v>1331</v>
      </c>
      <c r="D76" s="440" t="s">
        <v>71</v>
      </c>
      <c r="E76" s="440">
        <v>63</v>
      </c>
      <c r="F76" s="440"/>
      <c r="G76" s="440">
        <v>3.6</v>
      </c>
      <c r="H76" s="438">
        <f t="shared" si="0"/>
        <v>0.36299999999999999</v>
      </c>
      <c r="I76" s="438">
        <f t="shared" si="1"/>
        <v>1.0629999999999999</v>
      </c>
      <c r="J76" s="438"/>
      <c r="K76" s="438" t="s">
        <v>1897</v>
      </c>
      <c r="L76" s="442">
        <f>+G76</f>
        <v>3.6</v>
      </c>
      <c r="M76" s="442">
        <f>+H76</f>
        <v>0.36299999999999999</v>
      </c>
      <c r="N76" s="442">
        <f>+L76*M76</f>
        <v>1.3068</v>
      </c>
      <c r="O76" s="438"/>
      <c r="P76" s="438"/>
      <c r="Q76" s="438"/>
      <c r="R76" s="438"/>
      <c r="S76" s="438"/>
    </row>
    <row r="77" spans="2:19">
      <c r="B77" s="440">
        <f t="shared" si="2"/>
        <v>65</v>
      </c>
      <c r="C77" s="440" t="s">
        <v>1331</v>
      </c>
      <c r="D77" s="440" t="s">
        <v>71</v>
      </c>
      <c r="E77" s="440">
        <v>63</v>
      </c>
      <c r="F77" s="440">
        <v>94</v>
      </c>
      <c r="G77" s="440">
        <v>89.9</v>
      </c>
      <c r="H77" s="438">
        <f t="shared" si="0"/>
        <v>0.36299999999999999</v>
      </c>
      <c r="I77" s="438">
        <f t="shared" si="1"/>
        <v>1.0629999999999999</v>
      </c>
      <c r="J77" s="438"/>
      <c r="K77" s="438"/>
      <c r="L77" s="438"/>
      <c r="M77" s="438"/>
      <c r="N77" s="438"/>
      <c r="O77" s="438"/>
      <c r="P77" s="438"/>
      <c r="Q77" s="438"/>
      <c r="R77" s="438"/>
      <c r="S77" s="438"/>
    </row>
    <row r="78" spans="2:19">
      <c r="B78" s="440">
        <f t="shared" si="2"/>
        <v>66</v>
      </c>
      <c r="C78" s="440" t="s">
        <v>71</v>
      </c>
      <c r="D78" s="440" t="s">
        <v>131</v>
      </c>
      <c r="E78" s="440">
        <v>63</v>
      </c>
      <c r="F78" s="440">
        <v>64</v>
      </c>
      <c r="G78" s="440">
        <v>67.3</v>
      </c>
      <c r="H78" s="438">
        <f t="shared" ref="H78:H141" si="4">E78/1000+0.3</f>
        <v>0.36299999999999999</v>
      </c>
      <c r="I78" s="438">
        <f t="shared" ref="I78:I141" si="5">E78/1000+1</f>
        <v>1.0629999999999999</v>
      </c>
      <c r="J78" s="438"/>
      <c r="K78" s="438"/>
      <c r="L78" s="438"/>
      <c r="M78" s="438"/>
      <c r="N78" s="438"/>
      <c r="O78" s="438"/>
      <c r="P78" s="438"/>
      <c r="Q78" s="438"/>
      <c r="R78" s="438"/>
      <c r="S78" s="438"/>
    </row>
    <row r="79" spans="2:19">
      <c r="B79" s="440">
        <f t="shared" ref="B79:B142" si="6">1+B78</f>
        <v>67</v>
      </c>
      <c r="C79" s="440" t="s">
        <v>1331</v>
      </c>
      <c r="D79" s="440" t="s">
        <v>376</v>
      </c>
      <c r="E79" s="440">
        <v>63</v>
      </c>
      <c r="F79" s="440">
        <v>170</v>
      </c>
      <c r="G79" s="440">
        <v>168.6</v>
      </c>
      <c r="H79" s="438">
        <f t="shared" si="4"/>
        <v>0.36299999999999999</v>
      </c>
      <c r="I79" s="438">
        <f t="shared" si="5"/>
        <v>1.0629999999999999</v>
      </c>
      <c r="J79" s="438"/>
      <c r="K79" s="438"/>
      <c r="L79" s="438"/>
      <c r="M79" s="438"/>
      <c r="N79" s="438"/>
      <c r="O79" s="438"/>
      <c r="P79" s="438"/>
      <c r="Q79" s="438"/>
      <c r="R79" s="438"/>
      <c r="S79" s="438"/>
    </row>
    <row r="80" spans="2:19">
      <c r="B80" s="440">
        <f t="shared" si="6"/>
        <v>68</v>
      </c>
      <c r="C80" s="440" t="s">
        <v>376</v>
      </c>
      <c r="D80" s="440" t="s">
        <v>724</v>
      </c>
      <c r="E80" s="440">
        <v>63</v>
      </c>
      <c r="F80" s="440">
        <v>114</v>
      </c>
      <c r="G80" s="440">
        <v>107.2</v>
      </c>
      <c r="H80" s="438">
        <f t="shared" si="4"/>
        <v>0.36299999999999999</v>
      </c>
      <c r="I80" s="438">
        <f t="shared" si="5"/>
        <v>1.0629999999999999</v>
      </c>
      <c r="J80" s="438"/>
      <c r="K80" s="438"/>
      <c r="L80" s="438"/>
      <c r="M80" s="438"/>
      <c r="N80" s="438"/>
      <c r="O80" s="438"/>
      <c r="P80" s="438"/>
      <c r="Q80" s="438"/>
      <c r="R80" s="438"/>
      <c r="S80" s="438"/>
    </row>
    <row r="81" spans="2:19">
      <c r="B81" s="440">
        <f t="shared" si="6"/>
        <v>69</v>
      </c>
      <c r="C81" s="440" t="s">
        <v>376</v>
      </c>
      <c r="D81" s="440" t="s">
        <v>724</v>
      </c>
      <c r="E81" s="440">
        <v>63</v>
      </c>
      <c r="F81" s="440"/>
      <c r="G81" s="440">
        <v>3.2</v>
      </c>
      <c r="H81" s="438">
        <f t="shared" si="4"/>
        <v>0.36299999999999999</v>
      </c>
      <c r="I81" s="438">
        <f t="shared" si="5"/>
        <v>1.0629999999999999</v>
      </c>
      <c r="J81" s="438"/>
      <c r="K81" s="438" t="s">
        <v>1897</v>
      </c>
      <c r="L81" s="442">
        <f>+G81</f>
        <v>3.2</v>
      </c>
      <c r="M81" s="442">
        <f>+H81</f>
        <v>0.36299999999999999</v>
      </c>
      <c r="N81" s="442">
        <f>+L81*M81</f>
        <v>1.1616</v>
      </c>
      <c r="O81" s="438"/>
      <c r="P81" s="438"/>
      <c r="Q81" s="438"/>
      <c r="R81" s="438"/>
      <c r="S81" s="438"/>
    </row>
    <row r="82" spans="2:19">
      <c r="B82" s="440">
        <f t="shared" si="6"/>
        <v>70</v>
      </c>
      <c r="C82" s="440" t="s">
        <v>724</v>
      </c>
      <c r="D82" s="440" t="s">
        <v>108</v>
      </c>
      <c r="E82" s="440">
        <v>63</v>
      </c>
      <c r="F82" s="440">
        <v>108</v>
      </c>
      <c r="G82" s="440">
        <v>76.099999999999994</v>
      </c>
      <c r="H82" s="438">
        <f t="shared" si="4"/>
        <v>0.36299999999999999</v>
      </c>
      <c r="I82" s="438">
        <f t="shared" si="5"/>
        <v>1.0629999999999999</v>
      </c>
      <c r="J82" s="438"/>
      <c r="K82" s="438"/>
      <c r="L82" s="438"/>
      <c r="M82" s="438"/>
      <c r="N82" s="438"/>
      <c r="O82" s="438"/>
      <c r="P82" s="438"/>
      <c r="Q82" s="438"/>
      <c r="R82" s="438"/>
      <c r="S82" s="438"/>
    </row>
    <row r="83" spans="2:19">
      <c r="B83" s="440">
        <f t="shared" si="6"/>
        <v>71</v>
      </c>
      <c r="C83" s="440" t="s">
        <v>108</v>
      </c>
      <c r="D83" s="440" t="s">
        <v>47</v>
      </c>
      <c r="E83" s="440">
        <v>63</v>
      </c>
      <c r="F83" s="440">
        <v>16</v>
      </c>
      <c r="G83" s="440">
        <v>53.7</v>
      </c>
      <c r="H83" s="438">
        <f t="shared" si="4"/>
        <v>0.36299999999999999</v>
      </c>
      <c r="I83" s="438">
        <f t="shared" si="5"/>
        <v>1.0629999999999999</v>
      </c>
      <c r="J83" s="438"/>
      <c r="K83" s="438"/>
      <c r="L83" s="438"/>
      <c r="M83" s="438"/>
      <c r="N83" s="438"/>
      <c r="O83" s="438"/>
      <c r="P83" s="438"/>
      <c r="Q83" s="438"/>
      <c r="R83" s="438"/>
      <c r="S83" s="438"/>
    </row>
    <row r="84" spans="2:19">
      <c r="B84" s="440">
        <f t="shared" si="6"/>
        <v>72</v>
      </c>
      <c r="C84" s="440" t="s">
        <v>724</v>
      </c>
      <c r="D84" s="440" t="s">
        <v>56</v>
      </c>
      <c r="E84" s="440">
        <v>63</v>
      </c>
      <c r="F84" s="440">
        <v>340</v>
      </c>
      <c r="G84" s="440">
        <v>344.5</v>
      </c>
      <c r="H84" s="438">
        <f t="shared" si="4"/>
        <v>0.36299999999999999</v>
      </c>
      <c r="I84" s="438">
        <f t="shared" si="5"/>
        <v>1.0629999999999999</v>
      </c>
      <c r="J84" s="438"/>
      <c r="K84" s="438"/>
      <c r="L84" s="438"/>
      <c r="M84" s="438"/>
      <c r="N84" s="438"/>
      <c r="O84" s="438"/>
      <c r="P84" s="438"/>
      <c r="Q84" s="438"/>
      <c r="R84" s="438"/>
      <c r="S84" s="438"/>
    </row>
    <row r="85" spans="2:19">
      <c r="B85" s="440">
        <f t="shared" si="6"/>
        <v>73</v>
      </c>
      <c r="C85" s="440" t="s">
        <v>56</v>
      </c>
      <c r="D85" s="440" t="s">
        <v>52</v>
      </c>
      <c r="E85" s="440">
        <v>63</v>
      </c>
      <c r="F85" s="440">
        <v>258</v>
      </c>
      <c r="G85" s="440">
        <v>249</v>
      </c>
      <c r="H85" s="438">
        <f t="shared" si="4"/>
        <v>0.36299999999999999</v>
      </c>
      <c r="I85" s="438">
        <f t="shared" si="5"/>
        <v>1.0629999999999999</v>
      </c>
      <c r="J85" s="438"/>
      <c r="K85" s="438"/>
      <c r="L85" s="438"/>
      <c r="M85" s="438"/>
      <c r="N85" s="438"/>
      <c r="O85" s="438"/>
      <c r="P85" s="438"/>
      <c r="Q85" s="438"/>
      <c r="R85" s="438"/>
      <c r="S85" s="438"/>
    </row>
    <row r="86" spans="2:19">
      <c r="B86" s="440">
        <f t="shared" si="6"/>
        <v>74</v>
      </c>
      <c r="C86" s="440" t="s">
        <v>52</v>
      </c>
      <c r="D86" s="440" t="s">
        <v>53</v>
      </c>
      <c r="E86" s="440">
        <v>63</v>
      </c>
      <c r="F86" s="440"/>
      <c r="G86" s="440">
        <v>31.5</v>
      </c>
      <c r="H86" s="438">
        <f t="shared" si="4"/>
        <v>0.36299999999999999</v>
      </c>
      <c r="I86" s="438">
        <f t="shared" si="5"/>
        <v>1.0629999999999999</v>
      </c>
      <c r="J86" s="438"/>
      <c r="K86" s="438"/>
      <c r="L86" s="438"/>
      <c r="M86" s="438"/>
      <c r="N86" s="438"/>
      <c r="O86" s="438"/>
      <c r="P86" s="438"/>
      <c r="Q86" s="438"/>
      <c r="R86" s="438"/>
      <c r="S86" s="438"/>
    </row>
    <row r="87" spans="2:19">
      <c r="B87" s="440">
        <f t="shared" si="6"/>
        <v>75</v>
      </c>
      <c r="C87" s="440">
        <v>130</v>
      </c>
      <c r="D87" s="440">
        <v>127</v>
      </c>
      <c r="E87" s="440">
        <v>63</v>
      </c>
      <c r="F87" s="440">
        <v>166</v>
      </c>
      <c r="G87" s="440">
        <v>276.10000000000002</v>
      </c>
      <c r="H87" s="438">
        <f t="shared" si="4"/>
        <v>0.36299999999999999</v>
      </c>
      <c r="I87" s="438">
        <f t="shared" si="5"/>
        <v>1.0629999999999999</v>
      </c>
      <c r="J87" s="438"/>
      <c r="K87" s="438"/>
      <c r="L87" s="438"/>
      <c r="M87" s="438"/>
      <c r="N87" s="438"/>
      <c r="O87" s="438"/>
      <c r="P87" s="438"/>
      <c r="Q87" s="438"/>
      <c r="R87" s="438"/>
      <c r="S87" s="438"/>
    </row>
    <row r="88" spans="2:19">
      <c r="B88" s="440">
        <f t="shared" si="6"/>
        <v>76</v>
      </c>
      <c r="C88" s="440">
        <v>127</v>
      </c>
      <c r="D88" s="440">
        <v>121</v>
      </c>
      <c r="E88" s="440">
        <v>63</v>
      </c>
      <c r="F88" s="440"/>
      <c r="G88" s="440">
        <v>24.6</v>
      </c>
      <c r="H88" s="438">
        <f t="shared" si="4"/>
        <v>0.36299999999999999</v>
      </c>
      <c r="I88" s="438">
        <f t="shared" si="5"/>
        <v>1.0629999999999999</v>
      </c>
      <c r="J88" s="438"/>
      <c r="K88" s="438" t="s">
        <v>45</v>
      </c>
      <c r="L88" s="442">
        <f>+G88</f>
        <v>24.6</v>
      </c>
      <c r="M88" s="442">
        <f>+H88</f>
        <v>0.36299999999999999</v>
      </c>
      <c r="N88" s="442">
        <f>+L88*M88</f>
        <v>8.9298000000000002</v>
      </c>
      <c r="O88" s="438"/>
      <c r="P88" s="438"/>
      <c r="Q88" s="438"/>
      <c r="R88" s="438"/>
      <c r="S88" s="438"/>
    </row>
    <row r="89" spans="2:19">
      <c r="B89" s="440">
        <f t="shared" si="6"/>
        <v>77</v>
      </c>
      <c r="C89" s="440" t="s">
        <v>1898</v>
      </c>
      <c r="D89" s="440" t="s">
        <v>1899</v>
      </c>
      <c r="E89" s="440">
        <v>63</v>
      </c>
      <c r="F89" s="440"/>
      <c r="G89" s="440">
        <v>13.9</v>
      </c>
      <c r="H89" s="438">
        <f t="shared" si="4"/>
        <v>0.36299999999999999</v>
      </c>
      <c r="I89" s="438">
        <f t="shared" si="5"/>
        <v>1.0629999999999999</v>
      </c>
      <c r="J89" s="438"/>
      <c r="K89" s="438"/>
      <c r="L89" s="438"/>
      <c r="M89" s="438"/>
      <c r="N89" s="438"/>
      <c r="O89" s="438"/>
      <c r="P89" s="438"/>
      <c r="Q89" s="438"/>
      <c r="R89" s="438"/>
      <c r="S89" s="438"/>
    </row>
    <row r="90" spans="2:19">
      <c r="B90" s="440">
        <f t="shared" si="6"/>
        <v>78</v>
      </c>
      <c r="C90" s="440" t="s">
        <v>1898</v>
      </c>
      <c r="D90" s="440" t="s">
        <v>731</v>
      </c>
      <c r="E90" s="440">
        <v>63</v>
      </c>
      <c r="F90" s="440">
        <v>20</v>
      </c>
      <c r="G90" s="440">
        <v>23.2</v>
      </c>
      <c r="H90" s="438">
        <f t="shared" si="4"/>
        <v>0.36299999999999999</v>
      </c>
      <c r="I90" s="438">
        <f t="shared" si="5"/>
        <v>1.0629999999999999</v>
      </c>
      <c r="J90" s="438"/>
      <c r="K90" s="438"/>
      <c r="L90" s="438"/>
      <c r="M90" s="438"/>
      <c r="N90" s="438"/>
      <c r="O90" s="438"/>
      <c r="P90" s="438"/>
      <c r="Q90" s="438"/>
      <c r="R90" s="438"/>
      <c r="S90" s="438"/>
    </row>
    <row r="91" spans="2:19">
      <c r="B91" s="440">
        <f t="shared" si="6"/>
        <v>79</v>
      </c>
      <c r="C91" s="440" t="s">
        <v>731</v>
      </c>
      <c r="D91" s="440" t="s">
        <v>930</v>
      </c>
      <c r="E91" s="440">
        <v>63</v>
      </c>
      <c r="F91" s="440">
        <v>37</v>
      </c>
      <c r="G91" s="440">
        <v>34.799999999999997</v>
      </c>
      <c r="H91" s="438">
        <f t="shared" si="4"/>
        <v>0.36299999999999999</v>
      </c>
      <c r="I91" s="438">
        <f t="shared" si="5"/>
        <v>1.0629999999999999</v>
      </c>
      <c r="J91" s="438"/>
      <c r="K91" s="438"/>
      <c r="L91" s="438"/>
      <c r="M91" s="438"/>
      <c r="N91" s="438"/>
      <c r="O91" s="438"/>
      <c r="P91" s="438"/>
      <c r="Q91" s="438"/>
      <c r="R91" s="438"/>
      <c r="S91" s="438"/>
    </row>
    <row r="92" spans="2:19">
      <c r="B92" s="440">
        <f t="shared" si="6"/>
        <v>80</v>
      </c>
      <c r="C92" s="440" t="s">
        <v>731</v>
      </c>
      <c r="D92" s="440" t="s">
        <v>60</v>
      </c>
      <c r="E92" s="440">
        <v>63</v>
      </c>
      <c r="F92" s="509">
        <v>118</v>
      </c>
      <c r="G92" s="440">
        <v>16.3</v>
      </c>
      <c r="H92" s="438">
        <f t="shared" si="4"/>
        <v>0.36299999999999999</v>
      </c>
      <c r="I92" s="438">
        <f t="shared" si="5"/>
        <v>1.0629999999999999</v>
      </c>
      <c r="J92" s="438"/>
      <c r="K92" s="438" t="s">
        <v>45</v>
      </c>
      <c r="L92" s="442">
        <f>+G92</f>
        <v>16.3</v>
      </c>
      <c r="M92" s="442">
        <f>+H92</f>
        <v>0.36299999999999999</v>
      </c>
      <c r="N92" s="442">
        <f>+L92*M92</f>
        <v>5.9169</v>
      </c>
      <c r="O92" s="438"/>
      <c r="P92" s="438"/>
      <c r="Q92" s="438"/>
      <c r="R92" s="438"/>
      <c r="S92" s="438"/>
    </row>
    <row r="93" spans="2:19">
      <c r="B93" s="440">
        <f t="shared" si="6"/>
        <v>81</v>
      </c>
      <c r="C93" s="440" t="s">
        <v>731</v>
      </c>
      <c r="D93" s="440" t="s">
        <v>50</v>
      </c>
      <c r="E93" s="440">
        <v>63</v>
      </c>
      <c r="F93" s="509"/>
      <c r="G93" s="440">
        <v>74.400000000000006</v>
      </c>
      <c r="H93" s="438">
        <f t="shared" si="4"/>
        <v>0.36299999999999999</v>
      </c>
      <c r="I93" s="438">
        <f t="shared" si="5"/>
        <v>1.0629999999999999</v>
      </c>
      <c r="J93" s="438"/>
      <c r="K93" s="438"/>
      <c r="L93" s="438"/>
      <c r="M93" s="438"/>
      <c r="N93" s="438"/>
      <c r="O93" s="438"/>
      <c r="P93" s="438"/>
      <c r="Q93" s="438"/>
      <c r="R93" s="438"/>
      <c r="S93" s="438"/>
    </row>
    <row r="94" spans="2:19">
      <c r="B94" s="440">
        <f t="shared" si="6"/>
        <v>82</v>
      </c>
      <c r="C94" s="440" t="s">
        <v>731</v>
      </c>
      <c r="D94" s="440" t="s">
        <v>50</v>
      </c>
      <c r="E94" s="440">
        <v>63</v>
      </c>
      <c r="F94" s="440"/>
      <c r="G94" s="440">
        <v>29.1</v>
      </c>
      <c r="H94" s="438">
        <f t="shared" si="4"/>
        <v>0.36299999999999999</v>
      </c>
      <c r="I94" s="438">
        <f t="shared" si="5"/>
        <v>1.0629999999999999</v>
      </c>
      <c r="J94" s="438"/>
      <c r="K94" s="438" t="s">
        <v>45</v>
      </c>
      <c r="L94" s="442">
        <f>+G94</f>
        <v>29.1</v>
      </c>
      <c r="M94" s="442">
        <f>+H94</f>
        <v>0.36299999999999999</v>
      </c>
      <c r="N94" s="442">
        <f>+L94*M94</f>
        <v>10.5633</v>
      </c>
      <c r="O94" s="438"/>
      <c r="P94" s="438"/>
      <c r="Q94" s="438"/>
      <c r="R94" s="438"/>
      <c r="S94" s="438"/>
    </row>
    <row r="95" spans="2:19">
      <c r="B95" s="440">
        <f t="shared" si="6"/>
        <v>83</v>
      </c>
      <c r="C95" s="440" t="s">
        <v>50</v>
      </c>
      <c r="D95" s="440" t="s">
        <v>55</v>
      </c>
      <c r="E95" s="440">
        <v>63</v>
      </c>
      <c r="F95" s="440">
        <v>38</v>
      </c>
      <c r="G95" s="440">
        <v>37</v>
      </c>
      <c r="H95" s="438">
        <f t="shared" si="4"/>
        <v>0.36299999999999999</v>
      </c>
      <c r="I95" s="438">
        <f t="shared" si="5"/>
        <v>1.0629999999999999</v>
      </c>
      <c r="J95" s="438"/>
      <c r="K95" s="438" t="s">
        <v>45</v>
      </c>
      <c r="L95" s="442">
        <f>+G95</f>
        <v>37</v>
      </c>
      <c r="M95" s="442">
        <f>+H95</f>
        <v>0.36299999999999999</v>
      </c>
      <c r="N95" s="442">
        <f>+L95*M95</f>
        <v>13.430999999999999</v>
      </c>
      <c r="O95" s="438"/>
      <c r="P95" s="438"/>
      <c r="Q95" s="438"/>
      <c r="R95" s="438"/>
      <c r="S95" s="438"/>
    </row>
    <row r="96" spans="2:19">
      <c r="B96" s="440">
        <f t="shared" si="6"/>
        <v>84</v>
      </c>
      <c r="C96" s="440" t="s">
        <v>55</v>
      </c>
      <c r="D96" s="440" t="s">
        <v>838</v>
      </c>
      <c r="E96" s="440">
        <v>63</v>
      </c>
      <c r="F96" s="440">
        <v>118</v>
      </c>
      <c r="G96" s="440">
        <v>125.1</v>
      </c>
      <c r="H96" s="438">
        <f t="shared" si="4"/>
        <v>0.36299999999999999</v>
      </c>
      <c r="I96" s="438">
        <f t="shared" si="5"/>
        <v>1.0629999999999999</v>
      </c>
      <c r="J96" s="438"/>
      <c r="K96" s="438"/>
      <c r="L96" s="438"/>
      <c r="M96" s="438"/>
      <c r="N96" s="438"/>
      <c r="O96" s="438"/>
      <c r="P96" s="438"/>
      <c r="Q96" s="438"/>
      <c r="R96" s="438"/>
      <c r="S96" s="438"/>
    </row>
    <row r="97" spans="2:19">
      <c r="B97" s="440">
        <f t="shared" si="6"/>
        <v>85</v>
      </c>
      <c r="C97" s="440" t="s">
        <v>50</v>
      </c>
      <c r="D97" s="440" t="s">
        <v>844</v>
      </c>
      <c r="E97" s="440">
        <v>63</v>
      </c>
      <c r="F97" s="440">
        <v>27</v>
      </c>
      <c r="G97" s="440">
        <v>21.9</v>
      </c>
      <c r="H97" s="438">
        <f t="shared" si="4"/>
        <v>0.36299999999999999</v>
      </c>
      <c r="I97" s="438">
        <f t="shared" si="5"/>
        <v>1.0629999999999999</v>
      </c>
      <c r="J97" s="438"/>
      <c r="K97" s="438"/>
      <c r="L97" s="438"/>
      <c r="M97" s="438"/>
      <c r="N97" s="438"/>
      <c r="O97" s="438"/>
      <c r="P97" s="438"/>
      <c r="Q97" s="438"/>
      <c r="R97" s="438"/>
      <c r="S97" s="438"/>
    </row>
    <row r="98" spans="2:19">
      <c r="B98" s="440">
        <f t="shared" si="6"/>
        <v>86</v>
      </c>
      <c r="C98" s="440" t="s">
        <v>844</v>
      </c>
      <c r="D98" s="440" t="s">
        <v>60</v>
      </c>
      <c r="E98" s="440">
        <v>63</v>
      </c>
      <c r="F98" s="440">
        <v>24</v>
      </c>
      <c r="G98" s="440">
        <v>23.7</v>
      </c>
      <c r="H98" s="438">
        <f t="shared" si="4"/>
        <v>0.36299999999999999</v>
      </c>
      <c r="I98" s="438">
        <f t="shared" si="5"/>
        <v>1.0629999999999999</v>
      </c>
      <c r="J98" s="438"/>
      <c r="K98" s="438"/>
      <c r="L98" s="438"/>
      <c r="M98" s="438"/>
      <c r="N98" s="438"/>
      <c r="O98" s="438"/>
      <c r="P98" s="438"/>
      <c r="Q98" s="438"/>
      <c r="R98" s="438"/>
      <c r="S98" s="438"/>
    </row>
    <row r="99" spans="2:19">
      <c r="B99" s="440">
        <f t="shared" si="6"/>
        <v>87</v>
      </c>
      <c r="C99" s="440" t="s">
        <v>48</v>
      </c>
      <c r="D99" s="440" t="s">
        <v>48</v>
      </c>
      <c r="E99" s="440">
        <v>63</v>
      </c>
      <c r="F99" s="440">
        <v>89</v>
      </c>
      <c r="G99" s="440">
        <v>72.400000000000006</v>
      </c>
      <c r="H99" s="438">
        <f t="shared" si="4"/>
        <v>0.36299999999999999</v>
      </c>
      <c r="I99" s="438">
        <f t="shared" si="5"/>
        <v>1.0629999999999999</v>
      </c>
      <c r="J99" s="438"/>
      <c r="K99" s="438"/>
      <c r="L99" s="438"/>
      <c r="M99" s="438"/>
      <c r="N99" s="438"/>
      <c r="O99" s="438"/>
      <c r="P99" s="438"/>
      <c r="Q99" s="438"/>
      <c r="R99" s="438"/>
      <c r="S99" s="438"/>
    </row>
    <row r="100" spans="2:19">
      <c r="B100" s="440">
        <f t="shared" si="6"/>
        <v>88</v>
      </c>
      <c r="C100" s="440" t="s">
        <v>60</v>
      </c>
      <c r="D100" s="440" t="s">
        <v>1168</v>
      </c>
      <c r="E100" s="440">
        <v>63</v>
      </c>
      <c r="F100" s="440">
        <v>17</v>
      </c>
      <c r="G100" s="440">
        <v>17.899999999999999</v>
      </c>
      <c r="H100" s="438">
        <f t="shared" si="4"/>
        <v>0.36299999999999999</v>
      </c>
      <c r="I100" s="438">
        <f t="shared" si="5"/>
        <v>1.0629999999999999</v>
      </c>
      <c r="J100" s="438"/>
      <c r="K100" s="438" t="s">
        <v>45</v>
      </c>
      <c r="L100" s="442">
        <f>+G100</f>
        <v>17.899999999999999</v>
      </c>
      <c r="M100" s="442">
        <f>+H100</f>
        <v>0.36299999999999999</v>
      </c>
      <c r="N100" s="442">
        <f>+L100*M100</f>
        <v>6.4976999999999991</v>
      </c>
      <c r="O100" s="438"/>
      <c r="P100" s="438"/>
      <c r="Q100" s="438"/>
      <c r="R100" s="438"/>
      <c r="S100" s="438"/>
    </row>
    <row r="101" spans="2:19">
      <c r="B101" s="440">
        <f t="shared" si="6"/>
        <v>89</v>
      </c>
      <c r="C101" s="440" t="s">
        <v>1168</v>
      </c>
      <c r="D101" s="440" t="s">
        <v>732</v>
      </c>
      <c r="E101" s="440">
        <v>63</v>
      </c>
      <c r="F101" s="440"/>
      <c r="G101" s="440">
        <v>57.6</v>
      </c>
      <c r="H101" s="438">
        <f t="shared" si="4"/>
        <v>0.36299999999999999</v>
      </c>
      <c r="I101" s="438">
        <f t="shared" si="5"/>
        <v>1.0629999999999999</v>
      </c>
      <c r="J101" s="438"/>
      <c r="K101" s="438"/>
      <c r="L101" s="438"/>
      <c r="M101" s="438"/>
      <c r="N101" s="438"/>
      <c r="O101" s="438"/>
      <c r="P101" s="438"/>
      <c r="Q101" s="438"/>
      <c r="R101" s="438"/>
      <c r="S101" s="438"/>
    </row>
    <row r="102" spans="2:19">
      <c r="B102" s="440">
        <f t="shared" si="6"/>
        <v>90</v>
      </c>
      <c r="C102" s="440" t="s">
        <v>732</v>
      </c>
      <c r="D102" s="440" t="s">
        <v>58</v>
      </c>
      <c r="E102" s="440">
        <v>63</v>
      </c>
      <c r="F102" s="440"/>
      <c r="G102" s="440"/>
      <c r="H102" s="438">
        <f t="shared" si="4"/>
        <v>0.36299999999999999</v>
      </c>
      <c r="I102" s="438">
        <f t="shared" si="5"/>
        <v>1.0629999999999999</v>
      </c>
      <c r="J102" s="438"/>
      <c r="K102" s="438"/>
      <c r="L102" s="438"/>
      <c r="M102" s="438"/>
      <c r="N102" s="438"/>
      <c r="O102" s="438"/>
      <c r="P102" s="438"/>
      <c r="Q102" s="438"/>
      <c r="R102" s="438"/>
      <c r="S102" s="438"/>
    </row>
    <row r="103" spans="2:19">
      <c r="B103" s="440">
        <f t="shared" si="6"/>
        <v>91</v>
      </c>
      <c r="C103" s="440" t="s">
        <v>844</v>
      </c>
      <c r="D103" s="440" t="s">
        <v>44</v>
      </c>
      <c r="E103" s="440">
        <v>63</v>
      </c>
      <c r="F103" s="440">
        <v>90</v>
      </c>
      <c r="G103" s="440">
        <v>101.8</v>
      </c>
      <c r="H103" s="438">
        <f t="shared" si="4"/>
        <v>0.36299999999999999</v>
      </c>
      <c r="I103" s="438">
        <f t="shared" si="5"/>
        <v>1.0629999999999999</v>
      </c>
      <c r="J103" s="438"/>
      <c r="K103" s="438"/>
      <c r="L103" s="438"/>
      <c r="M103" s="438"/>
      <c r="N103" s="438"/>
      <c r="O103" s="438"/>
      <c r="P103" s="438"/>
      <c r="Q103" s="438"/>
      <c r="R103" s="438"/>
      <c r="S103" s="438"/>
    </row>
    <row r="104" spans="2:19">
      <c r="B104" s="440">
        <f t="shared" si="6"/>
        <v>92</v>
      </c>
      <c r="C104" s="440" t="s">
        <v>44</v>
      </c>
      <c r="D104" s="440" t="s">
        <v>1369</v>
      </c>
      <c r="E104" s="440">
        <v>63</v>
      </c>
      <c r="F104" s="440">
        <v>30</v>
      </c>
      <c r="G104" s="440">
        <v>22.5</v>
      </c>
      <c r="H104" s="438">
        <f t="shared" si="4"/>
        <v>0.36299999999999999</v>
      </c>
      <c r="I104" s="438">
        <f t="shared" si="5"/>
        <v>1.0629999999999999</v>
      </c>
      <c r="J104" s="438"/>
      <c r="K104" s="438"/>
      <c r="L104" s="438"/>
      <c r="M104" s="438"/>
      <c r="N104" s="438"/>
      <c r="O104" s="438"/>
      <c r="P104" s="438"/>
      <c r="Q104" s="438"/>
      <c r="R104" s="438"/>
      <c r="S104" s="438"/>
    </row>
    <row r="105" spans="2:19">
      <c r="B105" s="440">
        <f t="shared" si="6"/>
        <v>93</v>
      </c>
      <c r="C105" s="440" t="s">
        <v>1369</v>
      </c>
      <c r="D105" s="440" t="s">
        <v>30</v>
      </c>
      <c r="E105" s="440">
        <v>63</v>
      </c>
      <c r="F105" s="440">
        <v>79</v>
      </c>
      <c r="G105" s="440">
        <v>76.5</v>
      </c>
      <c r="H105" s="438">
        <f t="shared" si="4"/>
        <v>0.36299999999999999</v>
      </c>
      <c r="I105" s="438">
        <f t="shared" si="5"/>
        <v>1.0629999999999999</v>
      </c>
      <c r="J105" s="438"/>
      <c r="K105" s="438"/>
      <c r="L105" s="438"/>
      <c r="M105" s="438"/>
      <c r="N105" s="438"/>
      <c r="O105" s="438"/>
      <c r="P105" s="438"/>
      <c r="Q105" s="438"/>
      <c r="R105" s="438"/>
      <c r="S105" s="438"/>
    </row>
    <row r="106" spans="2:19">
      <c r="B106" s="440">
        <f t="shared" si="6"/>
        <v>94</v>
      </c>
      <c r="C106" s="440" t="s">
        <v>30</v>
      </c>
      <c r="D106" s="440" t="s">
        <v>1900</v>
      </c>
      <c r="E106" s="440">
        <v>63</v>
      </c>
      <c r="F106" s="438"/>
      <c r="G106" s="440">
        <v>5.7</v>
      </c>
      <c r="H106" s="438">
        <f t="shared" si="4"/>
        <v>0.36299999999999999</v>
      </c>
      <c r="I106" s="438">
        <f t="shared" si="5"/>
        <v>1.0629999999999999</v>
      </c>
      <c r="J106" s="438"/>
      <c r="K106" s="438" t="s">
        <v>1794</v>
      </c>
      <c r="L106" s="442">
        <f>+G106</f>
        <v>5.7</v>
      </c>
      <c r="M106" s="442">
        <f>+H106</f>
        <v>0.36299999999999999</v>
      </c>
      <c r="N106" s="442">
        <f>+L106*M106</f>
        <v>2.0691000000000002</v>
      </c>
      <c r="O106" s="438"/>
      <c r="P106" s="438"/>
      <c r="Q106" s="438"/>
      <c r="R106" s="438"/>
      <c r="S106" s="438"/>
    </row>
    <row r="107" spans="2:19">
      <c r="B107" s="440">
        <f t="shared" si="6"/>
        <v>95</v>
      </c>
      <c r="C107" s="440" t="s">
        <v>30</v>
      </c>
      <c r="D107" s="440" t="s">
        <v>148</v>
      </c>
      <c r="E107" s="440">
        <v>90</v>
      </c>
      <c r="F107" s="440">
        <v>56</v>
      </c>
      <c r="G107" s="440">
        <v>67.099999999999994</v>
      </c>
      <c r="H107" s="438">
        <f t="shared" si="4"/>
        <v>0.39</v>
      </c>
      <c r="I107" s="438">
        <f t="shared" si="5"/>
        <v>1.0900000000000001</v>
      </c>
      <c r="J107" s="438"/>
      <c r="K107" s="438"/>
      <c r="L107" s="438"/>
      <c r="M107" s="438"/>
      <c r="N107" s="438"/>
      <c r="O107" s="438"/>
      <c r="P107" s="438"/>
      <c r="Q107" s="438"/>
      <c r="R107" s="438"/>
      <c r="S107" s="438"/>
    </row>
    <row r="108" spans="2:19">
      <c r="B108" s="440">
        <f t="shared" si="6"/>
        <v>96</v>
      </c>
      <c r="C108" s="440" t="s">
        <v>148</v>
      </c>
      <c r="D108" s="440" t="s">
        <v>882</v>
      </c>
      <c r="E108" s="440">
        <v>90</v>
      </c>
      <c r="F108" s="440">
        <v>44</v>
      </c>
      <c r="G108" s="440">
        <v>30.1</v>
      </c>
      <c r="H108" s="438">
        <f t="shared" si="4"/>
        <v>0.39</v>
      </c>
      <c r="I108" s="438">
        <f t="shared" si="5"/>
        <v>1.0900000000000001</v>
      </c>
      <c r="J108" s="438"/>
      <c r="K108" s="438"/>
      <c r="L108" s="438"/>
      <c r="M108" s="438"/>
      <c r="N108" s="438"/>
      <c r="O108" s="438"/>
      <c r="P108" s="438"/>
      <c r="Q108" s="438"/>
      <c r="R108" s="438"/>
      <c r="S108" s="438"/>
    </row>
    <row r="109" spans="2:19">
      <c r="B109" s="440">
        <f t="shared" si="6"/>
        <v>97</v>
      </c>
      <c r="C109" s="440" t="s">
        <v>882</v>
      </c>
      <c r="D109" s="440" t="s">
        <v>376</v>
      </c>
      <c r="E109" s="440">
        <v>90</v>
      </c>
      <c r="F109" s="440">
        <v>170</v>
      </c>
      <c r="G109" s="440">
        <v>167.7</v>
      </c>
      <c r="H109" s="438">
        <f t="shared" si="4"/>
        <v>0.39</v>
      </c>
      <c r="I109" s="438">
        <f t="shared" si="5"/>
        <v>1.0900000000000001</v>
      </c>
      <c r="J109" s="438"/>
      <c r="K109" s="438"/>
      <c r="L109" s="438"/>
      <c r="M109" s="438"/>
      <c r="N109" s="438"/>
      <c r="O109" s="438"/>
      <c r="P109" s="438"/>
      <c r="Q109" s="438"/>
      <c r="R109" s="438"/>
      <c r="S109" s="438"/>
    </row>
    <row r="110" spans="2:19">
      <c r="B110" s="440">
        <f t="shared" si="6"/>
        <v>98</v>
      </c>
      <c r="C110" s="440" t="s">
        <v>825</v>
      </c>
      <c r="D110" s="440" t="s">
        <v>1371</v>
      </c>
      <c r="E110" s="440">
        <v>63</v>
      </c>
      <c r="F110" s="440">
        <v>126</v>
      </c>
      <c r="G110" s="440">
        <v>121</v>
      </c>
      <c r="H110" s="438">
        <f t="shared" si="4"/>
        <v>0.36299999999999999</v>
      </c>
      <c r="I110" s="438">
        <f t="shared" si="5"/>
        <v>1.0629999999999999</v>
      </c>
      <c r="J110" s="438"/>
      <c r="K110" s="438"/>
      <c r="L110" s="438"/>
      <c r="M110" s="438"/>
      <c r="N110" s="438"/>
      <c r="O110" s="438"/>
      <c r="P110" s="438"/>
      <c r="Q110" s="438"/>
      <c r="R110" s="438"/>
      <c r="S110" s="438"/>
    </row>
    <row r="111" spans="2:19">
      <c r="B111" s="440">
        <f t="shared" si="6"/>
        <v>99</v>
      </c>
      <c r="C111" s="440" t="s">
        <v>1901</v>
      </c>
      <c r="D111" s="440" t="s">
        <v>1902</v>
      </c>
      <c r="E111" s="440">
        <v>63</v>
      </c>
      <c r="F111" s="438"/>
      <c r="G111" s="440">
        <v>63</v>
      </c>
      <c r="H111" s="438">
        <f t="shared" si="4"/>
        <v>0.36299999999999999</v>
      </c>
      <c r="I111" s="438">
        <f t="shared" si="5"/>
        <v>1.0629999999999999</v>
      </c>
      <c r="J111" s="438"/>
      <c r="K111" s="438"/>
      <c r="L111" s="438"/>
      <c r="M111" s="438"/>
      <c r="N111" s="438"/>
      <c r="O111" s="438"/>
      <c r="P111" s="438"/>
      <c r="Q111" s="438"/>
      <c r="R111" s="438"/>
      <c r="S111" s="438"/>
    </row>
    <row r="112" spans="2:19">
      <c r="B112" s="440">
        <f t="shared" si="6"/>
        <v>100</v>
      </c>
      <c r="C112" s="440" t="s">
        <v>30</v>
      </c>
      <c r="D112" s="440" t="s">
        <v>839</v>
      </c>
      <c r="E112" s="440">
        <v>110</v>
      </c>
      <c r="F112" s="440">
        <v>512</v>
      </c>
      <c r="G112" s="440">
        <v>508.6</v>
      </c>
      <c r="H112" s="438">
        <f t="shared" si="4"/>
        <v>0.41</v>
      </c>
      <c r="I112" s="438">
        <f t="shared" si="5"/>
        <v>1.1100000000000001</v>
      </c>
      <c r="J112" s="438"/>
      <c r="K112" s="438"/>
      <c r="L112" s="438"/>
      <c r="M112" s="438"/>
      <c r="N112" s="438"/>
      <c r="O112" s="438"/>
      <c r="P112" s="438"/>
      <c r="Q112" s="438"/>
      <c r="R112" s="438"/>
      <c r="S112" s="438"/>
    </row>
    <row r="113" spans="2:19">
      <c r="B113" s="440">
        <f t="shared" si="6"/>
        <v>101</v>
      </c>
      <c r="C113" s="440" t="s">
        <v>1238</v>
      </c>
      <c r="D113" s="440" t="s">
        <v>109</v>
      </c>
      <c r="E113" s="440">
        <v>90</v>
      </c>
      <c r="F113" s="438"/>
      <c r="G113" s="440">
        <v>280.39999999999998</v>
      </c>
      <c r="H113" s="438">
        <f t="shared" si="4"/>
        <v>0.39</v>
      </c>
      <c r="I113" s="438">
        <f t="shared" si="5"/>
        <v>1.0900000000000001</v>
      </c>
      <c r="J113" s="438"/>
      <c r="K113" s="438"/>
      <c r="L113" s="438"/>
      <c r="M113" s="438"/>
      <c r="N113" s="438"/>
      <c r="O113" s="438"/>
      <c r="P113" s="438"/>
      <c r="Q113" s="438"/>
      <c r="R113" s="438"/>
      <c r="S113" s="438"/>
    </row>
    <row r="114" spans="2:19">
      <c r="B114" s="440">
        <f t="shared" si="6"/>
        <v>102</v>
      </c>
      <c r="C114" s="440" t="s">
        <v>109</v>
      </c>
      <c r="D114" s="440" t="s">
        <v>110</v>
      </c>
      <c r="E114" s="440">
        <v>110</v>
      </c>
      <c r="F114" s="438"/>
      <c r="G114" s="440">
        <v>183.6</v>
      </c>
      <c r="H114" s="438">
        <f t="shared" si="4"/>
        <v>0.41</v>
      </c>
      <c r="I114" s="438">
        <f t="shared" si="5"/>
        <v>1.1100000000000001</v>
      </c>
      <c r="J114" s="438"/>
      <c r="K114" s="438"/>
      <c r="L114" s="438"/>
      <c r="M114" s="438"/>
      <c r="N114" s="438"/>
      <c r="O114" s="438"/>
      <c r="P114" s="438"/>
      <c r="Q114" s="438"/>
      <c r="R114" s="438"/>
      <c r="S114" s="438"/>
    </row>
    <row r="115" spans="2:19">
      <c r="B115" s="440">
        <f t="shared" si="6"/>
        <v>103</v>
      </c>
      <c r="C115" s="440" t="s">
        <v>110</v>
      </c>
      <c r="D115" s="440" t="s">
        <v>1909</v>
      </c>
      <c r="E115" s="440">
        <v>63</v>
      </c>
      <c r="F115" s="438"/>
      <c r="G115" s="440">
        <v>7.1</v>
      </c>
      <c r="H115" s="438">
        <f t="shared" si="4"/>
        <v>0.36299999999999999</v>
      </c>
      <c r="I115" s="438">
        <f t="shared" si="5"/>
        <v>1.0629999999999999</v>
      </c>
      <c r="J115" s="438"/>
      <c r="K115" s="438" t="s">
        <v>1794</v>
      </c>
      <c r="L115" s="442">
        <f>+G115</f>
        <v>7.1</v>
      </c>
      <c r="M115" s="442">
        <f>+H115</f>
        <v>0.36299999999999999</v>
      </c>
      <c r="N115" s="442">
        <f>+L115*M115</f>
        <v>2.5772999999999997</v>
      </c>
      <c r="O115" s="438"/>
      <c r="P115" s="438"/>
      <c r="Q115" s="438"/>
      <c r="R115" s="438"/>
      <c r="S115" s="438"/>
    </row>
    <row r="116" spans="2:19">
      <c r="B116" s="440">
        <f t="shared" si="6"/>
        <v>104</v>
      </c>
      <c r="C116" s="440" t="s">
        <v>168</v>
      </c>
      <c r="D116" s="440" t="s">
        <v>166</v>
      </c>
      <c r="E116" s="440">
        <v>63</v>
      </c>
      <c r="F116" s="438">
        <v>98</v>
      </c>
      <c r="G116" s="440">
        <v>70.400000000000006</v>
      </c>
      <c r="H116" s="438">
        <f t="shared" si="4"/>
        <v>0.36299999999999999</v>
      </c>
      <c r="I116" s="438">
        <f t="shared" si="5"/>
        <v>1.0629999999999999</v>
      </c>
      <c r="J116" s="438"/>
      <c r="K116" s="438" t="s">
        <v>1914</v>
      </c>
      <c r="L116" s="442">
        <f>+G116</f>
        <v>70.400000000000006</v>
      </c>
      <c r="M116" s="442">
        <f>+H116</f>
        <v>0.36299999999999999</v>
      </c>
      <c r="N116" s="442">
        <f>+L116*M116</f>
        <v>25.555200000000003</v>
      </c>
      <c r="O116" s="438"/>
      <c r="P116" s="438"/>
      <c r="Q116" s="438"/>
      <c r="R116" s="438"/>
      <c r="S116" s="438"/>
    </row>
    <row r="117" spans="2:19">
      <c r="B117" s="440">
        <f t="shared" si="6"/>
        <v>105</v>
      </c>
      <c r="C117" s="440" t="s">
        <v>166</v>
      </c>
      <c r="D117" s="440" t="s">
        <v>167</v>
      </c>
      <c r="E117" s="440">
        <v>63</v>
      </c>
      <c r="F117" s="438"/>
      <c r="G117" s="440">
        <v>7.4</v>
      </c>
      <c r="H117" s="438">
        <f t="shared" si="4"/>
        <v>0.36299999999999999</v>
      </c>
      <c r="I117" s="438">
        <f t="shared" si="5"/>
        <v>1.0629999999999999</v>
      </c>
      <c r="J117" s="438"/>
      <c r="K117" s="438"/>
      <c r="L117" s="438"/>
      <c r="M117" s="438"/>
      <c r="N117" s="438"/>
      <c r="O117" s="438"/>
      <c r="P117" s="438"/>
      <c r="Q117" s="438"/>
      <c r="R117" s="438"/>
      <c r="S117" s="438"/>
    </row>
    <row r="118" spans="2:19">
      <c r="B118" s="440">
        <f t="shared" si="6"/>
        <v>106</v>
      </c>
      <c r="C118" s="440" t="s">
        <v>166</v>
      </c>
      <c r="D118" s="440" t="s">
        <v>167</v>
      </c>
      <c r="E118" s="440">
        <v>63</v>
      </c>
      <c r="F118" s="438">
        <v>58</v>
      </c>
      <c r="G118" s="440">
        <v>54.9</v>
      </c>
      <c r="H118" s="438">
        <f t="shared" si="4"/>
        <v>0.36299999999999999</v>
      </c>
      <c r="I118" s="438">
        <f t="shared" si="5"/>
        <v>1.0629999999999999</v>
      </c>
      <c r="J118" s="438"/>
      <c r="K118" s="438"/>
      <c r="L118" s="438"/>
      <c r="M118" s="438"/>
      <c r="N118" s="438"/>
      <c r="O118" s="438"/>
      <c r="P118" s="438"/>
      <c r="Q118" s="438"/>
      <c r="R118" s="438"/>
      <c r="S118" s="438"/>
    </row>
    <row r="119" spans="2:19">
      <c r="B119" s="440">
        <f t="shared" si="6"/>
        <v>107</v>
      </c>
      <c r="C119" s="440" t="s">
        <v>166</v>
      </c>
      <c r="D119" s="440" t="s">
        <v>110</v>
      </c>
      <c r="E119" s="440">
        <v>63</v>
      </c>
      <c r="F119" s="438">
        <v>60</v>
      </c>
      <c r="G119" s="440">
        <v>57</v>
      </c>
      <c r="H119" s="438">
        <f t="shared" si="4"/>
        <v>0.36299999999999999</v>
      </c>
      <c r="I119" s="438">
        <f t="shared" si="5"/>
        <v>1.0629999999999999</v>
      </c>
      <c r="J119" s="438"/>
      <c r="K119" s="438"/>
      <c r="L119" s="438"/>
      <c r="M119" s="438"/>
      <c r="N119" s="438"/>
      <c r="O119" s="438"/>
      <c r="P119" s="438"/>
      <c r="Q119" s="438"/>
      <c r="R119" s="438"/>
      <c r="S119" s="438"/>
    </row>
    <row r="120" spans="2:19">
      <c r="B120" s="440">
        <f t="shared" si="6"/>
        <v>108</v>
      </c>
      <c r="C120" s="440" t="s">
        <v>110</v>
      </c>
      <c r="D120" s="440" t="s">
        <v>155</v>
      </c>
      <c r="E120" s="440">
        <v>110</v>
      </c>
      <c r="F120" s="438">
        <f>248+16</f>
        <v>264</v>
      </c>
      <c r="G120" s="440">
        <v>272.2</v>
      </c>
      <c r="H120" s="438">
        <f t="shared" si="4"/>
        <v>0.41</v>
      </c>
      <c r="I120" s="438">
        <f t="shared" si="5"/>
        <v>1.1100000000000001</v>
      </c>
      <c r="J120" s="438"/>
      <c r="K120" s="438"/>
      <c r="L120" s="438"/>
      <c r="M120" s="438"/>
      <c r="N120" s="438"/>
      <c r="O120" s="438"/>
      <c r="P120" s="438"/>
      <c r="Q120" s="438"/>
      <c r="R120" s="438"/>
      <c r="S120" s="438"/>
    </row>
    <row r="121" spans="2:19">
      <c r="B121" s="440">
        <f t="shared" si="6"/>
        <v>109</v>
      </c>
      <c r="C121" s="440" t="s">
        <v>155</v>
      </c>
      <c r="D121" s="440" t="s">
        <v>839</v>
      </c>
      <c r="E121" s="440">
        <v>110</v>
      </c>
      <c r="F121" s="438">
        <f>417+28</f>
        <v>445</v>
      </c>
      <c r="G121" s="440">
        <v>440</v>
      </c>
      <c r="H121" s="438">
        <f t="shared" si="4"/>
        <v>0.41</v>
      </c>
      <c r="I121" s="438">
        <f t="shared" si="5"/>
        <v>1.1100000000000001</v>
      </c>
      <c r="J121" s="438"/>
      <c r="K121" s="438"/>
      <c r="L121" s="438"/>
      <c r="M121" s="438"/>
      <c r="N121" s="438"/>
      <c r="O121" s="438"/>
      <c r="P121" s="438"/>
      <c r="Q121" s="438"/>
      <c r="R121" s="438"/>
      <c r="S121" s="438"/>
    </row>
    <row r="122" spans="2:19">
      <c r="B122" s="440">
        <f t="shared" si="6"/>
        <v>110</v>
      </c>
      <c r="C122" s="440" t="s">
        <v>839</v>
      </c>
      <c r="D122" s="440" t="s">
        <v>1910</v>
      </c>
      <c r="E122" s="440">
        <v>110</v>
      </c>
      <c r="F122" s="438"/>
      <c r="G122" s="440">
        <v>9</v>
      </c>
      <c r="H122" s="438">
        <f t="shared" si="4"/>
        <v>0.41</v>
      </c>
      <c r="I122" s="438">
        <f t="shared" si="5"/>
        <v>1.1100000000000001</v>
      </c>
      <c r="J122" s="438"/>
      <c r="K122" s="438" t="s">
        <v>1797</v>
      </c>
      <c r="L122" s="442">
        <f>+G122</f>
        <v>9</v>
      </c>
      <c r="M122" s="442">
        <f>+H122</f>
        <v>0.41</v>
      </c>
      <c r="N122" s="442">
        <f>+L122*M122</f>
        <v>3.69</v>
      </c>
      <c r="O122" s="438"/>
      <c r="P122" s="438"/>
      <c r="Q122" s="438"/>
      <c r="R122" s="438"/>
      <c r="S122" s="438"/>
    </row>
    <row r="123" spans="2:19">
      <c r="B123" s="440">
        <f t="shared" si="6"/>
        <v>111</v>
      </c>
      <c r="C123" s="440" t="s">
        <v>839</v>
      </c>
      <c r="D123" s="440" t="s">
        <v>926</v>
      </c>
      <c r="E123" s="440">
        <v>63</v>
      </c>
      <c r="F123" s="438">
        <v>13</v>
      </c>
      <c r="G123" s="440">
        <v>23</v>
      </c>
      <c r="H123" s="438">
        <f t="shared" si="4"/>
        <v>0.36299999999999999</v>
      </c>
      <c r="I123" s="438">
        <f t="shared" si="5"/>
        <v>1.0629999999999999</v>
      </c>
      <c r="J123" s="438"/>
      <c r="K123" s="438"/>
      <c r="L123" s="438"/>
      <c r="M123" s="438"/>
      <c r="N123" s="438"/>
      <c r="O123" s="438"/>
      <c r="P123" s="438"/>
      <c r="Q123" s="438"/>
      <c r="R123" s="438"/>
      <c r="S123" s="438"/>
    </row>
    <row r="124" spans="2:19">
      <c r="B124" s="440">
        <f t="shared" si="6"/>
        <v>112</v>
      </c>
      <c r="C124" s="440" t="s">
        <v>155</v>
      </c>
      <c r="D124" s="440" t="s">
        <v>727</v>
      </c>
      <c r="E124" s="440">
        <v>140</v>
      </c>
      <c r="F124" s="438"/>
      <c r="G124" s="440">
        <v>5.6</v>
      </c>
      <c r="H124" s="438">
        <f t="shared" si="4"/>
        <v>0.44</v>
      </c>
      <c r="I124" s="438">
        <f t="shared" si="5"/>
        <v>1.1400000000000001</v>
      </c>
      <c r="J124" s="438"/>
      <c r="K124" s="438" t="s">
        <v>1794</v>
      </c>
      <c r="L124" s="442">
        <f>+G124</f>
        <v>5.6</v>
      </c>
      <c r="M124" s="442">
        <f>+H124</f>
        <v>0.44</v>
      </c>
      <c r="N124" s="442">
        <f>+L124*M124</f>
        <v>2.464</v>
      </c>
      <c r="O124" s="438"/>
      <c r="P124" s="438"/>
      <c r="Q124" s="438"/>
      <c r="R124" s="438"/>
      <c r="S124" s="438"/>
    </row>
    <row r="125" spans="2:19">
      <c r="B125" s="440">
        <f t="shared" si="6"/>
        <v>113</v>
      </c>
      <c r="C125" s="440" t="s">
        <v>155</v>
      </c>
      <c r="D125" s="440" t="s">
        <v>727</v>
      </c>
      <c r="E125" s="440">
        <v>140</v>
      </c>
      <c r="F125" s="438">
        <v>608</v>
      </c>
      <c r="G125" s="440">
        <v>612.9</v>
      </c>
      <c r="H125" s="438">
        <f t="shared" si="4"/>
        <v>0.44</v>
      </c>
      <c r="I125" s="438">
        <f t="shared" si="5"/>
        <v>1.1400000000000001</v>
      </c>
      <c r="J125" s="438"/>
      <c r="K125" s="438"/>
      <c r="L125" s="438"/>
      <c r="M125" s="438"/>
      <c r="N125" s="438"/>
      <c r="O125" s="438"/>
      <c r="P125" s="438"/>
      <c r="Q125" s="438"/>
      <c r="R125" s="438"/>
      <c r="S125" s="438"/>
    </row>
    <row r="126" spans="2:19">
      <c r="B126" s="440">
        <f t="shared" si="6"/>
        <v>114</v>
      </c>
      <c r="C126" s="440" t="s">
        <v>727</v>
      </c>
      <c r="D126" s="440" t="s">
        <v>143</v>
      </c>
      <c r="E126" s="440">
        <v>160</v>
      </c>
      <c r="F126" s="438">
        <v>125</v>
      </c>
      <c r="G126" s="440">
        <v>122</v>
      </c>
      <c r="H126" s="438">
        <f t="shared" si="4"/>
        <v>0.45999999999999996</v>
      </c>
      <c r="I126" s="438">
        <f t="shared" si="5"/>
        <v>1.1599999999999999</v>
      </c>
      <c r="J126" s="438"/>
      <c r="K126" s="438" t="s">
        <v>45</v>
      </c>
      <c r="L126" s="442">
        <f>+G126</f>
        <v>122</v>
      </c>
      <c r="M126" s="442">
        <f>+H126</f>
        <v>0.45999999999999996</v>
      </c>
      <c r="N126" s="442">
        <f>+L126*M126</f>
        <v>56.12</v>
      </c>
      <c r="O126" s="438"/>
      <c r="P126" s="438"/>
      <c r="Q126" s="438"/>
      <c r="R126" s="438"/>
      <c r="S126" s="438"/>
    </row>
    <row r="127" spans="2:19">
      <c r="B127" s="440">
        <f t="shared" si="6"/>
        <v>115</v>
      </c>
      <c r="C127" s="440" t="s">
        <v>143</v>
      </c>
      <c r="D127" s="440" t="s">
        <v>140</v>
      </c>
      <c r="E127" s="440">
        <v>160</v>
      </c>
      <c r="F127" s="438">
        <v>24</v>
      </c>
      <c r="G127" s="440">
        <v>34</v>
      </c>
      <c r="H127" s="438">
        <f t="shared" si="4"/>
        <v>0.45999999999999996</v>
      </c>
      <c r="I127" s="438">
        <f t="shared" si="5"/>
        <v>1.1599999999999999</v>
      </c>
      <c r="J127" s="438"/>
      <c r="K127" s="438"/>
      <c r="L127" s="438"/>
      <c r="M127" s="438"/>
      <c r="N127" s="438"/>
      <c r="O127" s="438"/>
      <c r="P127" s="438"/>
      <c r="Q127" s="438"/>
      <c r="R127" s="438"/>
      <c r="S127" s="438"/>
    </row>
    <row r="128" spans="2:19">
      <c r="B128" s="440">
        <f t="shared" si="6"/>
        <v>116</v>
      </c>
      <c r="C128" s="440" t="s">
        <v>143</v>
      </c>
      <c r="D128" s="440" t="s">
        <v>138</v>
      </c>
      <c r="E128" s="440">
        <v>63</v>
      </c>
      <c r="F128" s="438"/>
      <c r="G128" s="438">
        <f>130+9.4</f>
        <v>139.4</v>
      </c>
      <c r="H128" s="438">
        <f t="shared" si="4"/>
        <v>0.36299999999999999</v>
      </c>
      <c r="I128" s="438">
        <f t="shared" si="5"/>
        <v>1.0629999999999999</v>
      </c>
      <c r="J128" s="438"/>
      <c r="K128" s="438"/>
      <c r="L128" s="438"/>
      <c r="M128" s="438"/>
      <c r="N128" s="438"/>
      <c r="O128" s="438"/>
      <c r="P128" s="438"/>
      <c r="Q128" s="438"/>
      <c r="R128" s="438"/>
      <c r="S128" s="438"/>
    </row>
    <row r="129" spans="2:19">
      <c r="B129" s="440">
        <f t="shared" si="6"/>
        <v>117</v>
      </c>
      <c r="C129" s="440" t="s">
        <v>1911</v>
      </c>
      <c r="D129" s="440" t="s">
        <v>1912</v>
      </c>
      <c r="E129" s="440">
        <v>63</v>
      </c>
      <c r="F129" s="438"/>
      <c r="G129" s="440">
        <v>55.3</v>
      </c>
      <c r="H129" s="438">
        <f t="shared" si="4"/>
        <v>0.36299999999999999</v>
      </c>
      <c r="I129" s="438">
        <f t="shared" si="5"/>
        <v>1.0629999999999999</v>
      </c>
      <c r="J129" s="438"/>
      <c r="K129" s="438"/>
      <c r="L129" s="438"/>
      <c r="M129" s="438"/>
      <c r="N129" s="438"/>
      <c r="O129" s="438"/>
      <c r="P129" s="438"/>
      <c r="Q129" s="438"/>
      <c r="R129" s="438"/>
      <c r="S129" s="438"/>
    </row>
    <row r="130" spans="2:19">
      <c r="B130" s="440">
        <f t="shared" si="6"/>
        <v>118</v>
      </c>
      <c r="C130" s="440" t="s">
        <v>727</v>
      </c>
      <c r="D130" s="440" t="s">
        <v>122</v>
      </c>
      <c r="E130" s="440">
        <v>63</v>
      </c>
      <c r="F130" s="438"/>
      <c r="G130" s="440">
        <v>149.19999999999999</v>
      </c>
      <c r="H130" s="438">
        <f t="shared" si="4"/>
        <v>0.36299999999999999</v>
      </c>
      <c r="I130" s="438">
        <f t="shared" si="5"/>
        <v>1.0629999999999999</v>
      </c>
      <c r="J130" s="438"/>
      <c r="K130" s="438"/>
      <c r="L130" s="438"/>
      <c r="M130" s="438"/>
      <c r="N130" s="438"/>
      <c r="O130" s="438"/>
      <c r="P130" s="438"/>
      <c r="Q130" s="438"/>
      <c r="R130" s="438"/>
      <c r="S130" s="438"/>
    </row>
    <row r="131" spans="2:19">
      <c r="B131" s="440">
        <f t="shared" si="6"/>
        <v>119</v>
      </c>
      <c r="C131" s="440" t="s">
        <v>122</v>
      </c>
      <c r="D131" s="440" t="s">
        <v>115</v>
      </c>
      <c r="E131" s="440">
        <v>63</v>
      </c>
      <c r="F131" s="438"/>
      <c r="G131" s="440">
        <v>67.3</v>
      </c>
      <c r="H131" s="438">
        <f t="shared" si="4"/>
        <v>0.36299999999999999</v>
      </c>
      <c r="I131" s="438">
        <f t="shared" si="5"/>
        <v>1.0629999999999999</v>
      </c>
      <c r="J131" s="438"/>
      <c r="K131" s="438" t="s">
        <v>45</v>
      </c>
      <c r="L131" s="442">
        <f>+G131</f>
        <v>67.3</v>
      </c>
      <c r="M131" s="442">
        <f>+H131</f>
        <v>0.36299999999999999</v>
      </c>
      <c r="N131" s="442">
        <f>+L131*M131</f>
        <v>24.4299</v>
      </c>
      <c r="O131" s="438"/>
      <c r="P131" s="438"/>
      <c r="Q131" s="438"/>
      <c r="R131" s="438"/>
      <c r="S131" s="438"/>
    </row>
    <row r="132" spans="2:19">
      <c r="B132" s="440">
        <f t="shared" si="6"/>
        <v>120</v>
      </c>
      <c r="C132" s="440" t="s">
        <v>115</v>
      </c>
      <c r="D132" s="440" t="s">
        <v>141</v>
      </c>
      <c r="E132" s="440">
        <v>63</v>
      </c>
      <c r="F132" s="438"/>
      <c r="G132" s="440">
        <v>50.9</v>
      </c>
      <c r="H132" s="438">
        <f t="shared" si="4"/>
        <v>0.36299999999999999</v>
      </c>
      <c r="I132" s="438">
        <f t="shared" si="5"/>
        <v>1.0629999999999999</v>
      </c>
      <c r="J132" s="438"/>
      <c r="K132" s="438"/>
      <c r="L132" s="438"/>
      <c r="M132" s="438"/>
      <c r="N132" s="438"/>
      <c r="O132" s="438"/>
      <c r="P132" s="438"/>
      <c r="Q132" s="438"/>
      <c r="R132" s="438"/>
      <c r="S132" s="438"/>
    </row>
    <row r="133" spans="2:19">
      <c r="B133" s="440">
        <f t="shared" si="6"/>
        <v>121</v>
      </c>
      <c r="C133" s="440" t="s">
        <v>115</v>
      </c>
      <c r="D133" s="440" t="s">
        <v>140</v>
      </c>
      <c r="E133" s="440">
        <v>110</v>
      </c>
      <c r="F133" s="438"/>
      <c r="G133" s="440">
        <v>152.1</v>
      </c>
      <c r="H133" s="438">
        <f t="shared" si="4"/>
        <v>0.41</v>
      </c>
      <c r="I133" s="438">
        <f t="shared" si="5"/>
        <v>1.1100000000000001</v>
      </c>
      <c r="J133" s="438"/>
      <c r="K133" s="438"/>
      <c r="L133" s="438"/>
      <c r="M133" s="438"/>
      <c r="N133" s="438"/>
      <c r="O133" s="438"/>
      <c r="P133" s="438"/>
      <c r="Q133" s="438"/>
      <c r="R133" s="438"/>
      <c r="S133" s="438"/>
    </row>
    <row r="134" spans="2:19">
      <c r="B134" s="440">
        <f t="shared" si="6"/>
        <v>122</v>
      </c>
      <c r="C134" s="440" t="s">
        <v>117</v>
      </c>
      <c r="D134" s="440" t="s">
        <v>152</v>
      </c>
      <c r="E134" s="440">
        <v>63</v>
      </c>
      <c r="F134" s="438"/>
      <c r="G134" s="440">
        <v>20.3</v>
      </c>
      <c r="H134" s="438">
        <f t="shared" si="4"/>
        <v>0.36299999999999999</v>
      </c>
      <c r="I134" s="438">
        <f t="shared" si="5"/>
        <v>1.0629999999999999</v>
      </c>
      <c r="J134" s="438"/>
      <c r="K134" s="438" t="s">
        <v>45</v>
      </c>
      <c r="L134" s="442">
        <f>+G134</f>
        <v>20.3</v>
      </c>
      <c r="M134" s="442">
        <f>+H134</f>
        <v>0.36299999999999999</v>
      </c>
      <c r="N134" s="442">
        <f>+L134*M134</f>
        <v>7.3689</v>
      </c>
      <c r="O134" s="438"/>
      <c r="P134" s="438"/>
      <c r="Q134" s="438"/>
      <c r="R134" s="438"/>
      <c r="S134" s="438"/>
    </row>
    <row r="135" spans="2:19">
      <c r="B135" s="440">
        <f t="shared" si="6"/>
        <v>123</v>
      </c>
      <c r="C135" s="440" t="s">
        <v>152</v>
      </c>
      <c r="D135" s="440" t="s">
        <v>827</v>
      </c>
      <c r="E135" s="440">
        <v>63</v>
      </c>
      <c r="F135" s="438">
        <v>316</v>
      </c>
      <c r="G135" s="440">
        <v>322.39999999999998</v>
      </c>
      <c r="H135" s="438">
        <f t="shared" si="4"/>
        <v>0.36299999999999999</v>
      </c>
      <c r="I135" s="438">
        <f t="shared" si="5"/>
        <v>1.0629999999999999</v>
      </c>
      <c r="J135" s="438"/>
      <c r="K135" s="438"/>
      <c r="L135" s="438"/>
      <c r="M135" s="438"/>
      <c r="N135" s="438"/>
      <c r="O135" s="438"/>
      <c r="P135" s="438"/>
      <c r="Q135" s="438"/>
      <c r="R135" s="438"/>
      <c r="S135" s="438"/>
    </row>
    <row r="136" spans="2:19">
      <c r="B136" s="440">
        <f t="shared" si="6"/>
        <v>124</v>
      </c>
      <c r="C136" s="440" t="s">
        <v>827</v>
      </c>
      <c r="D136" s="440" t="s">
        <v>1913</v>
      </c>
      <c r="E136" s="440">
        <v>63</v>
      </c>
      <c r="F136" s="438"/>
      <c r="G136" s="440">
        <v>4.9000000000000004</v>
      </c>
      <c r="H136" s="438">
        <f t="shared" si="4"/>
        <v>0.36299999999999999</v>
      </c>
      <c r="I136" s="438">
        <f t="shared" si="5"/>
        <v>1.0629999999999999</v>
      </c>
      <c r="J136" s="438"/>
      <c r="K136" s="438"/>
      <c r="L136" s="438"/>
      <c r="M136" s="438"/>
      <c r="N136" s="438"/>
      <c r="O136" s="438"/>
      <c r="P136" s="438"/>
      <c r="Q136" s="438"/>
      <c r="R136" s="438"/>
      <c r="S136" s="438"/>
    </row>
    <row r="137" spans="2:19">
      <c r="B137" s="440">
        <f t="shared" si="6"/>
        <v>125</v>
      </c>
      <c r="C137" s="440" t="s">
        <v>827</v>
      </c>
      <c r="D137" s="440" t="s">
        <v>835</v>
      </c>
      <c r="E137" s="440">
        <v>63</v>
      </c>
      <c r="F137" s="438">
        <v>325</v>
      </c>
      <c r="G137" s="440">
        <v>355</v>
      </c>
      <c r="H137" s="438">
        <f t="shared" si="4"/>
        <v>0.36299999999999999</v>
      </c>
      <c r="I137" s="438">
        <f t="shared" si="5"/>
        <v>1.0629999999999999</v>
      </c>
      <c r="J137" s="438"/>
      <c r="K137" s="438"/>
      <c r="L137" s="438"/>
      <c r="M137" s="438"/>
      <c r="N137" s="438"/>
      <c r="O137" s="438"/>
      <c r="P137" s="438"/>
      <c r="Q137" s="438"/>
      <c r="R137" s="438"/>
      <c r="S137" s="438"/>
    </row>
    <row r="138" spans="2:19">
      <c r="B138" s="440">
        <f t="shared" si="6"/>
        <v>126</v>
      </c>
      <c r="C138" s="440" t="s">
        <v>835</v>
      </c>
      <c r="D138" s="440" t="s">
        <v>1516</v>
      </c>
      <c r="E138" s="440">
        <v>63</v>
      </c>
      <c r="F138" s="438">
        <v>369</v>
      </c>
      <c r="G138" s="440">
        <v>359</v>
      </c>
      <c r="H138" s="438">
        <f t="shared" si="4"/>
        <v>0.36299999999999999</v>
      </c>
      <c r="I138" s="438">
        <f t="shared" si="5"/>
        <v>1.0629999999999999</v>
      </c>
      <c r="J138" s="438"/>
      <c r="K138" s="438"/>
      <c r="L138" s="438"/>
      <c r="M138" s="438"/>
      <c r="N138" s="438"/>
      <c r="O138" s="438"/>
      <c r="P138" s="438"/>
      <c r="Q138" s="438"/>
      <c r="R138" s="438"/>
      <c r="S138" s="438"/>
    </row>
    <row r="139" spans="2:19">
      <c r="B139" s="440">
        <f t="shared" si="6"/>
        <v>127</v>
      </c>
      <c r="C139" s="440" t="s">
        <v>1516</v>
      </c>
      <c r="D139" s="440" t="s">
        <v>154</v>
      </c>
      <c r="E139" s="440">
        <v>63</v>
      </c>
      <c r="F139" s="438">
        <v>49</v>
      </c>
      <c r="G139" s="440">
        <v>51.4</v>
      </c>
      <c r="H139" s="438">
        <f t="shared" si="4"/>
        <v>0.36299999999999999</v>
      </c>
      <c r="I139" s="438">
        <f t="shared" si="5"/>
        <v>1.0629999999999999</v>
      </c>
      <c r="J139" s="438"/>
      <c r="K139" s="438"/>
      <c r="L139" s="438"/>
      <c r="M139" s="438"/>
      <c r="N139" s="438"/>
      <c r="O139" s="438"/>
      <c r="P139" s="438"/>
      <c r="Q139" s="438"/>
      <c r="R139" s="438"/>
      <c r="S139" s="438"/>
    </row>
    <row r="140" spans="2:19">
      <c r="B140" s="440">
        <f t="shared" si="6"/>
        <v>128</v>
      </c>
      <c r="C140" s="440" t="s">
        <v>154</v>
      </c>
      <c r="D140" s="440" t="s">
        <v>156</v>
      </c>
      <c r="E140" s="440">
        <v>63</v>
      </c>
      <c r="F140" s="438">
        <v>391</v>
      </c>
      <c r="G140" s="440">
        <v>380</v>
      </c>
      <c r="H140" s="438">
        <f t="shared" si="4"/>
        <v>0.36299999999999999</v>
      </c>
      <c r="I140" s="438">
        <f t="shared" si="5"/>
        <v>1.0629999999999999</v>
      </c>
      <c r="J140" s="438"/>
      <c r="K140" s="438"/>
      <c r="L140" s="438"/>
      <c r="M140" s="438"/>
      <c r="N140" s="438"/>
      <c r="O140" s="438"/>
      <c r="P140" s="438"/>
      <c r="Q140" s="438"/>
      <c r="R140" s="438"/>
      <c r="S140" s="438"/>
    </row>
    <row r="141" spans="2:19">
      <c r="B141" s="440">
        <f t="shared" si="6"/>
        <v>129</v>
      </c>
      <c r="C141" s="440" t="s">
        <v>156</v>
      </c>
      <c r="D141" s="440" t="s">
        <v>829</v>
      </c>
      <c r="E141" s="440">
        <v>63</v>
      </c>
      <c r="F141" s="438">
        <v>25</v>
      </c>
      <c r="G141" s="440">
        <v>129.1</v>
      </c>
      <c r="H141" s="438">
        <f t="shared" si="4"/>
        <v>0.36299999999999999</v>
      </c>
      <c r="I141" s="438">
        <f t="shared" si="5"/>
        <v>1.0629999999999999</v>
      </c>
      <c r="J141" s="438"/>
      <c r="K141" s="438"/>
      <c r="L141" s="438"/>
      <c r="M141" s="438"/>
      <c r="N141" s="438"/>
      <c r="O141" s="438"/>
      <c r="P141" s="438"/>
      <c r="Q141" s="438"/>
      <c r="R141" s="438"/>
      <c r="S141" s="438"/>
    </row>
    <row r="142" spans="2:19">
      <c r="B142" s="440">
        <f t="shared" si="6"/>
        <v>130</v>
      </c>
      <c r="C142" s="440" t="s">
        <v>156</v>
      </c>
      <c r="D142" s="440" t="s">
        <v>503</v>
      </c>
      <c r="E142" s="440">
        <v>63</v>
      </c>
      <c r="F142" s="438">
        <v>31</v>
      </c>
      <c r="G142" s="440">
        <v>134.1</v>
      </c>
      <c r="H142" s="438">
        <f t="shared" ref="H142:H153" si="7">E142/1000+0.3</f>
        <v>0.36299999999999999</v>
      </c>
      <c r="I142" s="438">
        <f t="shared" ref="I142:I153" si="8">E142/1000+1</f>
        <v>1.0629999999999999</v>
      </c>
      <c r="J142" s="438"/>
      <c r="K142" s="438"/>
      <c r="L142" s="438"/>
      <c r="M142" s="438"/>
      <c r="N142" s="438"/>
      <c r="O142" s="438"/>
      <c r="P142" s="438"/>
      <c r="Q142" s="438"/>
      <c r="R142" s="438"/>
      <c r="S142" s="438"/>
    </row>
    <row r="143" spans="2:19">
      <c r="B143" s="440">
        <f t="shared" ref="B143:B153" si="9">1+B142</f>
        <v>131</v>
      </c>
      <c r="C143" s="440" t="s">
        <v>503</v>
      </c>
      <c r="D143" s="440" t="s">
        <v>121</v>
      </c>
      <c r="E143" s="440">
        <v>63</v>
      </c>
      <c r="F143" s="438"/>
      <c r="G143" s="440">
        <v>65.099999999999994</v>
      </c>
      <c r="H143" s="438">
        <f t="shared" si="7"/>
        <v>0.36299999999999999</v>
      </c>
      <c r="I143" s="438">
        <f t="shared" si="8"/>
        <v>1.0629999999999999</v>
      </c>
      <c r="J143" s="438"/>
      <c r="K143" s="438"/>
      <c r="L143" s="438"/>
      <c r="M143" s="438"/>
      <c r="N143" s="438"/>
      <c r="O143" s="438"/>
      <c r="P143" s="438"/>
      <c r="Q143" s="438"/>
      <c r="R143" s="438"/>
      <c r="S143" s="438"/>
    </row>
    <row r="144" spans="2:19">
      <c r="B144" s="440">
        <f t="shared" si="9"/>
        <v>132</v>
      </c>
      <c r="C144" s="440" t="s">
        <v>121</v>
      </c>
      <c r="D144" s="440" t="s">
        <v>120</v>
      </c>
      <c r="E144" s="440">
        <v>63</v>
      </c>
      <c r="F144" s="438"/>
      <c r="G144" s="440">
        <v>39.6</v>
      </c>
      <c r="H144" s="438">
        <f t="shared" si="7"/>
        <v>0.36299999999999999</v>
      </c>
      <c r="I144" s="438">
        <f t="shared" si="8"/>
        <v>1.0629999999999999</v>
      </c>
      <c r="J144" s="438"/>
      <c r="K144" s="438"/>
      <c r="L144" s="438"/>
      <c r="M144" s="438"/>
      <c r="N144" s="438"/>
      <c r="O144" s="438"/>
      <c r="P144" s="438"/>
      <c r="Q144" s="438"/>
      <c r="R144" s="438"/>
      <c r="S144" s="438"/>
    </row>
    <row r="145" spans="2:19">
      <c r="B145" s="440">
        <f t="shared" si="9"/>
        <v>133</v>
      </c>
      <c r="C145" s="440" t="s">
        <v>121</v>
      </c>
      <c r="D145" s="440" t="s">
        <v>151</v>
      </c>
      <c r="E145" s="440">
        <v>63</v>
      </c>
      <c r="F145" s="438"/>
      <c r="G145" s="440">
        <v>275.10000000000002</v>
      </c>
      <c r="H145" s="438">
        <f t="shared" si="7"/>
        <v>0.36299999999999999</v>
      </c>
      <c r="I145" s="438">
        <f t="shared" si="8"/>
        <v>1.0629999999999999</v>
      </c>
      <c r="J145" s="438"/>
      <c r="K145" s="438"/>
      <c r="L145" s="438"/>
      <c r="M145" s="438"/>
      <c r="N145" s="438"/>
      <c r="O145" s="438"/>
      <c r="P145" s="438"/>
      <c r="Q145" s="438"/>
      <c r="R145" s="438"/>
      <c r="S145" s="438"/>
    </row>
    <row r="146" spans="2:19">
      <c r="B146" s="440">
        <f t="shared" si="9"/>
        <v>134</v>
      </c>
      <c r="C146" s="440" t="s">
        <v>151</v>
      </c>
      <c r="D146" s="440" t="s">
        <v>146</v>
      </c>
      <c r="E146" s="440">
        <v>63</v>
      </c>
      <c r="F146" s="438"/>
      <c r="G146" s="440">
        <v>262.3</v>
      </c>
      <c r="H146" s="438">
        <f t="shared" si="7"/>
        <v>0.36299999999999999</v>
      </c>
      <c r="I146" s="438">
        <f t="shared" si="8"/>
        <v>1.0629999999999999</v>
      </c>
      <c r="J146" s="438"/>
      <c r="K146" s="438"/>
      <c r="L146" s="438"/>
      <c r="M146" s="438"/>
      <c r="N146" s="438"/>
      <c r="O146" s="438"/>
      <c r="P146" s="438"/>
      <c r="Q146" s="438"/>
      <c r="R146" s="438"/>
      <c r="S146" s="438"/>
    </row>
    <row r="147" spans="2:19">
      <c r="B147" s="440">
        <f t="shared" si="9"/>
        <v>135</v>
      </c>
      <c r="C147" s="440" t="s">
        <v>146</v>
      </c>
      <c r="D147" s="440" t="s">
        <v>165</v>
      </c>
      <c r="E147" s="440">
        <v>63</v>
      </c>
      <c r="F147" s="438"/>
      <c r="G147" s="440">
        <v>92</v>
      </c>
      <c r="H147" s="438">
        <f t="shared" si="7"/>
        <v>0.36299999999999999</v>
      </c>
      <c r="I147" s="438">
        <f t="shared" si="8"/>
        <v>1.0629999999999999</v>
      </c>
      <c r="J147" s="438"/>
      <c r="K147" s="438"/>
      <c r="L147" s="438"/>
      <c r="M147" s="438"/>
      <c r="N147" s="438"/>
      <c r="O147" s="438"/>
      <c r="P147" s="438"/>
      <c r="Q147" s="438"/>
      <c r="R147" s="438"/>
      <c r="S147" s="438"/>
    </row>
    <row r="148" spans="2:19">
      <c r="B148" s="440">
        <f t="shared" si="9"/>
        <v>136</v>
      </c>
      <c r="C148" s="440" t="s">
        <v>151</v>
      </c>
      <c r="D148" s="440" t="s">
        <v>159</v>
      </c>
      <c r="E148" s="440">
        <v>63</v>
      </c>
      <c r="F148" s="438"/>
      <c r="G148" s="440">
        <v>132</v>
      </c>
      <c r="H148" s="438">
        <f t="shared" si="7"/>
        <v>0.36299999999999999</v>
      </c>
      <c r="I148" s="438">
        <f t="shared" si="8"/>
        <v>1.0629999999999999</v>
      </c>
      <c r="J148" s="438"/>
      <c r="K148" s="438"/>
      <c r="L148" s="438"/>
      <c r="M148" s="438"/>
      <c r="N148" s="438"/>
      <c r="O148" s="438"/>
      <c r="P148" s="438"/>
      <c r="Q148" s="438"/>
      <c r="R148" s="438"/>
      <c r="S148" s="438"/>
    </row>
    <row r="149" spans="2:19">
      <c r="B149" s="440">
        <f t="shared" si="9"/>
        <v>137</v>
      </c>
      <c r="C149" s="440" t="s">
        <v>159</v>
      </c>
      <c r="D149" s="440" t="s">
        <v>161</v>
      </c>
      <c r="E149" s="440">
        <v>63</v>
      </c>
      <c r="F149" s="438"/>
      <c r="G149" s="440">
        <v>10</v>
      </c>
      <c r="H149" s="438">
        <f t="shared" si="7"/>
        <v>0.36299999999999999</v>
      </c>
      <c r="I149" s="438">
        <f t="shared" si="8"/>
        <v>1.0629999999999999</v>
      </c>
      <c r="J149" s="438"/>
      <c r="K149" s="438"/>
      <c r="L149" s="438"/>
      <c r="M149" s="438"/>
      <c r="N149" s="438"/>
      <c r="O149" s="438"/>
      <c r="P149" s="438"/>
      <c r="Q149" s="438"/>
      <c r="R149" s="438"/>
      <c r="S149" s="438"/>
    </row>
    <row r="150" spans="2:19">
      <c r="B150" s="440">
        <f t="shared" si="9"/>
        <v>138</v>
      </c>
      <c r="C150" s="440" t="s">
        <v>159</v>
      </c>
      <c r="D150" s="440" t="s">
        <v>171</v>
      </c>
      <c r="E150" s="440">
        <v>63</v>
      </c>
      <c r="F150" s="438"/>
      <c r="G150" s="440">
        <v>45</v>
      </c>
      <c r="H150" s="438">
        <f t="shared" si="7"/>
        <v>0.36299999999999999</v>
      </c>
      <c r="I150" s="438">
        <f t="shared" si="8"/>
        <v>1.0629999999999999</v>
      </c>
      <c r="J150" s="438"/>
      <c r="K150" s="438"/>
      <c r="L150" s="438"/>
      <c r="M150" s="438"/>
      <c r="N150" s="438"/>
      <c r="O150" s="438"/>
      <c r="P150" s="438"/>
      <c r="Q150" s="438"/>
      <c r="R150" s="438"/>
      <c r="S150" s="438"/>
    </row>
    <row r="151" spans="2:19">
      <c r="B151" s="440">
        <f t="shared" si="9"/>
        <v>139</v>
      </c>
      <c r="C151" s="440" t="s">
        <v>161</v>
      </c>
      <c r="D151" s="440" t="s">
        <v>162</v>
      </c>
      <c r="E151" s="440">
        <v>63</v>
      </c>
      <c r="F151" s="438"/>
      <c r="G151" s="440">
        <v>39</v>
      </c>
      <c r="H151" s="438">
        <f t="shared" si="7"/>
        <v>0.36299999999999999</v>
      </c>
      <c r="I151" s="438">
        <f t="shared" si="8"/>
        <v>1.0629999999999999</v>
      </c>
      <c r="J151" s="438"/>
      <c r="K151" s="438"/>
      <c r="L151" s="438"/>
      <c r="M151" s="438"/>
      <c r="N151" s="438"/>
      <c r="O151" s="438"/>
      <c r="P151" s="438"/>
      <c r="Q151" s="438"/>
      <c r="R151" s="438"/>
      <c r="S151" s="438"/>
    </row>
    <row r="152" spans="2:19">
      <c r="B152" s="440">
        <f t="shared" si="9"/>
        <v>140</v>
      </c>
      <c r="C152" s="440" t="s">
        <v>161</v>
      </c>
      <c r="D152" s="440" t="s">
        <v>826</v>
      </c>
      <c r="E152" s="440">
        <v>63</v>
      </c>
      <c r="F152" s="438"/>
      <c r="G152" s="440">
        <v>81</v>
      </c>
      <c r="H152" s="438">
        <f t="shared" si="7"/>
        <v>0.36299999999999999</v>
      </c>
      <c r="I152" s="438">
        <f t="shared" si="8"/>
        <v>1.0629999999999999</v>
      </c>
      <c r="J152" s="438"/>
      <c r="K152" s="438"/>
      <c r="L152" s="438"/>
      <c r="M152" s="438"/>
      <c r="N152" s="438"/>
      <c r="O152" s="438"/>
      <c r="P152" s="438"/>
      <c r="Q152" s="438"/>
      <c r="R152" s="438"/>
      <c r="S152" s="438"/>
    </row>
    <row r="153" spans="2:19">
      <c r="B153" s="440">
        <f t="shared" si="9"/>
        <v>141</v>
      </c>
      <c r="C153" s="440" t="s">
        <v>503</v>
      </c>
      <c r="D153" s="440" t="s">
        <v>502</v>
      </c>
      <c r="E153" s="440">
        <v>63</v>
      </c>
      <c r="F153" s="438"/>
      <c r="G153" s="438">
        <f>126+20</f>
        <v>146</v>
      </c>
      <c r="H153" s="438">
        <f t="shared" si="7"/>
        <v>0.36299999999999999</v>
      </c>
      <c r="I153" s="438">
        <f t="shared" si="8"/>
        <v>1.0629999999999999</v>
      </c>
      <c r="J153" s="438"/>
      <c r="K153" s="438"/>
      <c r="L153" s="438"/>
      <c r="M153" s="438"/>
      <c r="N153" s="438"/>
      <c r="O153" s="438"/>
      <c r="P153" s="438"/>
      <c r="Q153" s="438"/>
      <c r="R153" s="438"/>
      <c r="S153" s="438"/>
    </row>
    <row r="154" spans="2:19">
      <c r="G154">
        <f>SUM(G13:G153)</f>
        <v>13407.600000000002</v>
      </c>
    </row>
    <row r="155" spans="2:19">
      <c r="N155">
        <f>SUM(N13:N154)</f>
        <v>296.72429999999997</v>
      </c>
    </row>
    <row r="156" spans="2:19">
      <c r="E156" s="453">
        <v>63</v>
      </c>
      <c r="F156">
        <v>75</v>
      </c>
      <c r="G156">
        <v>90</v>
      </c>
      <c r="H156">
        <v>110</v>
      </c>
      <c r="I156">
        <v>140</v>
      </c>
      <c r="J156">
        <v>160</v>
      </c>
    </row>
    <row r="157" spans="2:19">
      <c r="E157">
        <f>+SUMIF($E$13:$E$153,E156,$G$13:$G$153)</f>
        <v>10205.4</v>
      </c>
      <c r="F157">
        <f t="shared" ref="F157:J157" si="10">+SUMIF($E$13:$E$153,F156,$G$13:$G$153)</f>
        <v>316.89999999999998</v>
      </c>
      <c r="G157">
        <f t="shared" si="10"/>
        <v>545.29999999999995</v>
      </c>
      <c r="H157">
        <f t="shared" si="10"/>
        <v>1565.5</v>
      </c>
      <c r="I157">
        <f t="shared" si="10"/>
        <v>618.5</v>
      </c>
      <c r="J157">
        <f t="shared" si="10"/>
        <v>156</v>
      </c>
    </row>
    <row r="167" spans="8:8">
      <c r="H167" t="s">
        <v>740</v>
      </c>
    </row>
  </sheetData>
  <autoFilter ref="B12:S157"/>
  <mergeCells count="21">
    <mergeCell ref="B7:C7"/>
    <mergeCell ref="D7:G7"/>
    <mergeCell ref="B2:S2"/>
    <mergeCell ref="B3:S3"/>
    <mergeCell ref="B4:S4"/>
    <mergeCell ref="B5:S5"/>
    <mergeCell ref="B6:P6"/>
    <mergeCell ref="B8:C8"/>
    <mergeCell ref="D8:G8"/>
    <mergeCell ref="B9:C9"/>
    <mergeCell ref="D9:G9"/>
    <mergeCell ref="B10:C10"/>
    <mergeCell ref="D10:G10"/>
    <mergeCell ref="F57:F58"/>
    <mergeCell ref="F92:F93"/>
    <mergeCell ref="B11:C11"/>
    <mergeCell ref="D11:G11"/>
    <mergeCell ref="F21:F23"/>
    <mergeCell ref="F29:F30"/>
    <mergeCell ref="F32:F33"/>
    <mergeCell ref="F55:F56"/>
  </mergeCells>
  <printOptions horizontalCentered="1"/>
  <pageMargins left="0.11811023622047245" right="0.11811023622047245" top="0.19685039370078741" bottom="0.11811023622047245" header="0.11811023622047245" footer="0.11811023622047245"/>
  <pageSetup scale="7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20</vt:i4>
      </vt:variant>
    </vt:vector>
  </HeadingPairs>
  <TitlesOfParts>
    <vt:vector size="68" baseType="lpstr">
      <vt:lpstr>suryagarh jagannath</vt:lpstr>
      <vt:lpstr>utras 2</vt:lpstr>
      <vt:lpstr>UTRAS</vt:lpstr>
      <vt:lpstr>brahapur</vt:lpstr>
      <vt:lpstr>brahapur 2</vt:lpstr>
      <vt:lpstr>aurangabad</vt:lpstr>
      <vt:lpstr>aurangabad 2</vt:lpstr>
      <vt:lpstr>bhausiya</vt:lpstr>
      <vt:lpstr>mandah &amp; bhoji</vt:lpstr>
      <vt:lpstr>madhura arani ganj 4</vt:lpstr>
      <vt:lpstr>CHOUMARI(MAHADEV)</vt:lpstr>
      <vt:lpstr>bhaidpur</vt:lpstr>
      <vt:lpstr>DARAOULI</vt:lpstr>
      <vt:lpstr>PERSANDA (3)</vt:lpstr>
      <vt:lpstr>Lauli Pokhtakham</vt:lpstr>
      <vt:lpstr>Kansapatti</vt:lpstr>
      <vt:lpstr>Puremanikanth</vt:lpstr>
      <vt:lpstr>Sheet2</vt:lpstr>
      <vt:lpstr>Dehri digar (2)</vt:lpstr>
      <vt:lpstr>PADAMPUR (2)</vt:lpstr>
      <vt:lpstr>Chart1</vt:lpstr>
      <vt:lpstr>SAKRA</vt:lpstr>
      <vt:lpstr>sakra 2</vt:lpstr>
      <vt:lpstr>HARDOI</vt:lpstr>
      <vt:lpstr>gehrauli</vt:lpstr>
      <vt:lpstr>SESHPUR ADHARGANJ</vt:lpstr>
      <vt:lpstr>seshpur adharganj 2</vt:lpstr>
      <vt:lpstr>Attarsand AK</vt:lpstr>
      <vt:lpstr>ATTARASAND AGS</vt:lpstr>
      <vt:lpstr>ATTARASAND KHAYATHI</vt:lpstr>
      <vt:lpstr>ATTARASAND PR</vt:lpstr>
      <vt:lpstr>MANGRAURA</vt:lpstr>
      <vt:lpstr>SARAI JAMMUVARI</vt:lpstr>
      <vt:lpstr>PURBHIKA AND RAIGARH</vt:lpstr>
      <vt:lpstr>Sheet1</vt:lpstr>
      <vt:lpstr>Barasarai</vt:lpstr>
      <vt:lpstr> barasarai 2</vt:lpstr>
      <vt:lpstr>malaak</vt:lpstr>
      <vt:lpstr>shivapur khurd</vt:lpstr>
      <vt:lpstr>sarsidhi</vt:lpstr>
      <vt:lpstr>amuwahi1</vt:lpstr>
      <vt:lpstr>amuwahi</vt:lpstr>
      <vt:lpstr>hasthara</vt:lpstr>
      <vt:lpstr>hasthara 2</vt:lpstr>
      <vt:lpstr>MADHURA RANI GANJ</vt:lpstr>
      <vt:lpstr>madhra rani (ags)</vt:lpstr>
      <vt:lpstr>madhura rani ganj ags2</vt:lpstr>
      <vt:lpstr>MADHURA RANI GANJ(TANISH-2)</vt:lpstr>
      <vt:lpstr>amuwahi1!Print_Area</vt:lpstr>
      <vt:lpstr>'ATTARASAND KHAYATHI'!Print_Area</vt:lpstr>
      <vt:lpstr>'ATTARASAND PR'!Print_Area</vt:lpstr>
      <vt:lpstr>bhaidpur!Print_Area</vt:lpstr>
      <vt:lpstr>bhausiya!Print_Area</vt:lpstr>
      <vt:lpstr>'CHOUMARI(MAHADEV)'!Print_Area</vt:lpstr>
      <vt:lpstr>'Dehri digar (2)'!Print_Area</vt:lpstr>
      <vt:lpstr>gehrauli!Print_Area</vt:lpstr>
      <vt:lpstr>HARDOI!Print_Area</vt:lpstr>
      <vt:lpstr>'Lauli Pokhtakham'!Print_Area</vt:lpstr>
      <vt:lpstr>malaak!Print_Area</vt:lpstr>
      <vt:lpstr>'mandah &amp; bhoji'!Print_Area</vt:lpstr>
      <vt:lpstr>'PADAMPUR (2)'!Print_Area</vt:lpstr>
      <vt:lpstr>'PURBHIKA AND RAIGARH'!Print_Area</vt:lpstr>
      <vt:lpstr>SAKRA!Print_Area</vt:lpstr>
      <vt:lpstr>'SARAI JAMMUVARI'!Print_Area</vt:lpstr>
      <vt:lpstr>'SESHPUR ADHARGANJ'!Print_Area</vt:lpstr>
      <vt:lpstr>'utras 2'!Print_Area</vt:lpstr>
      <vt:lpstr>bhaidpur!Print_Titles</vt:lpstr>
      <vt:lpstr>bhausiya!Print_Titles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cp:lastPrinted>2024-11-12T04:09:56Z</cp:lastPrinted>
  <dcterms:created xsi:type="dcterms:W3CDTF">2006-09-16T00:00:00Z</dcterms:created>
  <dcterms:modified xsi:type="dcterms:W3CDTF">2024-12-19T10:32:07Z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851EFF33F79449938710EF4AB2EA32F7_12</vt:lpwstr>
  </property>
  <property fmtid="{D5CDD505-2E9C-101B-9397-08002B2CF9AE}" pid="3" name="KSOProductBuildVer">
    <vt:lpwstr>1033-12.2.0.13489</vt:lpwstr>
  </property>
</Properties>
</file>